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050"/>
  </bookViews>
  <sheets>
    <sheet name="TEACHING STAFF" sheetId="1" r:id="rId1"/>
    <sheet name="BANK SCH" sheetId="598" r:id="rId2"/>
    <sheet name="NON TEACHING STAFF" sheetId="201" r:id="rId3"/>
    <sheet name="Sheet4" sheetId="592" state="hidden" r:id="rId4"/>
    <sheet name="WAGE BILL" sheetId="8" r:id="rId5"/>
    <sheet name="STATUTORY DED" sheetId="600" r:id="rId6"/>
    <sheet name="ASUU DED" sheetId="599" r:id="rId7"/>
    <sheet name="FLOURISH DEDUCT" sheetId="601" r:id="rId8"/>
    <sheet name="NASU" sheetId="587" r:id="rId9"/>
    <sheet name="FLORSHINE" sheetId="542" r:id="rId10"/>
    <sheet name="FLOURISH COOPERATIVE " sheetId="545" r:id="rId11"/>
    <sheet name="SALARY ADVANCE &amp; SCH FEELS" sheetId="6" r:id="rId12"/>
    <sheet name="DEPENDENT RELATIVE " sheetId="556" r:id="rId13"/>
    <sheet name="TopLifters " sheetId="548" r:id="rId14"/>
    <sheet name="Sheet1" sheetId="311" state="hidden" r:id="rId15"/>
    <sheet name="Sheet2" sheetId="312" state="hidden" r:id="rId16"/>
    <sheet name="Sheet3" sheetId="313" state="hidden" r:id="rId17"/>
    <sheet name="BHIS 2" sheetId="50" state="hidden" r:id="rId18"/>
    <sheet name="ASUU" sheetId="36" state="hidden" r:id="rId19"/>
    <sheet name="BETF" sheetId="35" state="hidden" r:id="rId20"/>
    <sheet name="BANK SCH II" sheetId="33" state="hidden" r:id="rId21"/>
    <sheet name="BANK SCHDULE" sheetId="31" state="hidden" r:id="rId22"/>
    <sheet name="BHIS" sheetId="34" state="hidden" r:id="rId23"/>
    <sheet name="ECONOMICS" sheetId="543" r:id="rId24"/>
    <sheet name="SSANU DEDUCTION" sheetId="606" r:id="rId25"/>
    <sheet name="WOMAN FORUM DEDUCTION" sheetId="607" r:id="rId26"/>
    <sheet name="CO-OPERATIVE" sheetId="605" r:id="rId27"/>
    <sheet name="FAE DEDUCTION" sheetId="604" r:id="rId28"/>
    <sheet name="FMS DEDUCTION" sheetId="603" r:id="rId29"/>
    <sheet name="NAAT DEDUCTIONS" sheetId="597" r:id="rId30"/>
    <sheet name="FBAS DEDUCT" sheetId="602" r:id="rId31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</externalReferences>
  <definedNames>
    <definedName name="_Hlk109387980" localSheetId="0">#REF!</definedName>
    <definedName name="_xlnm.Print_Area" localSheetId="17">'BHIS 2'!$A$1:$D$384</definedName>
    <definedName name="_xlnm.Print_Area" localSheetId="9">FLORSHINE!$A$1:$F$9</definedName>
    <definedName name="_xlnm.Print_Area" localSheetId="2">'NON TEACHING STAFF'!$A$1:$DJ$692</definedName>
    <definedName name="_xlnm.Print_Area" localSheetId="16">Sheet3!$A$1:$BP$187</definedName>
    <definedName name="_xlnm.Print_Area" localSheetId="0">'TEACHING STAFF'!$A$1:$CR$485</definedName>
    <definedName name="_xlnm.Print_Area" localSheetId="13">'TopLifters '!$A$2:$F$14</definedName>
    <definedName name="_xlnm.Print_Area" localSheetId="4">'WAGE BILL'!$A$1:$E$56</definedName>
    <definedName name="Query_from_MS_Access_Database_1" localSheetId="2">'NON TEACHING STAFF'!$J$5:$CG$246</definedName>
    <definedName name="Query_from_MS_Access_Database_1" localSheetId="0">'TEACHING STAFF'!$G$4:$BP$177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nnection1111122135112112111111112312121211" type="1" background="1" savePassword="1" refreshedVersion="2" saveData="1">
    <dbPr connection="DSN=MS Access Database;DBQ=C:\Users\Public\BSGPERSPAY\PERPAY00.MDB;DefaultDir=c:\addendum\perpay00;DriverId=281;FIL=MS Access;MaxBufferSize=2048;PageTimeout=5;" command="select persmain.staffid as [STAFF ID],name_last as [STAFF NAME],name_mid,name_first,code_assign,code_grade as GRADE,code_bank,bank_acct as [ACCT NO] ,[000],[001],[002],[003],[004],[005],[006],[007],[008],[009],[010],[011],[012],[013],[014],[015],[016],[017],[018],[019],[020],[021],[022],[023],[024],[025],[026],[027],[029],[030],[031],[032],[033],[034],[035],[036],[037],[038],[039],[040],[041],[042],[043],[044],[045],[046],[047],[048],[049],[050],[051],[052],[053],[054],[055],[056],[057],[058],[059],[060],[061],[062],[064],[065],[066],[100],[101],[102],[103],[104],[105],[106],[107],[108],[109],[110],[111],[112],[123],[125],[126],[127],[128],[129],[130],[131],[132],[133],[134],[135],[136],[137],[138],[139],[140],[141],[142],[143],[144],total_earn as [TOTAL EARN],total_deduct as [TOT DEDUCT],total_earn-total_deduct as [NET PAY] from persmain inner join PAYFeb12 on persmain.staffid=PAYFeb12.staffid  where code_assign='ASSGV' order by code_bank,name_last" commandType="2"/>
  </connection>
  <connection id="2" name="Connection11111221351121121111111123121212111" type="1" background="1" savePassword="1" refreshedVersion="2" saveData="1">
    <dbPr connection="DSN=MS Access Database;DBQ=C:\Users\Public\BSGPERSPAY\PERPAY00.MDB;DefaultDir=c:\addendum\perpay00;DriverId=281;FIL=MS Access;MaxBufferSize=2048;PageTimeout=5;" command="select persmain.staffid as [STAFF ID],name_last as [STAFF NAME],name_mid,name_first,code_assign,code_grade as GRADE,code_bank,bank_acct as [ACCT NO] ,[000],[001],[002],[003],[004],[005],[006],[007],[008],[009],[010],[011],[012],[013],[014],[015],[016],[017],[018],[019],[020],[021],[022],[023],[024],[025],[026],[027],[029],[030],[031],[032],[033],[034],[035],[036],[037],[038],[039],[040],[041],[042],[043],[044],[045],[046],[047],[048],[049],[050],[051],[052],[053],[054],[055],[056],[057],[058],[059],[060],[061],[062],[064],[065],[066],[100],[101],[102],[103],[104],[105],[106],[107],[108],[109],[110],[111],[112],[123],[125],[126],[127],[128],[129],[130],[131],[132],[133],[134],[135],[136],[137],[138],[139],[140],[141],[142],[143],[144],total_earn as [TOTAL EARN],total_deduct as [TOT DEDUCT],total_earn-total_deduct as [NET PAY] from persmain inner join PAYFeb12 on persmain.staffid=PAYFeb12.staffid  where code_assign='ASSGV' order by code_bank,name_last" commandType="2"/>
  </connection>
  <connection id="3" name="Connection11111221351121121111111123121212112" type="1" background="1" savePassword="1" refreshedVersion="2" saveData="1">
    <dbPr connection="DSN=MS Access Database;DBQ=C:\Users\Public\BSGPERSPAY\PERPAY00.MDB;DefaultDir=c:\addendum\perpay00;DriverId=281;FIL=MS Access;MaxBufferSize=2048;PageTimeout=5;" command="select persmain.staffid as [STAFF ID],name_last as [STAFF NAME],name_mid,name_first,code_assign,code_grade as GRADE,code_bank,bank_acct as [ACCT NO] ,[000],[001],[002],[003],[004],[005],[006],[007],[008],[009],[010],[011],[012],[013],[014],[015],[016],[017],[018],[019],[020],[021],[022],[023],[024],[025],[026],[027],[029],[030],[031],[032],[033],[034],[035],[036],[037],[038],[039],[040],[041],[042],[043],[044],[045],[046],[047],[048],[049],[050],[051],[052],[053],[054],[055],[056],[057],[058],[059],[060],[061],[062],[064],[065],[066],[100],[101],[102],[103],[104],[105],[106],[107],[108],[109],[110],[111],[112],[123],[125],[126],[127],[128],[129],[130],[131],[132],[133],[134],[135],[136],[137],[138],[139],[140],[141],[142],[143],[144],total_earn as [TOTAL EARN],total_deduct as [TOT DEDUCT],total_earn-total_deduct as [NET PAY] from persmain inner join PAYFeb12 on persmain.staffid=PAYFeb12.staffid  where code_assign='ASSGV' order by code_bank,name_last" commandType="2"/>
  </connection>
</connections>
</file>

<file path=xl/sharedStrings.xml><?xml version="1.0" encoding="utf-8"?>
<sst xmlns="http://schemas.openxmlformats.org/spreadsheetml/2006/main" count="15415" uniqueCount="2353">
  <si>
    <t xml:space="preserve">       UNIVERSITY OF AFRICA, TORU-ORUA.</t>
  </si>
  <si>
    <t>STAFF PAYROLL FOR THE MONTH OF FEBRUARY, 2026.</t>
  </si>
  <si>
    <t>S/N</t>
  </si>
  <si>
    <t>NAMES OF STAFF</t>
  </si>
  <si>
    <t>DEPARTMENT</t>
  </si>
  <si>
    <t>JOB DESCRIPTION</t>
  </si>
  <si>
    <t>GRADE NAME</t>
  </si>
  <si>
    <t>BANK NAME</t>
  </si>
  <si>
    <t>ACCT NO</t>
  </si>
  <si>
    <t>ANNUAL SALARY</t>
  </si>
  <si>
    <t>ANNUAL</t>
  </si>
  <si>
    <t>OLD  BASIC</t>
  </si>
  <si>
    <t xml:space="preserve">25/35% increment </t>
  </si>
  <si>
    <t xml:space="preserve">minimum wage </t>
  </si>
  <si>
    <t>NEW BASIC</t>
  </si>
  <si>
    <t>EXCESS WORK LOAD</t>
  </si>
  <si>
    <t>FIELD TRIP</t>
  </si>
  <si>
    <t>RESPONSIBILITY</t>
  </si>
  <si>
    <t>Field Trip</t>
  </si>
  <si>
    <t>MEDICAL</t>
  </si>
  <si>
    <t>ARREARS</t>
  </si>
  <si>
    <t>PERCULIAR</t>
  </si>
  <si>
    <t xml:space="preserve">PERSONAL ASSISTANT </t>
  </si>
  <si>
    <t>LEAVE ALLOWANCE</t>
  </si>
  <si>
    <t>NEWSPAPER ALLOWANCE</t>
  </si>
  <si>
    <t>INDUCEMENT</t>
  </si>
  <si>
    <t>GENERAL HAZARD</t>
  </si>
  <si>
    <t>OTHER ALLOWS/ADDEDUM</t>
  </si>
  <si>
    <t>DOMESTIC STAFF ALLOW.</t>
  </si>
  <si>
    <t>Shift</t>
  </si>
  <si>
    <t>RESPONSIBILITY ALLOW.</t>
  </si>
  <si>
    <t>Entertainment</t>
  </si>
  <si>
    <t>Responsibility</t>
  </si>
  <si>
    <t>Other Addtions</t>
  </si>
  <si>
    <t>SALARY ADVACE</t>
  </si>
  <si>
    <t>ANUPA</t>
  </si>
  <si>
    <t>UTILITY BILL</t>
  </si>
  <si>
    <t>TOP LIFTER LIMITED</t>
  </si>
  <si>
    <t>ASUU</t>
  </si>
  <si>
    <t>ASUU WELFARE</t>
  </si>
  <si>
    <t>FASTGROW</t>
  </si>
  <si>
    <t>FLORIS MULTI PURPOSE</t>
  </si>
  <si>
    <t>FBAS WELFARE</t>
  </si>
  <si>
    <t>PERSONAL  OWING</t>
  </si>
  <si>
    <t>FAE DEUCATION</t>
  </si>
  <si>
    <t>BELKARI LOANS</t>
  </si>
  <si>
    <t>SCHOOL FEES DEDUCTION</t>
  </si>
  <si>
    <t>UAT CRESTED POLO</t>
  </si>
  <si>
    <t>FMS WELFARE DEDUCTION</t>
  </si>
  <si>
    <t>FSS WELFARE DEDUCTION</t>
  </si>
  <si>
    <t>UAT FEMALE  FORUM</t>
  </si>
  <si>
    <t>ECONOMICS</t>
  </si>
  <si>
    <t>UAT CO-OPERATIVE</t>
  </si>
  <si>
    <t>FLORESHINE GLOBAL</t>
  </si>
  <si>
    <t>UTILITY BILLS</t>
  </si>
  <si>
    <t xml:space="preserve"> UAT RENT</t>
  </si>
  <si>
    <t>BSETF</t>
  </si>
  <si>
    <t>SCHOOL /HOSTELFEES</t>
  </si>
  <si>
    <t>EXTRA DEPENDENT BHIS</t>
  </si>
  <si>
    <t>BHIS</t>
  </si>
  <si>
    <t>NHF</t>
  </si>
  <si>
    <t>BMUWMPCS</t>
  </si>
  <si>
    <t>P.A.Y.E.</t>
  </si>
  <si>
    <t>GROSS PAYBEFORE</t>
  </si>
  <si>
    <t>TOT DEDUCT</t>
  </si>
  <si>
    <t>Sal. advance</t>
  </si>
  <si>
    <t>PERCENTAGES</t>
  </si>
  <si>
    <t>NET PAY</t>
  </si>
  <si>
    <t>Gosss Earnings</t>
  </si>
  <si>
    <t>Personal Allowance</t>
  </si>
  <si>
    <t>Total Non-Taxable Income</t>
  </si>
  <si>
    <t>Total Taxable Income</t>
  </si>
  <si>
    <t>Minimum tax</t>
  </si>
  <si>
    <t>1st 300K @ 7%</t>
  </si>
  <si>
    <t>next 300k @ 11%</t>
  </si>
  <si>
    <t>next 500k @ 15%</t>
  </si>
  <si>
    <t>next 500k @ 19%</t>
  </si>
  <si>
    <t>next 1.6m @ 21%</t>
  </si>
  <si>
    <t>above 3.2m @ 24%</t>
  </si>
  <si>
    <t>Total PAYE</t>
  </si>
  <si>
    <t>Min Tax</t>
  </si>
  <si>
    <t>Total PAYE Tax</t>
  </si>
  <si>
    <t>Monthly PAYE Tax</t>
  </si>
  <si>
    <t>20% Rebate</t>
  </si>
  <si>
    <t>ETR</t>
  </si>
  <si>
    <t>Current deductions</t>
  </si>
  <si>
    <t>Underpayment (monthly)</t>
  </si>
  <si>
    <t>Underpayment (annual)</t>
  </si>
  <si>
    <t>REMARK</t>
  </si>
  <si>
    <t>ADEMOLA AYODEJI JOLAYEMI</t>
  </si>
  <si>
    <t>ENGLISH AND LITERARY STUDIES</t>
  </si>
  <si>
    <t>DEAN, POST-GRADUATE SCHOOL</t>
  </si>
  <si>
    <t>CONUSS 7/10</t>
  </si>
  <si>
    <t>FIRST</t>
  </si>
  <si>
    <t>SIKOKI FRANCIS DAVID</t>
  </si>
  <si>
    <t>BIOLOGICAL SCIENCE</t>
  </si>
  <si>
    <t>DEAN BASIC AND APPLIED SCIENCE (CONTRACT PROFESSOR)</t>
  </si>
  <si>
    <t>ACCESS</t>
  </si>
  <si>
    <t>0055002341</t>
  </si>
  <si>
    <t>ABUMERE OAMEN ERONMOSELE</t>
  </si>
  <si>
    <t>CONTRACT APPOINTMENT</t>
  </si>
  <si>
    <t>ECOBANK</t>
  </si>
  <si>
    <t>0072045836</t>
  </si>
  <si>
    <t xml:space="preserve">DONBEBE WANKASI </t>
  </si>
  <si>
    <t>CHEMICAL SCIENCES</t>
  </si>
  <si>
    <t>ADJUNCT PROFESSOR</t>
  </si>
  <si>
    <t>CONUSS 7/3</t>
  </si>
  <si>
    <t>0026574605</t>
  </si>
  <si>
    <t>ADJUNCT EXPIRES WITH THE 2025/2026 ACADEMIC SESSION</t>
  </si>
  <si>
    <t>CHINYERE P. ONONUGBO</t>
  </si>
  <si>
    <t>PHYSICS</t>
  </si>
  <si>
    <t>ADJUNCT  PROFESSOR</t>
  </si>
  <si>
    <t>CONUAS 7/3</t>
  </si>
  <si>
    <t>UBA</t>
  </si>
  <si>
    <t>DANIEL I. OLORUNFEMI</t>
  </si>
  <si>
    <t>CONUAS 7/9</t>
  </si>
  <si>
    <t>0030621811</t>
  </si>
  <si>
    <t>OKOROBIA MARK ATEI</t>
  </si>
  <si>
    <t>HISTORY AND INTERNATIONAL STUDIES</t>
  </si>
  <si>
    <t xml:space="preserve">EBISEITEI PRECIOUS </t>
  </si>
  <si>
    <t xml:space="preserve">SENIOR LECTURER </t>
  </si>
  <si>
    <t>CONUSSS 5/3</t>
  </si>
  <si>
    <t>STANBIC IBTC</t>
  </si>
  <si>
    <t>0035529328</t>
  </si>
  <si>
    <t>ZIAKEDE SOLOMON KOROYE</t>
  </si>
  <si>
    <t xml:space="preserve"> LECTURER II</t>
  </si>
  <si>
    <t>CONUASS 3/6</t>
  </si>
  <si>
    <t>GTB</t>
  </si>
  <si>
    <t>0237212657</t>
  </si>
  <si>
    <t>DEINGIMO KEME</t>
  </si>
  <si>
    <t>LECTURER I</t>
  </si>
  <si>
    <t>CONUASS 4/3</t>
  </si>
  <si>
    <t>TARIEBIBO ENAI GEDE</t>
  </si>
  <si>
    <t>MATHEMATICS AND COMPUTER SCIENCE</t>
  </si>
  <si>
    <t>CONUASS 4/6</t>
  </si>
  <si>
    <t>STERLING</t>
  </si>
  <si>
    <t>0077840928</t>
  </si>
  <si>
    <t>LAWAL BABATUNDE YUSUF</t>
  </si>
  <si>
    <t>ASSOCIATE PROFESSOR</t>
  </si>
  <si>
    <t>CONUAS 6/1</t>
  </si>
  <si>
    <t>0071870439</t>
  </si>
  <si>
    <t>NEIN GODKNOWS</t>
  </si>
  <si>
    <t>INDUSTRAL RELATION AND PERSONAL MGT</t>
  </si>
  <si>
    <t>SENIOR LECTURER</t>
  </si>
  <si>
    <t>CONUAS 5/9</t>
  </si>
  <si>
    <t>UNION</t>
  </si>
  <si>
    <t>0029213035</t>
  </si>
  <si>
    <t>ECHETA O SYDNEY</t>
  </si>
  <si>
    <t>HOTEL MANAGEMENT AND TOURISM</t>
  </si>
  <si>
    <t xml:space="preserve"> SENIOR LECTURER</t>
  </si>
  <si>
    <t>CONUASS 5/4</t>
  </si>
  <si>
    <t xml:space="preserve">FIRST </t>
  </si>
  <si>
    <t>OGBUTA ANTHONY ANWULI</t>
  </si>
  <si>
    <t>CONUAS 4/6</t>
  </si>
  <si>
    <t xml:space="preserve">WAIDOR KEITH TAMARAEBI </t>
  </si>
  <si>
    <t xml:space="preserve">LECTURER I </t>
  </si>
  <si>
    <t>CONUASS 4/8</t>
  </si>
  <si>
    <t>WEMA</t>
  </si>
  <si>
    <t>0227351994</t>
  </si>
  <si>
    <t>ODUBO CHARITY TAMARAUEBI</t>
  </si>
  <si>
    <t>ACCOUNTING</t>
  </si>
  <si>
    <t>CONUASS 4/4</t>
  </si>
  <si>
    <t>0019236855</t>
  </si>
  <si>
    <t>OLADIPO ABOSEDE MOJISOLA</t>
  </si>
  <si>
    <t>AGRICULTURAL ECONOMICS AND EXTENSION</t>
  </si>
  <si>
    <t>ZENITH</t>
  </si>
  <si>
    <t xml:space="preserve">BOLOUPREMO TARILA </t>
  </si>
  <si>
    <t>BANKING AND FINANCE</t>
  </si>
  <si>
    <t>CONUASS 6/1</t>
  </si>
  <si>
    <t>0077210321</t>
  </si>
  <si>
    <t>EKOKEME TAMARAUKRO TIMIPRE</t>
  </si>
  <si>
    <t>CONUASS 5/2</t>
  </si>
  <si>
    <t>0036064176</t>
  </si>
  <si>
    <t>KROKEME OKOYAN</t>
  </si>
  <si>
    <t>CONUASS 4/2</t>
  </si>
  <si>
    <t>0033854745</t>
  </si>
  <si>
    <t>ADIM CHIDIEBERE VICTOR</t>
  </si>
  <si>
    <t>BUSINESS ADMINISTRATION</t>
  </si>
  <si>
    <t>CONUASS 5/3</t>
  </si>
  <si>
    <t>0035615588</t>
  </si>
  <si>
    <t xml:space="preserve">LUBO EBISINE </t>
  </si>
  <si>
    <t>0079015111</t>
  </si>
  <si>
    <t>OKABA EBIKONBOWEI ALEX</t>
  </si>
  <si>
    <t>0059407958</t>
  </si>
  <si>
    <t>ORIBHABOR BLESSING CHINELO</t>
  </si>
  <si>
    <t>GUIDANCE AND COUNSELLING</t>
  </si>
  <si>
    <t>CONUASS 6/2</t>
  </si>
  <si>
    <t xml:space="preserve">FRANK SAPELE FUNKEYE </t>
  </si>
  <si>
    <t>POLITICAL SCIENCE</t>
  </si>
  <si>
    <t>0073394429</t>
  </si>
  <si>
    <t>BENSON DUNU TONBRAPADE</t>
  </si>
  <si>
    <t>EDUCATIONAL MANAGEMENT</t>
  </si>
  <si>
    <t>0010851185</t>
  </si>
  <si>
    <t>IYE RONAMI SAMUEL</t>
  </si>
  <si>
    <t>LIBRARY</t>
  </si>
  <si>
    <t>ASSISTANT LECTURER</t>
  </si>
  <si>
    <t>CONUAS 2/4</t>
  </si>
  <si>
    <t>ANDERSON BLESSING PERE-ERE</t>
  </si>
  <si>
    <t xml:space="preserve"> GRADUATE ASSISTANT</t>
  </si>
  <si>
    <t>CONUAS 1/3</t>
  </si>
  <si>
    <t>0071139983</t>
  </si>
  <si>
    <t>EREBI BOMIEGHA CLEMENT</t>
  </si>
  <si>
    <t>BRISIBE FRED EMI</t>
  </si>
  <si>
    <t>THEATRE ARTS</t>
  </si>
  <si>
    <t>LECTURER II</t>
  </si>
  <si>
    <t>CONUAS 3/4</t>
  </si>
  <si>
    <t>DISEYE ISOWO</t>
  </si>
  <si>
    <t xml:space="preserve">COMPUTER SCIENCE AND MATHEMATICAL </t>
  </si>
  <si>
    <t>CONUAS 3/3</t>
  </si>
  <si>
    <t>GLOBUS</t>
  </si>
  <si>
    <t>2003332007</t>
  </si>
  <si>
    <t xml:space="preserve">OGUNBODEDE FRANCIS KOLAWOLE </t>
  </si>
  <si>
    <t xml:space="preserve">  LECTURER II</t>
  </si>
  <si>
    <t>CONUAS 3/1</t>
  </si>
  <si>
    <t>0081963426</t>
  </si>
  <si>
    <t>KPODOH DANIEL OYINMIEBI</t>
  </si>
  <si>
    <t xml:space="preserve"> ASSIST LECTURER</t>
  </si>
  <si>
    <t>RICHARD BRILLIANT</t>
  </si>
  <si>
    <t>CONUAS 4/2</t>
  </si>
  <si>
    <t>0028949995</t>
  </si>
  <si>
    <t>NAPOLEON EBIYEFA</t>
  </si>
  <si>
    <t>ASSIST LECTURER</t>
  </si>
  <si>
    <t>NWOSU NNBUIHE NANCY</t>
  </si>
  <si>
    <t>CONUAS 6/4</t>
  </si>
  <si>
    <t xml:space="preserve">DONATUS OTAIGBE ONOGBOSELE </t>
  </si>
  <si>
    <t>CONUAS 6/5</t>
  </si>
  <si>
    <t>JASPER EZENWAKA</t>
  </si>
  <si>
    <t>CROP SOIL AND PEST MGT</t>
  </si>
  <si>
    <t>PROFESSOR</t>
  </si>
  <si>
    <t>0016880418</t>
  </si>
  <si>
    <t>PROF. KAYWOOD ELIJAH LEIZOU</t>
  </si>
  <si>
    <t>CONUAS 7/1</t>
  </si>
  <si>
    <t>0078905710</t>
  </si>
  <si>
    <t>EVANS F.OSAISAI</t>
  </si>
  <si>
    <t>MATHEW O WEGWU</t>
  </si>
  <si>
    <t>CONUAS 7/4</t>
  </si>
  <si>
    <t>ADJUNCT PERIOD END WITH THE 2025/2026 ACADEMIC SESSION</t>
  </si>
  <si>
    <t>BUNAKIYE RICHARD JAPHETH</t>
  </si>
  <si>
    <t xml:space="preserve"> PROFESSOR</t>
  </si>
  <si>
    <t>0042255731</t>
  </si>
  <si>
    <t>EBINIMI J ANSA</t>
  </si>
  <si>
    <t>FISHERIES</t>
  </si>
  <si>
    <t>ADJNUNCT SENIOR LECTURER</t>
  </si>
  <si>
    <t>CONUAS 5/13</t>
  </si>
  <si>
    <t>JULIANA IWORIKUMO CONSUL</t>
  </si>
  <si>
    <t>ADJNUNCT ASSOCIATE PROFESSOR</t>
  </si>
  <si>
    <t>CONUAS 6/2</t>
  </si>
  <si>
    <t>0112692440</t>
  </si>
  <si>
    <t xml:space="preserve">OLAJIDE ROTIMI </t>
  </si>
  <si>
    <t>ANIMAL PRODUCTION AND HEALTH</t>
  </si>
  <si>
    <t xml:space="preserve"> FULL TIME PROFESSOR </t>
  </si>
  <si>
    <t>CONUAS 7/10</t>
  </si>
  <si>
    <t>0110692501</t>
  </si>
  <si>
    <t>GOIN LINDA</t>
  </si>
  <si>
    <t>LINGUISTICS AND NIGERIAN LANGUAGES</t>
  </si>
  <si>
    <t>ADJUNCT SENIOR LECTURER</t>
  </si>
  <si>
    <t xml:space="preserve">TORUPERE KOROYE </t>
  </si>
  <si>
    <t>Ag. DEAN  ARTS AND EDUCATION</t>
  </si>
  <si>
    <t>CONUAS 6/8</t>
  </si>
  <si>
    <t>FIDELITY</t>
  </si>
  <si>
    <t>UZAKAH RICHARD PREYE</t>
  </si>
  <si>
    <t>SUNDAY DUTIMIARIYE ABRAYE</t>
  </si>
  <si>
    <t xml:space="preserve">COURT OGELE TIMIEPERE </t>
  </si>
  <si>
    <t>CONUAS 6/3</t>
  </si>
  <si>
    <t>0264701713</t>
  </si>
  <si>
    <t xml:space="preserve">ABEKI SUNNY OKORO </t>
  </si>
  <si>
    <t>Ag. DEAN FACULTY OF MANAGEMENT SCIENCE (PUBLIC ADMINISTRATION)</t>
  </si>
  <si>
    <t xml:space="preserve">CONUAS 7/2 </t>
  </si>
  <si>
    <t>ELEKE MELBOUNE EBIMIE</t>
  </si>
  <si>
    <t>CONUAS 4/5</t>
  </si>
  <si>
    <t>0042414976</t>
  </si>
  <si>
    <t>OKUTALUKWE  TIMOTHY CHIDEIEBERE</t>
  </si>
  <si>
    <t>CONUAS 4/3</t>
  </si>
  <si>
    <t>0030658333</t>
  </si>
  <si>
    <t>GOVERNOR ROSEMARY EBIERE</t>
  </si>
  <si>
    <t>MASS COMMUNICATION</t>
  </si>
  <si>
    <t>CONUAS 5/3</t>
  </si>
  <si>
    <t>0123891546</t>
  </si>
  <si>
    <t>ANEM IGIRIGI KOKINBO</t>
  </si>
  <si>
    <t xml:space="preserve"> LECTURER I</t>
  </si>
  <si>
    <t>CONUAS 3/5</t>
  </si>
  <si>
    <t>0236337085</t>
  </si>
  <si>
    <t>TAMBOU TAMBRA JOSEPH</t>
  </si>
  <si>
    <t>PUBLIC ADMINISTRATION</t>
  </si>
  <si>
    <t>6019233197</t>
  </si>
  <si>
    <t xml:space="preserve">ODOGU TERRY KEME ZUODE </t>
  </si>
  <si>
    <t xml:space="preserve">SENIOR LECTURER  </t>
  </si>
  <si>
    <t>CONUAS 5/7</t>
  </si>
  <si>
    <t>0073932676</t>
  </si>
  <si>
    <t>TEKE CALYDAY ENEGBOGIENEGHA</t>
  </si>
  <si>
    <t>AKWARANDU UZOCHUKWU</t>
  </si>
  <si>
    <t>CONUAS 5/1</t>
  </si>
  <si>
    <t>0139319511</t>
  </si>
  <si>
    <t>NIMIZIGHA AKPOUNIMIBOFA ALI</t>
  </si>
  <si>
    <t>CONUAS 4/1</t>
  </si>
  <si>
    <t>0078534068</t>
  </si>
  <si>
    <t>ALAGOA BIOBELEMOYE MINADUM</t>
  </si>
  <si>
    <t>CONUAS 4/4</t>
  </si>
  <si>
    <t>0125565342</t>
  </si>
  <si>
    <t>FELIX IZIRIN UYABARA</t>
  </si>
  <si>
    <t xml:space="preserve">AKINOLA STELLA TONYO </t>
  </si>
  <si>
    <t>0039347458</t>
  </si>
  <si>
    <t>DIRECTORS ALLOWANCE ADDED</t>
  </si>
  <si>
    <t>ROSE BINI OKIY</t>
  </si>
  <si>
    <t>CONUAS 7/2 SP</t>
  </si>
  <si>
    <t>0255024937</t>
  </si>
  <si>
    <t>SOLOMON TAMARABRAKEMI EBOBRAH</t>
  </si>
  <si>
    <t>VICE-CHANCELLOR</t>
  </si>
  <si>
    <t>SP</t>
  </si>
  <si>
    <t>0106451794</t>
  </si>
  <si>
    <t>AUGUSTINE ADINOYI MATHEW</t>
  </si>
  <si>
    <t>0226553877</t>
  </si>
  <si>
    <t>EBIKABOWEI MUSAH</t>
  </si>
  <si>
    <t>FCMB</t>
  </si>
  <si>
    <t xml:space="preserve">OTOBO FIRSTMAN NOAH </t>
  </si>
  <si>
    <t>0022777800</t>
  </si>
  <si>
    <t>ADEDIRE TUNDE PETER</t>
  </si>
  <si>
    <t>3036135498</t>
  </si>
  <si>
    <t xml:space="preserve">UKACHUKU SAMUEL </t>
  </si>
  <si>
    <t>0117332949</t>
  </si>
  <si>
    <t xml:space="preserve">ENIZE TINA </t>
  </si>
  <si>
    <t>OGBOLE FAITH AJIEBABHLO</t>
  </si>
  <si>
    <t>0037050075</t>
  </si>
  <si>
    <t>TOUNAREGHA AKPOSEIMOKUMO</t>
  </si>
  <si>
    <t xml:space="preserve">FAWEI OWEI EBIFAGHE </t>
  </si>
  <si>
    <t>2021129919</t>
  </si>
  <si>
    <t>UDO SAMUEL JACKSON</t>
  </si>
  <si>
    <t>STANLEY LEADER</t>
  </si>
  <si>
    <t>0072348209</t>
  </si>
  <si>
    <t>BEING ADDITION  OF HOD ALLOWANCE ARREARS</t>
  </si>
  <si>
    <t>THOMPSON OLUSEGUN EWATA</t>
  </si>
  <si>
    <t>0078855831</t>
  </si>
  <si>
    <t>JAMES ONUKWU NWABIANKE</t>
  </si>
  <si>
    <t>CONUAS 5/4</t>
  </si>
  <si>
    <t>GODWIN POI</t>
  </si>
  <si>
    <t>CONTRACT  PROFESSOR</t>
  </si>
  <si>
    <t>0005457479</t>
  </si>
  <si>
    <t>AGWI, CELESTINE UCHE</t>
  </si>
  <si>
    <t>CONUAS 5/5</t>
  </si>
  <si>
    <t>JACKSON AKPOJARO</t>
  </si>
  <si>
    <t>FULL TIME PROFESSOR</t>
  </si>
  <si>
    <t>0078675839</t>
  </si>
  <si>
    <t>TONY EBIMOWEI GANAGANA</t>
  </si>
  <si>
    <t>CONUAS 7/7</t>
  </si>
  <si>
    <t>2090470273</t>
  </si>
  <si>
    <t>IBB ANDREW ALI</t>
  </si>
  <si>
    <t>Ag. DEAN FACULTY OF SOCIAL  SCIENCE (MASS COMMUNICATION)</t>
  </si>
  <si>
    <t>CONUAS 6/6</t>
  </si>
  <si>
    <t>0018837194</t>
  </si>
  <si>
    <t>OPOMU FELIX EBIKETONMOR</t>
  </si>
  <si>
    <t>0086611904</t>
  </si>
  <si>
    <t>ABOMA GLORIA</t>
  </si>
  <si>
    <t>GRADUATE ASSIST</t>
  </si>
  <si>
    <t>CONUAS 1/6</t>
  </si>
  <si>
    <t xml:space="preserve">KEYSTONE </t>
  </si>
  <si>
    <t xml:space="preserve">SIGAH DONY AYEBAZUOMUNO </t>
  </si>
  <si>
    <t>0078336901</t>
  </si>
  <si>
    <t xml:space="preserve">EDE TIEKUMO </t>
  </si>
  <si>
    <t>0041596422</t>
  </si>
  <si>
    <t xml:space="preserve">BRAKEMI CHRISTABEL OVIA </t>
  </si>
  <si>
    <t>CONUAS 3/8</t>
  </si>
  <si>
    <t xml:space="preserve">ZENITH </t>
  </si>
  <si>
    <t>AKOLOH-ISAAC JOSEPHINE TIMIPRE</t>
  </si>
  <si>
    <t>PART-TIME LECT II</t>
  </si>
  <si>
    <t>0694547829</t>
  </si>
  <si>
    <t>OMAMOKE EKEREKE LAYEFA</t>
  </si>
  <si>
    <t>0006180620</t>
  </si>
  <si>
    <t xml:space="preserve">EBITARI WOLO </t>
  </si>
  <si>
    <t>0080567834</t>
  </si>
  <si>
    <t>KOMONIBO ERNEST  BOLOUEBI</t>
  </si>
  <si>
    <t>0081837918</t>
  </si>
  <si>
    <t>ONUCHE UNEKWU</t>
  </si>
  <si>
    <t xml:space="preserve"> FULL-TIME PROFESSOR</t>
  </si>
  <si>
    <t>IGOLI TIMIPA</t>
  </si>
  <si>
    <t>0080669855</t>
  </si>
  <si>
    <t>AYAKEME TRINNAH IYEBIMOWEI</t>
  </si>
  <si>
    <t xml:space="preserve">STANBIC </t>
  </si>
  <si>
    <t>0036984290</t>
  </si>
  <si>
    <t>AYAKOROMA FOUBIRI BARCLAYS</t>
  </si>
  <si>
    <t xml:space="preserve">DVC ACADEMICS CONTRACT </t>
  </si>
  <si>
    <t>OYINKEPREYE SAWYERR-GEORGE</t>
  </si>
  <si>
    <t>UNIVERSITY LIBRARIAN</t>
  </si>
  <si>
    <t>OGBONNA CHIDINMA PRISCILLIA</t>
  </si>
  <si>
    <t xml:space="preserve">BULOUPREMO BERNICE ENABIMO </t>
  </si>
  <si>
    <t>CONUASS 2/5</t>
  </si>
  <si>
    <t>0091862306</t>
  </si>
  <si>
    <t>DABRILAGHA KEMEBRADIKUMOR T</t>
  </si>
  <si>
    <t>CONUASS 2/4</t>
  </si>
  <si>
    <t>OPUDU OKUBOKEME DEREK</t>
  </si>
  <si>
    <t>EMOTONGHA EBIKEBENA RED-WELL</t>
  </si>
  <si>
    <t>BENJAMIN AYEBAWADUANYI DOMINION</t>
  </si>
  <si>
    <t>0107432646</t>
  </si>
  <si>
    <t>TORUNANA JOHN MILVERTON ANGIAMAOWEI</t>
  </si>
  <si>
    <t>AMAEGBERI HENRY</t>
  </si>
  <si>
    <t>CONUAS 5/2</t>
  </si>
  <si>
    <t>0124100360</t>
  </si>
  <si>
    <t>OGHENEMUDI AKEVWE IGBI</t>
  </si>
  <si>
    <t>ENDURANCE UZOBO</t>
  </si>
  <si>
    <t>SOCIOLOGY</t>
  </si>
  <si>
    <t>0074650923</t>
  </si>
  <si>
    <t>EBIOWEI S.F. ORUBU</t>
  </si>
  <si>
    <t>PHARMANCY</t>
  </si>
  <si>
    <t>2256790115</t>
  </si>
  <si>
    <t xml:space="preserve">CHRISTIAN GIAMI BARIBOR </t>
  </si>
  <si>
    <t>VICTORIA BENNETT</t>
  </si>
  <si>
    <t>0088699780</t>
  </si>
  <si>
    <t>OMEGA MATHEW IMMANUEL</t>
  </si>
  <si>
    <t>0087989400</t>
  </si>
  <si>
    <t>OGBARA E FLORAH</t>
  </si>
  <si>
    <t>0123451759</t>
  </si>
  <si>
    <t>OBUBO EBILADE</t>
  </si>
  <si>
    <t>3214055002</t>
  </si>
  <si>
    <t>EFIYESEIMOKU SAMPLE IKEREMO</t>
  </si>
  <si>
    <t>AMABIENIMIGHA FELIX</t>
  </si>
  <si>
    <t>GOODMAN DANIEL DIEGHA</t>
  </si>
  <si>
    <t>0042417087</t>
  </si>
  <si>
    <t>ETOKO MARTINS EBIKENIYE</t>
  </si>
  <si>
    <t>FRANK INNA OGBISE</t>
  </si>
  <si>
    <t>TEMPORARY APPOINTMENT LECTURER II</t>
  </si>
  <si>
    <t>0108230306</t>
  </si>
  <si>
    <t>MISCONDUCT PLACE ON HALF SALARY EFFECTIVE DECEMBER, 2025</t>
  </si>
  <si>
    <t>WOYENGIBUOMO TORU</t>
  </si>
  <si>
    <t>POLARIS</t>
  </si>
  <si>
    <t>GLADDAY ATAISI EMIYA</t>
  </si>
  <si>
    <t>0079516539</t>
  </si>
  <si>
    <t>POROPO M GODKNOWS</t>
  </si>
  <si>
    <t>0540269490</t>
  </si>
  <si>
    <t>GUANAH SEIGHA JAMMY</t>
  </si>
  <si>
    <t>PEREWARIFAGHA TUDUO</t>
  </si>
  <si>
    <t>GBENIZIBE BONUS WOMBU</t>
  </si>
  <si>
    <t>CONUAS 2/8</t>
  </si>
  <si>
    <t>BELLO ROTMI WILLIAMS</t>
  </si>
  <si>
    <t>0027631945</t>
  </si>
  <si>
    <t>OLOGIDI PATRICK OYINTONBRA</t>
  </si>
  <si>
    <t>EBIKABOWEI BIEDOMO ADUKU</t>
  </si>
  <si>
    <t>TEMPORARY ASSIST LECTURER</t>
  </si>
  <si>
    <t>0425406628</t>
  </si>
  <si>
    <t xml:space="preserve">OLOHITA UFUOMA GEORGINA </t>
  </si>
  <si>
    <t xml:space="preserve">ALAMENE DOUTIMI EMMANUEL </t>
  </si>
  <si>
    <t>CONUAS 2/6</t>
  </si>
  <si>
    <t xml:space="preserve">LECTURER I PART-TIME </t>
  </si>
  <si>
    <t xml:space="preserve">DICKSON ZUOWEI CHRIS </t>
  </si>
  <si>
    <t>ADJUNCT LECTURER II</t>
  </si>
  <si>
    <t>ORUBU PREYE LILLY</t>
  </si>
  <si>
    <t>ADJUNCT ASSISTANT LECTURER</t>
  </si>
  <si>
    <t>CONUASS 2/2</t>
  </si>
  <si>
    <t>RESTORED ADJUNCT SALARY EFFECTIVE FEBRUARY</t>
  </si>
  <si>
    <t>LEIGHA MARK BEN</t>
  </si>
  <si>
    <t>VISITING ADJUNCT PROFESSOR</t>
  </si>
  <si>
    <t>CONUASS 7/6</t>
  </si>
  <si>
    <t>0016441380</t>
  </si>
  <si>
    <t>MIRINN PEREMOWEI</t>
  </si>
  <si>
    <t xml:space="preserve">FUROMFATE IBAMBO IKADERIN </t>
  </si>
  <si>
    <t>0019362820</t>
  </si>
  <si>
    <t xml:space="preserve">OLUMIDE AFOLABI </t>
  </si>
  <si>
    <t>ADEBAYO MOSUNMOLA OLUYINKA</t>
  </si>
  <si>
    <t>0251063775</t>
  </si>
  <si>
    <t xml:space="preserve">OSSAI VINCENT OBARO </t>
  </si>
  <si>
    <t>ESEKHAIGBE EDWIN</t>
  </si>
  <si>
    <t>0039091098</t>
  </si>
  <si>
    <t>OJO MONDAY ISIRAMEN</t>
  </si>
  <si>
    <t>2027250981</t>
  </si>
  <si>
    <t>SAKUE COLLINS YIMOVIE</t>
  </si>
  <si>
    <t>0050331648</t>
  </si>
  <si>
    <t>TARIEBI MARSHAL EBIMOGHAN</t>
  </si>
  <si>
    <t>CONUAS 3/2</t>
  </si>
  <si>
    <t>0094202015</t>
  </si>
  <si>
    <t>SUBJECT TO REVIEW</t>
  </si>
  <si>
    <t xml:space="preserve">LELEI ISAAC ITEI </t>
  </si>
  <si>
    <t>0039160495</t>
  </si>
  <si>
    <t>EBIENDU EUNICE YOROKI</t>
  </si>
  <si>
    <t>0124226314</t>
  </si>
  <si>
    <t>ENOCH EBIKETONE DIEMA</t>
  </si>
  <si>
    <t>PATIENCE EFEREBOBA AYABOWEI</t>
  </si>
  <si>
    <t>0029624419</t>
  </si>
  <si>
    <t xml:space="preserve">YIMINI SHADRACK GEORGE </t>
  </si>
  <si>
    <t>0091746493</t>
  </si>
  <si>
    <t xml:space="preserve">IDAHOSA ROLAND MACAULEY </t>
  </si>
  <si>
    <t xml:space="preserve">OBA PREYE INIMIESI </t>
  </si>
  <si>
    <t>DIEGHOILAYE REGINALID BESTMAN</t>
  </si>
  <si>
    <t>0141705263</t>
  </si>
  <si>
    <t>UBEBE EBIMOROBOWEI FRED</t>
  </si>
  <si>
    <t>WEKE TONY WARIPAMOWEI</t>
  </si>
  <si>
    <t>0096952747</t>
  </si>
  <si>
    <t xml:space="preserve">KINGSLEY BINAEBI OGBOLO </t>
  </si>
  <si>
    <t xml:space="preserve">GOODNEWS DANIEL </t>
  </si>
  <si>
    <t>CONUAS 2/7</t>
  </si>
  <si>
    <t>0221893446</t>
  </si>
  <si>
    <t xml:space="preserve">ODOGU EYINANABO </t>
  </si>
  <si>
    <t>0012421984</t>
  </si>
  <si>
    <t xml:space="preserve">OKI MAUREEN </t>
  </si>
  <si>
    <t>0536416725</t>
  </si>
  <si>
    <t>SAMSON ENIEKENUMU BRAFIYA</t>
  </si>
  <si>
    <t>0727801641</t>
  </si>
  <si>
    <t>JOSEPH ONOME CALEB</t>
  </si>
  <si>
    <t>CONUAS 2/2</t>
  </si>
  <si>
    <t>0234617859</t>
  </si>
  <si>
    <t>JONATHAN AYEBAPREYE ELIZABETH</t>
  </si>
  <si>
    <t>CONUAS 1/4</t>
  </si>
  <si>
    <t>0058202091</t>
  </si>
  <si>
    <t>EPIRI DIEBRA</t>
  </si>
  <si>
    <t>0095399299</t>
  </si>
  <si>
    <t>OZINI FRANCA ABAIANYANRI</t>
  </si>
  <si>
    <t>GRADUATE ASSISTANT</t>
  </si>
  <si>
    <t>ODUBANJO IBUKUN MARY</t>
  </si>
  <si>
    <t xml:space="preserve">BIOTECHNOLOGY </t>
  </si>
  <si>
    <t>2088272919</t>
  </si>
  <si>
    <t xml:space="preserve">CLEVER ALAWARI </t>
  </si>
  <si>
    <t>EKEKE E HAMILTON</t>
  </si>
  <si>
    <t>0239267142</t>
  </si>
  <si>
    <t>EKI CROWNBIRTH EBIPADE</t>
  </si>
  <si>
    <t xml:space="preserve"> GRADUATE ASSISTANT </t>
  </si>
  <si>
    <t xml:space="preserve">SINGER LION SUAYE </t>
  </si>
  <si>
    <t>2084144135</t>
  </si>
  <si>
    <t xml:space="preserve">ALRFED OCKIYA JOHN FAMOKUMA </t>
  </si>
  <si>
    <t xml:space="preserve">CONTRACT PROFESSOR </t>
  </si>
  <si>
    <t>CONUASS 7/10</t>
  </si>
  <si>
    <t>BIAYEIBO MARY OYINKEPRE</t>
  </si>
  <si>
    <t>CONTRACT LECTURER 1</t>
  </si>
  <si>
    <t>2010376654</t>
  </si>
  <si>
    <t>CONTRACT EXTENDED TO  SEPTEMBER,2026</t>
  </si>
  <si>
    <t>CHIOMA CHINAGOROM HOWARD</t>
  </si>
  <si>
    <t>OGOBIRI GODWIN EBIKABOBWEI</t>
  </si>
  <si>
    <t xml:space="preserve">ADJUNCT PROFESSOR  </t>
  </si>
  <si>
    <t>EMMANUEL WELLINGTON</t>
  </si>
  <si>
    <t>CONUASS 3/4</t>
  </si>
  <si>
    <t>6976347296</t>
  </si>
  <si>
    <t>CHINYERE CHIKA IMAGA</t>
  </si>
  <si>
    <t>UCHECHUKWU OSUAGWU</t>
  </si>
  <si>
    <t>0117652588</t>
  </si>
  <si>
    <t>MBAH EDITH IJEEGO</t>
  </si>
  <si>
    <t>MICROBIOLOGY</t>
  </si>
  <si>
    <t>0029910332</t>
  </si>
  <si>
    <t>IGUE UDOKA BESSIE</t>
  </si>
  <si>
    <t>BIOCHEMISTRY</t>
  </si>
  <si>
    <t>2018100086</t>
  </si>
  <si>
    <t>AVWOMAKPA TARERI</t>
  </si>
  <si>
    <t>LAW</t>
  </si>
  <si>
    <t>4020930324</t>
  </si>
  <si>
    <t>HARAGBON CHUKWUYEM</t>
  </si>
  <si>
    <t>3034398022</t>
  </si>
  <si>
    <t xml:space="preserve">ESSIEN E. EFFIONG </t>
  </si>
  <si>
    <t>0016918126</t>
  </si>
  <si>
    <t>EMENI JONATHAN EFE</t>
  </si>
  <si>
    <t>0016932685</t>
  </si>
  <si>
    <t>OPARA JUDE</t>
  </si>
  <si>
    <t>MATHEMATICS /COMPUTER</t>
  </si>
  <si>
    <t>3015999927</t>
  </si>
  <si>
    <t>NWANKWO IFEANYICHUKWU WILSON</t>
  </si>
  <si>
    <t>KEYSTONE</t>
  </si>
  <si>
    <t>6004161581</t>
  </si>
  <si>
    <t>NAMENE BARIABEE PYANEEDAM</t>
  </si>
  <si>
    <t>1511304015</t>
  </si>
  <si>
    <t>BEEGA GODAE FIDELIS</t>
  </si>
  <si>
    <t>MEDICAL LABORATORY SCIENCES</t>
  </si>
  <si>
    <t>CONUAS 2/3</t>
  </si>
  <si>
    <t>2104902491</t>
  </si>
  <si>
    <t xml:space="preserve">SAIBAKUMO WILLIAMS </t>
  </si>
  <si>
    <t>LIBRARY AND INFORMATION SCIENCE</t>
  </si>
  <si>
    <t>3088842339</t>
  </si>
  <si>
    <t>OKOLOBA ETATAZIBA</t>
  </si>
  <si>
    <t>PUBLIC HEALTH</t>
  </si>
  <si>
    <t>0068730117</t>
  </si>
  <si>
    <t>MERCY SEBHEMAZIBA AMAKURO</t>
  </si>
  <si>
    <t>0523062317</t>
  </si>
  <si>
    <t>YORUBA ABADEKEME JOHN</t>
  </si>
  <si>
    <t>1007798701</t>
  </si>
  <si>
    <t>OFONGO EBINDO MATHIAS</t>
  </si>
  <si>
    <t>0265979326</t>
  </si>
  <si>
    <t>JOHN PEPPLE WELEMANYE</t>
  </si>
  <si>
    <t>MATHEW BOLOEKEYE</t>
  </si>
  <si>
    <t>6593915012</t>
  </si>
  <si>
    <t>ABASI TORTIVIE SORBO</t>
  </si>
  <si>
    <t>2248669887</t>
  </si>
  <si>
    <t xml:space="preserve">AYIBAOKPO WERIWOYENGIPRE </t>
  </si>
  <si>
    <t>0274444335</t>
  </si>
  <si>
    <t>LAWRENCE EWHUS SAPELE</t>
  </si>
  <si>
    <t>OWEIFIEYE EPUMOKUMOR FRANK</t>
  </si>
  <si>
    <t>BUSINESS EDUCATION</t>
  </si>
  <si>
    <t>3034565545</t>
  </si>
  <si>
    <t xml:space="preserve">OPUENE JAMES ENDURANCE </t>
  </si>
  <si>
    <t>2420946771</t>
  </si>
  <si>
    <t>OSEMENE EMIZIBO SAMUEL</t>
  </si>
  <si>
    <t xml:space="preserve">PREMIUM  </t>
  </si>
  <si>
    <t>0100990201</t>
  </si>
  <si>
    <t>BEN-GHOMORAI EPUNUMOKUMO FAVOUR</t>
  </si>
  <si>
    <t>1000349562</t>
  </si>
  <si>
    <t>OBOMUNU WILCOX</t>
  </si>
  <si>
    <t>0765958611</t>
  </si>
  <si>
    <t>EKECHUKWU CHIJIOKE JOSEPH</t>
  </si>
  <si>
    <t>HOSPITALITY AND TOURISM MANAGEMENT</t>
  </si>
  <si>
    <t>2008025034</t>
  </si>
  <si>
    <t>EKECHUKWU IBE MARTIN</t>
  </si>
  <si>
    <t>2141197473</t>
  </si>
  <si>
    <t>BUNU KIMISE-EBI</t>
  </si>
  <si>
    <t>0691219853</t>
  </si>
  <si>
    <t>DEIN BIBOYE BRIGHT</t>
  </si>
  <si>
    <t>0042402676</t>
  </si>
  <si>
    <t>LEKO TOJU VICTOR</t>
  </si>
  <si>
    <t>CROP, SOIL AND PEST MANAGEMENT</t>
  </si>
  <si>
    <t>3031838536</t>
  </si>
  <si>
    <t>KOBOYE BARALATEI</t>
  </si>
  <si>
    <t>3055198326</t>
  </si>
  <si>
    <t>MARTINS ULOMA</t>
  </si>
  <si>
    <t>0459980877</t>
  </si>
  <si>
    <t xml:space="preserve">NENGIMONYO MARIAN YEKOROGHA </t>
  </si>
  <si>
    <t>EMPLOYMENT /LABOUR RELATIONS</t>
  </si>
  <si>
    <t>3209219549</t>
  </si>
  <si>
    <t>FENTE AYEBAKEPREYE GBALIPRE</t>
  </si>
  <si>
    <t>0016337241</t>
  </si>
  <si>
    <t>AREMIEYE ONYINPREYE</t>
  </si>
  <si>
    <t>2111989533</t>
  </si>
  <si>
    <t>OGE TAMARANEBI</t>
  </si>
  <si>
    <t>0107002193</t>
  </si>
  <si>
    <t>BOUSSA SAMUEL</t>
  </si>
  <si>
    <t>0864278017</t>
  </si>
  <si>
    <t>TEIBOWEI EKPOAMUMEMI HENRY</t>
  </si>
  <si>
    <t>3016815161</t>
  </si>
  <si>
    <t>ABIAMA WOYENGITONBRA</t>
  </si>
  <si>
    <t>0043833082</t>
  </si>
  <si>
    <t>AVENDEI MATHIAS</t>
  </si>
  <si>
    <t>0063896968</t>
  </si>
  <si>
    <t>AYAKOROMA MICHAEL</t>
  </si>
  <si>
    <t>0235451100</t>
  </si>
  <si>
    <t>ASAMAOWEI EBITEME</t>
  </si>
  <si>
    <t>3034774534</t>
  </si>
  <si>
    <t>FEREMO EBIKONBOWEI</t>
  </si>
  <si>
    <t>2089324565</t>
  </si>
  <si>
    <t>IKIERI REMEMBER ANDY</t>
  </si>
  <si>
    <t>0272322282</t>
  </si>
  <si>
    <t>MARK SALVATION DIRIKORIGHA</t>
  </si>
  <si>
    <t>2128701861</t>
  </si>
  <si>
    <t>IGODO PULOVIE</t>
  </si>
  <si>
    <t>2471096576</t>
  </si>
  <si>
    <t>TULAGHA CHARITY TONBARA</t>
  </si>
  <si>
    <t>NURSING</t>
  </si>
  <si>
    <t>3078168375</t>
  </si>
  <si>
    <t xml:space="preserve">BEYAMAOWEI EBIMEM </t>
  </si>
  <si>
    <t>PHARMACY</t>
  </si>
  <si>
    <t>2164735444</t>
  </si>
  <si>
    <t>RICHARD TURNER IBEMA</t>
  </si>
  <si>
    <t>2003447411</t>
  </si>
  <si>
    <t>ALABI SOLOMON</t>
  </si>
  <si>
    <t>2086349136</t>
  </si>
  <si>
    <t>ROBERT EBINABO FORTUNE</t>
  </si>
  <si>
    <t>1422602028</t>
  </si>
  <si>
    <t>ALAMENE EDISE-EMI EMMANUEL</t>
  </si>
  <si>
    <t>2113322844</t>
  </si>
  <si>
    <t xml:space="preserve">KENEKAYORO PETER TAMARADOUBRA </t>
  </si>
  <si>
    <t>0088462638</t>
  </si>
  <si>
    <t>ETEBU WOYENGIPERE OLUWASEUN</t>
  </si>
  <si>
    <t>3116091199</t>
  </si>
  <si>
    <t>BRUCE-AGBOGIDI DIEPREYE RHODA</t>
  </si>
  <si>
    <t xml:space="preserve">BIOLOGY </t>
  </si>
  <si>
    <t xml:space="preserve"> LECTURER 1I</t>
  </si>
  <si>
    <t>0763436274</t>
  </si>
  <si>
    <t>DUNYIN DONALD MIEN-EBI</t>
  </si>
  <si>
    <t>BIOLOGY</t>
  </si>
  <si>
    <t>1031302182</t>
  </si>
  <si>
    <t>GEORGE BELEMA TAMUNOKURO</t>
  </si>
  <si>
    <t>CHEMISTRY</t>
  </si>
  <si>
    <t>2077875220</t>
  </si>
  <si>
    <t>EKOLOMA  BILL AKPONANABOFA</t>
  </si>
  <si>
    <t>2071130365</t>
  </si>
  <si>
    <t>STUDY LEAVE WITHOUT PAY EFFECTIVE, FEBRUARY, 2026 AND TO RETURN JANUARY, 2030</t>
  </si>
  <si>
    <t>GBARANWI PRECIOUS BARIMA</t>
  </si>
  <si>
    <t>COMPUTER  SCIENCE</t>
  </si>
  <si>
    <t>3214390303</t>
  </si>
  <si>
    <t>OMOBHUDE OSESOJIE</t>
  </si>
  <si>
    <t>2748770546</t>
  </si>
  <si>
    <t>OSIOKOR ONORIODE ALEXANDER</t>
  </si>
  <si>
    <t>0040202449</t>
  </si>
  <si>
    <t>BEING ONE TIME  REFUND FOR EXCES UTILITY BILL</t>
  </si>
  <si>
    <t xml:space="preserve">NKEMDURIM EBUBE ODOYA </t>
  </si>
  <si>
    <t>BIOTECHNOLOGY</t>
  </si>
  <si>
    <t>FBN</t>
  </si>
  <si>
    <t>3012203250</t>
  </si>
  <si>
    <t>GBANOR SAMUEL TERUNGWA</t>
  </si>
  <si>
    <t>MATHEMATICS</t>
  </si>
  <si>
    <t>4254573350</t>
  </si>
  <si>
    <t>YOBOLO AMIENSEIFA SUNNY</t>
  </si>
  <si>
    <t>2017579265</t>
  </si>
  <si>
    <t>WERIDONGHAN IGOKI</t>
  </si>
  <si>
    <t>AGHWORO EUGENE EDJOMAFUOVBE</t>
  </si>
  <si>
    <t>2193281925</t>
  </si>
  <si>
    <t xml:space="preserve">EZON-EBI EBIPADE </t>
  </si>
  <si>
    <t>1818791017</t>
  </si>
  <si>
    <t xml:space="preserve">ASAIGBE PHILIPS IBUOMOTIMI </t>
  </si>
  <si>
    <t>0022872019</t>
  </si>
  <si>
    <t>CHARLES TIMINIBIFE NOAH</t>
  </si>
  <si>
    <t>0749606199</t>
  </si>
  <si>
    <t>AJOKO IMOMOTIMI TIMIPA</t>
  </si>
  <si>
    <t>1008646769</t>
  </si>
  <si>
    <t>KAINGA BRAYI JOP</t>
  </si>
  <si>
    <t>2030774429</t>
  </si>
  <si>
    <t>WALKER THOMPSON OKPOBODISOWEI</t>
  </si>
  <si>
    <t>0239251267</t>
  </si>
  <si>
    <t>AMAZAMA GODWIN INEYE</t>
  </si>
  <si>
    <t>3164569327</t>
  </si>
  <si>
    <t>AJIKERE HENRY</t>
  </si>
  <si>
    <t>1768551965</t>
  </si>
  <si>
    <t>AJEMITOLU BLESSING KUROWEI</t>
  </si>
  <si>
    <t>3135540319</t>
  </si>
  <si>
    <t>ADUGBA TAMADU</t>
  </si>
  <si>
    <t>0047602590</t>
  </si>
  <si>
    <t>OTOGIE EBIBAIMERE</t>
  </si>
  <si>
    <t>6312171765</t>
  </si>
  <si>
    <t>OYEWUMI BUKOLA LOLADE</t>
  </si>
  <si>
    <t>0027984232</t>
  </si>
  <si>
    <t>OKERE AKPEVWE EFE</t>
  </si>
  <si>
    <t>FISHERIES AND AQUACULTURE</t>
  </si>
  <si>
    <t>2044881416</t>
  </si>
  <si>
    <t>FOSSONG GUILIAMO</t>
  </si>
  <si>
    <t>ENVIRONMENTAL SCIENCE</t>
  </si>
  <si>
    <t>2322882524</t>
  </si>
  <si>
    <t xml:space="preserve">OHWO OGHENETEGA  </t>
  </si>
  <si>
    <t>0167729436</t>
  </si>
  <si>
    <t>ARHOGHRON IKUESIRI GOODNEWS</t>
  </si>
  <si>
    <t>0471014877</t>
  </si>
  <si>
    <t>APELI AZIBANATOR</t>
  </si>
  <si>
    <t>2049930663</t>
  </si>
  <si>
    <t>BROWN MICHEAL EBIOWEI</t>
  </si>
  <si>
    <t>0016337997</t>
  </si>
  <si>
    <t>AMAECHI CHUKWUWENDU JEFFREY</t>
  </si>
  <si>
    <t>3118526716</t>
  </si>
  <si>
    <t>OKURO GODDEY</t>
  </si>
  <si>
    <t>3845650013</t>
  </si>
  <si>
    <t>EZEDIUNO LOUIS ODINAKAOSE</t>
  </si>
  <si>
    <t>2370418018</t>
  </si>
  <si>
    <t>AKEGHWARE ONORIODE</t>
  </si>
  <si>
    <t>3401169560</t>
  </si>
  <si>
    <t xml:space="preserve">EDABA MICHAEL EDIABAI </t>
  </si>
  <si>
    <t>1404516867</t>
  </si>
  <si>
    <t>EZEONWUMELU EBUBECHUKWU CHUKWUKAELO</t>
  </si>
  <si>
    <t>2050458239</t>
  </si>
  <si>
    <t>KPIKPI PEREMOBOWEI BELDIN</t>
  </si>
  <si>
    <t>2024848499</t>
  </si>
  <si>
    <t>EMEH BLESSING NKIRU</t>
  </si>
  <si>
    <t>0042366460</t>
  </si>
  <si>
    <t>EFEBO BATRAM</t>
  </si>
  <si>
    <t>2030314614</t>
  </si>
  <si>
    <t>JAMES YIBATORO-IYELA BOBBY</t>
  </si>
  <si>
    <t>1007114912</t>
  </si>
  <si>
    <t>OZEGBE THANKGOD MONDAY</t>
  </si>
  <si>
    <t>0039166930</t>
  </si>
  <si>
    <t>WARLIKE JOEL UCHE</t>
  </si>
  <si>
    <t>2008331692</t>
  </si>
  <si>
    <t>SOMIARI EBIERE WOULF</t>
  </si>
  <si>
    <t>2117992719</t>
  </si>
  <si>
    <t>SEPEREGHA GODSGIFT OUSEIBAI</t>
  </si>
  <si>
    <t>0042352654</t>
  </si>
  <si>
    <t>BARANGO-TARIAH SOYE ALAYE</t>
  </si>
  <si>
    <t>0038300557</t>
  </si>
  <si>
    <t>DAVID AKEUTOL</t>
  </si>
  <si>
    <t>0071118399</t>
  </si>
  <si>
    <t>ISREAL EMIEZE AGARRY</t>
  </si>
  <si>
    <t>2611264272</t>
  </si>
  <si>
    <t xml:space="preserve">PRINCE CHRISTOPHER ACHOR </t>
  </si>
  <si>
    <t>2190465999</t>
  </si>
  <si>
    <t xml:space="preserve">ADAGI BARIBOR FESTUS </t>
  </si>
  <si>
    <t>0162315908</t>
  </si>
  <si>
    <t>DAW AYEBATONYE</t>
  </si>
  <si>
    <t>3036595007</t>
  </si>
  <si>
    <t>OGORODE ISRAEL</t>
  </si>
  <si>
    <t>2042442921</t>
  </si>
  <si>
    <t>OFONMBUK TITUS IBANGA</t>
  </si>
  <si>
    <t>0696360303</t>
  </si>
  <si>
    <t>ITU MADU</t>
  </si>
  <si>
    <t>2029331761</t>
  </si>
  <si>
    <t>OGONA INIYOMU KELVIN</t>
  </si>
  <si>
    <t>0036398015</t>
  </si>
  <si>
    <t>EGULE TARIMOWENI JUSTLINE</t>
  </si>
  <si>
    <t>2045711246</t>
  </si>
  <si>
    <t>MAXWELL-AKANI LILIAN NWOBIANDU</t>
  </si>
  <si>
    <t>0125344510</t>
  </si>
  <si>
    <t>AYOGOI YAIBIMI SIMON</t>
  </si>
  <si>
    <t>2207869010</t>
  </si>
  <si>
    <t>BINAEBI EBITARI</t>
  </si>
  <si>
    <t>0141054435</t>
  </si>
  <si>
    <t>BARANGO-TARIAH MARY UCHE</t>
  </si>
  <si>
    <t>0236608035</t>
  </si>
  <si>
    <t>NEEBANI EMMANUEL NUBARI BARIYONETON</t>
  </si>
  <si>
    <t>0016906534</t>
  </si>
  <si>
    <t xml:space="preserve">IROEGBU INNOCENT </t>
  </si>
  <si>
    <t>2409246906</t>
  </si>
  <si>
    <t>APPAH EBIDI</t>
  </si>
  <si>
    <t>0011965572</t>
  </si>
  <si>
    <t>EKINEH RUTH TAMUNOMIETE</t>
  </si>
  <si>
    <t>0040049686</t>
  </si>
  <si>
    <t>LELEGI PETER AMAMIEMIEYE</t>
  </si>
  <si>
    <t>2047357231</t>
  </si>
  <si>
    <t>WARRI TARE-EBI</t>
  </si>
  <si>
    <t>1245704803</t>
  </si>
  <si>
    <t>KIKIARIYE CLEMENT</t>
  </si>
  <si>
    <t>0811034289</t>
  </si>
  <si>
    <t>BERNARD EMMANUEL ARTHUR</t>
  </si>
  <si>
    <t>2103405586</t>
  </si>
  <si>
    <t>ABINAYAM RAPHAEL</t>
  </si>
  <si>
    <t>0071491469</t>
  </si>
  <si>
    <t>OKORIKO GENTIZON PUMOKUMO</t>
  </si>
  <si>
    <t>2076046483</t>
  </si>
  <si>
    <t>OYINBRAKEMI OMONIYE</t>
  </si>
  <si>
    <t>3080149283</t>
  </si>
  <si>
    <t xml:space="preserve">OZEKIZIBE CAPTAIN </t>
  </si>
  <si>
    <t>0171816340</t>
  </si>
  <si>
    <t>NIMIGHAYE ODONTIMI</t>
  </si>
  <si>
    <t>0062709229</t>
  </si>
  <si>
    <t xml:space="preserve">NICHOLAS JOHN </t>
  </si>
  <si>
    <t>CONUAS 1/2</t>
  </si>
  <si>
    <t>1830849193</t>
  </si>
  <si>
    <t>TENGI E. CHEFSON</t>
  </si>
  <si>
    <t>0066696750</t>
  </si>
  <si>
    <t>STELLA T. BEKELUBO</t>
  </si>
  <si>
    <t>0724105843</t>
  </si>
  <si>
    <t>EUNICE M KOKO</t>
  </si>
  <si>
    <t>MATHS/COMPUTER</t>
  </si>
  <si>
    <t>0403137309</t>
  </si>
  <si>
    <t xml:space="preserve">TAMARATARE ENABOYE </t>
  </si>
  <si>
    <t>2172885342</t>
  </si>
  <si>
    <t>LAWYER OMOKO</t>
  </si>
  <si>
    <t>0106256722</t>
  </si>
  <si>
    <t>DANIEL E. PIYO</t>
  </si>
  <si>
    <t>5630353282</t>
  </si>
  <si>
    <t>JEREMIAH EKUBO</t>
  </si>
  <si>
    <t>0065963884</t>
  </si>
  <si>
    <t>BULOH F. SEIYEFA</t>
  </si>
  <si>
    <t>0076583055</t>
  </si>
  <si>
    <t>CHARLES I DIKE</t>
  </si>
  <si>
    <t>2338705109</t>
  </si>
  <si>
    <t>PIUS  L. AWIPI</t>
  </si>
  <si>
    <t>5504003011</t>
  </si>
  <si>
    <t xml:space="preserve">EDISEMI C. MOSES </t>
  </si>
  <si>
    <t>0253152929</t>
  </si>
  <si>
    <t>ARUKULO ONISOSOMUYYA</t>
  </si>
  <si>
    <t>1771512581</t>
  </si>
  <si>
    <t>EBITIMI SARAH EGBEGHA</t>
  </si>
  <si>
    <t>JUDITH CHINEMEREM NWOSU</t>
  </si>
  <si>
    <t xml:space="preserve">MOYOSORE JOSEPH ADEGBEYE </t>
  </si>
  <si>
    <t>0026303704</t>
  </si>
  <si>
    <t xml:space="preserve">PRINCESS CHINEYERE BODOKWE </t>
  </si>
  <si>
    <t>ARTS &amp; EDUCATION</t>
  </si>
  <si>
    <t>CONUAS 02/02</t>
  </si>
  <si>
    <t>NEWLY EMPLOYED</t>
  </si>
  <si>
    <t xml:space="preserve">AGOGU BOMO MICHAEL </t>
  </si>
  <si>
    <t>BEING ADDITION OF HIS 1MONTH AREARS IN JANUARY</t>
  </si>
  <si>
    <t>EMMANUEL EBIJE</t>
  </si>
  <si>
    <t>NEW GRADUATE ASSISTANT ADDED</t>
  </si>
  <si>
    <t>UMBA G. IZONBODEI</t>
  </si>
  <si>
    <t>EMMANUEL PREBI</t>
  </si>
  <si>
    <t>0341003288</t>
  </si>
  <si>
    <t>PRUDENT D. WILFRED</t>
  </si>
  <si>
    <t>0079017397</t>
  </si>
  <si>
    <t>ONYIKEPREYE G. ONITSHA</t>
  </si>
  <si>
    <t>0073725368</t>
  </si>
  <si>
    <t>DOMOTIMI G. EDIDI</t>
  </si>
  <si>
    <t>PATIENCE B. BRAMBAIFA</t>
  </si>
  <si>
    <t>ATAMOBEBHU ISAIAH</t>
  </si>
  <si>
    <t>0072938080</t>
  </si>
  <si>
    <t>MAINTAINCE LEVY</t>
  </si>
  <si>
    <t>BANK SCHEDULE FOR THE MONTH OF FEBRUARY, 2026</t>
  </si>
  <si>
    <t>BANK</t>
  </si>
  <si>
    <t>ACCOUNT NUMBER</t>
  </si>
  <si>
    <t>AMOUNT</t>
  </si>
  <si>
    <t>FIRST BANK</t>
  </si>
  <si>
    <t>ADELEYE OLAIDE DAVID</t>
  </si>
  <si>
    <t>2280467011</t>
  </si>
  <si>
    <t>DOMMOTIMI G. EDIDI</t>
  </si>
  <si>
    <t>TOTAL</t>
  </si>
  <si>
    <t>NON-TEACHING STAFF</t>
  </si>
  <si>
    <t xml:space="preserve">IYIDE AFOKOGENE </t>
  </si>
  <si>
    <t>DANIEL IKOROMO ZIKIRI</t>
  </si>
  <si>
    <t xml:space="preserve">FIDELITY </t>
  </si>
  <si>
    <t>TAIGER A BIBOWEI</t>
  </si>
  <si>
    <t xml:space="preserve">GTB </t>
  </si>
  <si>
    <t>0042413711</t>
  </si>
  <si>
    <t>AMAEGBE  F. IDUATE O</t>
  </si>
  <si>
    <t>CHRISTIAN ARUOTU PORIPO</t>
  </si>
  <si>
    <t>0076214212</t>
  </si>
  <si>
    <t>KENIGUA SUOTON PRECIOUS</t>
  </si>
  <si>
    <t>2047902019</t>
  </si>
  <si>
    <t xml:space="preserve">AGBALAIKO EBIOKENEMO </t>
  </si>
  <si>
    <t>ORIANGO O IDIGIENENI</t>
  </si>
  <si>
    <t>NIMIFAA ISOBOYE WALTER</t>
  </si>
  <si>
    <t xml:space="preserve">DESMOND FRESH </t>
  </si>
  <si>
    <t>0032325040</t>
  </si>
  <si>
    <t>TIMI OKPEKE</t>
  </si>
  <si>
    <t>DANIEL SMART AKUNA</t>
  </si>
  <si>
    <t>2185980269</t>
  </si>
  <si>
    <t>PEREKEBINA WEI-WEI</t>
  </si>
  <si>
    <t>STANBIC</t>
  </si>
  <si>
    <t>0021897004</t>
  </si>
  <si>
    <t>AKPOEBI ADESI</t>
  </si>
  <si>
    <t>PREMIUM</t>
  </si>
  <si>
    <t>0010089462</t>
  </si>
  <si>
    <t xml:space="preserve">UMBE AYEKUROBOTAREGHA </t>
  </si>
  <si>
    <t>2285959529</t>
  </si>
  <si>
    <t>OGORI MICHEAL TOMBOIZIBE</t>
  </si>
  <si>
    <t>2196498670</t>
  </si>
  <si>
    <t>ANTHONY IGHIEHON</t>
  </si>
  <si>
    <t>0086001435</t>
  </si>
  <si>
    <t>ONWUGBUFOR PRINCE UBA</t>
  </si>
  <si>
    <t>CHARLES VITUS</t>
  </si>
  <si>
    <t>0473592421</t>
  </si>
  <si>
    <t xml:space="preserve">SUNDAY PERE GABRIEL </t>
  </si>
  <si>
    <t>0079517653</t>
  </si>
  <si>
    <t xml:space="preserve">MIRIKI SOKPARA BABATUNDE </t>
  </si>
  <si>
    <t>0075673724</t>
  </si>
  <si>
    <t>GARRIE VIVIAN ENIME</t>
  </si>
  <si>
    <t>ALVIN  O FORTETA</t>
  </si>
  <si>
    <t>0027193142</t>
  </si>
  <si>
    <t>AKIRO PAUL</t>
  </si>
  <si>
    <t>2052579347</t>
  </si>
  <si>
    <t>AGBALAKO PATIENCE</t>
  </si>
  <si>
    <t>2103764171</t>
  </si>
  <si>
    <t>INERITEI TARI  WARIPAMO</t>
  </si>
  <si>
    <t>STERING</t>
  </si>
  <si>
    <t>0090021740</t>
  </si>
  <si>
    <t>ISAAC BIOGBO</t>
  </si>
  <si>
    <t>0075274554</t>
  </si>
  <si>
    <t>AMATOLO TONBRA</t>
  </si>
  <si>
    <t>3084731925</t>
  </si>
  <si>
    <t>DOUYE STEVENA ODI-OWEI</t>
  </si>
  <si>
    <t>0079736151</t>
  </si>
  <si>
    <t xml:space="preserve">MOLAR IFEANYI OWADERE </t>
  </si>
  <si>
    <t>2096575651</t>
  </si>
  <si>
    <t>DANIEL EBEDEBIRI ERIC</t>
  </si>
  <si>
    <t>0080388994</t>
  </si>
  <si>
    <t xml:space="preserve">MOSES OPUKEME </t>
  </si>
  <si>
    <t>0042411762</t>
  </si>
  <si>
    <t>OGIDI HANNAH SYDNEY</t>
  </si>
  <si>
    <t>0163940820</t>
  </si>
  <si>
    <t>IDUH FIDELIS ADIKWE</t>
  </si>
  <si>
    <t>2057839989</t>
  </si>
  <si>
    <t xml:space="preserve"> AREPAMORE AYORO</t>
  </si>
  <si>
    <t>OPAY</t>
  </si>
  <si>
    <t>8134636609</t>
  </si>
  <si>
    <t>AKANATE ROSSANAH</t>
  </si>
  <si>
    <t>0537163545</t>
  </si>
  <si>
    <t xml:space="preserve"> BEBERIA FOUBIRI AYORO</t>
  </si>
  <si>
    <t>KOLOSI TEMPLE</t>
  </si>
  <si>
    <t>0094341978</t>
  </si>
  <si>
    <t>OGBOJI CHIDIMMA GOODNESS</t>
  </si>
  <si>
    <t>0072125657</t>
  </si>
  <si>
    <t>OKORIYE PAUL ENDUTIMI</t>
  </si>
  <si>
    <t>MIRIN HENRY ANTHONY</t>
  </si>
  <si>
    <t>PATRICK, OWOU TEIBOWEI</t>
  </si>
  <si>
    <t>OKPONYAN INEYE</t>
  </si>
  <si>
    <t>1006982499</t>
  </si>
  <si>
    <t>ATEINBO JUBILEE RONI</t>
  </si>
  <si>
    <t xml:space="preserve">EBRUDU JOSEPH (AUGUSTINA JOSEPH) </t>
  </si>
  <si>
    <t>2433327097</t>
  </si>
  <si>
    <t>KPUN JONAH</t>
  </si>
  <si>
    <t>2077897046</t>
  </si>
  <si>
    <t>OVERSEA EBIKAPOLADE</t>
  </si>
  <si>
    <t>2058529234</t>
  </si>
  <si>
    <t>IBIOKU-JACKREECE ESTHER</t>
  </si>
  <si>
    <t>0643733029</t>
  </si>
  <si>
    <t xml:space="preserve">OKOHU RANDY </t>
  </si>
  <si>
    <t>2064244147</t>
  </si>
  <si>
    <t>COURT FRANCIS</t>
  </si>
  <si>
    <t>3125884788</t>
  </si>
  <si>
    <t>WILFRED WILSON</t>
  </si>
  <si>
    <t>REUBEN ODEKUANGO</t>
  </si>
  <si>
    <t>0335675840</t>
  </si>
  <si>
    <t>JAMES  DOWELL</t>
  </si>
  <si>
    <t>2016355167</t>
  </si>
  <si>
    <t>OYOBOLO O FRESH</t>
  </si>
  <si>
    <t>3047474722</t>
  </si>
  <si>
    <t xml:space="preserve">GODSWILL DOUTIMI </t>
  </si>
  <si>
    <t>3127242782</t>
  </si>
  <si>
    <t>OKPODU JUDITH</t>
  </si>
  <si>
    <t>3127246216</t>
  </si>
  <si>
    <t>MOSES RITA</t>
  </si>
  <si>
    <t>DANIEL ANGONIMI FRESH</t>
  </si>
  <si>
    <t>ONGOLO TIMIDIWARI</t>
  </si>
  <si>
    <t>0031303270</t>
  </si>
  <si>
    <t>PREYE ODOGU</t>
  </si>
  <si>
    <t>0093908413</t>
  </si>
  <si>
    <t>MIEBAI OKOLOBAIOWEI</t>
  </si>
  <si>
    <t>6023931127</t>
  </si>
  <si>
    <t>OKUBO VINCENT BOSINDOR</t>
  </si>
  <si>
    <t>3287144013</t>
  </si>
  <si>
    <t>DOUBRA  MOSES</t>
  </si>
  <si>
    <t>3225394570</t>
  </si>
  <si>
    <t>CONFIDENCE BODISERE EGBUKE</t>
  </si>
  <si>
    <t>MOROYEI FRANCISCA EBISANIMOBOERE</t>
  </si>
  <si>
    <t>0456337944</t>
  </si>
  <si>
    <t>BEREFAGHA WONYEBIFAGHA ENGINE</t>
  </si>
  <si>
    <t>4800030761</t>
  </si>
  <si>
    <t>EBAFUWA  OYINMIEBI</t>
  </si>
  <si>
    <t>3128454391</t>
  </si>
  <si>
    <t xml:space="preserve">DORO DONALD DOUYIBRALADE </t>
  </si>
  <si>
    <t>1023390688</t>
  </si>
  <si>
    <t>DAVID OZEGBE</t>
  </si>
  <si>
    <t>SUNDAY EBIMOBOWEI</t>
  </si>
  <si>
    <t xml:space="preserve">LARRY DAUARIPAMONE GODBLESS </t>
  </si>
  <si>
    <t>AGOROWEI EBIMOBOERE EVELYN</t>
  </si>
  <si>
    <t>RICHARD TAMARAMIEBI MARY</t>
  </si>
  <si>
    <t>GODSPOWER TAMARAUKURO ADONAI</t>
  </si>
  <si>
    <t xml:space="preserve">KIRIKARIYE BEAUTY ENIEKENIMI </t>
  </si>
  <si>
    <t xml:space="preserve">DICK OKUBOAMA BRITAINIA </t>
  </si>
  <si>
    <t>TAIGER EBINABO AKANATE</t>
  </si>
  <si>
    <t>0039953170</t>
  </si>
  <si>
    <t>DUNU GODBLESS</t>
  </si>
  <si>
    <t>JACKREECEE TAMMY STEPHANIE</t>
  </si>
  <si>
    <t>3075265675</t>
  </si>
  <si>
    <t>OKITAH KUROTIETIMI RAPHAEL</t>
  </si>
  <si>
    <t>3053201990</t>
  </si>
  <si>
    <t>OBOLO SAMUEL UNCLE</t>
  </si>
  <si>
    <t>0042274518</t>
  </si>
  <si>
    <t>SESE EBIDOU MACAULEY</t>
  </si>
  <si>
    <t>0012153650</t>
  </si>
  <si>
    <t xml:space="preserve">ELEKELE RITA AYEBANUA  </t>
  </si>
  <si>
    <t>2044079765</t>
  </si>
  <si>
    <t>REUBEN BARASIONPRE BOGOFANYO</t>
  </si>
  <si>
    <t>AGBEDE  GODWIN BENA</t>
  </si>
  <si>
    <t>0078908067</t>
  </si>
  <si>
    <t xml:space="preserve">EZONFADE FUNLAYEFA TERRY </t>
  </si>
  <si>
    <t>0064208009</t>
  </si>
  <si>
    <t>EDNA STOW EYINMIEBI</t>
  </si>
  <si>
    <t xml:space="preserve">YERI BOBOYI VIVIAN </t>
  </si>
  <si>
    <t>0018455226</t>
  </si>
  <si>
    <t xml:space="preserve">FAKIDOUMA PEREWARI </t>
  </si>
  <si>
    <t>0042345672</t>
  </si>
  <si>
    <t xml:space="preserve">DIETE-KOKO DOREEN OMUNGUTA </t>
  </si>
  <si>
    <t>2072416510</t>
  </si>
  <si>
    <t>EKIYE MARIAN EREFAGHA</t>
  </si>
  <si>
    <t>3034798639</t>
  </si>
  <si>
    <t xml:space="preserve">AKPOS KENNETH </t>
  </si>
  <si>
    <t>6052614524</t>
  </si>
  <si>
    <t>AFORKA FAITH EBIDE-KONYEFA</t>
  </si>
  <si>
    <t>0227075963</t>
  </si>
  <si>
    <t>IGIRIGI TARENO KOKINOBO</t>
  </si>
  <si>
    <t>0198962398</t>
  </si>
  <si>
    <t xml:space="preserve">SEIYEFA BENEDICTA ANGALABIRI </t>
  </si>
  <si>
    <t>3034637187</t>
  </si>
  <si>
    <t xml:space="preserve">ASU EBIMENE AYESU </t>
  </si>
  <si>
    <t xml:space="preserve">UNITY </t>
  </si>
  <si>
    <t>0046294377</t>
  </si>
  <si>
    <t xml:space="preserve">GODSWILL TAMABRAKEMI BLESSING </t>
  </si>
  <si>
    <t>3127251153</t>
  </si>
  <si>
    <t>ARIKEKPAR FLORENCE</t>
  </si>
  <si>
    <t>0080795246</t>
  </si>
  <si>
    <t xml:space="preserve">PORBENI AKPOBOMOWEI EVANS </t>
  </si>
  <si>
    <t>0078141598</t>
  </si>
  <si>
    <t>OZU OBHOSAMOLOGI FREDRICK</t>
  </si>
  <si>
    <t>0066203651</t>
  </si>
  <si>
    <t>OSAT SALOME JONAH</t>
  </si>
  <si>
    <t>0029206273</t>
  </si>
  <si>
    <t>OZOMURU VICTORY</t>
  </si>
  <si>
    <t>0032154541</t>
  </si>
  <si>
    <t xml:space="preserve">OZORI EBI GIFT </t>
  </si>
  <si>
    <t>3075750881</t>
  </si>
  <si>
    <t>ISIAN INEYE</t>
  </si>
  <si>
    <t xml:space="preserve">BEKEYEI DOUYE  HENRY </t>
  </si>
  <si>
    <t>0078349019</t>
  </si>
  <si>
    <t xml:space="preserve">OGIOWO THEOPHILUS </t>
  </si>
  <si>
    <t>2118373508</t>
  </si>
  <si>
    <t xml:space="preserve">DIELAGHA BINAEBI JOSEPH </t>
  </si>
  <si>
    <t>0052889845</t>
  </si>
  <si>
    <t xml:space="preserve">KUROSINDO C ANITA </t>
  </si>
  <si>
    <t>0150676455</t>
  </si>
  <si>
    <t>FANAMA PETER AREDE</t>
  </si>
  <si>
    <t>0078584771</t>
  </si>
  <si>
    <t xml:space="preserve">ROBERT MIEBI SAMUEL </t>
  </si>
  <si>
    <t>6321216596</t>
  </si>
  <si>
    <t xml:space="preserve">WANKASI EBIMOBOWEI MARTIN </t>
  </si>
  <si>
    <t>2037838366</t>
  </si>
  <si>
    <t>ALFRED INEBI KELLY</t>
  </si>
  <si>
    <t>0080752450</t>
  </si>
  <si>
    <t xml:space="preserve">YEIDOUMENE GODSTIME EBILADEI </t>
  </si>
  <si>
    <t>0042247295</t>
  </si>
  <si>
    <t>SUNDAY AYEBAINAGOEMI</t>
  </si>
  <si>
    <t>0106161170</t>
  </si>
  <si>
    <t>MARY EMMANUEL DEREFAKA</t>
  </si>
  <si>
    <t>0078587404</t>
  </si>
  <si>
    <t xml:space="preserve">IGO OYEINTARE KENNEDY </t>
  </si>
  <si>
    <t>2037030249</t>
  </si>
  <si>
    <t xml:space="preserve">EBIYE JOHN ROBERT </t>
  </si>
  <si>
    <t>0065066242</t>
  </si>
  <si>
    <t>ADAKA MORRIS REBECCA</t>
  </si>
  <si>
    <t>3055322826</t>
  </si>
  <si>
    <t xml:space="preserve">TEIKE NICHOLAS OYOYO-TAMARAYE </t>
  </si>
  <si>
    <t>1023452694</t>
  </si>
  <si>
    <t>NDIWARI DEDEKIEN BULODISIYE</t>
  </si>
  <si>
    <t>3005222550</t>
  </si>
  <si>
    <t xml:space="preserve">ZIBIMOH OTORO GABRIEL </t>
  </si>
  <si>
    <t>0226423282</t>
  </si>
  <si>
    <t>GOODNEWS JOB-KOKORIFA</t>
  </si>
  <si>
    <t>5630190537</t>
  </si>
  <si>
    <t>CLINTON EWAH MICHEAL</t>
  </si>
  <si>
    <t>0061390471</t>
  </si>
  <si>
    <t>OLAJIDE T ELIJAH</t>
  </si>
  <si>
    <t>ELVIS EBIAREDEI TIKO</t>
  </si>
  <si>
    <t>076668818</t>
  </si>
  <si>
    <t>SAM BUNA-EBI WOYINTONMENE</t>
  </si>
  <si>
    <t>STERLING BANK</t>
  </si>
  <si>
    <t>0085128180</t>
  </si>
  <si>
    <t>TIE TOMBRA ROYAL</t>
  </si>
  <si>
    <t>SIKOKI MERCY AYEBAEMI</t>
  </si>
  <si>
    <t>0011786879</t>
  </si>
  <si>
    <t>AFENTU EBIEYERIN DOREEN</t>
  </si>
  <si>
    <t>MATHEW AYIBABRAKUMO FELIX</t>
  </si>
  <si>
    <t>0093436367</t>
  </si>
  <si>
    <t>WILLIAM IGBEDI DOUYE</t>
  </si>
  <si>
    <t>3034839369</t>
  </si>
  <si>
    <t xml:space="preserve">OGREGADE ZIEBI ESQUIRE </t>
  </si>
  <si>
    <t>0086362608</t>
  </si>
  <si>
    <t>SIMEON EBIMOBOERE EVELYN</t>
  </si>
  <si>
    <t>0233905025</t>
  </si>
  <si>
    <t xml:space="preserve">GWEGWE ADA NATHAN-DAGALAMEZE </t>
  </si>
  <si>
    <t>6039577894</t>
  </si>
  <si>
    <t xml:space="preserve">BOMOWEI MOSES </t>
  </si>
  <si>
    <t>2088149231</t>
  </si>
  <si>
    <t xml:space="preserve">VICTOR TUKA AWOTONGHA </t>
  </si>
  <si>
    <t>3130986691</t>
  </si>
  <si>
    <t xml:space="preserve">WILSON GODWILL JOE </t>
  </si>
  <si>
    <t>1583600019</t>
  </si>
  <si>
    <t>JAMES STEPHEN</t>
  </si>
  <si>
    <t>2173750485</t>
  </si>
  <si>
    <t xml:space="preserve">TOUNAREGHA AKPOEBI </t>
  </si>
  <si>
    <t>3042674314</t>
  </si>
  <si>
    <t>EDUMUZIDE AKPOS KELVIN</t>
  </si>
  <si>
    <t>0071721043</t>
  </si>
  <si>
    <t>AMAREMOR  KEMEPADEI JAMES</t>
  </si>
  <si>
    <t>0071613755</t>
  </si>
  <si>
    <t>SAMUEL THEOPHILUS OWHOKIGHO</t>
  </si>
  <si>
    <t>ABI COMMISSIONER TAMARATARE</t>
  </si>
  <si>
    <t>ENDURANCE CLEVER</t>
  </si>
  <si>
    <t>9134613429</t>
  </si>
  <si>
    <t>ZIWARI TONBARA</t>
  </si>
  <si>
    <t>2053211086</t>
  </si>
  <si>
    <t>PEREKOSUFA, KURO PROSPER</t>
  </si>
  <si>
    <t>7040487226</t>
  </si>
  <si>
    <t xml:space="preserve">DIEWARE G EDEINKUMO </t>
  </si>
  <si>
    <t>0082533255</t>
  </si>
  <si>
    <t xml:space="preserve">MIEYEKIPERE LELEZI </t>
  </si>
  <si>
    <t>2084055080</t>
  </si>
  <si>
    <t xml:space="preserve">YOUGHA OWOUPELE-ERE </t>
  </si>
  <si>
    <t>0161172092</t>
  </si>
  <si>
    <t xml:space="preserve">GBALEBO KEMEASUODE </t>
  </si>
  <si>
    <t>0073973248</t>
  </si>
  <si>
    <t xml:space="preserve">EBIALERE PENAOGBO </t>
  </si>
  <si>
    <t>0082082014</t>
  </si>
  <si>
    <t xml:space="preserve">ORUAGONO PERE-ERE CELESTINA </t>
  </si>
  <si>
    <t>2265061952</t>
  </si>
  <si>
    <t xml:space="preserve">KOFI GENESIS </t>
  </si>
  <si>
    <t>0073273182</t>
  </si>
  <si>
    <t xml:space="preserve">REUBEN AREDEBI ERIC </t>
  </si>
  <si>
    <t xml:space="preserve">UBA </t>
  </si>
  <si>
    <t>2120617218</t>
  </si>
  <si>
    <t>FIYEBOJ JEFFREY</t>
  </si>
  <si>
    <t>0060101348</t>
  </si>
  <si>
    <t xml:space="preserve">LISTEN EBI </t>
  </si>
  <si>
    <t>2085690684</t>
  </si>
  <si>
    <t>AWAKE GEORGE INDEPENDENCE</t>
  </si>
  <si>
    <t>0081099257</t>
  </si>
  <si>
    <t xml:space="preserve">NYLON AREBODISE </t>
  </si>
  <si>
    <t xml:space="preserve">0071756276 </t>
  </si>
  <si>
    <t xml:space="preserve"> SAMSON EBIPAKEBINA </t>
  </si>
  <si>
    <t>0071701104</t>
  </si>
  <si>
    <t xml:space="preserve">DICKSON SILK </t>
  </si>
  <si>
    <t>0071948585</t>
  </si>
  <si>
    <t>OGECHI GODSPET ACHINIKE</t>
  </si>
  <si>
    <t xml:space="preserve">ODOGU TIMIPRE </t>
  </si>
  <si>
    <t>0076466114</t>
  </si>
  <si>
    <t>BENJAMIN WALTER OPUEZE</t>
  </si>
  <si>
    <t>2241156854</t>
  </si>
  <si>
    <t>MOLAR BINAEBI BEN</t>
  </si>
  <si>
    <t>0072139432</t>
  </si>
  <si>
    <t>TAIWO OKUBO (NANABO AKPOTUNIMIKEME)</t>
  </si>
  <si>
    <t>2264830913</t>
  </si>
  <si>
    <t xml:space="preserve">YABAERE ODONI </t>
  </si>
  <si>
    <t>0072421852</t>
  </si>
  <si>
    <t>KOLOSI LUCK -ERE</t>
  </si>
  <si>
    <t>0075175280</t>
  </si>
  <si>
    <t>ANDERSON AYIBA</t>
  </si>
  <si>
    <t>3149729319</t>
  </si>
  <si>
    <t>MIRIKI LELEGAM ENEGESI</t>
  </si>
  <si>
    <t>0077459500</t>
  </si>
  <si>
    <t>BOB KEEPER</t>
  </si>
  <si>
    <t>ODOGU PEREBIRI-OWEI JAMES</t>
  </si>
  <si>
    <t>BOMOWEI MANAGER</t>
  </si>
  <si>
    <t>ENGLAND IZON-ABOERE MARY</t>
  </si>
  <si>
    <t>0076288075</t>
  </si>
  <si>
    <t>TIMINEPRE KELVN AKPOBRAEBIOTU</t>
  </si>
  <si>
    <t>0072905136</t>
  </si>
  <si>
    <t>AMATOLO TOKONI</t>
  </si>
  <si>
    <t>ODOGU TAMARADENYEFA</t>
  </si>
  <si>
    <t>0073955468</t>
  </si>
  <si>
    <t>PEREWARI WOYIAMA OYINEMI</t>
  </si>
  <si>
    <t>0075424751</t>
  </si>
  <si>
    <t>BOWENE PRINCESS</t>
  </si>
  <si>
    <t xml:space="preserve">JAMES SARAH </t>
  </si>
  <si>
    <t xml:space="preserve">FORCADOS EZONABOERE </t>
  </si>
  <si>
    <t>2117027718</t>
  </si>
  <si>
    <t xml:space="preserve">MIRIN BRASINGBEGHA </t>
  </si>
  <si>
    <t>0071695102</t>
  </si>
  <si>
    <t>WARIEBI BOLOUFINI-ERE</t>
  </si>
  <si>
    <t>0072905521</t>
  </si>
  <si>
    <t>OKUBONANABO KENT AUOTEN</t>
  </si>
  <si>
    <t>0071271328</t>
  </si>
  <si>
    <t>IKIME ANGELA</t>
  </si>
  <si>
    <t>0071695157</t>
  </si>
  <si>
    <t xml:space="preserve">CHURCHILL AKPOABOERE </t>
  </si>
  <si>
    <t>MARTINS TOKERE</t>
  </si>
  <si>
    <t>0122718576</t>
  </si>
  <si>
    <t>EBIKESEIYE PERE-ERE</t>
  </si>
  <si>
    <t>FEDERAL LOVINA</t>
  </si>
  <si>
    <t>0073464047</t>
  </si>
  <si>
    <t xml:space="preserve">HANNAH EBIYERINBO </t>
  </si>
  <si>
    <t>0071598818</t>
  </si>
  <si>
    <t>GERMAN DAUK-ERE</t>
  </si>
  <si>
    <t>2116718341</t>
  </si>
  <si>
    <t>ENDOROWEI MARIAN AYIBAKEPREYE</t>
  </si>
  <si>
    <t>0071350894</t>
  </si>
  <si>
    <t>FRIDAY MERIT EBIPADE</t>
  </si>
  <si>
    <t>KEMEASUODE BINABIMIEKUMOR</t>
  </si>
  <si>
    <t>0087631534</t>
  </si>
  <si>
    <t>OGEZI TARE-ERE</t>
  </si>
  <si>
    <t>0789073172</t>
  </si>
  <si>
    <t xml:space="preserve">TIMIBOFABOPEREGHA PEANOCK </t>
  </si>
  <si>
    <t>0075988440</t>
  </si>
  <si>
    <t>TIE CHURCHERE EBIMOBOWEI</t>
  </si>
  <si>
    <t>0071258330</t>
  </si>
  <si>
    <t xml:space="preserve">KEHINDE RAPHEAEL </t>
  </si>
  <si>
    <t>0071258031</t>
  </si>
  <si>
    <t>OKA WARENANAERE (KOLOBIRI THOMAS)</t>
  </si>
  <si>
    <t>0071589777</t>
  </si>
  <si>
    <t xml:space="preserve">EBIFIDE SAMUEL </t>
  </si>
  <si>
    <t>1007301305</t>
  </si>
  <si>
    <t xml:space="preserve">OKA EBIOTU </t>
  </si>
  <si>
    <t>HONOUR FININE STANLEY</t>
  </si>
  <si>
    <t xml:space="preserve">AKPOKABOWEI OMORU </t>
  </si>
  <si>
    <t>0071692833</t>
  </si>
  <si>
    <t xml:space="preserve">THOMAS ELADEBI BLESSING </t>
  </si>
  <si>
    <t>0071629321</t>
  </si>
  <si>
    <t xml:space="preserve">RESIDENT BENSON SANDRA </t>
  </si>
  <si>
    <t>0071257838</t>
  </si>
  <si>
    <t xml:space="preserve">COURT EKIOSIAKUMO </t>
  </si>
  <si>
    <t>2116988573</t>
  </si>
  <si>
    <t xml:space="preserve">TAMARANBRAKEMI MERCY FIYEBO </t>
  </si>
  <si>
    <t>0080302697</t>
  </si>
  <si>
    <t>OGEZI AGATHA</t>
  </si>
  <si>
    <t>3043538222</t>
  </si>
  <si>
    <t>GABRIEL OKHRE</t>
  </si>
  <si>
    <t>SUSANNAH TAMARABRAKEMI DANIEL</t>
  </si>
  <si>
    <t>0083507266</t>
  </si>
  <si>
    <t>JOHNNIE B BUMIEGHA</t>
  </si>
  <si>
    <t>2038742420</t>
  </si>
  <si>
    <t xml:space="preserve">BENJAMIN ELIZABETH </t>
  </si>
  <si>
    <t>2054280401</t>
  </si>
  <si>
    <t>ORUFA WOYENGIKURO ROYAL</t>
  </si>
  <si>
    <t xml:space="preserve">OBEDIAH ONISOKIEN GIFT EKWEMS </t>
  </si>
  <si>
    <t>2077035967</t>
  </si>
  <si>
    <t>NORO TARILA BRADOUYAI</t>
  </si>
  <si>
    <t>AKPOYIBO GEORGE</t>
  </si>
  <si>
    <t>TOUNAREGHA ESTHER</t>
  </si>
  <si>
    <t>0503733419</t>
  </si>
  <si>
    <t>FESTUS ALABO AUGUSTINE</t>
  </si>
  <si>
    <t>0016315573</t>
  </si>
  <si>
    <t>QUEEN ARIKEKPAR</t>
  </si>
  <si>
    <t>FREEBORN AKPOBODISEOWEI OKPOKU</t>
  </si>
  <si>
    <t>0136551949</t>
  </si>
  <si>
    <t>FESTUS T. BURARIKUMO</t>
  </si>
  <si>
    <t>2086088297</t>
  </si>
  <si>
    <t>AMATARI AKRAKA</t>
  </si>
  <si>
    <t>0076729020</t>
  </si>
  <si>
    <t>SELE-KONYEFA ROSEMARY TAMUNONEMI</t>
  </si>
  <si>
    <t>ZUOWERI GOODLUCK AKENE</t>
  </si>
  <si>
    <t>0081664833</t>
  </si>
  <si>
    <t>YABEFA AYIBADITIMI TONBIE</t>
  </si>
  <si>
    <t>1848266017</t>
  </si>
  <si>
    <t xml:space="preserve"> YABEFA DAULAYEFA PERI ERIC</t>
  </si>
  <si>
    <t>0090849160</t>
  </si>
  <si>
    <t>BIDI EMMANUEL  EREPADE</t>
  </si>
  <si>
    <t>YERINBIDE OYINPRE</t>
  </si>
  <si>
    <t>0730062314</t>
  </si>
  <si>
    <t>AUGUST ZIDIEGHA ABRAHAM</t>
  </si>
  <si>
    <t>2054311251</t>
  </si>
  <si>
    <t>ISELE IFEOMA ANASTASIA</t>
  </si>
  <si>
    <t>2033095516</t>
  </si>
  <si>
    <t>IMBAZI IBUOMO ESTHER</t>
  </si>
  <si>
    <t>0042441385</t>
  </si>
  <si>
    <t>AGBOZU EBINGIYE NELVIN</t>
  </si>
  <si>
    <t>0633367070</t>
  </si>
  <si>
    <t>BIEFA KENNETH ZIKALA</t>
  </si>
  <si>
    <t>0009520837</t>
  </si>
  <si>
    <t>BENJAMIN ISIDONINONI JULIUS</t>
  </si>
  <si>
    <t>0217445888</t>
  </si>
  <si>
    <t>LOUIS ANADAMOWEI BRAVE</t>
  </si>
  <si>
    <t>2031441061</t>
  </si>
  <si>
    <t>OKPEH HARRISON JACOB</t>
  </si>
  <si>
    <t>1130444215</t>
  </si>
  <si>
    <t>RESIDENT BOLOUAREKEMEFA</t>
  </si>
  <si>
    <t>0100570000</t>
  </si>
  <si>
    <t>EBI NDUTIMI</t>
  </si>
  <si>
    <t>0092863661</t>
  </si>
  <si>
    <t>OGLAFA REBECCA OYINPREYE</t>
  </si>
  <si>
    <t>0111084631</t>
  </si>
  <si>
    <t>MINEMU JOSEPH ABEL</t>
  </si>
  <si>
    <t>0008777736</t>
  </si>
  <si>
    <t xml:space="preserve"> OPUENE  SERGENT </t>
  </si>
  <si>
    <t>0136202526</t>
  </si>
  <si>
    <t>OWOHYOGOR EBIMOBOWEI</t>
  </si>
  <si>
    <t>0021934848</t>
  </si>
  <si>
    <t>WILFRED JOHN</t>
  </si>
  <si>
    <t>3041029792</t>
  </si>
  <si>
    <t>GOVERNOR PEREMOBOWEI CLINTON</t>
  </si>
  <si>
    <t>4206133593</t>
  </si>
  <si>
    <t>SOLOMON AMOS</t>
  </si>
  <si>
    <t>0078414102</t>
  </si>
  <si>
    <t>ONAH KONYEN DAVID</t>
  </si>
  <si>
    <t>0700413513</t>
  </si>
  <si>
    <t xml:space="preserve">BOB TIMIARIEMENE </t>
  </si>
  <si>
    <t>0073415441</t>
  </si>
  <si>
    <t>LYON PETER</t>
  </si>
  <si>
    <t>2058873274</t>
  </si>
  <si>
    <t xml:space="preserve">ODOGU EBIAKPO </t>
  </si>
  <si>
    <t>0081272126</t>
  </si>
  <si>
    <t>BOB TARE</t>
  </si>
  <si>
    <t>0079224007</t>
  </si>
  <si>
    <t>PAUL EBIKINA IFIDI</t>
  </si>
  <si>
    <t>01224620282</t>
  </si>
  <si>
    <t>ASANZE ZIPERE PETER</t>
  </si>
  <si>
    <t>0175166847</t>
  </si>
  <si>
    <t xml:space="preserve">JACOB ASUEVIE DICK </t>
  </si>
  <si>
    <t>1763601527</t>
  </si>
  <si>
    <t>YABREFA BRANLEY ERIC</t>
  </si>
  <si>
    <t>OBAJI PRINCE CHIMA</t>
  </si>
  <si>
    <t>0081985307</t>
  </si>
  <si>
    <t>LUCKY JONAH</t>
  </si>
  <si>
    <t>EGBURE JOHN YINEMBELE</t>
  </si>
  <si>
    <t>2209386413</t>
  </si>
  <si>
    <t xml:space="preserve">VICTOR ONUWELEZI </t>
  </si>
  <si>
    <t>0046885081</t>
  </si>
  <si>
    <t>TONYE YEMOLEIGHA</t>
  </si>
  <si>
    <t>6236200383</t>
  </si>
  <si>
    <t>OPOROMOWEI EBIMOKEMENIMIGHA GERALD</t>
  </si>
  <si>
    <t>JAMES JOSHUA</t>
  </si>
  <si>
    <t>BOROH FRANCIS AKPOBULOKEMI</t>
  </si>
  <si>
    <t>0042415849</t>
  </si>
  <si>
    <t>SARAH BOULOUEBI AYAKOROMA</t>
  </si>
  <si>
    <t>SONUMUGHA WOYENGIMIEBI PHEBE</t>
  </si>
  <si>
    <t>BARIDEI NAOMI TONBRA</t>
  </si>
  <si>
    <t>0074084598</t>
  </si>
  <si>
    <t>ASAIGBE CYNTHIA TARIERE</t>
  </si>
  <si>
    <t>0209040802</t>
  </si>
  <si>
    <t>BARIWENI VICTOR DEINFA</t>
  </si>
  <si>
    <t>0610547462</t>
  </si>
  <si>
    <t>YOUBOGHA MOSES JUNIOR</t>
  </si>
  <si>
    <t>3034599465</t>
  </si>
  <si>
    <t>AYEBAEMI TARIBARALATE JAMES</t>
  </si>
  <si>
    <t>2030564389</t>
  </si>
  <si>
    <t xml:space="preserve">DORO TIMI </t>
  </si>
  <si>
    <t>EBINIPRE WONYENGIPRE</t>
  </si>
  <si>
    <t>0113445058</t>
  </si>
  <si>
    <t xml:space="preserve">LEKO JACKSON </t>
  </si>
  <si>
    <t>EYIKELEBO EBIMIESEIGHA LUCKY</t>
  </si>
  <si>
    <t>0096448055</t>
  </si>
  <si>
    <t>OKITAH PETER</t>
  </si>
  <si>
    <t>0050902816</t>
  </si>
  <si>
    <t>DIRIKEBAMO T. RACHEAL</t>
  </si>
  <si>
    <t>REX-OGBUKU NEBAL EMMANUEL</t>
  </si>
  <si>
    <t>0042429710</t>
  </si>
  <si>
    <t>EGWE AKUBOEREMI ANNABEL</t>
  </si>
  <si>
    <t>DOGIYE IBEINMO CHARITY</t>
  </si>
  <si>
    <t>0251418368</t>
  </si>
  <si>
    <t>OGURU GRACE ALLISON</t>
  </si>
  <si>
    <t>OPUDA EDNA EBIENU</t>
  </si>
  <si>
    <t>0022678921</t>
  </si>
  <si>
    <t>KINGDOM EBIAKPO</t>
  </si>
  <si>
    <t>0102381668</t>
  </si>
  <si>
    <t xml:space="preserve">ADOGIBARA BECKY OBUALA DOUMOKUMA </t>
  </si>
  <si>
    <t>0178860108</t>
  </si>
  <si>
    <t>TAMARA-EBI MEINZIDE</t>
  </si>
  <si>
    <t>0170062322</t>
  </si>
  <si>
    <t>OGEZI EBIAGBE</t>
  </si>
  <si>
    <t>0043410894</t>
  </si>
  <si>
    <t>MARSHALL UNDUEMI JOSIAH</t>
  </si>
  <si>
    <t>0454142355</t>
  </si>
  <si>
    <t xml:space="preserve">TEKIKUMO DAVID </t>
  </si>
  <si>
    <t>ATUBELE EBIZIMOR OMBEH</t>
  </si>
  <si>
    <t xml:space="preserve">EDIRUO JOSEPH OVOBOGUONO </t>
  </si>
  <si>
    <t>ANGIAMAOWEI THOMPSON</t>
  </si>
  <si>
    <t>WORUFAH BLESSING EBINI-IPIRI</t>
  </si>
  <si>
    <t>AMBAYAI WILLIAMS  KENNETH</t>
  </si>
  <si>
    <t>MOROYEI OYANIMIGHA AUSTIN</t>
  </si>
  <si>
    <t>EKPE VICTORIA NSE</t>
  </si>
  <si>
    <t>EBROTUKPOEMI PEREZUGHA FESTUS</t>
  </si>
  <si>
    <t>PAULSON EYENIMIERE RITA</t>
  </si>
  <si>
    <t>BONNY DOUWEI INNOCENT</t>
  </si>
  <si>
    <t>GODWIN EBIMOBO-ERE EVELYN</t>
  </si>
  <si>
    <t>0085072472</t>
  </si>
  <si>
    <t>PRINCE EBIMIERE ELIZABETH</t>
  </si>
  <si>
    <t>ENDONI VICTORIA AYIBAKEDIKEME</t>
  </si>
  <si>
    <t>0093039650</t>
  </si>
  <si>
    <t>JULIET ONOGBOSELE ENOMUEKEN-MEN OZEGIN</t>
  </si>
  <si>
    <t>WALTER JULIET</t>
  </si>
  <si>
    <t>0051439777</t>
  </si>
  <si>
    <t xml:space="preserve">ADIGHA BLESSING KIRIBEIN </t>
  </si>
  <si>
    <t xml:space="preserve">FIRST BANK </t>
  </si>
  <si>
    <t xml:space="preserve">OSOMO HAPPINESS ASUIEVIE </t>
  </si>
  <si>
    <t xml:space="preserve">STERLING </t>
  </si>
  <si>
    <t>0098531487</t>
  </si>
  <si>
    <t xml:space="preserve">BATOWEI  OYINTARELAYEFA </t>
  </si>
  <si>
    <t xml:space="preserve">EDISE-EMI KEMEAKEGHA </t>
  </si>
  <si>
    <t>0218881083</t>
  </si>
  <si>
    <t>NWOKONKWO OKECHUKWU THADDEUS OKEY</t>
  </si>
  <si>
    <t>GTBANK</t>
  </si>
  <si>
    <t>0042263284</t>
  </si>
  <si>
    <t xml:space="preserve">FREDERICK PREKEBINA PORBENI </t>
  </si>
  <si>
    <t xml:space="preserve">DICKSON ATALAPA QUEEN </t>
  </si>
  <si>
    <t>FALAGHA NUMONYU</t>
  </si>
  <si>
    <t>0067841076</t>
  </si>
  <si>
    <t>RAYMOND OGE ANOINTED</t>
  </si>
  <si>
    <t>0449530598</t>
  </si>
  <si>
    <t>ABUNUKEKE KENNETH JOHNSON</t>
  </si>
  <si>
    <t xml:space="preserve">JONAH PAGAEBINYON RITA </t>
  </si>
  <si>
    <t>0124598325</t>
  </si>
  <si>
    <t>TIMI ODIMIEKUMO EMMANUELLA</t>
  </si>
  <si>
    <t>AKPODIMO BLESSING</t>
  </si>
  <si>
    <t>0730015028</t>
  </si>
  <si>
    <t>THERESA PORIPO</t>
  </si>
  <si>
    <t>0694834869</t>
  </si>
  <si>
    <t>MONDAY DANIEL EBI</t>
  </si>
  <si>
    <t>SEIYEFA PRAISE EBIKONBOERE</t>
  </si>
  <si>
    <t>OSUSU EMUESIRI JACOB</t>
  </si>
  <si>
    <t xml:space="preserve">OKOSU KUROKONPEREGHA </t>
  </si>
  <si>
    <t xml:space="preserve">TAREBI TINUS TAMARABRAKEMI </t>
  </si>
  <si>
    <t>0070400682</t>
  </si>
  <si>
    <t>ELKANAH BLESSING AYEBAIDUATE</t>
  </si>
  <si>
    <t>BIDEN TALENT WILLIAMS</t>
  </si>
  <si>
    <t>AYAMAOWEI TIMIEBI GOODLUCK</t>
  </si>
  <si>
    <t>AGAGOWEI REBECCA SUOTAN</t>
  </si>
  <si>
    <t>0238916151</t>
  </si>
  <si>
    <t xml:space="preserve">WARIEBIMOERE AZEBI BAKER </t>
  </si>
  <si>
    <t xml:space="preserve">GTBANK </t>
  </si>
  <si>
    <t>0042264391</t>
  </si>
  <si>
    <t xml:space="preserve">AMAKUROMO EBIWARE LIBERIA </t>
  </si>
  <si>
    <t>0074587509</t>
  </si>
  <si>
    <t xml:space="preserve">OKUBONANABO AKPOYIMI BODUNEYIFA </t>
  </si>
  <si>
    <t xml:space="preserve">FCMB </t>
  </si>
  <si>
    <t>0709006018</t>
  </si>
  <si>
    <t>OKITI BENARD PERE</t>
  </si>
  <si>
    <t>0016318323</t>
  </si>
  <si>
    <t>COURT MIEBIBRAKUMOR ESTHER</t>
  </si>
  <si>
    <t>0075191824</t>
  </si>
  <si>
    <t>OKONI DAVID OKONI</t>
  </si>
  <si>
    <t>0021695045</t>
  </si>
  <si>
    <t>TULAGHA EMMANUELLA EBINIMIEDO</t>
  </si>
  <si>
    <t>FIEPRE DOUTIMARIYE</t>
  </si>
  <si>
    <t>AGORI DANIELLA BINAEBI</t>
  </si>
  <si>
    <t>0061632353</t>
  </si>
  <si>
    <t>IGO PRECIOUS EBIKESYE</t>
  </si>
  <si>
    <t>6312171026</t>
  </si>
  <si>
    <t xml:space="preserve">BUSERI OYINTOKONI BEAUTY </t>
  </si>
  <si>
    <t>3096325712</t>
  </si>
  <si>
    <t>EDORGE FUNEBI LARRY</t>
  </si>
  <si>
    <t>6312179589</t>
  </si>
  <si>
    <t>NANABPEMI MISEIYIFA BLANSON</t>
  </si>
  <si>
    <t>2095644604</t>
  </si>
  <si>
    <t>OKUBOWEI EMMANUEL TOKONI</t>
  </si>
  <si>
    <t>2055283605</t>
  </si>
  <si>
    <t xml:space="preserve">TOTAL </t>
  </si>
  <si>
    <t>GRAND TOTAL</t>
  </si>
  <si>
    <t xml:space="preserve">     UNIVERSITY OF AFRICA, TORU-ORUA.</t>
  </si>
  <si>
    <t>NON-TEACHING STAFF SALARY FEBRUARY,2026</t>
  </si>
  <si>
    <t>NAME OF STAFF</t>
  </si>
  <si>
    <t>ACCOUNT NUMBE</t>
  </si>
  <si>
    <t>GRADE/STEP</t>
  </si>
  <si>
    <t>scalestep</t>
  </si>
  <si>
    <t xml:space="preserve">BVN </t>
  </si>
  <si>
    <t>MINIMUM WAGE DIFFERENCE</t>
  </si>
  <si>
    <t xml:space="preserve">25/35% INCREMENT  </t>
  </si>
  <si>
    <t xml:space="preserve">MINIMUM WAGE </t>
  </si>
  <si>
    <t>SHIFT/CALL DUTY</t>
  </si>
  <si>
    <t>STIPEND FOR PER TIME TEACHING</t>
  </si>
  <si>
    <t>EXTRA  TEACHING</t>
  </si>
  <si>
    <t>PERSONAL OWINGRREARS</t>
  </si>
  <si>
    <t>PECULIAR</t>
  </si>
  <si>
    <t>COMMUNITY RELATION/OTHER ALLOW.</t>
  </si>
  <si>
    <t xml:space="preserve">OCCUPATIONAL HARZARD </t>
  </si>
  <si>
    <t>DOMESTIC STAFF</t>
  </si>
  <si>
    <t>MEDICAL ALLOWANCE</t>
  </si>
  <si>
    <t>Teaching</t>
  </si>
  <si>
    <t>HAZARD</t>
  </si>
  <si>
    <t>Lab wkld</t>
  </si>
  <si>
    <t>Rent</t>
  </si>
  <si>
    <t>swep</t>
  </si>
  <si>
    <t>Clinical</t>
  </si>
  <si>
    <t>NEWSPAPER</t>
  </si>
  <si>
    <t>FLORISH WELFARE</t>
  </si>
  <si>
    <t xml:space="preserve">BASIC AND APPLIED SCIENCE WELFARE  </t>
  </si>
  <si>
    <t>TRANSPORTATION/UTITIY</t>
  </si>
  <si>
    <t>SEREBA DIMENSIONAL NIG LTD</t>
  </si>
  <si>
    <t>SSANU</t>
  </si>
  <si>
    <t>ECONOMICS DEDUCTION</t>
  </si>
  <si>
    <t>FAE WELFARE DEDUCTION</t>
  </si>
  <si>
    <t>SCHOOL FEES GURANTEES</t>
  </si>
  <si>
    <t>SALARY ADVANCE</t>
  </si>
  <si>
    <t>FSMS WELFARE</t>
  </si>
  <si>
    <t>FSS WELFARE</t>
  </si>
  <si>
    <t xml:space="preserve">NASU </t>
  </si>
  <si>
    <t xml:space="preserve">NASU welfare </t>
  </si>
  <si>
    <t>BURSARY WELFARE</t>
  </si>
  <si>
    <t>NAAT DEDUCTION</t>
  </si>
  <si>
    <t>NAAT WELFARE</t>
  </si>
  <si>
    <t>UAT RENT</t>
  </si>
  <si>
    <t>TOP LIFTERS LIMITED</t>
  </si>
  <si>
    <t>BSMICROFINANCE</t>
  </si>
  <si>
    <t>UAT CORPORATIVE DEDUCTIONS</t>
  </si>
  <si>
    <t>UTILITY</t>
  </si>
  <si>
    <t>DEPENT</t>
  </si>
  <si>
    <t>FLORSHINE GLOBAL LIMITED</t>
  </si>
  <si>
    <t>REFUNDS TO UAT</t>
  </si>
  <si>
    <t>EXTRA DEPEND BHIS</t>
  </si>
  <si>
    <t>GROSS PAY</t>
  </si>
  <si>
    <t>TOTAL DEDUCTIONS</t>
  </si>
  <si>
    <t>MANDA EBIMOBOERE ALICE</t>
  </si>
  <si>
    <t>LAB TECHNOLOGIST</t>
  </si>
  <si>
    <t xml:space="preserve">LABORATORY SENIOR TECHNOLOGIST </t>
  </si>
  <si>
    <t>0112610086</t>
  </si>
  <si>
    <t>CONTISS 9/8</t>
  </si>
  <si>
    <t>22183492504</t>
  </si>
  <si>
    <t xml:space="preserve"> </t>
  </si>
  <si>
    <t>LABORATORY SENIOR TECHNOLOGIST I</t>
  </si>
  <si>
    <t>REGISTRY</t>
  </si>
  <si>
    <t>PRINCIPAL ASSISTANT REGISTRAR</t>
  </si>
  <si>
    <t>CONTISS 13/5</t>
  </si>
  <si>
    <t>ADMIN OFFICR</t>
  </si>
  <si>
    <t>CONTISS 8/6</t>
  </si>
  <si>
    <t>CONTISS 13/1</t>
  </si>
  <si>
    <t>WORKS AND SERVICES</t>
  </si>
  <si>
    <t>PRINCIPAL ENGINEER</t>
  </si>
  <si>
    <t>SENIOR ASSISTANT REGISTRAR</t>
  </si>
  <si>
    <t>CONTISS 11/3</t>
  </si>
  <si>
    <t>MASON</t>
  </si>
  <si>
    <t>CONTISS 4/10</t>
  </si>
  <si>
    <t>HIGHER  TECHNICAL OFFICER</t>
  </si>
  <si>
    <t>CONTISS 7/2</t>
  </si>
  <si>
    <t>CHIEF FOREMAN</t>
  </si>
  <si>
    <t>CONTISS 7/1</t>
  </si>
  <si>
    <t>ELECTRICIAN</t>
  </si>
  <si>
    <t>CONTISS 5/11</t>
  </si>
  <si>
    <t>PO</t>
  </si>
  <si>
    <t>REGISTRAR</t>
  </si>
  <si>
    <t>CONTISS 15/SP</t>
  </si>
  <si>
    <t xml:space="preserve"> BURSAR</t>
  </si>
  <si>
    <t>9304770409</t>
  </si>
  <si>
    <t>BURSARY</t>
  </si>
  <si>
    <t>CHIEF ACCOUNTANT</t>
  </si>
  <si>
    <t>CONUASS 13/6</t>
  </si>
  <si>
    <t>PRINCIPAL EXECUTIVE OFICER</t>
  </si>
  <si>
    <t>CONTISS9/5</t>
  </si>
  <si>
    <t>ICT TECH</t>
  </si>
  <si>
    <t>CONUASS 8/1</t>
  </si>
  <si>
    <t>WORKS AND SERVICE</t>
  </si>
  <si>
    <t>CONTISS 9/10</t>
  </si>
  <si>
    <t>CONTISS 11/6</t>
  </si>
  <si>
    <t>CONTISS 13/7</t>
  </si>
  <si>
    <t>ICT</t>
  </si>
  <si>
    <t>CONTISS 13/9</t>
  </si>
  <si>
    <t>HIGHER TRANSPORT SUPERVISOR</t>
  </si>
  <si>
    <t>CONTISS 8/4</t>
  </si>
  <si>
    <t>OFFICE ATTENDANT LIASSON OFFICE</t>
  </si>
  <si>
    <t>TECHNOLOGIST II</t>
  </si>
  <si>
    <t>CONTISS 9/7</t>
  </si>
  <si>
    <t>MOTOR DRIVER</t>
  </si>
  <si>
    <t>CONTISS 5/6</t>
  </si>
  <si>
    <t>DEPUTY REGISTRAR</t>
  </si>
  <si>
    <t>CONTISS 14/8</t>
  </si>
  <si>
    <t>HIGHER EXCUTIVE OFFICER</t>
  </si>
  <si>
    <t>ASSISTANT REGISTRAR</t>
  </si>
  <si>
    <t>CONTISS 9/4</t>
  </si>
  <si>
    <t>CONTISS 7/5</t>
  </si>
  <si>
    <t>CONTISS 9/5</t>
  </si>
  <si>
    <t>CONTISS 9/9</t>
  </si>
  <si>
    <t>0216026428</t>
  </si>
  <si>
    <t>SECURITY SERVICES</t>
  </si>
  <si>
    <t>CONTRACT PRINCIPAL SECURITY OFFICER</t>
  </si>
  <si>
    <t>CONTISS 9/3</t>
  </si>
  <si>
    <t>LABORATORY TECHNOLOGIST 11</t>
  </si>
  <si>
    <t>BEING 2 MONTHS AREARS ENDING</t>
  </si>
  <si>
    <t>SECURITY OFFICER</t>
  </si>
  <si>
    <t>CONTISS 7/3</t>
  </si>
  <si>
    <t>CONTISS 7/4</t>
  </si>
  <si>
    <t>SENIOR SUPERVISOR</t>
  </si>
  <si>
    <t>INTERNAL AUDIT</t>
  </si>
  <si>
    <t>INTERNAL AUDITOR 1</t>
  </si>
  <si>
    <t>CONTISS 6/2</t>
  </si>
  <si>
    <t>DEATH</t>
  </si>
  <si>
    <t>ASSISTANT CHIEF DRIVER</t>
  </si>
  <si>
    <t>CONTISS 6/03</t>
  </si>
  <si>
    <t>HEALTH CENTRE</t>
  </si>
  <si>
    <t xml:space="preserve">CHIEF NURSING </t>
  </si>
  <si>
    <t>CONTISS 13/6</t>
  </si>
  <si>
    <t>CONTISS 6/3</t>
  </si>
  <si>
    <t>CONTISS 4/9</t>
  </si>
  <si>
    <t>LIAISON OFFICE</t>
  </si>
  <si>
    <t>SENIOR DRIVER</t>
  </si>
  <si>
    <t>CLEANER</t>
  </si>
  <si>
    <t>CONTISS 5/2</t>
  </si>
  <si>
    <t>CONTISS 4/2</t>
  </si>
  <si>
    <t>CONTISS 2/5</t>
  </si>
  <si>
    <t>CONTISS 6/1</t>
  </si>
  <si>
    <t>0147620694</t>
  </si>
  <si>
    <t xml:space="preserve"> CHIEF DRIVER</t>
  </si>
  <si>
    <t>0107421673</t>
  </si>
  <si>
    <t>SENIOR PATROLMAN</t>
  </si>
  <si>
    <t>CONTISS 3/6</t>
  </si>
  <si>
    <t>ASSISTANT PATROL</t>
  </si>
  <si>
    <t>CONTISS 4/5</t>
  </si>
  <si>
    <t>SENIOR CRAFTMAN</t>
  </si>
  <si>
    <t>CONTISS 5/4</t>
  </si>
  <si>
    <t>CONTISS 8/3</t>
  </si>
  <si>
    <t>CLERICAL OFFICER</t>
  </si>
  <si>
    <t>CONTISS 3/5</t>
  </si>
  <si>
    <t>PORTER</t>
  </si>
  <si>
    <t>HALL SUPERVISOR</t>
  </si>
  <si>
    <t>CONTISS 6/4</t>
  </si>
  <si>
    <t xml:space="preserve"> SECURITY SERVICES</t>
  </si>
  <si>
    <t>CONTRACT ASSISTANT SECURITY OFFICER</t>
  </si>
  <si>
    <t>CONTISS 08/2</t>
  </si>
  <si>
    <t>BOLOU-ORUA</t>
  </si>
  <si>
    <t>NURSE</t>
  </si>
  <si>
    <t>ABSENT FROM DUTY WITHOUT PERMISSION</t>
  </si>
  <si>
    <t>CONTISSS 6/4</t>
  </si>
  <si>
    <t>CONTISS 11/2</t>
  </si>
  <si>
    <t>PRINCIPAL ACCOUNTANT</t>
  </si>
  <si>
    <t>CONTISS 11/5</t>
  </si>
  <si>
    <t>CONUAS 11/2</t>
  </si>
  <si>
    <t>0073203262</t>
  </si>
  <si>
    <t>BEING REFUND FOR 2 MONTHS RESPONSIBILITY ARREARS</t>
  </si>
  <si>
    <t>MEDICAL LABORATORY SCIENTIST</t>
  </si>
  <si>
    <t>CONHESS 8/4</t>
  </si>
  <si>
    <t>PHYSICAL PLANNING</t>
  </si>
  <si>
    <t>CHIEF PLANNING OFFICER</t>
  </si>
  <si>
    <t>CONTISS 11/8</t>
  </si>
  <si>
    <t>DEPUTY CHIEF CONFIDENTIAL SECRETARY</t>
  </si>
  <si>
    <t>CONTISS 13/2</t>
  </si>
  <si>
    <t xml:space="preserve"> ASSISTANT REGISTRAR</t>
  </si>
  <si>
    <t>CONTISS 11/1</t>
  </si>
  <si>
    <t xml:space="preserve"> SENIOR ASSISTANT REGISTRAR</t>
  </si>
  <si>
    <t>RESIGNED</t>
  </si>
  <si>
    <t>SENIOR SECURITY OFFICER</t>
  </si>
  <si>
    <t>UNITY</t>
  </si>
  <si>
    <t xml:space="preserve">SENIOR OFFICE ATTENDANT </t>
  </si>
  <si>
    <t>PRINCIPAL CONFIDENTIALL SECRETARY 1</t>
  </si>
  <si>
    <t>PRINCIPAL NET-WORK ENGINEER</t>
  </si>
  <si>
    <t xml:space="preserve">SECONDMENT </t>
  </si>
  <si>
    <t>SENIOR MECHANICAL ENGINEER I</t>
  </si>
  <si>
    <t>CONTISS  9/7</t>
  </si>
  <si>
    <t>PRINCIPAL NETWORK ENGINEER</t>
  </si>
  <si>
    <t>SENIOR ENGINEER</t>
  </si>
  <si>
    <t>PRINCIPAL ENGINEER I</t>
  </si>
  <si>
    <t xml:space="preserve">SENIOR  ENGINEER </t>
  </si>
  <si>
    <t>0600268072</t>
  </si>
  <si>
    <t xml:space="preserve">DEPUTY DIRECTOR </t>
  </si>
  <si>
    <t>CONTISS 15/5</t>
  </si>
  <si>
    <t>UPGRADED TO 15/5 AS DIRECTOR OF WORKS EFFECTIVE FEBRUARY, 2025</t>
  </si>
  <si>
    <t>PRICIPAL ACCOUNTANT</t>
  </si>
  <si>
    <t>0076416559</t>
  </si>
  <si>
    <t xml:space="preserve">  </t>
  </si>
  <si>
    <t xml:space="preserve">SENIOR INTERNAL AUDITOR  </t>
  </si>
  <si>
    <t xml:space="preserve">CHIEF  INTERNAL AUDITOR </t>
  </si>
  <si>
    <t>SENIOR ACCOUNTANT</t>
  </si>
  <si>
    <t>ACCOUNTANT II</t>
  </si>
  <si>
    <t>ADMINISTRATIVE OFFICER</t>
  </si>
  <si>
    <t>PRO'S OFFICE</t>
  </si>
  <si>
    <t>ADMIN OFFICER</t>
  </si>
  <si>
    <t>NEW STAFF ADDED, IN AUDIT</t>
  </si>
  <si>
    <t>HIGHER LIBRARY OFFICER</t>
  </si>
  <si>
    <t>TEMPORARY SENIOR HOSTEL  SUPERVISOR</t>
  </si>
  <si>
    <t>TEMPORARY SENIOR SUPERVISOR</t>
  </si>
  <si>
    <t>ASSISTANTANT REGISTRAR</t>
  </si>
  <si>
    <t>SPORTS</t>
  </si>
  <si>
    <t>SENIOR MOTOR DRIVER</t>
  </si>
  <si>
    <t>CHIEF PORTER</t>
  </si>
  <si>
    <t>0080806858</t>
  </si>
  <si>
    <t>ADMI OFFICER</t>
  </si>
  <si>
    <t>CONTISS 3/3</t>
  </si>
  <si>
    <t>FIELD OVERSEA I</t>
  </si>
  <si>
    <t>CONTISS 4/3</t>
  </si>
  <si>
    <t>TEMPORARY SENIOR PORTER</t>
  </si>
  <si>
    <t>CONTISS 3/4</t>
  </si>
  <si>
    <t>GENERATOR OPERATOR</t>
  </si>
  <si>
    <t xml:space="preserve">WATER OPERATOR </t>
  </si>
  <si>
    <t>ASSISTANT PATROL SUPERVISOR</t>
  </si>
  <si>
    <t>SENIOR  PORTER</t>
  </si>
  <si>
    <t>CONTISS 7/6</t>
  </si>
  <si>
    <t>LABOURER II</t>
  </si>
  <si>
    <t>0071756276</t>
  </si>
  <si>
    <t xml:space="preserve">                          STERING                      0071701104</t>
  </si>
  <si>
    <t>CLERNER</t>
  </si>
  <si>
    <t>CONTISS 2/6</t>
  </si>
  <si>
    <t>CLEANER OFFICER II</t>
  </si>
  <si>
    <t>SENIOR CRAFT OFFICER</t>
  </si>
  <si>
    <t>CRAFTMAN</t>
  </si>
  <si>
    <t>0072319432</t>
  </si>
  <si>
    <t>HEAD STEWARD</t>
  </si>
  <si>
    <t xml:space="preserve">DOMESTIC ASSISTANT </t>
  </si>
  <si>
    <t>HEAD GARDNER</t>
  </si>
  <si>
    <t>CONTISS 2/7</t>
  </si>
  <si>
    <t>CLEANER II</t>
  </si>
  <si>
    <t>CONTISS 2/8</t>
  </si>
  <si>
    <t>REINSTATED</t>
  </si>
  <si>
    <t>CONTISS 2/4</t>
  </si>
  <si>
    <t>CLEANER I</t>
  </si>
  <si>
    <t>0071085499</t>
  </si>
  <si>
    <t xml:space="preserve">     </t>
  </si>
  <si>
    <t>22513377736</t>
  </si>
  <si>
    <t>22511084021</t>
  </si>
  <si>
    <t>FIRSTBANK</t>
  </si>
  <si>
    <t>22499955577</t>
  </si>
  <si>
    <t>22550163006</t>
  </si>
  <si>
    <t>22510243911</t>
  </si>
  <si>
    <t>22510239040</t>
  </si>
  <si>
    <t>22390237569</t>
  </si>
  <si>
    <t>22510239710</t>
  </si>
  <si>
    <t>22513587128</t>
  </si>
  <si>
    <t>00803032697</t>
  </si>
  <si>
    <t>CONTISS 3/2</t>
  </si>
  <si>
    <t>STERLING                    0083507266</t>
  </si>
  <si>
    <t>ADMIN OFFICR (LIBRARY)</t>
  </si>
  <si>
    <t>TEMPORARY HIGHER OFFICER</t>
  </si>
  <si>
    <t xml:space="preserve">NURSING ASSISTANT </t>
  </si>
  <si>
    <t>CONHESS 06/6</t>
  </si>
  <si>
    <t>HIGHER STORES AND SUPPLIES OFFICER</t>
  </si>
  <si>
    <t>ADMI ASSISTANT</t>
  </si>
  <si>
    <t>CONTISS 8/1</t>
  </si>
  <si>
    <t>PROGRAMMER I</t>
  </si>
  <si>
    <t>TEMPORARY APPOINTMENT PHOTOGRAPHER</t>
  </si>
  <si>
    <t>PROGRAMMER ANALYST</t>
  </si>
  <si>
    <t>CONTISS 8/8</t>
  </si>
  <si>
    <t xml:space="preserve"> REGISTRY</t>
  </si>
  <si>
    <t>TECHNOLOGIST I</t>
  </si>
  <si>
    <t>SENIOR TECHNOLOGIST I</t>
  </si>
  <si>
    <t>CONTISS 9/1</t>
  </si>
  <si>
    <t>LABORATORY TECHNOLOGIST I</t>
  </si>
  <si>
    <t>CONTISS 7/7</t>
  </si>
  <si>
    <t>CONTISS 8/9</t>
  </si>
  <si>
    <t>CONTISS 8/5</t>
  </si>
  <si>
    <t>DIRECTOR OF SECURITY</t>
  </si>
  <si>
    <t>CONMESS 5/2</t>
  </si>
  <si>
    <t xml:space="preserve">MEDICAL LABORATORY SCIENTIST </t>
  </si>
  <si>
    <t>CONHESS 9/1</t>
  </si>
  <si>
    <t>CHEMICAL SCIENCE</t>
  </si>
  <si>
    <t>SENIOR MEDICAL OFFICER</t>
  </si>
  <si>
    <t>CONTISS 6/7</t>
  </si>
  <si>
    <t>CASUAL STAFF</t>
  </si>
  <si>
    <t>CARPENTER</t>
  </si>
  <si>
    <t>CW</t>
  </si>
  <si>
    <t>NETWORK ENGINEER 11</t>
  </si>
  <si>
    <t>CONTIS 8/3</t>
  </si>
  <si>
    <t>NETWORK ENGINEER</t>
  </si>
  <si>
    <t>CHRISTIAN STUDIES</t>
  </si>
  <si>
    <t>TEMPORARY</t>
  </si>
  <si>
    <t>PT</t>
  </si>
  <si>
    <t>PART-TIME</t>
  </si>
  <si>
    <t>ASSISTANT SYSTEM PROGRAMMER</t>
  </si>
  <si>
    <t>TEMPORARY SUPPORT STAFF</t>
  </si>
  <si>
    <t>MAINTENANCE ASSISTEANT II</t>
  </si>
  <si>
    <t>VC'S OFFICE</t>
  </si>
  <si>
    <t>SA MEDIA</t>
  </si>
  <si>
    <t>SECONDMENT</t>
  </si>
  <si>
    <t>AGRICULTURE</t>
  </si>
  <si>
    <t>TECHNOLOGIST</t>
  </si>
  <si>
    <t>CONFIDENTIAL SECRETARY I</t>
  </si>
  <si>
    <t>NETWORK ANALYST/DEVELOPER</t>
  </si>
  <si>
    <t xml:space="preserve">REGISTRY </t>
  </si>
  <si>
    <t>TEMPORARY ASSISTANT ADMIN OFFICER</t>
  </si>
  <si>
    <t>HIGHER EXECUTIVE  OFFICER</t>
  </si>
  <si>
    <t>TEMPORARY HIGHER EXECUTIVE  OFFICER</t>
  </si>
  <si>
    <t>TEMPORARY ASSISTANT ADMIN OFFICER (COUNSELLING OFFICER)</t>
  </si>
  <si>
    <t>HIGHER EXECUTIVE OFFICER</t>
  </si>
  <si>
    <t xml:space="preserve">ADMIN OFFICER </t>
  </si>
  <si>
    <t>ASSIST ADMIN OFFICER</t>
  </si>
  <si>
    <t xml:space="preserve"> ASSIST ADMIN OFFICER</t>
  </si>
  <si>
    <t xml:space="preserve"> HIGHER EXECUTIVE  OFFICER</t>
  </si>
  <si>
    <t>ACCOUNTANT I</t>
  </si>
  <si>
    <t>SENIOR EXECUTIVE OFFICER</t>
  </si>
  <si>
    <t xml:space="preserve">LEGAL OFFICER </t>
  </si>
  <si>
    <t>REMOVED AS DIRECTED BY THE   VC</t>
  </si>
  <si>
    <t>LEGAL OFFICER</t>
  </si>
  <si>
    <t xml:space="preserve"> ADMIN OFFICER </t>
  </si>
  <si>
    <t>GRADE AND STEP UPGRADE FROM CONTISS 8 TO CONTISS 11</t>
  </si>
  <si>
    <t>CONHESS 7/2</t>
  </si>
  <si>
    <t>HOSTEL SUPERVISOR</t>
  </si>
  <si>
    <t>CONTISS  7/3</t>
  </si>
  <si>
    <t>CONHES  7/3</t>
  </si>
  <si>
    <t>CONHESS  9/2</t>
  </si>
  <si>
    <t>PHARMACIST</t>
  </si>
  <si>
    <t>CONHESS 9/2</t>
  </si>
  <si>
    <t>PHYSICAL PLANING</t>
  </si>
  <si>
    <t>QUANTITY SURVEYOR II</t>
  </si>
  <si>
    <t>LABOTRATORY  HAZARD</t>
  </si>
  <si>
    <t>TRANSPORTATION</t>
  </si>
  <si>
    <t>Utility</t>
  </si>
  <si>
    <t>TOTAL EARN</t>
  </si>
  <si>
    <t>TOTAL DEDUCTION</t>
  </si>
  <si>
    <t>PAYROLL OFFICER</t>
  </si>
  <si>
    <t xml:space="preserve">  VICE CHANCELLOR</t>
  </si>
  <si>
    <t>NAAT SCHEDULE FOR THE MONTH OF JANUARY, 2026</t>
  </si>
  <si>
    <t>UAT WAGE BILL FOR THE  MONTH OF FEBRUARY, 2026</t>
  </si>
  <si>
    <t>DETAILS</t>
  </si>
  <si>
    <t xml:space="preserve">                  AMOUNT</t>
  </si>
  <si>
    <t>UAT ANUPA</t>
  </si>
  <si>
    <t xml:space="preserve">BELKARI LOANS </t>
  </si>
  <si>
    <t>SCHOOL FEES  DEDUCTIONS</t>
  </si>
  <si>
    <t>BASIC AND APPLIED SCIENCE WELFARE</t>
  </si>
  <si>
    <t>FLORISH TORU-ORUA MULTIPURPOSE SOCIETY</t>
  </si>
  <si>
    <t>NASU</t>
  </si>
  <si>
    <t xml:space="preserve">FASTGROWTH </t>
  </si>
  <si>
    <t>FACULTY OF ARTS AND EDUCATION</t>
  </si>
  <si>
    <t>FACULTY OF MANAGEMENT  SCIENCES</t>
  </si>
  <si>
    <t>FACULTY OF SOCIAL  SCIENCES</t>
  </si>
  <si>
    <t xml:space="preserve">BURSARY DEPARTMENT WELFARE </t>
  </si>
  <si>
    <t xml:space="preserve">ECONOMICS </t>
  </si>
  <si>
    <t xml:space="preserve">UAT FEMALE FORUM </t>
  </si>
  <si>
    <t>FLORESHINE GLOBAL LIMITED</t>
  </si>
  <si>
    <t>TOP LIFTERS LIMTED</t>
  </si>
  <si>
    <t>NAAT</t>
  </si>
  <si>
    <t>REMITTED TAX</t>
  </si>
  <si>
    <t>PAYE</t>
  </si>
  <si>
    <t>ETF</t>
  </si>
  <si>
    <t>STATUTORY DEDUCTIONS  FOR THE MONTH OF FEBRUARY, 2026</t>
  </si>
  <si>
    <t>EXTRA DEPENT</t>
  </si>
  <si>
    <t>PAYEE</t>
  </si>
  <si>
    <t>WERIDONGHAN ERNEST JACKSON</t>
  </si>
  <si>
    <t>NON-TEACHING</t>
  </si>
  <si>
    <t>ASUU DEDUCTIONS FRO THE MONTH OF FEBRUARY, 2026</t>
  </si>
  <si>
    <t>2% OF BASIC</t>
  </si>
  <si>
    <t>FLOURISH CO-OPERATIVE DEDUCTIONS FOR THE MONTH OF FEBRUARY, 2026</t>
  </si>
  <si>
    <t>NASU DEDUCTION  FOR THE MONTH OF FEBRUARY, 2026</t>
  </si>
  <si>
    <t>FLORSHINE GLOBAL LIMITED  FOR THE MONTH OF FEBRUARY, 2026</t>
  </si>
  <si>
    <t>NAMES</t>
  </si>
  <si>
    <t>AMOUNT COLLECTED</t>
  </si>
  <si>
    <t>EFFECTIVE DATE</t>
  </si>
  <si>
    <t>END DATE</t>
  </si>
  <si>
    <t>DANIEL SMART</t>
  </si>
  <si>
    <t>MAY,2025</t>
  </si>
  <si>
    <t>JAN, 2026</t>
  </si>
  <si>
    <t>July,2026(12months)</t>
  </si>
  <si>
    <t xml:space="preserve">JULY </t>
  </si>
  <si>
    <t>January, 2026(7MONTHS)</t>
  </si>
  <si>
    <t>NAOMI BARIDE</t>
  </si>
  <si>
    <t>FLOURISH DEDUCTION  FOR THE MONTH OF FEBRUARY, 2026</t>
  </si>
  <si>
    <t>SUB-TOTAL</t>
  </si>
  <si>
    <t>UNIVERSITY OF AFRICA, TORU-ORUA</t>
  </si>
  <si>
    <t xml:space="preserve"> SALARY ADVANCE REPAYMENT FOR THE MONTH OF FEBRUARY, 2026.</t>
  </si>
  <si>
    <t>NAME</t>
  </si>
  <si>
    <t>FIRST NAME</t>
  </si>
  <si>
    <t>SCHOOL  DEDUCTION/ HOSTEL FEE</t>
  </si>
  <si>
    <t>SALARY ADVNCE</t>
  </si>
  <si>
    <t>SALARY ADVANCE MONTHLY DEDUCTIONS</t>
  </si>
  <si>
    <t>SCHOOL FEES AMOUNT REPAYMENT</t>
  </si>
  <si>
    <t>EFFECTIVE PERIOD</t>
  </si>
  <si>
    <t xml:space="preserve">PERIOD COVERED </t>
  </si>
  <si>
    <t>ENDING MONTH</t>
  </si>
  <si>
    <t>STAFF SCHOOL FEES  DEDUCTIONS</t>
  </si>
  <si>
    <t>IZON-ABOERE MARY</t>
  </si>
  <si>
    <t>FEBRUARY, 2025</t>
  </si>
  <si>
    <t>JANUARY, 2026</t>
  </si>
  <si>
    <t>REMOVED</t>
  </si>
  <si>
    <t xml:space="preserve">EBIKESEIYE </t>
  </si>
  <si>
    <t>PERE-ERE</t>
  </si>
  <si>
    <t>DECEMBER,2026</t>
  </si>
  <si>
    <t xml:space="preserve">SALARY ADVANCE </t>
  </si>
  <si>
    <t xml:space="preserve">AKPOEBI </t>
  </si>
  <si>
    <t>ADESI</t>
  </si>
  <si>
    <t>61 MONTHS (SEPTEMBER, 2028)</t>
  </si>
  <si>
    <t>JUNE</t>
  </si>
  <si>
    <t>12</t>
  </si>
  <si>
    <t>SEPTEMBER, 2028</t>
  </si>
  <si>
    <t>MARTINS</t>
  </si>
  <si>
    <t>ETOKO</t>
  </si>
  <si>
    <t>Mathew</t>
  </si>
  <si>
    <t>A AUGUSTINE</t>
  </si>
  <si>
    <t>MARCH,2025</t>
  </si>
  <si>
    <t>FEBRUARY,2027</t>
  </si>
  <si>
    <t xml:space="preserve">UMBE </t>
  </si>
  <si>
    <t>AYEKUROBOTAREGHA</t>
  </si>
  <si>
    <t>FEBRUARY,2026</t>
  </si>
  <si>
    <t>ISAAC</t>
  </si>
  <si>
    <t>BIOGBO</t>
  </si>
  <si>
    <t>13</t>
  </si>
  <si>
    <t>OCTOBER,2026</t>
  </si>
  <si>
    <t xml:space="preserve">ASU </t>
  </si>
  <si>
    <t>EBIMENE AYESU</t>
  </si>
  <si>
    <t>DECEMBER,2025</t>
  </si>
  <si>
    <t>6</t>
  </si>
  <si>
    <t>MAY,2026</t>
  </si>
  <si>
    <t>ENDED</t>
  </si>
  <si>
    <t xml:space="preserve">GOODNEWS </t>
  </si>
  <si>
    <t>JOB KOKORIFA</t>
  </si>
  <si>
    <t>10</t>
  </si>
  <si>
    <t xml:space="preserve">OBOLO </t>
  </si>
  <si>
    <t>SAMUEL</t>
  </si>
  <si>
    <t>TRINNAH IYEBIMOWEI</t>
  </si>
  <si>
    <t>AYAKEME</t>
  </si>
  <si>
    <t>APRIL,2026</t>
  </si>
  <si>
    <t xml:space="preserve">CLEVER </t>
  </si>
  <si>
    <t>ALAWARI</t>
  </si>
  <si>
    <t>PEREWARIFAGHA</t>
  </si>
  <si>
    <t>TUDOU</t>
  </si>
  <si>
    <t>8</t>
  </si>
  <si>
    <t>AUGUST, 2026</t>
  </si>
  <si>
    <t>EWATA</t>
  </si>
  <si>
    <t>THOMPSON</t>
  </si>
  <si>
    <t>500,000.00</t>
  </si>
  <si>
    <t>JUNE, 2025</t>
  </si>
  <si>
    <t>18</t>
  </si>
  <si>
    <t>NOVEMBER,2026</t>
  </si>
  <si>
    <t xml:space="preserve">MARTINS </t>
  </si>
  <si>
    <t>TOKERE</t>
  </si>
  <si>
    <t>JULY,2025</t>
  </si>
  <si>
    <t>AKRAKA</t>
  </si>
  <si>
    <t>AMATARI</t>
  </si>
  <si>
    <t>TUNDE</t>
  </si>
  <si>
    <t>ADEDIRE</t>
  </si>
  <si>
    <t>JUNE, 2026</t>
  </si>
  <si>
    <t>AKPOSEIMOKUMO</t>
  </si>
  <si>
    <t>TOUNAREGHA</t>
  </si>
  <si>
    <t>MIRIKI</t>
  </si>
  <si>
    <t>BABATUNDE</t>
  </si>
  <si>
    <t>AUG,2025</t>
  </si>
  <si>
    <t>JULY, 2027</t>
  </si>
  <si>
    <t>WILSON</t>
  </si>
  <si>
    <t>JOE GODSWILL</t>
  </si>
  <si>
    <t>JULY, 2026</t>
  </si>
  <si>
    <t>FRED</t>
  </si>
  <si>
    <t>BRISIBE</t>
  </si>
  <si>
    <t>MARY EMMANUEL DEREFAKA (T. GOGO)</t>
  </si>
  <si>
    <t>JULY,2026</t>
  </si>
  <si>
    <t>FLORENCE</t>
  </si>
  <si>
    <t>ARIKEKPA</t>
  </si>
  <si>
    <t>NOV, 2025</t>
  </si>
  <si>
    <t xml:space="preserve">DESMOND </t>
  </si>
  <si>
    <t>FRESH</t>
  </si>
  <si>
    <t>MARCH, 2025</t>
  </si>
  <si>
    <t>4</t>
  </si>
  <si>
    <t>MARCH,2026</t>
  </si>
  <si>
    <t xml:space="preserve">REBECCA MORRIS </t>
  </si>
  <si>
    <t>ADAKA</t>
  </si>
  <si>
    <t>DR. AYEKUROBOTAREGHA</t>
  </si>
  <si>
    <t>UMBE</t>
  </si>
  <si>
    <t>1,OOO,OOO.OO</t>
  </si>
  <si>
    <t>SEPTEMBER, 2025</t>
  </si>
  <si>
    <t>AUGUST,2026</t>
  </si>
  <si>
    <t>PERE</t>
  </si>
  <si>
    <t>OKITA</t>
  </si>
  <si>
    <t>MOLAR</t>
  </si>
  <si>
    <t>IFEANYI</t>
  </si>
  <si>
    <t xml:space="preserve">AMATOLO </t>
  </si>
  <si>
    <t>TONBRA</t>
  </si>
  <si>
    <t>DECEMBER, 2026</t>
  </si>
  <si>
    <t>BENJAMIN AYEBAWADUANYI</t>
  </si>
  <si>
    <t>DOMINION</t>
  </si>
  <si>
    <t>APRIL, 2026</t>
  </si>
  <si>
    <t>DOUTIMARITE FIEPRE</t>
  </si>
  <si>
    <t>MOLAR BEN</t>
  </si>
  <si>
    <t>EBI.</t>
  </si>
  <si>
    <t>KEEPER</t>
  </si>
  <si>
    <t>BOB</t>
  </si>
  <si>
    <t>FEBRUARY, 2026</t>
  </si>
  <si>
    <t>DONNY</t>
  </si>
  <si>
    <t>SIGAH</t>
  </si>
  <si>
    <t>24</t>
  </si>
  <si>
    <t>JANUARY, 2028</t>
  </si>
  <si>
    <t xml:space="preserve">OSIOKOR </t>
  </si>
  <si>
    <t>ALEX</t>
  </si>
  <si>
    <t>SESE</t>
  </si>
  <si>
    <t>EBIDOU</t>
  </si>
  <si>
    <t>DOUBRA</t>
  </si>
  <si>
    <t>MOSES</t>
  </si>
  <si>
    <t xml:space="preserve">COURT </t>
  </si>
  <si>
    <t>FRANCIS</t>
  </si>
  <si>
    <t>FELAGHA</t>
  </si>
  <si>
    <t>NUMONYU</t>
  </si>
  <si>
    <t>DEPENDENT RELATIVE SCHEDULE FOR THE MONTH OF FEBRUARY, 2026</t>
  </si>
  <si>
    <t>TOP LIFETERS LIMITED DEDUCTIONS  FOR THE MONTH OF FEBRUARY, 2026</t>
  </si>
  <si>
    <t>ORIANGO IDIGIENENI</t>
  </si>
  <si>
    <t>JUNE,2025</t>
  </si>
  <si>
    <t>FEB,2025</t>
  </si>
  <si>
    <t>OCT,2025</t>
  </si>
  <si>
    <t>EBIKONBOWEI ALEXIS</t>
  </si>
  <si>
    <t>NOV,2025</t>
  </si>
  <si>
    <t>OCT,2026</t>
  </si>
  <si>
    <t>WANKASI EBIMOBOWEI</t>
  </si>
  <si>
    <t>SEPTEMBER,2024</t>
  </si>
  <si>
    <t>FEB,2026</t>
  </si>
  <si>
    <t>UTILITIES</t>
  </si>
  <si>
    <t>ENTAINMENT ALLOW.</t>
  </si>
  <si>
    <t>MONITORING</t>
  </si>
  <si>
    <t>TRANSPORT SCHEME</t>
  </si>
  <si>
    <t>SCIENCE WELFARE DEDUCTION</t>
  </si>
  <si>
    <t>FSMS WELFARE DEDUCTION</t>
  </si>
  <si>
    <t>DEAN ARTS AND EDUCATION</t>
  </si>
  <si>
    <t>DEAN BASIC AND APPLIED SCIENCE (VISITING PROFESSOR)</t>
  </si>
  <si>
    <t xml:space="preserve"> ABUMERE OAMEN ERONMOSELE</t>
  </si>
  <si>
    <t>CONUSSS 4/1</t>
  </si>
  <si>
    <t>KOROYE SOLOMON</t>
  </si>
  <si>
    <t>CONUASS 2/8</t>
  </si>
  <si>
    <t>ATEI MARK OKOROBIA</t>
  </si>
  <si>
    <t>CONUASS 3/8</t>
  </si>
  <si>
    <t>TEMPORARY SENIOR LECTURER</t>
  </si>
  <si>
    <t xml:space="preserve">IBUOMO RUTH TEBETH </t>
  </si>
  <si>
    <t>0038938332</t>
  </si>
  <si>
    <t>CONUASS 4/5</t>
  </si>
  <si>
    <t>CONUASS 3/3</t>
  </si>
  <si>
    <t>'0036064176</t>
  </si>
  <si>
    <t xml:space="preserve">LECTURER II </t>
  </si>
  <si>
    <t xml:space="preserve">CONUASS 3/2 </t>
  </si>
  <si>
    <t>0059507958</t>
  </si>
  <si>
    <t>CONUASS 5/9</t>
  </si>
  <si>
    <t>0073394430</t>
  </si>
  <si>
    <t>EMMMANUEL DOUGLAS IKIOMOYE</t>
  </si>
  <si>
    <t>'0665753021</t>
  </si>
  <si>
    <t>DAOKORU OLUKOLE CHIDIMA GRACE</t>
  </si>
  <si>
    <t>0047059350</t>
  </si>
  <si>
    <t>AYODELE A OYEDEJI</t>
  </si>
  <si>
    <t>EJOVI OSIOMA</t>
  </si>
  <si>
    <t>0031452725</t>
  </si>
  <si>
    <t>PRESIDOR KENDABLE</t>
  </si>
  <si>
    <t>BARATUIPRE OZOGU</t>
  </si>
  <si>
    <t>KPODOH ENYOHWO DENNIS</t>
  </si>
  <si>
    <t>0044956357</t>
  </si>
  <si>
    <t>CONUAS 7/8</t>
  </si>
  <si>
    <t>SABBATICAL SENIOR LECTURER</t>
  </si>
  <si>
    <t>CHINYERE P ONONUGBO</t>
  </si>
  <si>
    <t>CONUAS 7/5</t>
  </si>
  <si>
    <t>AKPAN N IKOT</t>
  </si>
  <si>
    <t>0741380013</t>
  </si>
  <si>
    <t>ASSOCIATE  PROFESSOR</t>
  </si>
  <si>
    <t xml:space="preserve">OCHUBA IFEOMA OYINYE </t>
  </si>
  <si>
    <t>0042341272</t>
  </si>
  <si>
    <t>0072066257</t>
  </si>
  <si>
    <t>CONUAS 4/9</t>
  </si>
  <si>
    <t>CONUAS 3/7</t>
  </si>
  <si>
    <t>CONUAS 3/6</t>
  </si>
  <si>
    <t xml:space="preserve">HERITAGE </t>
  </si>
  <si>
    <t>0073588860</t>
  </si>
  <si>
    <t>0003665831</t>
  </si>
  <si>
    <t>SENIOR LECTURER SABBATICAL</t>
  </si>
  <si>
    <t>CONTRACT ASSOCIATE PROFFESOR</t>
  </si>
  <si>
    <t xml:space="preserve">TONYE OGIRIKI </t>
  </si>
  <si>
    <t>ASSOCIATE PROFESSOR ON SABBATICAL</t>
  </si>
  <si>
    <t>0042332557</t>
  </si>
  <si>
    <t>MOYOSORE JOSEPH ADEGBEYE</t>
  </si>
  <si>
    <t>MUSAH EBOKABOWEI</t>
  </si>
  <si>
    <t xml:space="preserve">EBITARE WOLO </t>
  </si>
  <si>
    <t xml:space="preserve">ZINA EMMACULATE </t>
  </si>
  <si>
    <t>AGBOUFA KEME MAXWELL</t>
  </si>
  <si>
    <t>ACTING VC</t>
  </si>
  <si>
    <t>PRINCE NWACHUKWU OLOLUBE</t>
  </si>
  <si>
    <t>SABBATICAL</t>
  </si>
  <si>
    <t>CONUAS 7/6</t>
  </si>
  <si>
    <t>0721049668</t>
  </si>
  <si>
    <t xml:space="preserve">GANAGANA TONY EBIMOWEI </t>
  </si>
  <si>
    <t>CONUASS 2/3</t>
  </si>
  <si>
    <t>'0056397980</t>
  </si>
  <si>
    <t>INALA MICHEAL ABRAKASA</t>
  </si>
  <si>
    <t>ASSIST LECTURER PART-TIME</t>
  </si>
  <si>
    <t>0521031755</t>
  </si>
  <si>
    <t>BRIAN GODSWILL ETIRE</t>
  </si>
  <si>
    <t>0017787729</t>
  </si>
  <si>
    <t>'0027631945</t>
  </si>
  <si>
    <t>AMBA RICHARD OGBE</t>
  </si>
  <si>
    <t xml:space="preserve">OLUMIDE AFOLADE </t>
  </si>
  <si>
    <t xml:space="preserve">ASSIT LECTURER </t>
  </si>
  <si>
    <t>0430082705</t>
  </si>
  <si>
    <t>CONUASS 3/2</t>
  </si>
  <si>
    <t>OBODOKA GIVEN</t>
  </si>
  <si>
    <t>OGBARA CATHERINE IZIBEDEKILIBO</t>
  </si>
  <si>
    <t>0142588735</t>
  </si>
  <si>
    <t>BRENDAN RUTH EFIOK</t>
  </si>
  <si>
    <t>UBEBE EBIMOROERE FRED</t>
  </si>
  <si>
    <t>CONUAS 3/I</t>
  </si>
  <si>
    <t>CONUAS 2/5</t>
  </si>
  <si>
    <t xml:space="preserve">ODOGU EYINANBO </t>
  </si>
  <si>
    <t xml:space="preserve">WEKE TONY WARIPAMOWEI </t>
  </si>
  <si>
    <t>FELAGHA INIEBIYO</t>
  </si>
  <si>
    <t>0666480410</t>
  </si>
  <si>
    <t>0080692668</t>
  </si>
  <si>
    <t xml:space="preserve">OYADONGHAN KEREOTU JAMES </t>
  </si>
  <si>
    <t>ADJUNCT ASSOCIATE LECTURER</t>
  </si>
  <si>
    <t xml:space="preserve">ONJEAJU MICHEAL CHUKWUDI </t>
  </si>
  <si>
    <t>CONUASS 6/3</t>
  </si>
  <si>
    <t>TUBO PEARCE OKUMOKO</t>
  </si>
  <si>
    <t>CONUASS 6/5</t>
  </si>
  <si>
    <t>PROF.OGBARI C.C AMA-OGBARI</t>
  </si>
  <si>
    <t>CONUASS 7/2</t>
  </si>
  <si>
    <t xml:space="preserve"> DANIEL OLORUNFEMI </t>
  </si>
  <si>
    <t>ADJUNCT ASSOCIATE PROFESSOR</t>
  </si>
  <si>
    <t>CONUASS 7/4</t>
  </si>
  <si>
    <t>CONTRACT APPOINTMENT LECTURERE</t>
  </si>
  <si>
    <t>TUBODENYEFA ZIBIMA</t>
  </si>
  <si>
    <t>SENIOR  LECTURER</t>
  </si>
  <si>
    <t xml:space="preserve">ODINGOWEI M. KWOKWO </t>
  </si>
  <si>
    <t xml:space="preserve"> TAM GORDON AZORBO</t>
  </si>
  <si>
    <t>0027355049</t>
  </si>
  <si>
    <t>LECTURER DEPARTMENT ENGLISH AND LITERARY STUDIES</t>
  </si>
  <si>
    <t>UNIVERSITY OF AFRICA, TORU-ORUA PAYSLIP FOR THE MONTH OF FEBRUARY, 2024</t>
  </si>
  <si>
    <t>BAYELSA STATE HEALTH IINSURANCE SCHEME DDUCTIONS FOR THE MONTH OF MARCH, 2022</t>
  </si>
  <si>
    <t>PROF. ADEMOLA AYODEJI JOLAYEMI</t>
  </si>
  <si>
    <t>PROF.SIKOKI FRANCIS DAVID</t>
  </si>
  <si>
    <t>PROF. ABUMERE OAMEN ERONMOSELE</t>
  </si>
  <si>
    <t>PROF.DARAH GODINI GABRIEL</t>
  </si>
  <si>
    <t>PROF.OKOROBIA MARK ATEI</t>
  </si>
  <si>
    <t>OLUIGBO OCHECHKWU CHINEDU</t>
  </si>
  <si>
    <t>ADULKAREEM OLALEKAN ADULAFEE</t>
  </si>
  <si>
    <t>LAWAL BABATUNDE YUSUH</t>
  </si>
  <si>
    <t>JIMMY UNUWHEZE OJANONOR</t>
  </si>
  <si>
    <t>DORIS ADEME GODWIN</t>
  </si>
  <si>
    <t>OZOGU BARATUAIPRE AGBE-ANTHONY</t>
  </si>
  <si>
    <t>ADEKOYA MATHEW ADEFUSIKA</t>
  </si>
  <si>
    <t>AWODITIRE OLUEATOBI PHILIP</t>
  </si>
  <si>
    <t xml:space="preserve">WOKO TIMIBIERI GOANS </t>
  </si>
  <si>
    <t xml:space="preserve">OFOR-DOUGLAS STELLA </t>
  </si>
  <si>
    <t xml:space="preserve">GODSWILL TESI OKEOGHENE </t>
  </si>
  <si>
    <t>ONONUGBO CHINYERE</t>
  </si>
  <si>
    <t xml:space="preserve">JACKREECE PREBO CLIFFORD </t>
  </si>
  <si>
    <t>CHINEDU UZOCHUKWU ONYEEIZUGBE</t>
  </si>
  <si>
    <t xml:space="preserve">ANSA EBINIMI JOSEPH </t>
  </si>
  <si>
    <t>JOHN EBIMOWEI YESEIBO</t>
  </si>
  <si>
    <t>IBEINMO COOKEY FRIDAY</t>
  </si>
  <si>
    <t xml:space="preserve">IDEGBEKWE DESTINY </t>
  </si>
  <si>
    <t>HERBERT O STANLEY</t>
  </si>
  <si>
    <t>PROF. DONALD I HAMILTON</t>
  </si>
  <si>
    <t xml:space="preserve">AKPAN NDEM IKOT </t>
  </si>
  <si>
    <t>EBI YEIBO</t>
  </si>
  <si>
    <t xml:space="preserve">BRAKEMI CHRISTAL OVIA </t>
  </si>
  <si>
    <t xml:space="preserve">ANTE JAMES </t>
  </si>
  <si>
    <t>PROF. AYAKOROMA FOUBIRI BARCLAYS</t>
  </si>
  <si>
    <t>OMOKO  PETER EMUEJEVOKE</t>
  </si>
  <si>
    <t xml:space="preserve">AKPOMEDALA PAMELA CHIMA </t>
  </si>
  <si>
    <t>PROF. OLORUNFEMI DANIEL IKUDAYISI</t>
  </si>
  <si>
    <t xml:space="preserve">PROF. EMORDI EMORC CYRIL </t>
  </si>
  <si>
    <t xml:space="preserve">PROF. ALRFED OCKIYA JOHN FAMOKUMA </t>
  </si>
  <si>
    <t xml:space="preserve">DR. ONJEAJU MICHEAL CHUKWUDI </t>
  </si>
  <si>
    <t>KPOMAH ENYOHWO DENNIS</t>
  </si>
  <si>
    <t xml:space="preserve">DR. OSIOMA EJOVI </t>
  </si>
  <si>
    <t>NTIENSE J USUA</t>
  </si>
  <si>
    <t>AMBROSE UCHENUNU OROBOH</t>
  </si>
  <si>
    <t>PROF. MATHEW OWHONDA WEGWU</t>
  </si>
  <si>
    <t>TONY BAWO ESINMAJE</t>
  </si>
  <si>
    <t>EMMANUEL E. ETIM</t>
  </si>
  <si>
    <t xml:space="preserve">ESEOVWE EMAKNUNU </t>
  </si>
  <si>
    <t>DR. TAM GORDON AZORBO</t>
  </si>
  <si>
    <t xml:space="preserve">NON-TEACHING </t>
  </si>
  <si>
    <t>EKOKEME TAMAROUKA TIMIPRE</t>
  </si>
  <si>
    <t>OBODOKA GIVEN CHIUNE</t>
  </si>
  <si>
    <t>ENGR. BOLOUIKIE KINGDOM YERI</t>
  </si>
  <si>
    <t>PROF. IWEKUMO EBIBOFE AGBOZU</t>
  </si>
  <si>
    <t>YERINDIDEKE KONYEFA</t>
  </si>
  <si>
    <t>DR. AKPOEBI ADESI</t>
  </si>
  <si>
    <t xml:space="preserve">DR. MRS BINI OKIY </t>
  </si>
  <si>
    <t>PRINCEWELL ROSALYN ENDELEY</t>
  </si>
  <si>
    <t>ALAGOA SEKI COMFORT</t>
  </si>
  <si>
    <t xml:space="preserve">PAUL FELIX </t>
  </si>
  <si>
    <t>MOLAR OWWADERE L</t>
  </si>
  <si>
    <t>AYORO AREPAMORE</t>
  </si>
  <si>
    <t xml:space="preserve">EKOJA O STEPHEN </t>
  </si>
  <si>
    <t>DIRIKEBAMO SHIRLEY EBIMOBOERE</t>
  </si>
  <si>
    <t>OKPONYA INEYE</t>
  </si>
  <si>
    <t xml:space="preserve">EBRUDU JOSEPH </t>
  </si>
  <si>
    <t>TARE LAKEMFA</t>
  </si>
  <si>
    <t>DOUBRA  MOSESE</t>
  </si>
  <si>
    <t xml:space="preserve">ELEKE RITA AYEBANUA  </t>
  </si>
  <si>
    <t>EDNA STOW EYINMIEB</t>
  </si>
  <si>
    <t xml:space="preserve">EKIYE IBEGI MARIAN EREFAGHA </t>
  </si>
  <si>
    <t xml:space="preserve">DOUGLAS NANCY TAMMUNOSELEDY </t>
  </si>
  <si>
    <t xml:space="preserve">DANERE OYINBRAKEMI STEPHANIE </t>
  </si>
  <si>
    <t xml:space="preserve">ISIAN INEYE </t>
  </si>
  <si>
    <t xml:space="preserve">IGO OYINTARE KENNEDY </t>
  </si>
  <si>
    <t xml:space="preserve">ENGR. TEIKE NICHOLAS OYOYO-TAMARAYE </t>
  </si>
  <si>
    <t>SIMEON BIBOERE EVELYN</t>
  </si>
  <si>
    <t xml:space="preserve">BOBOWEI MOSES </t>
  </si>
  <si>
    <t xml:space="preserve">EBIALERE PEAOGBO </t>
  </si>
  <si>
    <t xml:space="preserve">ASIKPI BOLOUEBI GEORGE </t>
  </si>
  <si>
    <t xml:space="preserve">SOLOMON COLLINS </t>
  </si>
  <si>
    <t>KOLOSI LUCK-ERE</t>
  </si>
  <si>
    <t xml:space="preserve">SUKULOWEI BRALADE SAMSON </t>
  </si>
  <si>
    <t>GERMAN DAUERE</t>
  </si>
  <si>
    <t xml:space="preserve">OZU FORTUNE EWERE </t>
  </si>
  <si>
    <t>OZOMORU EBIERE VICTORY</t>
  </si>
  <si>
    <t>ISOWO DISEYE</t>
  </si>
  <si>
    <t>TONY ENIEKENUMU ADAMS</t>
  </si>
  <si>
    <t>IMBAZE IBUOMO ESTHER</t>
  </si>
  <si>
    <t>BRI. GEN MINEMU JOSEPH ABEL</t>
  </si>
  <si>
    <t>AKPOS NAIFOU</t>
  </si>
  <si>
    <t xml:space="preserve">CLEVER TAMARAMIEBI </t>
  </si>
  <si>
    <t xml:space="preserve">MOROYE PREYE </t>
  </si>
  <si>
    <t xml:space="preserve">BOB TARE ABOYTO </t>
  </si>
  <si>
    <t xml:space="preserve">SOLOMON O AMOS </t>
  </si>
  <si>
    <t>ROSEMARY SELE TAMONOEMI</t>
  </si>
  <si>
    <t>EXTRA DEPENDENT RELATIVE</t>
  </si>
  <si>
    <t>ACADEMIC STAFF UNION OF UNIVERSITIES DEDUCTIONS FOR THE MONTH OF  JANUARY, 2022</t>
  </si>
  <si>
    <t>FRANCIS IGBERESE ILENLOA</t>
  </si>
  <si>
    <t>NENGIMOYE BIOBELEMOYE</t>
  </si>
  <si>
    <t>VICTORIA BENNETH</t>
  </si>
  <si>
    <t xml:space="preserve">SALIU IBRAHIM OKBAYODE </t>
  </si>
  <si>
    <t>BAYELSA STATE HIGHER EDUCATION TRUST FUND DEDUCTIONS FOR THE MONTH OF JANUARY, 2022</t>
  </si>
  <si>
    <t>ENGR. BOLOUIKIE KINDOM YERI</t>
  </si>
  <si>
    <t xml:space="preserve">0KOHU RANDY </t>
  </si>
  <si>
    <t>IGIRI TARENO KOKINOBO</t>
  </si>
  <si>
    <t xml:space="preserve">LYON SAMSON EBIPAKEBINA </t>
  </si>
  <si>
    <t xml:space="preserve">SOLOMON AMOS </t>
  </si>
  <si>
    <t>0042245033</t>
  </si>
  <si>
    <t>00703877267</t>
  </si>
  <si>
    <t>2O2899599</t>
  </si>
  <si>
    <t>0082081701</t>
  </si>
  <si>
    <t>004007109</t>
  </si>
  <si>
    <t>0124916837</t>
  </si>
  <si>
    <t>0240884151</t>
  </si>
  <si>
    <t>0022388785</t>
  </si>
  <si>
    <t>0470237314</t>
  </si>
  <si>
    <t>0572005974</t>
  </si>
  <si>
    <t>0115349910</t>
  </si>
  <si>
    <t>0043120476</t>
  </si>
  <si>
    <t>0232632503</t>
  </si>
  <si>
    <t>0006700093</t>
  </si>
  <si>
    <t>0058973588</t>
  </si>
  <si>
    <t>0120311107</t>
  </si>
  <si>
    <t>OO42245033</t>
  </si>
  <si>
    <t>0030970950</t>
  </si>
  <si>
    <t>0023776240</t>
  </si>
  <si>
    <t>0042434736</t>
  </si>
  <si>
    <t>0121199011</t>
  </si>
  <si>
    <t xml:space="preserve">UNION </t>
  </si>
  <si>
    <t>0029686697</t>
  </si>
  <si>
    <t>0471226355</t>
  </si>
  <si>
    <t>AKPOS  NAIFOU</t>
  </si>
  <si>
    <t>ONAH KONYEN DAIVID</t>
  </si>
  <si>
    <t>CLEVER TAMARAMIEBI</t>
  </si>
  <si>
    <t>0031486505</t>
  </si>
  <si>
    <t>BOB TIMIARIEMENE</t>
  </si>
  <si>
    <t>00734151441</t>
  </si>
  <si>
    <t>MOROYEI PREYE</t>
  </si>
  <si>
    <t>0071463541</t>
  </si>
  <si>
    <t>BOB TARE ABOYTO</t>
  </si>
  <si>
    <t>SOLOMON O COLLINS</t>
  </si>
  <si>
    <t>JACOB ASUEVIE DICK</t>
  </si>
  <si>
    <t>ZENITTH</t>
  </si>
  <si>
    <t>AJAERO CHIBUZO CHIAMAKA</t>
  </si>
  <si>
    <t>ONTIRI CHRISTABEL BOLUWADE</t>
  </si>
  <si>
    <t xml:space="preserve">OCHIAGHA KELVIN </t>
  </si>
  <si>
    <t>0558516630</t>
  </si>
  <si>
    <t xml:space="preserve">OKPARA CHIKEWADO DONALD </t>
  </si>
  <si>
    <t>AKOREDE MARY AINA</t>
  </si>
  <si>
    <t>0198820427</t>
  </si>
  <si>
    <t>ANTHONY NELSON</t>
  </si>
  <si>
    <t>0240483406</t>
  </si>
  <si>
    <t>NWANKWO IJEOMA OLUCHI</t>
  </si>
  <si>
    <t>ISAMOT PELUMI RACHAEL</t>
  </si>
  <si>
    <t>0233700529</t>
  </si>
  <si>
    <t>ADEDEJI EMMANUEL AYOTOMIWA</t>
  </si>
  <si>
    <t>0228322547</t>
  </si>
  <si>
    <t xml:space="preserve"> VICTUS AKUNNE CHINEDU</t>
  </si>
  <si>
    <t>ODUM ONYINYECHI</t>
  </si>
  <si>
    <t>EBGUONU SANDRA CHINEYE</t>
  </si>
  <si>
    <t>0490725745</t>
  </si>
  <si>
    <t>UGWUOKE EJIKE</t>
  </si>
  <si>
    <t>0242249312</t>
  </si>
  <si>
    <t>OZOEMENA IFEOMA JULIET</t>
  </si>
  <si>
    <t>LAWAL ZAINAB</t>
  </si>
  <si>
    <t>0160908865</t>
  </si>
  <si>
    <t>MARY DITONIPRE</t>
  </si>
  <si>
    <t>0054373025</t>
  </si>
  <si>
    <t>AKINTUJOYE DEBORAH FOLASOYO</t>
  </si>
  <si>
    <t>0167580707</t>
  </si>
  <si>
    <t>YUSUH ABOSEDE DAMILOLA</t>
  </si>
  <si>
    <t>0045375518</t>
  </si>
  <si>
    <t>0022850800</t>
  </si>
  <si>
    <t>0241166645</t>
  </si>
  <si>
    <t>0702268011</t>
  </si>
  <si>
    <t>0036144324</t>
  </si>
  <si>
    <t>22595928</t>
  </si>
  <si>
    <t>0033012364</t>
  </si>
  <si>
    <t>ECO BANK</t>
  </si>
  <si>
    <t>0128716640</t>
  </si>
  <si>
    <t>0016880078</t>
  </si>
  <si>
    <t>0023154990</t>
  </si>
  <si>
    <t>2212015265</t>
  </si>
  <si>
    <t>3034476285</t>
  </si>
  <si>
    <t>6320246143</t>
  </si>
  <si>
    <t>0014273089</t>
  </si>
  <si>
    <t>0014273090</t>
  </si>
  <si>
    <t>0021390019</t>
  </si>
  <si>
    <t>0042428816</t>
  </si>
  <si>
    <t>0054685407</t>
  </si>
  <si>
    <t>0084846265</t>
  </si>
  <si>
    <t>2O18539233</t>
  </si>
  <si>
    <t>2O49587562</t>
  </si>
  <si>
    <t>07766796400</t>
  </si>
  <si>
    <t>0005793921</t>
  </si>
  <si>
    <t>2104927438</t>
  </si>
  <si>
    <t>3053201996</t>
  </si>
  <si>
    <t>3053647648</t>
  </si>
  <si>
    <t>3034800200</t>
  </si>
  <si>
    <t>0042818432</t>
  </si>
  <si>
    <t>2023313893</t>
  </si>
  <si>
    <t>0034922498</t>
  </si>
  <si>
    <t>0026632465</t>
  </si>
  <si>
    <t>3011139772</t>
  </si>
  <si>
    <t>0029Q06273</t>
  </si>
  <si>
    <t>,0029206273</t>
  </si>
  <si>
    <t>2084526463</t>
  </si>
  <si>
    <t>22118373508</t>
  </si>
  <si>
    <t>0230252845</t>
  </si>
  <si>
    <t>3034656098</t>
  </si>
  <si>
    <t>0030662442</t>
  </si>
  <si>
    <t>0776601383</t>
  </si>
  <si>
    <t>158360019</t>
  </si>
  <si>
    <t>0071529885</t>
  </si>
  <si>
    <t>4045110013</t>
  </si>
  <si>
    <t>0812713633</t>
  </si>
  <si>
    <t>00717101104</t>
  </si>
  <si>
    <t>0078414103</t>
  </si>
  <si>
    <t>0158043152</t>
  </si>
  <si>
    <t>0072171511</t>
  </si>
  <si>
    <t>0071599190</t>
  </si>
  <si>
    <t>0071586563</t>
  </si>
  <si>
    <t>5151444010</t>
  </si>
  <si>
    <t>0031573102</t>
  </si>
  <si>
    <t>STANBI IBTC</t>
  </si>
  <si>
    <t>2038747420</t>
  </si>
  <si>
    <t>6170236860</t>
  </si>
  <si>
    <t>0157719469</t>
  </si>
  <si>
    <t>0022703779</t>
  </si>
  <si>
    <t>629313426</t>
  </si>
  <si>
    <t>0052073819</t>
  </si>
  <si>
    <t>0127445888</t>
  </si>
  <si>
    <t>000877736</t>
  </si>
  <si>
    <t>2478935016</t>
  </si>
  <si>
    <t>BANK SCHEDULE FOR THE MONTH OF JANUARY, 2022</t>
  </si>
  <si>
    <t>S/NO</t>
  </si>
  <si>
    <t>ACCOUNT NO</t>
  </si>
  <si>
    <t xml:space="preserve">DR.TORUPERE KOROYE </t>
  </si>
  <si>
    <t>ADEBAYO MOSUNMO OLUYINKA</t>
  </si>
  <si>
    <t>EDOR NGBEDE PETER</t>
  </si>
  <si>
    <t>0022990433</t>
  </si>
  <si>
    <t>NWANUA MEVIN CHUKWUMA</t>
  </si>
  <si>
    <t>BAYELSA STATE HEALHT INSURANCE SCHEME DEDUCTIONS FOR THE MONTH OF JANUARY, 2022</t>
  </si>
  <si>
    <t>DEPT OF ECONOMICS DEDUCTION FOR THE MONTH OF FEBRUARY, 2026</t>
  </si>
  <si>
    <t>SSANU DEDUCTIONS FOR THE MONTH OF FEBRUARY, 2026</t>
  </si>
  <si>
    <t>WOMAN FORUM DEDUCTIONS FOR THE MONTH OF FEBRUARY, 2026</t>
  </si>
  <si>
    <t>CO-OPERATIVE DEDUCTIONS FOR THE MONTH OF FEBRUARY, 2026</t>
  </si>
  <si>
    <t>FACULTY OF ARTS AND EDUCATION DEDUCTIONS FOR THE MONTH OF FEBRUARY, 2026</t>
  </si>
  <si>
    <t>FACULTY OF MANAGEMENT SCIENCES DEDUCTION FOR THE MONTH OF FEBRUARY, 2026</t>
  </si>
  <si>
    <t>NAAT DEDUCTIONS FOR THE MONTH OF FEBRUARY, 2026</t>
  </si>
  <si>
    <t>FACULTY OF BASIC AND APPLIED SCIENCE DEDUCTIONS FOR THE MONTH OF FEBRUARY, 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</si>
</sst>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_-* #,##0_-;\-* #,##0_-;_-* &quot;-&quot;??_-;_-@_-"/>
    <numFmt numFmtId="179" formatCode="_(* #,##0_);_(* \(#,##0\);_(* &quot;-&quot;??_);_(@_)"/>
  </numFmts>
  <fonts count="19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b/>
      <sz val="36"/>
      <color theme="1"/>
      <name val="Times New Roman"/>
      <charset val="134"/>
    </font>
    <font>
      <b/>
      <sz val="24"/>
      <color theme="1"/>
      <name val="Times New Roman"/>
      <charset val="134"/>
    </font>
    <font>
      <sz val="24"/>
      <color theme="1"/>
      <name val="Times New Roman"/>
      <charset val="134"/>
    </font>
    <font>
      <b/>
      <sz val="28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Times New Roman"/>
      <charset val="134"/>
    </font>
    <font>
      <sz val="26"/>
      <color theme="1"/>
      <name val="Times New Roman"/>
      <charset val="134"/>
    </font>
    <font>
      <b/>
      <sz val="28"/>
      <color theme="1"/>
      <name val="Times New Roman"/>
      <charset val="134"/>
    </font>
    <font>
      <b/>
      <sz val="16"/>
      <color theme="1"/>
      <name val="Times New Roman"/>
      <charset val="134"/>
    </font>
    <font>
      <sz val="11"/>
      <color theme="1" tint="0.149998474074526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36"/>
      <name val="Times New Roman"/>
      <charset val="134"/>
    </font>
    <font>
      <b/>
      <sz val="26"/>
      <name val="Times New Roman"/>
      <charset val="134"/>
    </font>
    <font>
      <b/>
      <sz val="24"/>
      <name val="Times New Roman"/>
      <charset val="134"/>
    </font>
    <font>
      <b/>
      <sz val="24"/>
      <color theme="1" tint="0.249977111117893"/>
      <name val="Times New Roman"/>
      <charset val="134"/>
    </font>
    <font>
      <b/>
      <sz val="36"/>
      <color theme="1" tint="0.149998474074526"/>
      <name val="Times New Roman"/>
      <charset val="134"/>
    </font>
    <font>
      <b/>
      <sz val="24"/>
      <color theme="1" tint="0.149998474074526"/>
      <name val="Times New Roman"/>
      <charset val="134"/>
    </font>
    <font>
      <b/>
      <sz val="28"/>
      <color theme="1" tint="0.149998474074526"/>
      <name val="Times New Roman"/>
      <charset val="134"/>
    </font>
    <font>
      <sz val="22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b/>
      <sz val="36"/>
      <color theme="1" tint="0.149998474074526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i/>
      <sz val="48"/>
      <color theme="1"/>
      <name val="Calibri"/>
      <charset val="134"/>
      <scheme val="minor"/>
    </font>
    <font>
      <b/>
      <sz val="36"/>
      <color theme="3" tint="0.349986266670736"/>
      <name val="Calibri"/>
      <charset val="134"/>
      <scheme val="minor"/>
    </font>
    <font>
      <b/>
      <sz val="36"/>
      <name val="Calibri"/>
      <charset val="134"/>
      <scheme val="minor"/>
    </font>
    <font>
      <b/>
      <sz val="26"/>
      <color theme="3" tint="0.349986266670736"/>
      <name val="Times New Roman"/>
      <charset val="134"/>
    </font>
    <font>
      <b/>
      <sz val="22"/>
      <color theme="3" tint="0.349986266670736"/>
      <name val="Times New Roman"/>
      <charset val="134"/>
    </font>
    <font>
      <b/>
      <sz val="20"/>
      <name val="Calibri"/>
      <charset val="134"/>
      <scheme val="minor"/>
    </font>
    <font>
      <b/>
      <sz val="36"/>
      <color theme="3" tint="0.349986266670736"/>
      <name val="Times New Roman"/>
      <charset val="134"/>
    </font>
    <font>
      <b/>
      <i/>
      <sz val="2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i/>
      <sz val="22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i/>
      <sz val="28"/>
      <color theme="1"/>
      <name val="Times New Roman"/>
      <charset val="134"/>
    </font>
    <font>
      <b/>
      <sz val="18"/>
      <color theme="1"/>
      <name val="Calibri"/>
      <charset val="134"/>
      <scheme val="minor"/>
    </font>
    <font>
      <b/>
      <i/>
      <sz val="26"/>
      <color theme="1"/>
      <name val="Times New Roman"/>
      <charset val="134"/>
    </font>
    <font>
      <b/>
      <i/>
      <sz val="20"/>
      <color theme="1"/>
      <name val="Times New Roman"/>
      <charset val="134"/>
    </font>
    <font>
      <b/>
      <i/>
      <sz val="24"/>
      <color theme="1"/>
      <name val="Times New Roman"/>
      <charset val="134"/>
    </font>
    <font>
      <b/>
      <i/>
      <sz val="36"/>
      <color theme="1"/>
      <name val="Times New Roman"/>
      <charset val="134"/>
    </font>
    <font>
      <i/>
      <sz val="24"/>
      <color theme="1"/>
      <name val="Times New Roman"/>
      <charset val="134"/>
    </font>
    <font>
      <sz val="14"/>
      <color rgb="FF66B101"/>
      <name val="Calibri"/>
      <charset val="134"/>
      <scheme val="minor"/>
    </font>
    <font>
      <b/>
      <sz val="28"/>
      <color rgb="FF66B101"/>
      <name val="Times New Roman"/>
      <charset val="134"/>
    </font>
    <font>
      <sz val="28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i/>
      <sz val="26"/>
      <color rgb="FF66B101"/>
      <name val="Times New Roman"/>
      <charset val="134"/>
    </font>
    <font>
      <b/>
      <sz val="20"/>
      <name val="Times New Roman"/>
      <charset val="134"/>
    </font>
    <font>
      <sz val="20"/>
      <name val="Times New Roman"/>
      <charset val="134"/>
    </font>
    <font>
      <b/>
      <i/>
      <sz val="30"/>
      <color theme="3"/>
      <name val="Times New Roman"/>
      <charset val="134"/>
    </font>
    <font>
      <b/>
      <i/>
      <sz val="30"/>
      <name val="Times New Roman"/>
      <charset val="134"/>
    </font>
    <font>
      <b/>
      <i/>
      <sz val="30"/>
      <color theme="1"/>
      <name val="Times New Roman"/>
      <charset val="134"/>
    </font>
    <font>
      <b/>
      <sz val="20"/>
      <color rgb="FF006600"/>
      <name val="Times New Roman"/>
      <charset val="134"/>
    </font>
    <font>
      <b/>
      <sz val="28"/>
      <color rgb="FF006600"/>
      <name val="Times New Roman"/>
      <charset val="134"/>
    </font>
    <font>
      <b/>
      <i/>
      <sz val="28"/>
      <color rgb="FF006600"/>
      <name val="Times New Roman"/>
      <charset val="134"/>
    </font>
    <font>
      <sz val="20"/>
      <color theme="2" tint="-0.899990844447157"/>
      <name val="Times New Roman"/>
      <charset val="134"/>
    </font>
    <font>
      <sz val="20"/>
      <color theme="1" tint="0.149998474074526"/>
      <name val="Times New Roman"/>
      <charset val="134"/>
    </font>
    <font>
      <b/>
      <sz val="20"/>
      <color theme="1" tint="0.499984740745262"/>
      <name val="Times New Roman"/>
      <charset val="134"/>
    </font>
    <font>
      <sz val="20"/>
      <color theme="1" tint="0.349986266670736"/>
      <name val="Times New Roman"/>
      <charset val="134"/>
    </font>
    <font>
      <b/>
      <sz val="20"/>
      <color theme="1" tint="0.349986266670736"/>
      <name val="Times New Roman"/>
      <charset val="134"/>
    </font>
    <font>
      <b/>
      <i/>
      <sz val="2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i/>
      <sz val="19"/>
      <color theme="1"/>
      <name val="Times New Roman"/>
      <charset val="134"/>
    </font>
    <font>
      <b/>
      <sz val="16"/>
      <name val="Times New Roman"/>
      <charset val="134"/>
    </font>
    <font>
      <sz val="16"/>
      <name val="Times New Roman"/>
      <charset val="134"/>
    </font>
    <font>
      <sz val="16"/>
      <color theme="1"/>
      <name val="Times New Roman"/>
      <charset val="134"/>
    </font>
    <font>
      <b/>
      <i/>
      <sz val="16"/>
      <color theme="1"/>
      <name val="Times New Roman"/>
      <charset val="134"/>
    </font>
    <font>
      <b/>
      <sz val="48"/>
      <color theme="1"/>
      <name val="Times New Roman"/>
      <charset val="134"/>
    </font>
    <font>
      <sz val="28"/>
      <color theme="1"/>
      <name val="Times New Roman"/>
      <charset val="134"/>
    </font>
    <font>
      <b/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name val="Calibri"/>
      <charset val="134"/>
      <scheme val="minor"/>
    </font>
    <font>
      <sz val="18"/>
      <name val="Calibri"/>
      <charset val="134"/>
      <scheme val="minor"/>
    </font>
    <font>
      <b/>
      <sz val="26"/>
      <name val="Calibri"/>
      <charset val="134"/>
      <scheme val="minor"/>
    </font>
    <font>
      <b/>
      <sz val="18"/>
      <color theme="1" tint="0.349986266670736"/>
      <name val="Calibri"/>
      <charset val="134"/>
      <scheme val="minor"/>
    </font>
    <font>
      <b/>
      <sz val="48"/>
      <name val="Calibri"/>
      <charset val="134"/>
      <scheme val="minor"/>
    </font>
    <font>
      <sz val="48"/>
      <color theme="1"/>
      <name val="Calibri"/>
      <charset val="134"/>
      <scheme val="minor"/>
    </font>
    <font>
      <sz val="20"/>
      <name val="Calibri"/>
      <charset val="134"/>
      <scheme val="minor"/>
    </font>
    <font>
      <b/>
      <sz val="18"/>
      <color theme="1" tint="0.249977111117893"/>
      <name val="Times Roman"/>
      <charset val="134"/>
    </font>
    <font>
      <b/>
      <sz val="20"/>
      <color theme="1" tint="0.249977111117893"/>
      <name val="Times Roman"/>
      <charset val="134"/>
    </font>
    <font>
      <b/>
      <sz val="18"/>
      <color theme="1"/>
      <name val="Times New Roman"/>
      <charset val="134"/>
    </font>
    <font>
      <b/>
      <sz val="22"/>
      <name val="Times New Roman"/>
      <charset val="134"/>
    </font>
    <font>
      <b/>
      <sz val="20"/>
      <name val="Arial"/>
      <charset val="134"/>
    </font>
    <font>
      <b/>
      <sz val="20"/>
      <color theme="1" tint="0.349986266670736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22"/>
      <color theme="1"/>
      <name val="Times New Roman"/>
      <charset val="134"/>
    </font>
    <font>
      <b/>
      <sz val="22"/>
      <color theme="3"/>
      <name val="Times New Roman"/>
      <charset val="134"/>
    </font>
    <font>
      <sz val="22"/>
      <color theme="1"/>
      <name val="Times New Roman"/>
      <charset val="134"/>
    </font>
    <font>
      <sz val="26"/>
      <color theme="1"/>
      <name val="Calibri"/>
      <charset val="134"/>
      <scheme val="minor"/>
    </font>
    <font>
      <sz val="26"/>
      <color theme="1" tint="0.249977111117893"/>
      <name val="Calibri"/>
      <charset val="134"/>
      <scheme val="minor"/>
    </font>
    <font>
      <sz val="26"/>
      <color rgb="FFFF0000"/>
      <name val="Calibri"/>
      <charset val="134"/>
      <scheme val="minor"/>
    </font>
    <font>
      <sz val="26"/>
      <name val="Calibri"/>
      <charset val="134"/>
      <scheme val="minor"/>
    </font>
    <font>
      <b/>
      <sz val="72"/>
      <name val="Times New Roman"/>
      <charset val="134"/>
    </font>
    <font>
      <b/>
      <sz val="48"/>
      <name val="Times New Roman"/>
      <charset val="134"/>
    </font>
    <font>
      <b/>
      <sz val="28"/>
      <name val="Times New Roman"/>
      <charset val="134"/>
    </font>
    <font>
      <sz val="36"/>
      <color theme="1"/>
      <name val="Times New Roman"/>
      <charset val="134"/>
    </font>
    <font>
      <sz val="48"/>
      <color theme="1"/>
      <name val="Times New Roman"/>
      <charset val="134"/>
    </font>
    <font>
      <b/>
      <sz val="36"/>
      <color theme="1" tint="0.249977111117893"/>
      <name val="Times New Roman"/>
      <charset val="134"/>
    </font>
    <font>
      <b/>
      <sz val="26"/>
      <color theme="1" tint="0.249977111117893"/>
      <name val="Times New Roman"/>
      <charset val="134"/>
    </font>
    <font>
      <b/>
      <sz val="28"/>
      <color theme="1" tint="0.249977111117893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26"/>
      <color rgb="FFFF0000"/>
      <name val="Times New Roman"/>
      <charset val="134"/>
    </font>
    <font>
      <sz val="11"/>
      <name val="Calibri"/>
      <charset val="134"/>
      <scheme val="minor"/>
    </font>
    <font>
      <b/>
      <sz val="28"/>
      <color theme="3" tint="0.349986266670736"/>
      <name val="Calibri"/>
      <charset val="134"/>
      <scheme val="minor"/>
    </font>
    <font>
      <sz val="36"/>
      <name val="Calibri"/>
      <charset val="134"/>
      <scheme val="minor"/>
    </font>
    <font>
      <b/>
      <sz val="28"/>
      <color theme="3" tint="0.349986266670736"/>
      <name val="Times New Roman"/>
      <charset val="134"/>
    </font>
    <font>
      <sz val="22"/>
      <name val="Times New Roman"/>
      <charset val="134"/>
    </font>
    <font>
      <sz val="24"/>
      <color theme="1"/>
      <name val="Tahoma"/>
      <charset val="134"/>
    </font>
    <font>
      <sz val="28"/>
      <color theme="3" tint="0.349986266670736"/>
      <name val="Calibri"/>
      <charset val="134"/>
      <scheme val="minor"/>
    </font>
    <font>
      <sz val="26"/>
      <name val="Times New Roman"/>
      <charset val="134"/>
    </font>
    <font>
      <sz val="36"/>
      <color theme="1"/>
      <name val="Calibri"/>
      <charset val="134"/>
      <scheme val="minor"/>
    </font>
    <font>
      <b/>
      <i/>
      <sz val="36"/>
      <color theme="1"/>
      <name val="Calibri"/>
      <charset val="134"/>
      <scheme val="minor"/>
    </font>
    <font>
      <b/>
      <sz val="28"/>
      <name val="Calibri"/>
      <charset val="134"/>
      <scheme val="minor"/>
    </font>
    <font>
      <b/>
      <i/>
      <sz val="72"/>
      <name val="Times New Roman"/>
      <charset val="134"/>
    </font>
    <font>
      <b/>
      <sz val="26"/>
      <color rgb="FF0066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 tint="0.149998474074526"/>
      <name val="Calibri"/>
      <charset val="134"/>
      <scheme val="minor"/>
    </font>
    <font>
      <b/>
      <sz val="11"/>
      <color theme="1" tint="0.249977111117893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24"/>
      <name val="Calibri"/>
      <charset val="134"/>
      <scheme val="minor"/>
    </font>
    <font>
      <b/>
      <sz val="1"/>
      <name val="Bahnschrift SemiBold"/>
      <charset val="134"/>
    </font>
    <font>
      <b/>
      <sz val="9"/>
      <name val="Calibri"/>
      <charset val="134"/>
      <scheme val="minor"/>
    </font>
    <font>
      <b/>
      <strike/>
      <sz val="36"/>
      <name val="Calibri"/>
      <charset val="134"/>
      <scheme val="minor"/>
    </font>
    <font>
      <b/>
      <sz val="26"/>
      <color theme="1" tint="0.149998474074526"/>
      <name val="Calibri"/>
      <charset val="134"/>
      <scheme val="minor"/>
    </font>
    <font>
      <b/>
      <sz val="24"/>
      <color theme="1" tint="0.149998474074526"/>
      <name val="Calibri"/>
      <charset val="134"/>
      <scheme val="minor"/>
    </font>
    <font>
      <b/>
      <sz val="36"/>
      <color theme="1" tint="0.249977111117893"/>
      <name val="Calibri"/>
      <charset val="134"/>
      <scheme val="minor"/>
    </font>
    <font>
      <b/>
      <sz val="26"/>
      <color theme="1" tint="0.249977111117893"/>
      <name val="Calibri"/>
      <charset val="134"/>
      <scheme val="minor"/>
    </font>
    <font>
      <b/>
      <sz val="24"/>
      <color theme="1" tint="0.249977111117893"/>
      <name val="Calibri"/>
      <charset val="134"/>
      <scheme val="minor"/>
    </font>
    <font>
      <b/>
      <sz val="36"/>
      <color rgb="FFFF0000"/>
      <name val="Calibri"/>
      <charset val="134"/>
      <scheme val="minor"/>
    </font>
    <font>
      <b/>
      <sz val="72"/>
      <name val="Calibri"/>
      <charset val="134"/>
      <scheme val="minor"/>
    </font>
    <font>
      <b/>
      <i/>
      <sz val="48"/>
      <name val="Calibri"/>
      <charset val="134"/>
      <scheme val="minor"/>
    </font>
    <font>
      <b/>
      <i/>
      <sz val="36"/>
      <name val="Calibri"/>
      <charset val="134"/>
      <scheme val="minor"/>
    </font>
    <font>
      <b/>
      <sz val="36"/>
      <color rgb="FFFF0000"/>
      <name val="Times New Roman"/>
      <charset val="134"/>
    </font>
    <font>
      <b/>
      <sz val="16"/>
      <name val="Calibri"/>
      <charset val="134"/>
      <scheme val="minor"/>
    </font>
    <font>
      <b/>
      <sz val="22"/>
      <name val="Calibri"/>
      <charset val="134"/>
      <scheme val="minor"/>
    </font>
    <font>
      <b/>
      <sz val="26"/>
      <color rgb="FFFF0000"/>
      <name val="Calibri"/>
      <charset val="134"/>
      <scheme val="minor"/>
    </font>
    <font>
      <b/>
      <sz val="24"/>
      <color rgb="FFFF0000"/>
      <name val="Calibri"/>
      <charset val="134"/>
      <scheme val="minor"/>
    </font>
    <font>
      <b/>
      <sz val="18"/>
      <name val="Times New Roman"/>
      <charset val="134"/>
    </font>
    <font>
      <b/>
      <sz val="18"/>
      <color theme="1" tint="0.249977111117893"/>
      <name val="Times New Roman"/>
      <charset val="134"/>
    </font>
    <font>
      <sz val="18"/>
      <color theme="1"/>
      <name val="Times New Roman"/>
      <charset val="134"/>
    </font>
    <font>
      <b/>
      <sz val="20"/>
      <color theme="1" tint="0.149998474074526"/>
      <name val="Times New Roman"/>
      <charset val="134"/>
    </font>
    <font>
      <b/>
      <sz val="20"/>
      <color theme="1" tint="0.249977111117893"/>
      <name val="Times New Roman"/>
      <charset val="134"/>
    </font>
    <font>
      <sz val="18"/>
      <name val="Times New Roman"/>
      <charset val="134"/>
    </font>
    <font>
      <b/>
      <sz val="18"/>
      <color theme="1" tint="0.249977111117893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i/>
      <sz val="48"/>
      <name val="Times New Roman"/>
      <charset val="134"/>
    </font>
    <font>
      <b/>
      <i/>
      <sz val="22"/>
      <name val="Times New Roman"/>
      <charset val="134"/>
    </font>
    <font>
      <b/>
      <i/>
      <sz val="28"/>
      <name val="Times New Roman"/>
      <charset val="134"/>
    </font>
    <font>
      <sz val="22"/>
      <name val="Calibri"/>
      <charset val="134"/>
      <scheme val="minor"/>
    </font>
    <font>
      <b/>
      <sz val="20"/>
      <name val="Al Bayan Plain"/>
      <charset val="134"/>
    </font>
    <font>
      <b/>
      <i/>
      <sz val="48"/>
      <color theme="1" tint="0.149998474074526"/>
      <name val="Times New Roman"/>
      <charset val="134"/>
    </font>
    <font>
      <b/>
      <sz val="20"/>
      <color rgb="FF00B050"/>
      <name val="Times New Roman"/>
      <charset val="134"/>
    </font>
    <font>
      <b/>
      <i/>
      <sz val="48"/>
      <color theme="1" tint="0.249977111117893"/>
      <name val="Times New Roman"/>
      <charset val="134"/>
    </font>
    <font>
      <b/>
      <sz val="22"/>
      <color theme="1" tint="0.249977111117893"/>
      <name val="Times New Roman"/>
      <charset val="134"/>
    </font>
    <font>
      <b/>
      <i/>
      <sz val="20"/>
      <name val="Times New Roman"/>
      <charset val="134"/>
    </font>
    <font>
      <b/>
      <sz val="20"/>
      <color theme="1" tint="0.249977111117893"/>
      <name val="Calibri"/>
      <charset val="134"/>
      <scheme val="minor"/>
    </font>
    <font>
      <b/>
      <sz val="22"/>
      <color theme="1" tint="0.149998474074526"/>
      <name val="Times New Roman"/>
      <charset val="134"/>
    </font>
    <font>
      <b/>
      <sz val="14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20"/>
      <color rgb="FFFF0000"/>
      <name val="Times New Roman"/>
      <charset val="134"/>
    </font>
    <font>
      <b/>
      <sz val="22"/>
      <color rgb="FFFF0000"/>
      <name val="Times New Roman"/>
      <charset val="134"/>
    </font>
    <font>
      <b/>
      <sz val="28"/>
      <color rgb="FFFF0000"/>
      <name val="Times New Roman"/>
      <charset val="134"/>
    </font>
    <font>
      <b/>
      <sz val="24"/>
      <color rgb="FFFF0000"/>
      <name val="Times New Roman"/>
      <charset val="134"/>
    </font>
    <font>
      <b/>
      <sz val="14"/>
      <color theme="1" tint="0.149998474074526"/>
      <name val="Calibri"/>
      <charset val="134"/>
      <scheme val="minor"/>
    </font>
    <font>
      <b/>
      <sz val="14"/>
      <color theme="1" tint="0.24997711111789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B1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17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174" fillId="0" borderId="0" applyFont="0" applyFill="0" applyBorder="0" applyAlignment="0" applyProtection="0">
      <alignment vertical="center"/>
    </xf>
    <xf numFmtId="42" fontId="174" fillId="0" borderId="0" applyFont="0" applyFill="0" applyBorder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0" borderId="0" applyNumberFormat="0" applyFill="0" applyBorder="0" applyAlignment="0" applyProtection="0">
      <alignment vertical="center"/>
    </xf>
    <xf numFmtId="0" fontId="174" fillId="12" borderId="46" applyNumberFormat="0" applyFont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47" applyNumberFormat="0" applyFill="0" applyAlignment="0" applyProtection="0">
      <alignment vertical="center"/>
    </xf>
    <xf numFmtId="0" fontId="181" fillId="0" borderId="47" applyNumberFormat="0" applyFill="0" applyAlignment="0" applyProtection="0">
      <alignment vertical="center"/>
    </xf>
    <xf numFmtId="0" fontId="182" fillId="0" borderId="48" applyNumberFormat="0" applyFill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13" borderId="49" applyNumberFormat="0" applyAlignment="0" applyProtection="0">
      <alignment vertical="center"/>
    </xf>
    <xf numFmtId="0" fontId="184" fillId="14" borderId="50" applyNumberFormat="0" applyAlignment="0" applyProtection="0">
      <alignment vertical="center"/>
    </xf>
    <xf numFmtId="0" fontId="185" fillId="14" borderId="49" applyNumberFormat="0" applyAlignment="0" applyProtection="0">
      <alignment vertical="center"/>
    </xf>
    <xf numFmtId="0" fontId="186" fillId="15" borderId="51" applyNumberFormat="0" applyAlignment="0" applyProtection="0">
      <alignment vertical="center"/>
    </xf>
    <xf numFmtId="0" fontId="187" fillId="0" borderId="52" applyNumberFormat="0" applyFill="0" applyAlignment="0" applyProtection="0">
      <alignment vertical="center"/>
    </xf>
    <xf numFmtId="0" fontId="188" fillId="0" borderId="53" applyNumberFormat="0" applyFill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90" fillId="17" borderId="0" applyNumberFormat="0" applyBorder="0" applyAlignment="0" applyProtection="0">
      <alignment vertical="center"/>
    </xf>
    <xf numFmtId="0" fontId="191" fillId="18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1" borderId="0" applyNumberFormat="0" applyBorder="0" applyAlignment="0" applyProtection="0">
      <alignment vertical="center"/>
    </xf>
    <xf numFmtId="0" fontId="192" fillId="22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5" borderId="0" applyNumberFormat="0" applyBorder="0" applyAlignment="0" applyProtection="0">
      <alignment vertical="center"/>
    </xf>
    <xf numFmtId="0" fontId="192" fillId="26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29" borderId="0" applyNumberFormat="0" applyBorder="0" applyAlignment="0" applyProtection="0">
      <alignment vertical="center"/>
    </xf>
    <xf numFmtId="0" fontId="192" fillId="30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3" fillId="33" borderId="0" applyNumberFormat="0" applyBorder="0" applyAlignment="0" applyProtection="0">
      <alignment vertical="center"/>
    </xf>
    <xf numFmtId="0" fontId="192" fillId="34" borderId="0" applyNumberFormat="0" applyBorder="0" applyAlignment="0" applyProtection="0">
      <alignment vertical="center"/>
    </xf>
    <xf numFmtId="0" fontId="192" fillId="35" borderId="0" applyNumberFormat="0" applyBorder="0" applyAlignment="0" applyProtection="0">
      <alignment vertical="center"/>
    </xf>
    <xf numFmtId="0" fontId="193" fillId="36" borderId="0" applyNumberFormat="0" applyBorder="0" applyAlignment="0" applyProtection="0">
      <alignment vertical="center"/>
    </xf>
    <xf numFmtId="0" fontId="193" fillId="37" borderId="0" applyNumberFormat="0" applyBorder="0" applyAlignment="0" applyProtection="0">
      <alignment vertical="center"/>
    </xf>
    <xf numFmtId="0" fontId="192" fillId="38" borderId="0" applyNumberFormat="0" applyBorder="0" applyAlignment="0" applyProtection="0">
      <alignment vertical="center"/>
    </xf>
    <xf numFmtId="0" fontId="192" fillId="39" borderId="0" applyNumberFormat="0" applyBorder="0" applyAlignment="0" applyProtection="0">
      <alignment vertical="center"/>
    </xf>
    <xf numFmtId="0" fontId="193" fillId="40" borderId="0" applyNumberFormat="0" applyBorder="0" applyAlignment="0" applyProtection="0">
      <alignment vertical="center"/>
    </xf>
    <xf numFmtId="0" fontId="193" fillId="41" borderId="0" applyNumberFormat="0" applyBorder="0" applyAlignment="0" applyProtection="0">
      <alignment vertical="center"/>
    </xf>
    <xf numFmtId="0" fontId="192" fillId="42" borderId="0" applyNumberFormat="0" applyBorder="0" applyAlignment="0" applyProtection="0">
      <alignment vertical="center"/>
    </xf>
    <xf numFmtId="43" fontId="194" fillId="0" borderId="0" applyFont="0" applyFill="0" applyBorder="0" applyAlignment="0" applyProtection="0"/>
    <xf numFmtId="0" fontId="194" fillId="0" borderId="0"/>
    <xf numFmtId="0" fontId="194" fillId="0" borderId="0"/>
  </cellStyleXfs>
  <cellXfs count="14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43" fontId="2" fillId="0" borderId="1" xfId="1" applyFont="1" applyBorder="1"/>
    <xf numFmtId="4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3" fontId="5" fillId="0" borderId="1" xfId="1" applyFont="1" applyBorder="1"/>
    <xf numFmtId="0" fontId="7" fillId="2" borderId="0" xfId="0" applyFont="1" applyFill="1" applyAlignment="1">
      <alignment horizontal="center"/>
    </xf>
    <xf numFmtId="43" fontId="7" fillId="2" borderId="0" xfId="0" applyNumberFormat="1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/>
    <xf numFmtId="43" fontId="12" fillId="0" borderId="1" xfId="1" applyFont="1" applyBorder="1"/>
    <xf numFmtId="0" fontId="13" fillId="0" borderId="1" xfId="0" applyFont="1" applyBorder="1"/>
    <xf numFmtId="0" fontId="4" fillId="0" borderId="1" xfId="0" applyFont="1" applyBorder="1" applyAlignment="1">
      <alignment horizontal="center"/>
    </xf>
    <xf numFmtId="43" fontId="4" fillId="0" borderId="1" xfId="0" applyNumberFormat="1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7" fillId="0" borderId="0" xfId="0" applyFont="1"/>
    <xf numFmtId="0" fontId="12" fillId="0" borderId="2" xfId="0" applyFont="1" applyBorder="1" applyAlignment="1">
      <alignment horizontal="center" wrapText="1"/>
    </xf>
    <xf numFmtId="0" fontId="16" fillId="0" borderId="1" xfId="0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center" wrapText="1"/>
      <protection locked="0"/>
    </xf>
    <xf numFmtId="0" fontId="12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43" fontId="12" fillId="0" borderId="1" xfId="1" applyFont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43" fontId="12" fillId="0" borderId="1" xfId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43" fontId="22" fillId="0" borderId="1" xfId="1" applyFont="1" applyFill="1" applyBorder="1" applyAlignment="1">
      <alignment vertical="center"/>
    </xf>
    <xf numFmtId="0" fontId="4" fillId="0" borderId="1" xfId="0" applyFont="1" applyBorder="1"/>
    <xf numFmtId="43" fontId="12" fillId="0" borderId="1" xfId="0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/>
    <xf numFmtId="43" fontId="25" fillId="0" borderId="1" xfId="1" applyFont="1" applyBorder="1"/>
    <xf numFmtId="0" fontId="26" fillId="0" borderId="1" xfId="0" applyFont="1" applyBorder="1" applyAlignment="1">
      <alignment horizontal="center"/>
    </xf>
    <xf numFmtId="43" fontId="2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7" fillId="0" borderId="0" xfId="0" applyFont="1"/>
    <xf numFmtId="0" fontId="24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/>
    <xf numFmtId="43" fontId="27" fillId="0" borderId="1" xfId="1" applyFont="1" applyBorder="1"/>
    <xf numFmtId="0" fontId="27" fillId="0" borderId="1" xfId="0" applyFont="1" applyBorder="1"/>
    <xf numFmtId="43" fontId="27" fillId="0" borderId="1" xfId="0" applyNumberFormat="1" applyFont="1" applyBorder="1"/>
    <xf numFmtId="0" fontId="15" fillId="0" borderId="0" xfId="0" applyFont="1" applyAlignment="1">
      <alignment horizontal="center" wrapText="1"/>
    </xf>
    <xf numFmtId="0" fontId="24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24" fillId="0" borderId="0" xfId="0" applyFont="1"/>
    <xf numFmtId="0" fontId="30" fillId="3" borderId="2" xfId="0" applyFont="1" applyFill="1" applyBorder="1" applyAlignment="1">
      <alignment horizontal="center" wrapText="1"/>
    </xf>
    <xf numFmtId="0" fontId="31" fillId="0" borderId="1" xfId="0" applyFont="1" applyBorder="1" applyAlignment="1" applyProtection="1">
      <alignment horizontal="center"/>
      <protection locked="0"/>
    </xf>
    <xf numFmtId="0" fontId="32" fillId="0" borderId="1" xfId="0" applyFont="1" applyBorder="1" applyAlignment="1" applyProtection="1">
      <alignment horizontal="center" wrapText="1"/>
      <protection locked="0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 wrapText="1"/>
    </xf>
    <xf numFmtId="43" fontId="10" fillId="0" borderId="1" xfId="1" applyFont="1" applyBorder="1" applyAlignment="1">
      <alignment vertical="center"/>
    </xf>
    <xf numFmtId="0" fontId="35" fillId="0" borderId="1" xfId="0" applyFont="1" applyBorder="1" applyAlignment="1">
      <alignment horizontal="left" vertical="center" wrapText="1"/>
    </xf>
    <xf numFmtId="0" fontId="10" fillId="0" borderId="1" xfId="0" applyFont="1" applyBorder="1"/>
    <xf numFmtId="0" fontId="36" fillId="0" borderId="1" xfId="0" applyFont="1" applyBorder="1" applyAlignment="1">
      <alignment horizontal="center" vertical="center" wrapText="1"/>
    </xf>
    <xf numFmtId="43" fontId="4" fillId="0" borderId="1" xfId="0" applyNumberFormat="1" applyFont="1" applyBorder="1"/>
    <xf numFmtId="0" fontId="37" fillId="0" borderId="0" xfId="0" applyFont="1" applyAlignment="1">
      <alignment horizontal="center"/>
    </xf>
    <xf numFmtId="0" fontId="38" fillId="0" borderId="0" xfId="0" applyFont="1"/>
    <xf numFmtId="0" fontId="37" fillId="2" borderId="0" xfId="0" applyFont="1" applyFill="1" applyAlignment="1">
      <alignment horizontal="center" wrapText="1"/>
    </xf>
    <xf numFmtId="0" fontId="37" fillId="2" borderId="3" xfId="0" applyFont="1" applyFill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9" fillId="0" borderId="3" xfId="0" applyFont="1" applyBorder="1" applyAlignment="1">
      <alignment horizontal="left"/>
    </xf>
    <xf numFmtId="43" fontId="29" fillId="0" borderId="3" xfId="1" applyFont="1" applyBorder="1" applyAlignment="1">
      <alignment horizontal="left"/>
    </xf>
    <xf numFmtId="43" fontId="28" fillId="0" borderId="3" xfId="1" applyFont="1" applyBorder="1" applyAlignment="1">
      <alignment horizontal="left"/>
    </xf>
    <xf numFmtId="0" fontId="39" fillId="2" borderId="4" xfId="0" applyFont="1" applyFill="1" applyBorder="1"/>
    <xf numFmtId="0" fontId="39" fillId="2" borderId="3" xfId="0" applyFont="1" applyFill="1" applyBorder="1"/>
    <xf numFmtId="43" fontId="39" fillId="2" borderId="3" xfId="1" applyFont="1" applyFill="1" applyBorder="1"/>
    <xf numFmtId="0" fontId="40" fillId="2" borderId="5" xfId="0" applyFont="1" applyFill="1" applyBorder="1"/>
    <xf numFmtId="0" fontId="41" fillId="2" borderId="5" xfId="0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29" fillId="0" borderId="3" xfId="0" applyFont="1" applyBorder="1"/>
    <xf numFmtId="43" fontId="29" fillId="0" borderId="3" xfId="1" applyFont="1" applyBorder="1"/>
    <xf numFmtId="43" fontId="28" fillId="0" borderId="3" xfId="1" applyFont="1" applyBorder="1"/>
    <xf numFmtId="43" fontId="39" fillId="2" borderId="3" xfId="0" applyNumberFormat="1" applyFont="1" applyFill="1" applyBorder="1"/>
    <xf numFmtId="0" fontId="23" fillId="2" borderId="0" xfId="0" applyFont="1" applyFill="1"/>
    <xf numFmtId="0" fontId="40" fillId="0" borderId="0" xfId="0" applyFont="1"/>
    <xf numFmtId="0" fontId="43" fillId="0" borderId="0" xfId="0" applyFont="1" applyAlignment="1">
      <alignment horizontal="center"/>
    </xf>
    <xf numFmtId="0" fontId="44" fillId="0" borderId="6" xfId="0" applyFont="1" applyBorder="1" applyAlignment="1">
      <alignment horizontal="center"/>
    </xf>
    <xf numFmtId="0" fontId="2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43" fontId="2" fillId="0" borderId="6" xfId="1" applyFont="1" applyBorder="1"/>
    <xf numFmtId="0" fontId="2" fillId="0" borderId="3" xfId="0" applyFont="1" applyBorder="1"/>
    <xf numFmtId="0" fontId="45" fillId="0" borderId="3" xfId="0" applyFont="1" applyBorder="1" applyAlignment="1">
      <alignment horizontal="center"/>
    </xf>
    <xf numFmtId="0" fontId="45" fillId="0" borderId="3" xfId="0" applyFont="1" applyBorder="1"/>
    <xf numFmtId="43" fontId="45" fillId="0" borderId="3" xfId="0" applyNumberFormat="1" applyFont="1" applyBorder="1"/>
    <xf numFmtId="0" fontId="46" fillId="0" borderId="7" xfId="0" applyFont="1" applyBorder="1" applyAlignment="1">
      <alignment horizontal="center"/>
    </xf>
    <xf numFmtId="0" fontId="46" fillId="0" borderId="8" xfId="0" applyFont="1" applyBorder="1" applyAlignment="1">
      <alignment horizontal="center"/>
    </xf>
    <xf numFmtId="0" fontId="46" fillId="0" borderId="9" xfId="0" applyFont="1" applyBorder="1" applyAlignment="1">
      <alignment horizontal="center"/>
    </xf>
    <xf numFmtId="0" fontId="2" fillId="0" borderId="10" xfId="0" applyFont="1" applyBorder="1"/>
    <xf numFmtId="0" fontId="3" fillId="0" borderId="10" xfId="0" applyFont="1" applyBorder="1"/>
    <xf numFmtId="0" fontId="3" fillId="0" borderId="10" xfId="0" applyFont="1" applyBorder="1" applyAlignment="1">
      <alignment horizontal="center"/>
    </xf>
    <xf numFmtId="43" fontId="2" fillId="0" borderId="10" xfId="1" applyFont="1" applyBorder="1"/>
    <xf numFmtId="0" fontId="47" fillId="0" borderId="6" xfId="0" applyFont="1" applyBorder="1" applyAlignment="1">
      <alignment horizontal="center"/>
    </xf>
    <xf numFmtId="0" fontId="47" fillId="0" borderId="6" xfId="0" applyFont="1" applyBorder="1"/>
    <xf numFmtId="43" fontId="47" fillId="0" borderId="6" xfId="0" applyNumberFormat="1" applyFont="1" applyBorder="1"/>
    <xf numFmtId="0" fontId="44" fillId="0" borderId="6" xfId="0" applyFont="1" applyBorder="1"/>
    <xf numFmtId="43" fontId="45" fillId="0" borderId="6" xfId="0" applyNumberFormat="1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9" fillId="0" borderId="6" xfId="0" applyFont="1" applyBorder="1"/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43" fontId="5" fillId="0" borderId="6" xfId="0" applyNumberFormat="1" applyFont="1" applyBorder="1"/>
    <xf numFmtId="0" fontId="49" fillId="0" borderId="11" xfId="0" applyFont="1" applyBorder="1"/>
    <xf numFmtId="0" fontId="5" fillId="0" borderId="11" xfId="0" applyFont="1" applyBorder="1" applyAlignment="1">
      <alignment horizontal="center"/>
    </xf>
    <xf numFmtId="0" fontId="5" fillId="0" borderId="11" xfId="0" applyFont="1" applyBorder="1"/>
    <xf numFmtId="43" fontId="5" fillId="0" borderId="11" xfId="0" applyNumberFormat="1" applyFont="1" applyBorder="1"/>
    <xf numFmtId="0" fontId="50" fillId="0" borderId="0" xfId="0" applyFont="1"/>
    <xf numFmtId="0" fontId="51" fillId="0" borderId="0" xfId="0" applyFont="1"/>
    <xf numFmtId="0" fontId="52" fillId="2" borderId="0" xfId="0" applyFont="1" applyFill="1" applyAlignment="1">
      <alignment horizontal="center"/>
    </xf>
    <xf numFmtId="0" fontId="53" fillId="0" borderId="3" xfId="0" applyFont="1" applyBorder="1" applyAlignment="1">
      <alignment horizontal="center" vertical="center" wrapText="1"/>
    </xf>
    <xf numFmtId="49" fontId="53" fillId="0" borderId="3" xfId="0" applyNumberFormat="1" applyFont="1" applyBorder="1" applyAlignment="1">
      <alignment horizontal="center" vertical="center" wrapText="1"/>
    </xf>
    <xf numFmtId="0" fontId="54" fillId="0" borderId="3" xfId="0" applyFont="1" applyBorder="1" applyAlignment="1">
      <alignment horizontal="center" vertical="center"/>
    </xf>
    <xf numFmtId="43" fontId="2" fillId="0" borderId="3" xfId="1" applyFont="1" applyBorder="1" applyAlignment="1"/>
    <xf numFmtId="0" fontId="54" fillId="4" borderId="3" xfId="0" applyFont="1" applyFill="1" applyBorder="1" applyAlignment="1">
      <alignment horizontal="center" vertical="center"/>
    </xf>
    <xf numFmtId="1" fontId="54" fillId="0" borderId="3" xfId="0" applyNumberFormat="1" applyFont="1" applyBorder="1" applyAlignment="1">
      <alignment horizontal="center" vertical="center"/>
    </xf>
    <xf numFmtId="0" fontId="54" fillId="4" borderId="3" xfId="0" applyFont="1" applyFill="1" applyBorder="1" applyAlignment="1">
      <alignment horizontal="center" vertical="center" wrapText="1"/>
    </xf>
    <xf numFmtId="1" fontId="54" fillId="4" borderId="3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 wrapText="1"/>
    </xf>
    <xf numFmtId="49" fontId="55" fillId="0" borderId="3" xfId="0" applyNumberFormat="1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/>
    </xf>
    <xf numFmtId="43" fontId="55" fillId="0" borderId="3" xfId="1" applyFont="1" applyFill="1" applyBorder="1" applyAlignment="1"/>
    <xf numFmtId="49" fontId="56" fillId="0" borderId="12" xfId="0" applyNumberFormat="1" applyFont="1" applyBorder="1" applyAlignment="1">
      <alignment horizontal="center" vertical="center" wrapText="1"/>
    </xf>
    <xf numFmtId="0" fontId="57" fillId="0" borderId="0" xfId="0" applyFont="1"/>
    <xf numFmtId="0" fontId="53" fillId="0" borderId="13" xfId="0" applyFont="1" applyBorder="1" applyAlignment="1">
      <alignment horizontal="center" vertical="center" wrapText="1"/>
    </xf>
    <xf numFmtId="0" fontId="54" fillId="4" borderId="7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49" fontId="53" fillId="0" borderId="3" xfId="51" applyNumberFormat="1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/>
    </xf>
    <xf numFmtId="49" fontId="2" fillId="0" borderId="3" xfId="5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49" fontId="53" fillId="0" borderId="4" xfId="51" applyNumberFormat="1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/>
    </xf>
    <xf numFmtId="0" fontId="54" fillId="0" borderId="14" xfId="0" applyFont="1" applyBorder="1" applyAlignment="1">
      <alignment horizontal="center" vertical="center"/>
    </xf>
    <xf numFmtId="43" fontId="2" fillId="0" borderId="15" xfId="1" applyFont="1" applyBorder="1" applyAlignment="1">
      <alignment horizontal="center"/>
    </xf>
    <xf numFmtId="0" fontId="58" fillId="0" borderId="1" xfId="0" applyFont="1" applyBorder="1"/>
    <xf numFmtId="0" fontId="59" fillId="0" borderId="1" xfId="0" applyFont="1" applyBorder="1" applyAlignment="1">
      <alignment horizontal="center"/>
    </xf>
    <xf numFmtId="0" fontId="59" fillId="0" borderId="1" xfId="0" applyFont="1" applyBorder="1"/>
    <xf numFmtId="43" fontId="59" fillId="0" borderId="1" xfId="0" applyNumberFormat="1" applyFont="1" applyBorder="1"/>
    <xf numFmtId="0" fontId="60" fillId="0" borderId="16" xfId="0" applyFont="1" applyBorder="1" applyAlignment="1">
      <alignment horizontal="center"/>
    </xf>
    <xf numFmtId="0" fontId="60" fillId="0" borderId="17" xfId="0" applyFont="1" applyBorder="1"/>
    <xf numFmtId="0" fontId="60" fillId="0" borderId="18" xfId="0" applyFont="1" applyBorder="1"/>
    <xf numFmtId="0" fontId="2" fillId="0" borderId="1" xfId="0" applyFont="1" applyBorder="1"/>
    <xf numFmtId="0" fontId="61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left"/>
    </xf>
    <xf numFmtId="49" fontId="54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62" fillId="0" borderId="1" xfId="0" applyNumberFormat="1" applyFont="1" applyBorder="1" applyAlignment="1">
      <alignment horizontal="center" vertical="center" wrapText="1"/>
    </xf>
    <xf numFmtId="49" fontId="61" fillId="0" borderId="1" xfId="0" applyNumberFormat="1" applyFont="1" applyBorder="1" applyAlignment="1">
      <alignment horizontal="center" vertical="center" wrapText="1"/>
    </xf>
    <xf numFmtId="49" fontId="63" fillId="0" borderId="1" xfId="0" applyNumberFormat="1" applyFont="1" applyBorder="1" applyAlignment="1">
      <alignment horizontal="center" vertical="center" wrapText="1"/>
    </xf>
    <xf numFmtId="49" fontId="54" fillId="0" borderId="1" xfId="0" applyNumberFormat="1" applyFont="1" applyBorder="1" applyAlignment="1">
      <alignment horizontal="center" vertical="center"/>
    </xf>
    <xf numFmtId="49" fontId="64" fillId="0" borderId="1" xfId="0" applyNumberFormat="1" applyFont="1" applyBorder="1" applyAlignment="1">
      <alignment horizontal="center" vertical="center" wrapText="1"/>
    </xf>
    <xf numFmtId="49" fontId="6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left"/>
    </xf>
    <xf numFmtId="0" fontId="58" fillId="0" borderId="1" xfId="0" applyFont="1" applyBorder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4" fillId="5" borderId="1" xfId="0" applyFont="1" applyFill="1" applyBorder="1"/>
    <xf numFmtId="43" fontId="44" fillId="5" borderId="1" xfId="0" applyNumberFormat="1" applyFont="1" applyFill="1" applyBorder="1"/>
    <xf numFmtId="43" fontId="44" fillId="5" borderId="1" xfId="0" applyNumberFormat="1" applyFont="1" applyFill="1" applyBorder="1" applyAlignment="1">
      <alignment horizontal="center"/>
    </xf>
    <xf numFmtId="0" fontId="66" fillId="5" borderId="7" xfId="0" applyFont="1" applyFill="1" applyBorder="1" applyAlignment="1">
      <alignment horizontal="center" wrapText="1"/>
    </xf>
    <xf numFmtId="0" fontId="66" fillId="5" borderId="8" xfId="0" applyFont="1" applyFill="1" applyBorder="1" applyAlignment="1">
      <alignment horizontal="center" wrapText="1"/>
    </xf>
    <xf numFmtId="0" fontId="66" fillId="5" borderId="9" xfId="0" applyFont="1" applyFill="1" applyBorder="1" applyAlignment="1">
      <alignment horizontal="center" wrapText="1"/>
    </xf>
    <xf numFmtId="0" fontId="67" fillId="0" borderId="3" xfId="0" applyFont="1" applyBorder="1"/>
    <xf numFmtId="0" fontId="67" fillId="0" borderId="3" xfId="0" applyFont="1" applyBorder="1" applyAlignment="1">
      <alignment horizontal="center"/>
    </xf>
    <xf numFmtId="0" fontId="42" fillId="0" borderId="3" xfId="0" applyFont="1" applyBorder="1"/>
    <xf numFmtId="0" fontId="40" fillId="0" borderId="3" xfId="0" applyFont="1" applyBorder="1" applyAlignment="1">
      <alignment horizontal="left"/>
    </xf>
    <xf numFmtId="43" fontId="67" fillId="0" borderId="3" xfId="1" applyFont="1" applyBorder="1" applyAlignment="1">
      <alignment horizontal="center"/>
    </xf>
    <xf numFmtId="0" fontId="68" fillId="2" borderId="3" xfId="0" applyFont="1" applyFill="1" applyBorder="1"/>
    <xf numFmtId="0" fontId="37" fillId="2" borderId="3" xfId="0" applyFont="1" applyFill="1" applyBorder="1"/>
    <xf numFmtId="43" fontId="37" fillId="2" borderId="3" xfId="1" applyFont="1" applyFill="1" applyBorder="1" applyAlignment="1">
      <alignment horizontal="center"/>
    </xf>
    <xf numFmtId="0" fontId="0" fillId="2" borderId="5" xfId="0" applyFill="1" applyBorder="1"/>
    <xf numFmtId="0" fontId="7" fillId="2" borderId="5" xfId="0" applyFont="1" applyFill="1" applyBorder="1" applyAlignment="1">
      <alignment horizontal="center"/>
    </xf>
    <xf numFmtId="0" fontId="40" fillId="0" borderId="3" xfId="0" applyFont="1" applyBorder="1"/>
    <xf numFmtId="43" fontId="69" fillId="0" borderId="3" xfId="1" applyFont="1" applyBorder="1"/>
    <xf numFmtId="0" fontId="67" fillId="2" borderId="3" xfId="0" applyFont="1" applyFill="1" applyBorder="1" applyAlignment="1">
      <alignment horizontal="center"/>
    </xf>
    <xf numFmtId="0" fontId="39" fillId="2" borderId="3" xfId="0" applyFont="1" applyFill="1" applyBorder="1" applyAlignment="1">
      <alignment horizontal="center"/>
    </xf>
    <xf numFmtId="43" fontId="39" fillId="2" borderId="3" xfId="0" applyNumberFormat="1" applyFont="1" applyFill="1" applyBorder="1" applyAlignment="1">
      <alignment horizontal="center"/>
    </xf>
    <xf numFmtId="0" fontId="70" fillId="5" borderId="19" xfId="0" applyFont="1" applyFill="1" applyBorder="1" applyAlignment="1">
      <alignment horizontal="center" wrapText="1"/>
    </xf>
    <xf numFmtId="0" fontId="71" fillId="0" borderId="3" xfId="0" applyFont="1" applyBorder="1" applyAlignment="1">
      <alignment horizontal="center" vertical="center" wrapText="1"/>
    </xf>
    <xf numFmtId="49" fontId="72" fillId="0" borderId="3" xfId="0" applyNumberFormat="1" applyFont="1" applyBorder="1" applyAlignment="1">
      <alignment horizontal="center" vertical="center" wrapText="1"/>
    </xf>
    <xf numFmtId="43" fontId="73" fillId="0" borderId="3" xfId="1" applyFont="1" applyBorder="1" applyAlignment="1">
      <alignment horizontal="center" vertical="center"/>
    </xf>
    <xf numFmtId="43" fontId="13" fillId="0" borderId="3" xfId="0" applyNumberFormat="1" applyFont="1" applyBorder="1" applyAlignment="1">
      <alignment horizontal="center" vertical="center"/>
    </xf>
    <xf numFmtId="49" fontId="73" fillId="0" borderId="3" xfId="0" applyNumberFormat="1" applyFont="1" applyBorder="1" applyAlignment="1">
      <alignment horizontal="center" vertical="center" wrapText="1"/>
    </xf>
    <xf numFmtId="49" fontId="73" fillId="0" borderId="3" xfId="0" applyNumberFormat="1" applyFont="1" applyBorder="1" applyAlignment="1">
      <alignment horizontal="center"/>
    </xf>
    <xf numFmtId="4" fontId="73" fillId="0" borderId="3" xfId="0" applyNumberFormat="1" applyFont="1" applyBorder="1" applyAlignment="1">
      <alignment horizontal="center"/>
    </xf>
    <xf numFmtId="43" fontId="13" fillId="0" borderId="3" xfId="0" applyNumberFormat="1" applyFont="1" applyBorder="1" applyAlignment="1">
      <alignment horizontal="center"/>
    </xf>
    <xf numFmtId="49" fontId="73" fillId="0" borderId="3" xfId="0" applyNumberFormat="1" applyFont="1" applyBorder="1" applyAlignment="1">
      <alignment horizontal="center" wrapText="1"/>
    </xf>
    <xf numFmtId="0" fontId="74" fillId="0" borderId="3" xfId="0" applyFont="1" applyBorder="1" applyAlignment="1">
      <alignment horizontal="center"/>
    </xf>
    <xf numFmtId="0" fontId="74" fillId="5" borderId="3" xfId="0" applyFont="1" applyFill="1" applyBorder="1" applyAlignment="1">
      <alignment horizontal="center"/>
    </xf>
    <xf numFmtId="43" fontId="74" fillId="5" borderId="3" xfId="0" applyNumberFormat="1" applyFont="1" applyFill="1" applyBorder="1" applyAlignment="1">
      <alignment horizontal="center"/>
    </xf>
    <xf numFmtId="0" fontId="75" fillId="2" borderId="0" xfId="0" applyFont="1" applyFill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3" fontId="76" fillId="0" borderId="3" xfId="1" applyFont="1" applyBorder="1" applyAlignment="1">
      <alignment horizontal="center" vertical="center"/>
    </xf>
    <xf numFmtId="43" fontId="12" fillId="0" borderId="3" xfId="1" applyFont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49" fontId="5" fillId="2" borderId="20" xfId="0" applyNumberFormat="1" applyFont="1" applyFill="1" applyBorder="1" applyAlignment="1">
      <alignment horizontal="center" vertical="center" wrapText="1"/>
    </xf>
    <xf numFmtId="43" fontId="5" fillId="2" borderId="4" xfId="0" applyNumberFormat="1" applyFont="1" applyFill="1" applyBorder="1" applyAlignment="1">
      <alignment horizontal="center" vertical="center"/>
    </xf>
    <xf numFmtId="0" fontId="75" fillId="0" borderId="7" xfId="0" applyFont="1" applyBorder="1" applyAlignment="1">
      <alignment horizontal="center"/>
    </xf>
    <xf numFmtId="0" fontId="75" fillId="0" borderId="8" xfId="0" applyFont="1" applyBorder="1" applyAlignment="1">
      <alignment horizontal="center"/>
    </xf>
    <xf numFmtId="0" fontId="75" fillId="0" borderId="9" xfId="0" applyFont="1" applyBorder="1" applyAlignment="1">
      <alignment horizontal="center"/>
    </xf>
    <xf numFmtId="0" fontId="5" fillId="0" borderId="3" xfId="0" applyFont="1" applyBorder="1" applyAlignment="1">
      <alignment vertical="center" wrapText="1"/>
    </xf>
    <xf numFmtId="4" fontId="6" fillId="0" borderId="3" xfId="0" applyNumberFormat="1" applyFont="1" applyBorder="1" applyAlignment="1">
      <alignment horizontal="center" vertical="center"/>
    </xf>
    <xf numFmtId="43" fontId="12" fillId="0" borderId="3" xfId="1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" fontId="6" fillId="0" borderId="4" xfId="0" applyNumberFormat="1" applyFont="1" applyBorder="1" applyAlignment="1">
      <alignment horizontal="center" vertical="center"/>
    </xf>
    <xf numFmtId="0" fontId="6" fillId="0" borderId="3" xfId="0" applyFont="1" applyBorder="1"/>
    <xf numFmtId="49" fontId="10" fillId="2" borderId="3" xfId="0" applyNumberFormat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vertical="top"/>
    </xf>
    <xf numFmtId="43" fontId="10" fillId="2" borderId="3" xfId="0" applyNumberFormat="1" applyFont="1" applyFill="1" applyBorder="1" applyAlignment="1">
      <alignment vertical="center"/>
    </xf>
    <xf numFmtId="0" fontId="15" fillId="0" borderId="3" xfId="0" applyFont="1" applyBorder="1" applyAlignment="1">
      <alignment horizontal="center"/>
    </xf>
    <xf numFmtId="0" fontId="77" fillId="0" borderId="3" xfId="0" applyFont="1" applyBorder="1"/>
    <xf numFmtId="0" fontId="28" fillId="0" borderId="3" xfId="0" applyFont="1" applyBorder="1"/>
    <xf numFmtId="4" fontId="24" fillId="0" borderId="3" xfId="0" applyNumberFormat="1" applyFont="1" applyBorder="1" applyAlignment="1">
      <alignment horizontal="center"/>
    </xf>
    <xf numFmtId="4" fontId="27" fillId="0" borderId="3" xfId="0" applyNumberFormat="1" applyFont="1" applyBorder="1" applyAlignment="1">
      <alignment horizontal="center" wrapText="1"/>
    </xf>
    <xf numFmtId="0" fontId="15" fillId="0" borderId="3" xfId="0" applyFont="1" applyBorder="1"/>
    <xf numFmtId="43" fontId="0" fillId="0" borderId="0" xfId="0" applyNumberFormat="1"/>
    <xf numFmtId="0" fontId="78" fillId="0" borderId="0" xfId="0" applyFont="1" applyProtection="1">
      <protection locked="0"/>
    </xf>
    <xf numFmtId="0" fontId="79" fillId="0" borderId="0" xfId="0" applyFont="1"/>
    <xf numFmtId="0" fontId="80" fillId="0" borderId="0" xfId="0" applyFont="1"/>
    <xf numFmtId="0" fontId="81" fillId="0" borderId="0" xfId="0" applyFont="1"/>
    <xf numFmtId="0" fontId="79" fillId="0" borderId="21" xfId="0" applyFont="1" applyBorder="1"/>
    <xf numFmtId="0" fontId="82" fillId="0" borderId="0" xfId="0" applyFont="1"/>
    <xf numFmtId="0" fontId="28" fillId="0" borderId="1" xfId="0" applyFont="1" applyBorder="1" applyAlignment="1" applyProtection="1">
      <alignment horizontal="center"/>
      <protection locked="0"/>
    </xf>
    <xf numFmtId="0" fontId="28" fillId="0" borderId="1" xfId="0" applyFont="1" applyBorder="1" applyAlignment="1" applyProtection="1">
      <alignment horizontal="center" wrapText="1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3" xfId="0" applyFont="1" applyBorder="1" applyAlignment="1" applyProtection="1">
      <alignment horizontal="center" textRotation="90" wrapText="1"/>
      <protection locked="0"/>
    </xf>
    <xf numFmtId="4" fontId="2" fillId="0" borderId="3" xfId="0" applyNumberFormat="1" applyFont="1" applyBorder="1" applyAlignment="1" applyProtection="1">
      <alignment horizontal="center" textRotation="90" wrapText="1"/>
      <protection locked="0"/>
    </xf>
    <xf numFmtId="0" fontId="35" fillId="0" borderId="1" xfId="0" applyFont="1" applyBorder="1" applyAlignment="1">
      <alignment vertical="center"/>
    </xf>
    <xf numFmtId="0" fontId="53" fillId="0" borderId="3" xfId="0" applyFont="1" applyBorder="1" applyAlignment="1">
      <alignment horizontal="center" vertical="center"/>
    </xf>
    <xf numFmtId="43" fontId="53" fillId="0" borderId="3" xfId="1" applyFont="1" applyFill="1" applyBorder="1" applyAlignment="1">
      <alignment horizontal="center" vertical="top" textRotation="90" wrapText="1"/>
    </xf>
    <xf numFmtId="43" fontId="53" fillId="0" borderId="3" xfId="49" applyFont="1" applyFill="1" applyBorder="1" applyAlignment="1">
      <alignment horizontal="center" vertical="top" textRotation="90"/>
    </xf>
    <xf numFmtId="0" fontId="83" fillId="0" borderId="22" xfId="0" applyFont="1" applyBorder="1" applyAlignment="1">
      <alignment horizontal="center" vertical="center" wrapText="1"/>
    </xf>
    <xf numFmtId="0" fontId="84" fillId="0" borderId="0" xfId="0" applyFont="1" applyAlignment="1">
      <alignment horizontal="center"/>
    </xf>
    <xf numFmtId="1" fontId="53" fillId="0" borderId="3" xfId="0" applyNumberFormat="1" applyFont="1" applyBorder="1" applyAlignment="1">
      <alignment horizontal="center" vertical="center"/>
    </xf>
    <xf numFmtId="0" fontId="85" fillId="0" borderId="1" xfId="0" applyFont="1" applyBorder="1" applyAlignment="1">
      <alignment horizontal="left" vertical="center" wrapText="1"/>
    </xf>
    <xf numFmtId="49" fontId="54" fillId="0" borderId="3" xfId="0" applyNumberFormat="1" applyFont="1" applyBorder="1" applyAlignment="1">
      <alignment horizontal="center" vertical="center" wrapText="1"/>
    </xf>
    <xf numFmtId="43" fontId="54" fillId="0" borderId="3" xfId="1" applyFont="1" applyFill="1" applyBorder="1" applyAlignment="1">
      <alignment horizontal="center" vertical="top" textRotation="90" wrapText="1"/>
    </xf>
    <xf numFmtId="43" fontId="54" fillId="0" borderId="3" xfId="49" applyFont="1" applyFill="1" applyBorder="1" applyAlignment="1">
      <alignment horizontal="center" vertical="top" textRotation="90"/>
    </xf>
    <xf numFmtId="1" fontId="86" fillId="0" borderId="1" xfId="0" applyNumberFormat="1" applyFont="1" applyBorder="1" applyAlignment="1">
      <alignment horizontal="center" vertical="center"/>
    </xf>
    <xf numFmtId="1" fontId="87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textRotation="90"/>
      <protection locked="0"/>
    </xf>
    <xf numFmtId="0" fontId="54" fillId="7" borderId="3" xfId="0" applyFont="1" applyFill="1" applyBorder="1" applyAlignment="1" applyProtection="1">
      <alignment horizontal="center" textRotation="90"/>
      <protection locked="0"/>
    </xf>
    <xf numFmtId="43" fontId="53" fillId="0" borderId="7" xfId="49" applyFont="1" applyFill="1" applyBorder="1" applyAlignment="1">
      <alignment horizontal="center" vertical="top" textRotation="90"/>
    </xf>
    <xf numFmtId="43" fontId="54" fillId="0" borderId="7" xfId="49" applyFont="1" applyFill="1" applyBorder="1" applyAlignment="1">
      <alignment horizontal="center" vertical="top" textRotation="90"/>
    </xf>
    <xf numFmtId="4" fontId="2" fillId="0" borderId="7" xfId="0" applyNumberFormat="1" applyFont="1" applyBorder="1" applyAlignment="1" applyProtection="1">
      <alignment horizontal="center" textRotation="90" wrapText="1"/>
      <protection locked="0"/>
    </xf>
    <xf numFmtId="4" fontId="13" fillId="0" borderId="7" xfId="0" applyNumberFormat="1" applyFont="1" applyBorder="1" applyAlignment="1" applyProtection="1">
      <alignment horizontal="center" textRotation="90" wrapText="1"/>
      <protection locked="0"/>
    </xf>
    <xf numFmtId="4" fontId="88" fillId="0" borderId="3" xfId="0" applyNumberFormat="1" applyFont="1" applyBorder="1" applyAlignment="1" applyProtection="1">
      <alignment horizontal="center" textRotation="90" wrapText="1"/>
      <protection locked="0"/>
    </xf>
    <xf numFmtId="4" fontId="88" fillId="0" borderId="9" xfId="0" applyNumberFormat="1" applyFont="1" applyBorder="1" applyAlignment="1" applyProtection="1">
      <alignment horizontal="center" textRotation="90" wrapText="1"/>
      <protection locked="0"/>
    </xf>
    <xf numFmtId="4" fontId="13" fillId="0" borderId="9" xfId="0" applyNumberFormat="1" applyFont="1" applyBorder="1" applyAlignment="1" applyProtection="1">
      <alignment horizontal="center" textRotation="90" wrapText="1"/>
      <protection locked="0"/>
    </xf>
    <xf numFmtId="4" fontId="13" fillId="0" borderId="3" xfId="0" applyNumberFormat="1" applyFont="1" applyBorder="1" applyAlignment="1" applyProtection="1">
      <alignment horizontal="center" textRotation="90" wrapText="1"/>
      <protection locked="0"/>
    </xf>
    <xf numFmtId="0" fontId="53" fillId="0" borderId="3" xfId="0" applyFont="1" applyBorder="1"/>
    <xf numFmtId="43" fontId="53" fillId="0" borderId="9" xfId="1" applyFont="1" applyFill="1" applyBorder="1" applyAlignment="1">
      <alignment textRotation="90"/>
    </xf>
    <xf numFmtId="0" fontId="53" fillId="0" borderId="9" xfId="0" applyFont="1" applyBorder="1"/>
    <xf numFmtId="43" fontId="53" fillId="0" borderId="9" xfId="49" applyFont="1" applyFill="1" applyBorder="1" applyAlignment="1">
      <alignment horizontal="center" vertical="top" textRotation="90"/>
    </xf>
    <xf numFmtId="43" fontId="53" fillId="0" borderId="3" xfId="1" applyFont="1" applyFill="1" applyBorder="1" applyAlignment="1">
      <alignment textRotation="90"/>
    </xf>
    <xf numFmtId="43" fontId="53" fillId="0" borderId="3" xfId="1" applyFont="1" applyBorder="1" applyAlignment="1">
      <alignment textRotation="90"/>
    </xf>
    <xf numFmtId="43" fontId="53" fillId="0" borderId="9" xfId="1" applyFont="1" applyBorder="1" applyAlignment="1">
      <alignment textRotation="90"/>
    </xf>
    <xf numFmtId="43" fontId="53" fillId="0" borderId="3" xfId="1" applyFont="1" applyFill="1" applyBorder="1" applyAlignment="1">
      <alignment vertical="center" textRotation="90"/>
    </xf>
    <xf numFmtId="43" fontId="53" fillId="0" borderId="9" xfId="1" applyFont="1" applyFill="1" applyBorder="1" applyAlignment="1">
      <alignment vertical="center" textRotation="90"/>
    </xf>
    <xf numFmtId="0" fontId="54" fillId="0" borderId="3" xfId="0" applyFont="1" applyBorder="1"/>
    <xf numFmtId="43" fontId="54" fillId="0" borderId="9" xfId="1" applyFont="1" applyBorder="1" applyAlignment="1">
      <alignment textRotation="90"/>
    </xf>
    <xf numFmtId="0" fontId="54" fillId="0" borderId="9" xfId="0" applyFont="1" applyBorder="1"/>
    <xf numFmtId="43" fontId="54" fillId="0" borderId="9" xfId="49" applyFont="1" applyFill="1" applyBorder="1" applyAlignment="1">
      <alignment horizontal="center" vertical="top" textRotation="90"/>
    </xf>
    <xf numFmtId="43" fontId="53" fillId="0" borderId="9" xfId="1" applyFont="1" applyBorder="1" applyAlignment="1">
      <alignment textRotation="90" wrapText="1"/>
    </xf>
    <xf numFmtId="43" fontId="53" fillId="0" borderId="14" xfId="49" applyFont="1" applyFill="1" applyBorder="1" applyAlignment="1">
      <alignment horizontal="center" vertical="top" textRotation="90"/>
    </xf>
    <xf numFmtId="0" fontId="53" fillId="0" borderId="4" xfId="0" applyFont="1" applyBorder="1"/>
    <xf numFmtId="43" fontId="89" fillId="0" borderId="9" xfId="1" applyFont="1" applyBorder="1" applyAlignment="1">
      <alignment horizontal="center" textRotation="90"/>
    </xf>
    <xf numFmtId="43" fontId="53" fillId="0" borderId="1" xfId="49" applyFont="1" applyFill="1" applyBorder="1" applyAlignment="1">
      <alignment horizontal="center" vertical="top" textRotation="90"/>
    </xf>
    <xf numFmtId="43" fontId="89" fillId="0" borderId="1" xfId="1" applyFont="1" applyBorder="1" applyAlignment="1">
      <alignment horizontal="center" textRotation="90"/>
    </xf>
    <xf numFmtId="43" fontId="53" fillId="0" borderId="23" xfId="49" applyFont="1" applyFill="1" applyBorder="1" applyAlignment="1">
      <alignment horizontal="center" vertical="top" textRotation="90"/>
    </xf>
    <xf numFmtId="43" fontId="53" fillId="0" borderId="5" xfId="1" applyFont="1" applyFill="1" applyBorder="1" applyAlignment="1">
      <alignment textRotation="90"/>
    </xf>
    <xf numFmtId="4" fontId="53" fillId="0" borderId="3" xfId="0" applyNumberFormat="1" applyFont="1" applyBorder="1" applyAlignment="1">
      <alignment horizontal="center" vertical="top" textRotation="90"/>
    </xf>
    <xf numFmtId="177" fontId="53" fillId="0" borderId="3" xfId="1" applyNumberFormat="1" applyFont="1" applyFill="1" applyBorder="1" applyAlignment="1">
      <alignment horizontal="center" vertical="top" textRotation="90"/>
    </xf>
    <xf numFmtId="4" fontId="54" fillId="0" borderId="3" xfId="0" applyNumberFormat="1" applyFont="1" applyBorder="1" applyAlignment="1">
      <alignment horizontal="center" vertical="top" textRotation="90"/>
    </xf>
    <xf numFmtId="177" fontId="54" fillId="0" borderId="3" xfId="1" applyNumberFormat="1" applyFont="1" applyFill="1" applyBorder="1" applyAlignment="1">
      <alignment horizontal="center" vertical="top" textRotation="90"/>
    </xf>
    <xf numFmtId="43" fontId="2" fillId="0" borderId="24" xfId="1" applyFont="1" applyFill="1" applyBorder="1" applyAlignment="1" applyProtection="1">
      <alignment horizontal="center" vertical="center" wrapText="1"/>
      <protection locked="0"/>
    </xf>
    <xf numFmtId="43" fontId="53" fillId="0" borderId="3" xfId="1" applyFont="1" applyFill="1" applyBorder="1" applyAlignment="1">
      <alignment horizontal="center" vertical="top" textRotation="90"/>
    </xf>
    <xf numFmtId="43" fontId="53" fillId="0" borderId="25" xfId="1" applyFont="1" applyFill="1" applyBorder="1" applyProtection="1">
      <protection locked="0"/>
    </xf>
    <xf numFmtId="43" fontId="53" fillId="0" borderId="25" xfId="1" applyFont="1" applyFill="1" applyBorder="1"/>
    <xf numFmtId="178" fontId="53" fillId="0" borderId="25" xfId="0" applyNumberFormat="1" applyFont="1" applyBorder="1"/>
    <xf numFmtId="179" fontId="53" fillId="0" borderId="25" xfId="0" applyNumberFormat="1" applyFont="1" applyBorder="1"/>
    <xf numFmtId="43" fontId="54" fillId="0" borderId="25" xfId="1" applyFont="1" applyFill="1" applyBorder="1" applyProtection="1">
      <protection locked="0"/>
    </xf>
    <xf numFmtId="43" fontId="54" fillId="0" borderId="25" xfId="1" applyFont="1" applyFill="1" applyBorder="1"/>
    <xf numFmtId="178" fontId="54" fillId="0" borderId="25" xfId="0" applyNumberFormat="1" applyFont="1" applyBorder="1"/>
    <xf numFmtId="179" fontId="54" fillId="0" borderId="25" xfId="0" applyNumberFormat="1" applyFont="1" applyBorder="1"/>
    <xf numFmtId="177" fontId="53" fillId="0" borderId="25" xfId="0" applyNumberFormat="1" applyFont="1" applyBorder="1"/>
    <xf numFmtId="177" fontId="54" fillId="0" borderId="25" xfId="0" applyNumberFormat="1" applyFont="1" applyBorder="1"/>
    <xf numFmtId="43" fontId="2" fillId="0" borderId="26" xfId="1" applyFont="1" applyFill="1" applyBorder="1" applyAlignment="1" applyProtection="1">
      <alignment horizontal="center" vertical="center" wrapText="1"/>
      <protection locked="0"/>
    </xf>
    <xf numFmtId="43" fontId="2" fillId="0" borderId="1" xfId="1" applyFont="1" applyFill="1" applyBorder="1" applyAlignment="1" applyProtection="1">
      <alignment horizontal="center" vertical="center" wrapText="1"/>
      <protection locked="0"/>
    </xf>
    <xf numFmtId="43" fontId="2" fillId="0" borderId="27" xfId="1" applyFont="1" applyFill="1" applyBorder="1" applyAlignment="1" applyProtection="1">
      <alignment horizontal="center" vertical="center" wrapText="1"/>
      <protection locked="0"/>
    </xf>
    <xf numFmtId="9" fontId="2" fillId="0" borderId="24" xfId="3" applyFont="1" applyFill="1" applyBorder="1" applyAlignment="1" applyProtection="1">
      <alignment horizontal="center" wrapText="1"/>
      <protection locked="0"/>
    </xf>
    <xf numFmtId="0" fontId="2" fillId="0" borderId="24" xfId="0" applyFont="1" applyBorder="1" applyAlignment="1" applyProtection="1">
      <alignment horizontal="center" vertical="center" wrapText="1"/>
      <protection locked="0"/>
    </xf>
    <xf numFmtId="178" fontId="53" fillId="0" borderId="28" xfId="0" applyNumberFormat="1" applyFont="1" applyBorder="1"/>
    <xf numFmtId="179" fontId="53" fillId="0" borderId="1" xfId="49" applyNumberFormat="1" applyFont="1" applyFill="1" applyBorder="1" applyAlignment="1">
      <alignment vertical="center"/>
    </xf>
    <xf numFmtId="43" fontId="53" fillId="0" borderId="1" xfId="1" applyFont="1" applyFill="1" applyBorder="1" applyAlignment="1">
      <alignment vertical="center"/>
    </xf>
    <xf numFmtId="43" fontId="53" fillId="0" borderId="27" xfId="1" applyFont="1" applyFill="1" applyBorder="1"/>
    <xf numFmtId="9" fontId="53" fillId="0" borderId="24" xfId="3" applyFont="1" applyFill="1" applyBorder="1" applyAlignment="1">
      <alignment horizontal="center"/>
    </xf>
    <xf numFmtId="178" fontId="53" fillId="0" borderId="24" xfId="0" applyNumberFormat="1" applyFont="1" applyBorder="1"/>
    <xf numFmtId="177" fontId="53" fillId="0" borderId="24" xfId="0" applyNumberFormat="1" applyFont="1" applyBorder="1"/>
    <xf numFmtId="178" fontId="54" fillId="0" borderId="28" xfId="0" applyNumberFormat="1" applyFont="1" applyBorder="1"/>
    <xf numFmtId="179" fontId="54" fillId="0" borderId="1" xfId="49" applyNumberFormat="1" applyFont="1" applyFill="1" applyBorder="1" applyAlignment="1">
      <alignment vertical="center"/>
    </xf>
    <xf numFmtId="43" fontId="54" fillId="0" borderId="1" xfId="1" applyFont="1" applyFill="1" applyBorder="1" applyAlignment="1">
      <alignment vertical="center"/>
    </xf>
    <xf numFmtId="43" fontId="54" fillId="0" borderId="27" xfId="1" applyFont="1" applyFill="1" applyBorder="1"/>
    <xf numFmtId="9" fontId="54" fillId="0" borderId="24" xfId="3" applyFont="1" applyFill="1" applyBorder="1" applyAlignment="1">
      <alignment horizontal="center"/>
    </xf>
    <xf numFmtId="178" fontId="54" fillId="0" borderId="24" xfId="0" applyNumberFormat="1" applyFont="1" applyBorder="1"/>
    <xf numFmtId="177" fontId="54" fillId="0" borderId="24" xfId="0" applyNumberFormat="1" applyFont="1" applyBorder="1"/>
    <xf numFmtId="177" fontId="79" fillId="0" borderId="0" xfId="1" applyNumberFormat="1" applyFont="1" applyFill="1"/>
    <xf numFmtId="43" fontId="79" fillId="0" borderId="0" xfId="0" applyNumberFormat="1" applyFont="1"/>
    <xf numFmtId="0" fontId="84" fillId="0" borderId="29" xfId="0" applyFont="1" applyBorder="1" applyAlignment="1">
      <alignment horizontal="center"/>
    </xf>
    <xf numFmtId="177" fontId="80" fillId="0" borderId="0" xfId="1" applyNumberFormat="1" applyFont="1" applyFill="1"/>
    <xf numFmtId="43" fontId="80" fillId="0" borderId="0" xfId="0" applyNumberFormat="1" applyFont="1"/>
    <xf numFmtId="49" fontId="53" fillId="0" borderId="30" xfId="0" applyNumberFormat="1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/>
    </xf>
    <xf numFmtId="43" fontId="53" fillId="0" borderId="30" xfId="1" applyFont="1" applyFill="1" applyBorder="1" applyAlignment="1">
      <alignment horizontal="center" vertical="top" textRotation="90" wrapText="1"/>
    </xf>
    <xf numFmtId="43" fontId="53" fillId="0" borderId="30" xfId="49" applyFont="1" applyFill="1" applyBorder="1" applyAlignment="1">
      <alignment horizontal="center" vertical="top" textRotation="90"/>
    </xf>
    <xf numFmtId="43" fontId="53" fillId="0" borderId="5" xfId="49" applyFont="1" applyFill="1" applyBorder="1" applyAlignment="1">
      <alignment horizontal="center" vertical="top" textRotation="90"/>
    </xf>
    <xf numFmtId="43" fontId="54" fillId="0" borderId="30" xfId="49" applyFont="1" applyFill="1" applyBorder="1" applyAlignment="1">
      <alignment horizontal="center" vertical="top" textRotation="90"/>
    </xf>
    <xf numFmtId="0" fontId="53" fillId="0" borderId="9" xfId="0" applyFont="1" applyBorder="1" applyAlignment="1">
      <alignment textRotation="90"/>
    </xf>
    <xf numFmtId="43" fontId="53" fillId="0" borderId="9" xfId="1" applyFont="1" applyFill="1" applyBorder="1" applyAlignment="1">
      <alignment textRotation="90" wrapText="1"/>
    </xf>
    <xf numFmtId="43" fontId="53" fillId="0" borderId="31" xfId="1" applyFont="1" applyFill="1" applyBorder="1" applyAlignment="1">
      <alignment textRotation="90"/>
    </xf>
    <xf numFmtId="43" fontId="53" fillId="0" borderId="32" xfId="49" applyFont="1" applyFill="1" applyBorder="1" applyAlignment="1">
      <alignment horizontal="center" vertical="top" textRotation="90"/>
    </xf>
    <xf numFmtId="4" fontId="53" fillId="0" borderId="30" xfId="0" applyNumberFormat="1" applyFont="1" applyBorder="1" applyAlignment="1">
      <alignment horizontal="center" vertical="top" textRotation="90"/>
    </xf>
    <xf numFmtId="177" fontId="53" fillId="0" borderId="30" xfId="1" applyNumberFormat="1" applyFont="1" applyFill="1" applyBorder="1" applyAlignment="1">
      <alignment horizontal="center" vertical="top" textRotation="90"/>
    </xf>
    <xf numFmtId="43" fontId="53" fillId="0" borderId="24" xfId="1" applyFont="1" applyFill="1" applyBorder="1" applyProtection="1">
      <protection locked="0"/>
    </xf>
    <xf numFmtId="43" fontId="53" fillId="0" borderId="24" xfId="1" applyFont="1" applyFill="1" applyBorder="1"/>
    <xf numFmtId="179" fontId="53" fillId="0" borderId="24" xfId="0" applyNumberFormat="1" applyFont="1" applyBorder="1"/>
    <xf numFmtId="178" fontId="53" fillId="0" borderId="26" xfId="0" applyNumberFormat="1" applyFont="1" applyBorder="1"/>
    <xf numFmtId="179" fontId="53" fillId="0" borderId="33" xfId="49" applyNumberFormat="1" applyFont="1" applyFill="1" applyBorder="1" applyAlignment="1">
      <alignment vertical="center"/>
    </xf>
    <xf numFmtId="43" fontId="53" fillId="0" borderId="33" xfId="1" applyFont="1" applyFill="1" applyBorder="1" applyAlignment="1">
      <alignment vertical="center"/>
    </xf>
    <xf numFmtId="177" fontId="81" fillId="0" borderId="0" xfId="1" applyNumberFormat="1" applyFont="1" applyFill="1"/>
    <xf numFmtId="43" fontId="81" fillId="0" borderId="0" xfId="0" applyNumberFormat="1" applyFont="1"/>
    <xf numFmtId="177" fontId="79" fillId="0" borderId="21" xfId="1" applyNumberFormat="1" applyFont="1" applyFill="1" applyBorder="1"/>
    <xf numFmtId="43" fontId="79" fillId="0" borderId="21" xfId="0" applyNumberFormat="1" applyFont="1" applyBorder="1"/>
    <xf numFmtId="49" fontId="53" fillId="0" borderId="5" xfId="0" applyNumberFormat="1" applyFont="1" applyBorder="1" applyAlignment="1">
      <alignment horizontal="center" vertical="center" wrapText="1"/>
    </xf>
    <xf numFmtId="0" fontId="53" fillId="0" borderId="5" xfId="0" applyFont="1" applyBorder="1" applyAlignment="1">
      <alignment horizontal="center" vertical="center"/>
    </xf>
    <xf numFmtId="43" fontId="53" fillId="0" borderId="5" xfId="1" applyFont="1" applyFill="1" applyBorder="1" applyAlignment="1">
      <alignment horizontal="center" vertical="top" textRotation="90" wrapText="1"/>
    </xf>
    <xf numFmtId="43" fontId="90" fillId="0" borderId="1" xfId="1" applyFont="1" applyBorder="1" applyAlignment="1">
      <alignment horizontal="center" textRotation="90"/>
    </xf>
    <xf numFmtId="0" fontId="91" fillId="0" borderId="1" xfId="0" applyFont="1" applyBorder="1" applyAlignment="1">
      <alignment horizontal="left" vertical="center" wrapText="1"/>
    </xf>
    <xf numFmtId="49" fontId="65" fillId="0" borderId="3" xfId="0" applyNumberFormat="1" applyFont="1" applyBorder="1" applyAlignment="1">
      <alignment horizontal="center" vertical="center" wrapText="1"/>
    </xf>
    <xf numFmtId="0" fontId="65" fillId="0" borderId="3" xfId="0" applyFont="1" applyBorder="1" applyAlignment="1">
      <alignment horizontal="center" vertical="center"/>
    </xf>
    <xf numFmtId="43" fontId="65" fillId="0" borderId="3" xfId="1" applyFont="1" applyFill="1" applyBorder="1" applyAlignment="1">
      <alignment horizontal="center" vertical="top" textRotation="90" wrapText="1"/>
    </xf>
    <xf numFmtId="43" fontId="65" fillId="0" borderId="3" xfId="49" applyFont="1" applyFill="1" applyBorder="1" applyAlignment="1">
      <alignment horizontal="center" vertical="top" textRotation="90"/>
    </xf>
    <xf numFmtId="43" fontId="53" fillId="0" borderId="3" xfId="49" applyFont="1" applyFill="1" applyBorder="1" applyAlignment="1">
      <alignment horizontal="center" vertical="center" textRotation="90"/>
    </xf>
    <xf numFmtId="43" fontId="54" fillId="0" borderId="5" xfId="49" applyFont="1" applyFill="1" applyBorder="1" applyAlignment="1">
      <alignment horizontal="center" vertical="top" textRotation="90"/>
    </xf>
    <xf numFmtId="43" fontId="54" fillId="0" borderId="3" xfId="49" applyFont="1" applyFill="1" applyBorder="1" applyAlignment="1">
      <alignment horizontal="center" vertical="center" textRotation="90"/>
    </xf>
    <xf numFmtId="43" fontId="64" fillId="0" borderId="3" xfId="49" applyFont="1" applyFill="1" applyBorder="1" applyAlignment="1">
      <alignment horizontal="center" vertical="top" textRotation="90"/>
    </xf>
    <xf numFmtId="43" fontId="53" fillId="0" borderId="7" xfId="49" applyFont="1" applyFill="1" applyBorder="1" applyAlignment="1">
      <alignment horizontal="center" vertical="center" textRotation="90"/>
    </xf>
    <xf numFmtId="43" fontId="35" fillId="0" borderId="3" xfId="49" applyFont="1" applyFill="1" applyBorder="1" applyAlignment="1">
      <alignment horizontal="center" vertical="top" textRotation="90"/>
    </xf>
    <xf numFmtId="43" fontId="65" fillId="0" borderId="7" xfId="49" applyFont="1" applyFill="1" applyBorder="1" applyAlignment="1">
      <alignment horizontal="center" vertical="top" textRotation="90"/>
    </xf>
    <xf numFmtId="0" fontId="53" fillId="0" borderId="34" xfId="0" applyFont="1" applyBorder="1"/>
    <xf numFmtId="43" fontId="53" fillId="0" borderId="34" xfId="1" applyFont="1" applyBorder="1" applyAlignment="1">
      <alignment textRotation="90"/>
    </xf>
    <xf numFmtId="43" fontId="53" fillId="0" borderId="34" xfId="49" applyFont="1" applyFill="1" applyBorder="1" applyAlignment="1">
      <alignment horizontal="center" vertical="top" textRotation="90"/>
    </xf>
    <xf numFmtId="43" fontId="53" fillId="0" borderId="9" xfId="1" applyFont="1" applyBorder="1" applyAlignment="1">
      <alignment horizontal="center" textRotation="90"/>
    </xf>
    <xf numFmtId="0" fontId="53" fillId="0" borderId="3" xfId="0" applyFont="1" applyBorder="1" applyAlignment="1">
      <alignment vertical="center" textRotation="90"/>
    </xf>
    <xf numFmtId="0" fontId="53" fillId="0" borderId="9" xfId="0" applyFont="1" applyBorder="1" applyAlignment="1">
      <alignment vertical="center" textRotation="90"/>
    </xf>
    <xf numFmtId="43" fontId="53" fillId="0" borderId="9" xfId="1" applyFont="1" applyBorder="1" applyAlignment="1">
      <alignment vertical="center" textRotation="90"/>
    </xf>
    <xf numFmtId="0" fontId="53" fillId="0" borderId="9" xfId="0" applyFont="1" applyBorder="1" applyAlignment="1">
      <alignment horizontal="center" vertical="center"/>
    </xf>
    <xf numFmtId="43" fontId="53" fillId="0" borderId="9" xfId="1" applyFont="1" applyBorder="1" applyAlignment="1">
      <alignment horizontal="center" vertical="center" textRotation="90"/>
    </xf>
    <xf numFmtId="43" fontId="53" fillId="0" borderId="9" xfId="49" applyFont="1" applyFill="1" applyBorder="1" applyAlignment="1">
      <alignment horizontal="center" vertical="center" textRotation="90"/>
    </xf>
    <xf numFmtId="0" fontId="65" fillId="0" borderId="3" xfId="0" applyFont="1" applyBorder="1"/>
    <xf numFmtId="0" fontId="65" fillId="0" borderId="9" xfId="0" applyFont="1" applyBorder="1"/>
    <xf numFmtId="43" fontId="65" fillId="0" borderId="9" xfId="49" applyFont="1" applyFill="1" applyBorder="1" applyAlignment="1">
      <alignment horizontal="center" vertical="top" textRotation="90"/>
    </xf>
    <xf numFmtId="43" fontId="65" fillId="0" borderId="9" xfId="1" applyFont="1" applyFill="1" applyBorder="1" applyAlignment="1">
      <alignment textRotation="90"/>
    </xf>
    <xf numFmtId="4" fontId="53" fillId="0" borderId="5" xfId="0" applyNumberFormat="1" applyFont="1" applyBorder="1" applyAlignment="1">
      <alignment horizontal="center" vertical="top" textRotation="90"/>
    </xf>
    <xf numFmtId="177" fontId="53" fillId="0" borderId="5" xfId="1" applyNumberFormat="1" applyFont="1" applyFill="1" applyBorder="1" applyAlignment="1">
      <alignment horizontal="center" vertical="top" textRotation="90"/>
    </xf>
    <xf numFmtId="4" fontId="53" fillId="0" borderId="3" xfId="0" applyNumberFormat="1" applyFont="1" applyBorder="1" applyAlignment="1">
      <alignment horizontal="center" vertical="center" textRotation="90"/>
    </xf>
    <xf numFmtId="177" fontId="53" fillId="0" borderId="3" xfId="1" applyNumberFormat="1" applyFont="1" applyFill="1" applyBorder="1" applyAlignment="1">
      <alignment horizontal="center" vertical="center" textRotation="90"/>
    </xf>
    <xf numFmtId="4" fontId="65" fillId="0" borderId="3" xfId="0" applyNumberFormat="1" applyFont="1" applyBorder="1" applyAlignment="1">
      <alignment horizontal="center" vertical="top" textRotation="90"/>
    </xf>
    <xf numFmtId="177" fontId="65" fillId="0" borderId="3" xfId="1" applyNumberFormat="1" applyFont="1" applyFill="1" applyBorder="1" applyAlignment="1">
      <alignment horizontal="center" vertical="top" textRotation="90"/>
    </xf>
    <xf numFmtId="43" fontId="53" fillId="0" borderId="35" xfId="1" applyFont="1" applyFill="1" applyBorder="1" applyProtection="1">
      <protection locked="0"/>
    </xf>
    <xf numFmtId="43" fontId="53" fillId="0" borderId="35" xfId="1" applyFont="1" applyFill="1" applyBorder="1"/>
    <xf numFmtId="178" fontId="53" fillId="0" borderId="35" xfId="0" applyNumberFormat="1" applyFont="1" applyBorder="1"/>
    <xf numFmtId="179" fontId="53" fillId="0" borderId="35" xfId="0" applyNumberFormat="1" applyFont="1" applyBorder="1"/>
    <xf numFmtId="43" fontId="53" fillId="0" borderId="25" xfId="1" applyFont="1" applyFill="1" applyBorder="1" applyAlignment="1" applyProtection="1">
      <alignment vertical="center"/>
      <protection locked="0"/>
    </xf>
    <xf numFmtId="43" fontId="53" fillId="0" borderId="25" xfId="1" applyFont="1" applyFill="1" applyBorder="1" applyAlignment="1">
      <alignment vertical="center"/>
    </xf>
    <xf numFmtId="178" fontId="53" fillId="0" borderId="25" xfId="0" applyNumberFormat="1" applyFont="1" applyBorder="1" applyAlignment="1">
      <alignment vertical="center"/>
    </xf>
    <xf numFmtId="179" fontId="53" fillId="0" borderId="25" xfId="0" applyNumberFormat="1" applyFont="1" applyBorder="1" applyAlignment="1">
      <alignment vertical="center"/>
    </xf>
    <xf numFmtId="43" fontId="65" fillId="0" borderId="25" xfId="1" applyFont="1" applyFill="1" applyBorder="1" applyProtection="1">
      <protection locked="0"/>
    </xf>
    <xf numFmtId="43" fontId="65" fillId="0" borderId="25" xfId="1" applyFont="1" applyFill="1" applyBorder="1"/>
    <xf numFmtId="178" fontId="65" fillId="0" borderId="25" xfId="0" applyNumberFormat="1" applyFont="1" applyBorder="1"/>
    <xf numFmtId="179" fontId="65" fillId="0" borderId="25" xfId="0" applyNumberFormat="1" applyFont="1" applyBorder="1"/>
    <xf numFmtId="177" fontId="53" fillId="0" borderId="35" xfId="0" applyNumberFormat="1" applyFont="1" applyBorder="1"/>
    <xf numFmtId="177" fontId="53" fillId="0" borderId="25" xfId="0" applyNumberFormat="1" applyFont="1" applyBorder="1" applyAlignment="1">
      <alignment vertical="center"/>
    </xf>
    <xf numFmtId="177" fontId="65" fillId="0" borderId="25" xfId="0" applyNumberFormat="1" applyFont="1" applyBorder="1"/>
    <xf numFmtId="178" fontId="53" fillId="0" borderId="36" xfId="0" applyNumberFormat="1" applyFont="1" applyBorder="1"/>
    <xf numFmtId="179" fontId="53" fillId="0" borderId="37" xfId="49" applyNumberFormat="1" applyFont="1" applyFill="1" applyBorder="1" applyAlignment="1">
      <alignment vertical="center"/>
    </xf>
    <xf numFmtId="43" fontId="53" fillId="0" borderId="37" xfId="1" applyFont="1" applyFill="1" applyBorder="1" applyAlignment="1">
      <alignment vertical="center"/>
    </xf>
    <xf numFmtId="43" fontId="53" fillId="0" borderId="38" xfId="1" applyFont="1" applyFill="1" applyBorder="1"/>
    <xf numFmtId="9" fontId="53" fillId="0" borderId="39" xfId="3" applyFont="1" applyFill="1" applyBorder="1" applyAlignment="1">
      <alignment horizontal="center"/>
    </xf>
    <xf numFmtId="178" fontId="53" fillId="0" borderId="39" xfId="0" applyNumberFormat="1" applyFont="1" applyBorder="1"/>
    <xf numFmtId="177" fontId="53" fillId="0" borderId="39" xfId="0" applyNumberFormat="1" applyFont="1" applyBorder="1"/>
    <xf numFmtId="178" fontId="53" fillId="0" borderId="28" xfId="0" applyNumberFormat="1" applyFont="1" applyBorder="1" applyAlignment="1">
      <alignment vertical="center"/>
    </xf>
    <xf numFmtId="178" fontId="65" fillId="0" borderId="28" xfId="0" applyNumberFormat="1" applyFont="1" applyBorder="1"/>
    <xf numFmtId="179" fontId="65" fillId="0" borderId="1" xfId="49" applyNumberFormat="1" applyFont="1" applyFill="1" applyBorder="1" applyAlignment="1">
      <alignment vertical="center"/>
    </xf>
    <xf numFmtId="43" fontId="65" fillId="0" borderId="1" xfId="1" applyFont="1" applyFill="1" applyBorder="1" applyAlignment="1">
      <alignment vertical="center"/>
    </xf>
    <xf numFmtId="43" fontId="65" fillId="0" borderId="27" xfId="1" applyFont="1" applyFill="1" applyBorder="1"/>
    <xf numFmtId="9" fontId="65" fillId="0" borderId="24" xfId="3" applyFont="1" applyFill="1" applyBorder="1" applyAlignment="1">
      <alignment horizontal="center"/>
    </xf>
    <xf numFmtId="178" fontId="65" fillId="0" borderId="24" xfId="0" applyNumberFormat="1" applyFont="1" applyBorder="1"/>
    <xf numFmtId="177" fontId="65" fillId="0" borderId="24" xfId="0" applyNumberFormat="1" applyFont="1" applyBorder="1"/>
    <xf numFmtId="177" fontId="82" fillId="0" borderId="0" xfId="1" applyNumberFormat="1" applyFont="1" applyFill="1"/>
    <xf numFmtId="43" fontId="82" fillId="0" borderId="0" xfId="0" applyNumberFormat="1" applyFont="1"/>
    <xf numFmtId="43" fontId="53" fillId="0" borderId="25" xfId="1" applyFont="1" applyFill="1" applyBorder="1" applyAlignment="1" applyProtection="1">
      <protection locked="0"/>
    </xf>
    <xf numFmtId="43" fontId="53" fillId="0" borderId="25" xfId="1" applyFont="1" applyFill="1" applyBorder="1" applyAlignment="1"/>
    <xf numFmtId="43" fontId="54" fillId="0" borderId="25" xfId="1" applyFont="1" applyFill="1" applyBorder="1" applyAlignment="1" applyProtection="1">
      <protection locked="0"/>
    </xf>
    <xf numFmtId="43" fontId="54" fillId="0" borderId="25" xfId="1" applyFont="1" applyFill="1" applyBorder="1" applyAlignment="1"/>
    <xf numFmtId="43" fontId="53" fillId="0" borderId="24" xfId="1" applyFont="1" applyFill="1" applyBorder="1" applyAlignment="1" applyProtection="1">
      <protection locked="0"/>
    </xf>
    <xf numFmtId="43" fontId="53" fillId="0" borderId="24" xfId="1" applyFont="1" applyFill="1" applyBorder="1" applyAlignment="1"/>
    <xf numFmtId="43" fontId="53" fillId="0" borderId="35" xfId="1" applyFont="1" applyFill="1" applyBorder="1" applyAlignment="1" applyProtection="1">
      <protection locked="0"/>
    </xf>
    <xf numFmtId="43" fontId="53" fillId="0" borderId="35" xfId="1" applyFont="1" applyFill="1" applyBorder="1" applyAlignment="1"/>
    <xf numFmtId="43" fontId="65" fillId="0" borderId="25" xfId="1" applyFont="1" applyFill="1" applyBorder="1" applyAlignment="1" applyProtection="1">
      <protection locked="0"/>
    </xf>
    <xf numFmtId="43" fontId="65" fillId="0" borderId="25" xfId="1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84" fillId="0" borderId="0" xfId="0" applyFo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43" fontId="15" fillId="0" borderId="1" xfId="1" applyFont="1" applyBorder="1" applyAlignment="1">
      <alignment horizontal="center" vertical="center"/>
    </xf>
    <xf numFmtId="43" fontId="15" fillId="0" borderId="1" xfId="0" applyNumberFormat="1" applyFont="1" applyBorder="1" applyAlignment="1">
      <alignment vertical="center"/>
    </xf>
    <xf numFmtId="17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/>
    </xf>
    <xf numFmtId="0" fontId="92" fillId="0" borderId="1" xfId="0" applyFont="1" applyBorder="1" applyAlignment="1">
      <alignment vertical="center"/>
    </xf>
    <xf numFmtId="0" fontId="92" fillId="0" borderId="1" xfId="0" applyFont="1" applyBorder="1" applyAlignment="1">
      <alignment horizontal="center" vertical="center"/>
    </xf>
    <xf numFmtId="43" fontId="92" fillId="0" borderId="1" xfId="0" applyNumberFormat="1" applyFont="1" applyBorder="1" applyAlignment="1">
      <alignment horizontal="center" vertical="center"/>
    </xf>
    <xf numFmtId="43" fontId="92" fillId="0" borderId="1" xfId="0" applyNumberFormat="1" applyFont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43" fontId="93" fillId="0" borderId="1" xfId="1" applyFont="1" applyBorder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43" fontId="93" fillId="0" borderId="1" xfId="0" applyNumberFormat="1" applyFont="1" applyBorder="1"/>
    <xf numFmtId="0" fontId="10" fillId="3" borderId="1" xfId="0" applyFont="1" applyFill="1" applyBorder="1"/>
    <xf numFmtId="0" fontId="94" fillId="3" borderId="1" xfId="0" applyFont="1" applyFill="1" applyBorder="1" applyAlignment="1">
      <alignment horizontal="center" vertical="center" wrapText="1"/>
    </xf>
    <xf numFmtId="0" fontId="94" fillId="3" borderId="1" xfId="0" applyFont="1" applyFill="1" applyBorder="1"/>
    <xf numFmtId="0" fontId="95" fillId="0" borderId="1" xfId="0" applyFont="1" applyBorder="1"/>
    <xf numFmtId="43" fontId="93" fillId="0" borderId="1" xfId="1" applyFont="1" applyBorder="1"/>
    <xf numFmtId="0" fontId="24" fillId="0" borderId="1" xfId="0" applyFont="1" applyBorder="1"/>
    <xf numFmtId="0" fontId="77" fillId="3" borderId="1" xfId="0" applyFont="1" applyFill="1" applyBorder="1" applyAlignment="1">
      <alignment horizontal="center"/>
    </xf>
    <xf numFmtId="43" fontId="77" fillId="3" borderId="1" xfId="0" applyNumberFormat="1" applyFont="1" applyFill="1" applyBorder="1" applyAlignment="1">
      <alignment horizontal="center"/>
    </xf>
    <xf numFmtId="0" fontId="96" fillId="0" borderId="0" xfId="0" applyFont="1"/>
    <xf numFmtId="0" fontId="96" fillId="6" borderId="0" xfId="0" applyFont="1" applyFill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96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0" fontId="100" fillId="8" borderId="16" xfId="0" applyFont="1" applyFill="1" applyBorder="1" applyAlignment="1">
      <alignment horizontal="center"/>
    </xf>
    <xf numFmtId="0" fontId="100" fillId="8" borderId="17" xfId="0" applyFont="1" applyFill="1" applyBorder="1" applyAlignment="1">
      <alignment horizontal="center"/>
    </xf>
    <xf numFmtId="0" fontId="101" fillId="8" borderId="2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02" fillId="0" borderId="16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03" fillId="0" borderId="17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 wrapText="1"/>
    </xf>
    <xf numFmtId="49" fontId="12" fillId="6" borderId="1" xfId="0" applyNumberFormat="1" applyFont="1" applyFill="1" applyBorder="1" applyAlignment="1">
      <alignment horizontal="center" vertical="center"/>
    </xf>
    <xf numFmtId="3" fontId="12" fillId="6" borderId="1" xfId="0" applyNumberFormat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/>
    </xf>
    <xf numFmtId="43" fontId="4" fillId="0" borderId="1" xfId="1" applyFont="1" applyBorder="1" applyAlignment="1">
      <alignment vertic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3" fontId="75" fillId="0" borderId="16" xfId="0" applyNumberFormat="1" applyFont="1" applyBorder="1" applyAlignment="1">
      <alignment horizontal="center"/>
    </xf>
    <xf numFmtId="0" fontId="75" fillId="0" borderId="17" xfId="0" applyFont="1" applyBorder="1" applyAlignment="1">
      <alignment horizontal="center"/>
    </xf>
    <xf numFmtId="0" fontId="75" fillId="0" borderId="18" xfId="0" applyFont="1" applyBorder="1" applyAlignment="1">
      <alignment horizontal="center"/>
    </xf>
    <xf numFmtId="43" fontId="75" fillId="0" borderId="1" xfId="1" applyFont="1" applyBorder="1" applyAlignment="1">
      <alignment horizontal="center" vertical="center"/>
    </xf>
    <xf numFmtId="49" fontId="75" fillId="0" borderId="16" xfId="0" applyNumberFormat="1" applyFont="1" applyBorder="1" applyAlignment="1">
      <alignment horizontal="center"/>
    </xf>
    <xf numFmtId="0" fontId="104" fillId="0" borderId="17" xfId="0" applyFont="1" applyBorder="1"/>
    <xf numFmtId="0" fontId="12" fillId="0" borderId="1" xfId="0" applyFont="1" applyBorder="1" applyAlignment="1">
      <alignment horizontal="center" wrapText="1"/>
    </xf>
    <xf numFmtId="3" fontId="12" fillId="0" borderId="1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43" fontId="12" fillId="0" borderId="1" xfId="1" applyFont="1" applyBorder="1" applyAlignment="1">
      <alignment horizontal="center" vertical="center"/>
    </xf>
    <xf numFmtId="43" fontId="12" fillId="0" borderId="1" xfId="1" applyFont="1" applyBorder="1" applyAlignment="1">
      <alignment horizontal="center" vertical="center" wrapText="1"/>
    </xf>
    <xf numFmtId="0" fontId="105" fillId="0" borderId="1" xfId="0" applyFont="1" applyBorder="1" applyAlignment="1">
      <alignment horizontal="center"/>
    </xf>
    <xf numFmtId="49" fontId="106" fillId="0" borderId="1" xfId="0" applyNumberFormat="1" applyFont="1" applyBorder="1" applyAlignment="1">
      <alignment horizontal="center"/>
    </xf>
    <xf numFmtId="0" fontId="107" fillId="0" borderId="1" xfId="0" applyFont="1" applyBorder="1" applyAlignment="1">
      <alignment horizontal="center" wrapText="1"/>
    </xf>
    <xf numFmtId="3" fontId="107" fillId="0" borderId="1" xfId="0" applyNumberFormat="1" applyFont="1" applyBorder="1" applyAlignment="1">
      <alignment horizontal="center"/>
    </xf>
    <xf numFmtId="3" fontId="105" fillId="0" borderId="1" xfId="0" applyNumberFormat="1" applyFont="1" applyBorder="1" applyAlignment="1">
      <alignment horizontal="center"/>
    </xf>
    <xf numFmtId="43" fontId="107" fillId="0" borderId="1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07" fillId="0" borderId="1" xfId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/>
    </xf>
    <xf numFmtId="0" fontId="102" fillId="0" borderId="1" xfId="0" applyFont="1" applyBorder="1" applyAlignment="1">
      <alignment horizontal="center" wrapText="1"/>
    </xf>
    <xf numFmtId="3" fontId="102" fillId="0" borderId="1" xfId="0" applyNumberFormat="1" applyFont="1" applyBorder="1" applyAlignment="1">
      <alignment horizontal="center"/>
    </xf>
    <xf numFmtId="3" fontId="16" fillId="0" borderId="1" xfId="0" applyNumberFormat="1" applyFont="1" applyBorder="1" applyAlignment="1">
      <alignment horizontal="center"/>
    </xf>
    <xf numFmtId="43" fontId="102" fillId="0" borderId="1" xfId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 wrapText="1"/>
    </xf>
    <xf numFmtId="43" fontId="12" fillId="0" borderId="1" xfId="1" applyFont="1" applyBorder="1" applyAlignment="1">
      <alignment horizontal="center"/>
    </xf>
    <xf numFmtId="49" fontId="10" fillId="0" borderId="1" xfId="0" applyNumberFormat="1" applyFont="1" applyBorder="1" applyAlignment="1">
      <alignment horizontal="center" wrapText="1"/>
    </xf>
    <xf numFmtId="0" fontId="75" fillId="0" borderId="1" xfId="0" applyFont="1" applyBorder="1" applyAlignment="1">
      <alignment horizontal="center"/>
    </xf>
    <xf numFmtId="3" fontId="75" fillId="0" borderId="1" xfId="0" applyNumberFormat="1" applyFont="1" applyBorder="1" applyAlignment="1">
      <alignment horizontal="center"/>
    </xf>
    <xf numFmtId="0" fontId="108" fillId="0" borderId="1" xfId="0" applyFont="1" applyBorder="1"/>
    <xf numFmtId="4" fontId="75" fillId="0" borderId="1" xfId="0" applyNumberFormat="1" applyFont="1" applyBorder="1" applyAlignment="1">
      <alignment horizontal="center" vertical="center"/>
    </xf>
    <xf numFmtId="43" fontId="0" fillId="0" borderId="0" xfId="1" applyFont="1"/>
    <xf numFmtId="177" fontId="50" fillId="0" borderId="0" xfId="0" applyNumberFormat="1" applyFont="1" applyAlignment="1">
      <alignment horizontal="center" vertical="center"/>
    </xf>
    <xf numFmtId="43" fontId="50" fillId="0" borderId="0" xfId="0" applyNumberFormat="1" applyFont="1" applyAlignment="1">
      <alignment horizontal="center" vertical="center"/>
    </xf>
    <xf numFmtId="0" fontId="100" fillId="8" borderId="18" xfId="0" applyFont="1" applyFill="1" applyBorder="1" applyAlignment="1">
      <alignment horizontal="center"/>
    </xf>
    <xf numFmtId="0" fontId="109" fillId="0" borderId="0" xfId="0" applyFont="1"/>
    <xf numFmtId="0" fontId="104" fillId="8" borderId="40" xfId="0" applyFont="1" applyFill="1" applyBorder="1" applyAlignment="1">
      <alignment vertical="center"/>
    </xf>
    <xf numFmtId="0" fontId="103" fillId="0" borderId="18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wrapText="1"/>
    </xf>
    <xf numFmtId="0" fontId="104" fillId="0" borderId="18" xfId="0" applyFont="1" applyBorder="1"/>
    <xf numFmtId="16" fontId="12" fillId="0" borderId="1" xfId="0" applyNumberFormat="1" applyFont="1" applyBorder="1" applyAlignment="1">
      <alignment horizontal="center" wrapText="1"/>
    </xf>
    <xf numFmtId="0" fontId="107" fillId="0" borderId="1" xfId="0" applyFont="1" applyBorder="1" applyAlignment="1">
      <alignment horizontal="center"/>
    </xf>
    <xf numFmtId="16" fontId="107" fillId="0" borderId="1" xfId="0" applyNumberFormat="1" applyFont="1" applyBorder="1" applyAlignment="1">
      <alignment horizontal="center" wrapText="1"/>
    </xf>
    <xf numFmtId="0" fontId="106" fillId="0" borderId="1" xfId="0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0" fontId="110" fillId="0" borderId="1" xfId="0" applyFont="1" applyBorder="1" applyAlignment="1">
      <alignment horizontal="center"/>
    </xf>
    <xf numFmtId="0" fontId="102" fillId="0" borderId="1" xfId="0" applyFont="1" applyBorder="1" applyAlignment="1">
      <alignment horizontal="center"/>
    </xf>
    <xf numFmtId="16" fontId="102" fillId="0" borderId="1" xfId="0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11" fillId="0" borderId="0" xfId="0" applyFont="1"/>
    <xf numFmtId="0" fontId="112" fillId="0" borderId="1" xfId="0" applyFont="1" applyBorder="1" applyAlignment="1" applyProtection="1">
      <alignment horizontal="center"/>
      <protection locked="0"/>
    </xf>
    <xf numFmtId="0" fontId="113" fillId="0" borderId="1" xfId="0" applyFont="1" applyBorder="1" applyAlignment="1" applyProtection="1">
      <alignment horizontal="center" wrapText="1"/>
      <protection locked="0"/>
    </xf>
    <xf numFmtId="0" fontId="114" fillId="0" borderId="1" xfId="0" applyFont="1" applyBorder="1" applyAlignment="1">
      <alignment horizontal="center" vertical="center"/>
    </xf>
    <xf numFmtId="0" fontId="115" fillId="0" borderId="1" xfId="0" applyFont="1" applyBorder="1" applyAlignment="1">
      <alignment horizontal="left" vertical="center" wrapText="1"/>
    </xf>
    <xf numFmtId="0" fontId="1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vertical="center" wrapText="1"/>
    </xf>
    <xf numFmtId="43" fontId="15" fillId="0" borderId="1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17" fontId="7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43" fontId="15" fillId="0" borderId="1" xfId="0" applyNumberFormat="1" applyFont="1" applyBorder="1" applyAlignment="1">
      <alignment horizontal="left"/>
    </xf>
    <xf numFmtId="49" fontId="15" fillId="0" borderId="37" xfId="0" applyNumberFormat="1" applyFont="1" applyBorder="1" applyAlignment="1">
      <alignment horizontal="left" vertical="center"/>
    </xf>
    <xf numFmtId="43" fontId="15" fillId="0" borderId="37" xfId="0" applyNumberFormat="1" applyFont="1" applyBorder="1" applyAlignment="1">
      <alignment horizontal="center" vertical="center"/>
    </xf>
    <xf numFmtId="43" fontId="92" fillId="0" borderId="37" xfId="0" applyNumberFormat="1" applyFont="1" applyBorder="1"/>
    <xf numFmtId="43" fontId="116" fillId="0" borderId="1" xfId="0" applyNumberFormat="1" applyFont="1" applyBorder="1"/>
    <xf numFmtId="0" fontId="0" fillId="0" borderId="1" xfId="0" applyBorder="1"/>
    <xf numFmtId="0" fontId="117" fillId="0" borderId="1" xfId="0" applyFont="1" applyBorder="1" applyAlignment="1" applyProtection="1">
      <alignment horizontal="center"/>
      <protection locked="0"/>
    </xf>
    <xf numFmtId="0" fontId="118" fillId="0" borderId="1" xfId="0" applyFont="1" applyBorder="1"/>
    <xf numFmtId="43" fontId="24" fillId="0" borderId="1" xfId="1" applyFont="1" applyBorder="1"/>
    <xf numFmtId="0" fontId="7" fillId="0" borderId="1" xfId="0" applyFont="1" applyBorder="1"/>
    <xf numFmtId="0" fontId="32" fillId="0" borderId="1" xfId="0" applyFont="1" applyBorder="1" applyAlignment="1">
      <alignment horizontal="center"/>
    </xf>
    <xf numFmtId="43" fontId="1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93" fillId="0" borderId="1" xfId="0" applyFont="1" applyBorder="1"/>
    <xf numFmtId="43" fontId="4" fillId="0" borderId="1" xfId="0" applyNumberFormat="1" applyFont="1" applyBorder="1" applyAlignment="1">
      <alignment horizontal="center" vertical="center"/>
    </xf>
    <xf numFmtId="0" fontId="25" fillId="0" borderId="0" xfId="0" applyFont="1"/>
    <xf numFmtId="43" fontId="6" fillId="0" borderId="1" xfId="1" applyFont="1" applyBorder="1"/>
    <xf numFmtId="0" fontId="88" fillId="0" borderId="1" xfId="0" applyFont="1" applyBorder="1" applyAlignment="1">
      <alignment horizontal="center"/>
    </xf>
    <xf numFmtId="43" fontId="10" fillId="0" borderId="1" xfId="0" applyNumberFormat="1" applyFont="1" applyBorder="1" applyAlignment="1">
      <alignment horizontal="center" vertical="center"/>
    </xf>
    <xf numFmtId="0" fontId="119" fillId="0" borderId="0" xfId="0" applyFont="1" applyAlignment="1">
      <alignment horizontal="center"/>
    </xf>
    <xf numFmtId="0" fontId="120" fillId="3" borderId="0" xfId="0" applyFont="1" applyFill="1" applyAlignment="1">
      <alignment horizontal="center" wrapText="1"/>
    </xf>
    <xf numFmtId="0" fontId="119" fillId="0" borderId="0" xfId="0" applyFont="1"/>
    <xf numFmtId="0" fontId="31" fillId="0" borderId="1" xfId="0" applyFont="1" applyBorder="1" applyAlignment="1" applyProtection="1">
      <alignment horizontal="center" vertical="center"/>
      <protection locked="0"/>
    </xf>
    <xf numFmtId="0" fontId="121" fillId="0" borderId="1" xfId="0" applyFont="1" applyBorder="1" applyAlignment="1" applyProtection="1">
      <alignment horizontal="center" vertical="center" wrapText="1"/>
      <protection locked="0"/>
    </xf>
    <xf numFmtId="0" fontId="103" fillId="0" borderId="1" xfId="0" applyFont="1" applyBorder="1" applyAlignment="1">
      <alignment horizontal="center"/>
    </xf>
    <xf numFmtId="43" fontId="95" fillId="0" borderId="1" xfId="1" applyFont="1" applyBorder="1"/>
    <xf numFmtId="0" fontId="7" fillId="0" borderId="17" xfId="0" applyFont="1" applyBorder="1" applyAlignment="1">
      <alignment horizontal="center"/>
    </xf>
    <xf numFmtId="0" fontId="7" fillId="0" borderId="17" xfId="0" applyFont="1" applyBorder="1"/>
    <xf numFmtId="0" fontId="119" fillId="0" borderId="1" xfId="0" applyFont="1" applyBorder="1" applyAlignment="1">
      <alignment horizontal="center"/>
    </xf>
    <xf numFmtId="0" fontId="23" fillId="0" borderId="1" xfId="0" applyFont="1" applyBorder="1"/>
    <xf numFmtId="43" fontId="23" fillId="0" borderId="1" xfId="1" applyFont="1" applyBorder="1"/>
    <xf numFmtId="43" fontId="77" fillId="0" borderId="1" xfId="1" applyFont="1" applyBorder="1"/>
    <xf numFmtId="43" fontId="24" fillId="0" borderId="1" xfId="0" applyNumberFormat="1" applyFont="1" applyBorder="1"/>
    <xf numFmtId="0" fontId="122" fillId="8" borderId="0" xfId="0" applyFont="1" applyFill="1" applyAlignment="1">
      <alignment horizontal="center" wrapText="1"/>
    </xf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/>
    </xf>
    <xf numFmtId="0" fontId="16" fillId="0" borderId="3" xfId="0" applyFont="1" applyBorder="1"/>
    <xf numFmtId="4" fontId="16" fillId="0" borderId="3" xfId="0" applyNumberFormat="1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19" fillId="0" borderId="8" xfId="0" applyFont="1" applyBorder="1"/>
    <xf numFmtId="0" fontId="119" fillId="0" borderId="9" xfId="0" applyFont="1" applyBorder="1"/>
    <xf numFmtId="0" fontId="4" fillId="0" borderId="8" xfId="0" applyFont="1" applyBorder="1"/>
    <xf numFmtId="0" fontId="4" fillId="0" borderId="9" xfId="0" applyFont="1" applyBorder="1"/>
    <xf numFmtId="0" fontId="15" fillId="0" borderId="8" xfId="0" applyFont="1" applyBorder="1"/>
    <xf numFmtId="0" fontId="15" fillId="0" borderId="9" xfId="0" applyFont="1" applyBorder="1"/>
    <xf numFmtId="0" fontId="15" fillId="0" borderId="8" xfId="0" applyFont="1" applyBorder="1" applyAlignment="1">
      <alignment horizontal="left" wrapText="1"/>
    </xf>
    <xf numFmtId="0" fontId="15" fillId="0" borderId="9" xfId="0" applyFont="1" applyBorder="1" applyAlignment="1">
      <alignment horizontal="left" wrapText="1"/>
    </xf>
    <xf numFmtId="0" fontId="15" fillId="0" borderId="41" xfId="0" applyFont="1" applyBorder="1"/>
    <xf numFmtId="0" fontId="15" fillId="0" borderId="31" xfId="0" applyFont="1" applyBorder="1"/>
    <xf numFmtId="0" fontId="15" fillId="0" borderId="16" xfId="0" applyFont="1" applyBorder="1"/>
    <xf numFmtId="0" fontId="119" fillId="0" borderId="17" xfId="0" applyFont="1" applyBorder="1"/>
    <xf numFmtId="0" fontId="119" fillId="0" borderId="18" xfId="0" applyFont="1" applyBorder="1"/>
    <xf numFmtId="4" fontId="16" fillId="0" borderId="9" xfId="0" applyNumberFormat="1" applyFont="1" applyBorder="1" applyAlignment="1">
      <alignment horizontal="center"/>
    </xf>
    <xf numFmtId="0" fontId="15" fillId="0" borderId="16" xfId="0" applyFont="1" applyBorder="1" applyAlignment="1">
      <alignment horizontal="left" wrapText="1"/>
    </xf>
    <xf numFmtId="0" fontId="15" fillId="0" borderId="17" xfId="0" applyFont="1" applyBorder="1" applyAlignment="1">
      <alignment horizontal="left" wrapText="1"/>
    </xf>
    <xf numFmtId="0" fontId="15" fillId="0" borderId="18" xfId="0" applyFont="1" applyBorder="1" applyAlignment="1">
      <alignment horizontal="left" wrapText="1"/>
    </xf>
    <xf numFmtId="0" fontId="0" fillId="0" borderId="17" xfId="0" applyBorder="1"/>
    <xf numFmtId="0" fontId="0" fillId="0" borderId="18" xfId="0" applyBorder="1"/>
    <xf numFmtId="0" fontId="16" fillId="0" borderId="16" xfId="0" applyFont="1" applyBorder="1"/>
    <xf numFmtId="0" fontId="16" fillId="0" borderId="23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04" fillId="8" borderId="7" xfId="0" applyFont="1" applyFill="1" applyBorder="1" applyAlignment="1">
      <alignment horizontal="center"/>
    </xf>
    <xf numFmtId="0" fontId="104" fillId="8" borderId="8" xfId="0" applyFont="1" applyFill="1" applyBorder="1" applyAlignment="1">
      <alignment horizontal="center"/>
    </xf>
    <xf numFmtId="0" fontId="104" fillId="8" borderId="9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4" fontId="16" fillId="8" borderId="7" xfId="0" applyNumberFormat="1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16" fillId="8" borderId="9" xfId="0" applyFont="1" applyFill="1" applyBorder="1" applyAlignment="1">
      <alignment horizontal="center"/>
    </xf>
    <xf numFmtId="4" fontId="16" fillId="8" borderId="3" xfId="0" applyNumberFormat="1" applyFont="1" applyFill="1" applyBorder="1" applyAlignment="1">
      <alignment horizontal="center"/>
    </xf>
    <xf numFmtId="43" fontId="50" fillId="0" borderId="0" xfId="1" applyFont="1" applyAlignment="1">
      <alignment horizontal="center"/>
    </xf>
    <xf numFmtId="43" fontId="119" fillId="0" borderId="0" xfId="0" applyNumberFormat="1" applyFont="1" applyAlignment="1">
      <alignment horizontal="center"/>
    </xf>
    <xf numFmtId="4" fontId="119" fillId="0" borderId="0" xfId="0" applyNumberFormat="1" applyFont="1"/>
    <xf numFmtId="3" fontId="0" fillId="0" borderId="0" xfId="0" applyNumberFormat="1"/>
    <xf numFmtId="43" fontId="50" fillId="0" borderId="0" xfId="0" applyNumberFormat="1" applyFont="1" applyAlignment="1">
      <alignment horizontal="center"/>
    </xf>
    <xf numFmtId="0" fontId="123" fillId="0" borderId="0" xfId="0" applyFont="1" applyAlignment="1">
      <alignment horizontal="center" wrapText="1"/>
    </xf>
    <xf numFmtId="0" fontId="29" fillId="0" borderId="1" xfId="0" applyFont="1" applyBorder="1" applyAlignment="1">
      <alignment horizontal="center"/>
    </xf>
    <xf numFmtId="43" fontId="28" fillId="0" borderId="1" xfId="1" applyFont="1" applyBorder="1"/>
    <xf numFmtId="0" fontId="7" fillId="0" borderId="1" xfId="0" applyFont="1" applyBorder="1" applyAlignment="1">
      <alignment horizontal="center"/>
    </xf>
    <xf numFmtId="43" fontId="7" fillId="0" borderId="1" xfId="0" applyNumberFormat="1" applyFont="1" applyBorder="1" applyAlignment="1">
      <alignment horizontal="center"/>
    </xf>
    <xf numFmtId="0" fontId="32" fillId="0" borderId="0" xfId="0" applyFont="1" applyAlignment="1">
      <alignment vertical="center"/>
    </xf>
    <xf numFmtId="0" fontId="124" fillId="9" borderId="0" xfId="0" applyFont="1" applyFill="1"/>
    <xf numFmtId="0" fontId="124" fillId="8" borderId="0" xfId="0" applyFont="1" applyFill="1"/>
    <xf numFmtId="0" fontId="32" fillId="0" borderId="0" xfId="0" applyFont="1"/>
    <xf numFmtId="0" fontId="124" fillId="10" borderId="0" xfId="0" applyFont="1" applyFill="1"/>
    <xf numFmtId="0" fontId="125" fillId="0" borderId="0" xfId="0" applyFont="1"/>
    <xf numFmtId="0" fontId="124" fillId="0" borderId="0" xfId="0" applyFont="1" applyAlignment="1">
      <alignment horizontal="center"/>
    </xf>
    <xf numFmtId="0" fontId="126" fillId="0" borderId="0" xfId="0" applyFont="1"/>
    <xf numFmtId="0" fontId="127" fillId="0" borderId="0" xfId="0" applyFont="1"/>
    <xf numFmtId="0" fontId="124" fillId="0" borderId="0" xfId="0" applyFont="1" applyAlignment="1">
      <alignment horizontal="center" vertical="center"/>
    </xf>
    <xf numFmtId="0" fontId="124" fillId="0" borderId="0" xfId="0" applyFont="1"/>
    <xf numFmtId="0" fontId="124" fillId="0" borderId="0" xfId="0" applyFont="1" applyAlignment="1">
      <alignment vertical="center"/>
    </xf>
    <xf numFmtId="0" fontId="124" fillId="0" borderId="1" xfId="0" applyFont="1" applyBorder="1"/>
    <xf numFmtId="43" fontId="124" fillId="0" borderId="0" xfId="1" applyFont="1" applyFill="1"/>
    <xf numFmtId="0" fontId="128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/>
    </xf>
    <xf numFmtId="49" fontId="32" fillId="0" borderId="1" xfId="0" applyNumberFormat="1" applyFont="1" applyBorder="1" applyAlignment="1" applyProtection="1">
      <alignment horizontal="center" textRotation="90"/>
      <protection locked="0"/>
    </xf>
    <xf numFmtId="0" fontId="32" fillId="0" borderId="1" xfId="0" applyFont="1" applyBorder="1" applyAlignment="1" applyProtection="1">
      <alignment horizontal="center" vertical="center" wrapText="1"/>
      <protection locked="0"/>
    </xf>
    <xf numFmtId="49" fontId="32" fillId="0" borderId="1" xfId="0" applyNumberFormat="1" applyFont="1" applyBorder="1" applyAlignment="1" applyProtection="1">
      <alignment horizontal="center" vertical="center" textRotation="90"/>
      <protection locked="0"/>
    </xf>
    <xf numFmtId="0" fontId="32" fillId="0" borderId="1" xfId="0" applyFont="1" applyBorder="1" applyAlignment="1">
      <alignment horizontal="center" vertical="center" wrapText="1"/>
    </xf>
    <xf numFmtId="49" fontId="32" fillId="0" borderId="1" xfId="0" applyNumberFormat="1" applyFont="1" applyBorder="1" applyAlignment="1">
      <alignment horizontal="left" vertical="center" wrapText="1"/>
    </xf>
    <xf numFmtId="49" fontId="32" fillId="0" borderId="1" xfId="0" applyNumberFormat="1" applyFont="1" applyBorder="1" applyAlignment="1">
      <alignment horizontal="center" vertical="center" wrapText="1"/>
    </xf>
    <xf numFmtId="49" fontId="32" fillId="0" borderId="1" xfId="50" applyNumberFormat="1" applyFont="1" applyBorder="1" applyAlignment="1">
      <alignment horizontal="center" vertical="center" textRotation="90" wrapText="1"/>
    </xf>
    <xf numFmtId="49" fontId="32" fillId="0" borderId="1" xfId="0" applyNumberFormat="1" applyFont="1" applyBorder="1" applyAlignment="1">
      <alignment horizontal="center" vertical="center" textRotation="90"/>
    </xf>
    <xf numFmtId="49" fontId="32" fillId="0" borderId="1" xfId="0" applyNumberFormat="1" applyFont="1" applyBorder="1" applyAlignment="1">
      <alignment horizontal="center" textRotation="90"/>
    </xf>
    <xf numFmtId="0" fontId="102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 applyProtection="1">
      <alignment horizontal="center" vertical="center" textRotation="90" wrapText="1"/>
      <protection locked="0"/>
    </xf>
    <xf numFmtId="4" fontId="81" fillId="0" borderId="1" xfId="0" applyNumberFormat="1" applyFont="1" applyBorder="1" applyAlignment="1" applyProtection="1">
      <alignment horizontal="center" textRotation="90" wrapText="1"/>
      <protection locked="0"/>
    </xf>
    <xf numFmtId="4" fontId="32" fillId="0" borderId="1" xfId="0" applyNumberFormat="1" applyFont="1" applyBorder="1" applyAlignment="1" applyProtection="1">
      <alignment horizontal="center" vertical="center" textRotation="90" wrapText="1"/>
      <protection locked="0"/>
    </xf>
    <xf numFmtId="49" fontId="10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top" textRotation="90"/>
    </xf>
    <xf numFmtId="43" fontId="32" fillId="0" borderId="1" xfId="1" applyFont="1" applyFill="1" applyBorder="1" applyAlignment="1">
      <alignment horizontal="center" vertical="top" textRotation="90" wrapText="1"/>
    </xf>
    <xf numFmtId="43" fontId="32" fillId="0" borderId="1" xfId="49" applyFont="1" applyFill="1" applyBorder="1" applyAlignment="1">
      <alignment horizontal="center" vertical="top" textRotation="90"/>
    </xf>
    <xf numFmtId="0" fontId="32" fillId="0" borderId="1" xfId="0" applyFont="1" applyBorder="1" applyAlignment="1">
      <alignment horizontal="center" vertical="center" textRotation="90"/>
    </xf>
    <xf numFmtId="43" fontId="32" fillId="0" borderId="1" xfId="49" applyFont="1" applyFill="1" applyBorder="1" applyAlignment="1">
      <alignment horizontal="center" vertical="center" textRotation="90"/>
    </xf>
    <xf numFmtId="0" fontId="16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top" textRotation="90" wrapText="1"/>
    </xf>
    <xf numFmtId="0" fontId="102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textRotation="90"/>
    </xf>
    <xf numFmtId="43" fontId="32" fillId="0" borderId="1" xfId="1" applyFont="1" applyFill="1" applyBorder="1" applyAlignment="1">
      <alignment horizontal="center" textRotation="90" wrapText="1"/>
    </xf>
    <xf numFmtId="43" fontId="32" fillId="0" borderId="1" xfId="1" applyFont="1" applyFill="1" applyBorder="1" applyAlignment="1">
      <alignment horizontal="center" vertical="center" textRotation="90" wrapText="1"/>
    </xf>
    <xf numFmtId="0" fontId="121" fillId="0" borderId="1" xfId="0" applyFont="1" applyBorder="1" applyAlignment="1">
      <alignment horizontal="center" vertical="center"/>
    </xf>
    <xf numFmtId="4" fontId="121" fillId="0" borderId="1" xfId="0" applyNumberFormat="1" applyFont="1" applyBorder="1" applyAlignment="1" applyProtection="1">
      <alignment horizontal="center" textRotation="90" wrapText="1"/>
      <protection locked="0"/>
    </xf>
    <xf numFmtId="43" fontId="32" fillId="0" borderId="1" xfId="1" applyFont="1" applyFill="1" applyBorder="1" applyAlignment="1" applyProtection="1">
      <alignment horizontal="center" vertical="center" textRotation="90" wrapText="1"/>
      <protection locked="0"/>
    </xf>
    <xf numFmtId="43" fontId="32" fillId="0" borderId="1" xfId="49" applyFont="1" applyFill="1" applyBorder="1" applyAlignment="1">
      <alignment horizontal="center" textRotation="90"/>
    </xf>
    <xf numFmtId="43" fontId="32" fillId="0" borderId="1" xfId="0" applyNumberFormat="1" applyFont="1" applyBorder="1"/>
    <xf numFmtId="0" fontId="121" fillId="0" borderId="1" xfId="0" applyFont="1" applyBorder="1" applyAlignment="1" applyProtection="1">
      <alignment horizontal="center" textRotation="90"/>
      <protection locked="0"/>
    </xf>
    <xf numFmtId="0" fontId="81" fillId="0" borderId="1" xfId="0" applyFont="1" applyBorder="1" applyAlignment="1" applyProtection="1">
      <alignment horizontal="center" textRotation="90"/>
      <protection locked="0"/>
    </xf>
    <xf numFmtId="4" fontId="81" fillId="0" borderId="1" xfId="0" applyNumberFormat="1" applyFont="1" applyBorder="1" applyAlignment="1" applyProtection="1">
      <alignment horizontal="center" textRotation="90"/>
      <protection locked="0"/>
    </xf>
    <xf numFmtId="43" fontId="32" fillId="0" borderId="1" xfId="1" applyFont="1" applyFill="1" applyBorder="1" applyAlignment="1" applyProtection="1">
      <alignment horizontal="center" vertical="center" textRotation="90"/>
      <protection locked="0"/>
    </xf>
    <xf numFmtId="43" fontId="32" fillId="0" borderId="1" xfId="49" applyFont="1" applyFill="1" applyBorder="1" applyAlignment="1">
      <alignment horizontal="right" vertical="center" textRotation="90"/>
    </xf>
    <xf numFmtId="43" fontId="53" fillId="0" borderId="3" xfId="1" applyFont="1" applyFill="1" applyBorder="1" applyAlignment="1"/>
    <xf numFmtId="43" fontId="32" fillId="0" borderId="0" xfId="49" applyFont="1" applyFill="1" applyBorder="1" applyAlignment="1">
      <alignment horizontal="center" vertical="top" textRotation="90"/>
    </xf>
    <xf numFmtId="0" fontId="32" fillId="0" borderId="1" xfId="0" applyFont="1" applyBorder="1"/>
    <xf numFmtId="43" fontId="16" fillId="0" borderId="3" xfId="1" applyFont="1" applyFill="1" applyBorder="1" applyAlignment="1">
      <alignment horizontal="center" textRotation="90"/>
    </xf>
    <xf numFmtId="43" fontId="53" fillId="0" borderId="0" xfId="1" applyFont="1" applyFill="1" applyBorder="1" applyAlignment="1"/>
    <xf numFmtId="0" fontId="128" fillId="0" borderId="1" xfId="0" applyFont="1" applyBorder="1" applyAlignment="1" applyProtection="1">
      <alignment horizontal="center" textRotation="90"/>
      <protection locked="0"/>
    </xf>
    <xf numFmtId="4" fontId="81" fillId="0" borderId="16" xfId="0" applyNumberFormat="1" applyFont="1" applyBorder="1" applyAlignment="1" applyProtection="1">
      <alignment horizontal="center" textRotation="90" wrapText="1"/>
      <protection locked="0"/>
    </xf>
    <xf numFmtId="43" fontId="32" fillId="0" borderId="16" xfId="1" applyFont="1" applyFill="1" applyBorder="1" applyAlignment="1" applyProtection="1">
      <alignment horizontal="center" vertical="center" textRotation="90" wrapText="1"/>
      <protection locked="0"/>
    </xf>
    <xf numFmtId="43" fontId="32" fillId="0" borderId="1" xfId="0" applyNumberFormat="1" applyFont="1" applyBorder="1" applyAlignment="1">
      <alignment textRotation="90"/>
    </xf>
    <xf numFmtId="43" fontId="32" fillId="0" borderId="16" xfId="49" applyFont="1" applyFill="1" applyBorder="1" applyAlignment="1">
      <alignment horizontal="center" vertical="top" textRotation="90"/>
    </xf>
    <xf numFmtId="43" fontId="32" fillId="0" borderId="16" xfId="49" applyFont="1" applyFill="1" applyBorder="1" applyAlignment="1">
      <alignment horizontal="center" vertical="center" textRotation="90"/>
    </xf>
    <xf numFmtId="43" fontId="32" fillId="0" borderId="16" xfId="49" applyFont="1" applyFill="1" applyBorder="1" applyAlignment="1">
      <alignment horizontal="center" textRotation="90"/>
    </xf>
    <xf numFmtId="43" fontId="121" fillId="0" borderId="0" xfId="1" applyFont="1" applyFill="1" applyAlignment="1">
      <alignment textRotation="90"/>
    </xf>
    <xf numFmtId="43" fontId="32" fillId="0" borderId="1" xfId="0" applyNumberFormat="1" applyFont="1" applyBorder="1" applyAlignment="1">
      <alignment vertical="center" textRotation="90"/>
    </xf>
    <xf numFmtId="4" fontId="53" fillId="0" borderId="1" xfId="0" applyNumberFormat="1" applyFont="1" applyBorder="1" applyAlignment="1">
      <alignment horizontal="center" vertical="top" textRotation="90"/>
    </xf>
    <xf numFmtId="4" fontId="81" fillId="0" borderId="18" xfId="0" applyNumberFormat="1" applyFont="1" applyBorder="1" applyAlignment="1" applyProtection="1">
      <alignment horizontal="center" textRotation="90" wrapText="1"/>
      <protection locked="0"/>
    </xf>
    <xf numFmtId="43" fontId="32" fillId="0" borderId="18" xfId="1" applyFont="1" applyFill="1" applyBorder="1" applyAlignment="1" applyProtection="1">
      <alignment horizontal="center" vertical="center" textRotation="90" wrapText="1"/>
      <protection locked="0"/>
    </xf>
    <xf numFmtId="43" fontId="32" fillId="0" borderId="18" xfId="49" applyFont="1" applyFill="1" applyBorder="1" applyAlignment="1">
      <alignment horizontal="center" vertical="top" textRotation="90"/>
    </xf>
    <xf numFmtId="43" fontId="32" fillId="0" borderId="1" xfId="1" applyFont="1" applyFill="1" applyBorder="1" applyAlignment="1" applyProtection="1">
      <alignment horizontal="center" textRotation="90" wrapText="1"/>
      <protection locked="0"/>
    </xf>
    <xf numFmtId="43" fontId="32" fillId="0" borderId="18" xfId="49" applyFont="1" applyFill="1" applyBorder="1" applyAlignment="1">
      <alignment horizontal="center" vertical="center" textRotation="90"/>
    </xf>
    <xf numFmtId="43" fontId="32" fillId="0" borderId="18" xfId="49" applyFont="1" applyFill="1" applyBorder="1" applyAlignment="1">
      <alignment horizontal="center" textRotation="90"/>
    </xf>
    <xf numFmtId="4" fontId="32" fillId="0" borderId="1" xfId="0" applyNumberFormat="1" applyFont="1" applyBorder="1" applyAlignment="1">
      <alignment horizontal="center" vertical="top" textRotation="90"/>
    </xf>
    <xf numFmtId="4" fontId="32" fillId="0" borderId="1" xfId="0" applyNumberFormat="1" applyFont="1" applyBorder="1" applyAlignment="1">
      <alignment horizontal="center" vertical="center" textRotation="90"/>
    </xf>
    <xf numFmtId="43" fontId="32" fillId="0" borderId="1" xfId="1" applyFont="1" applyFill="1" applyBorder="1" applyAlignment="1">
      <alignment textRotation="90"/>
    </xf>
    <xf numFmtId="4" fontId="32" fillId="0" borderId="1" xfId="0" applyNumberFormat="1" applyFont="1" applyBorder="1" applyAlignment="1" applyProtection="1">
      <alignment horizontal="center" textRotation="90" wrapText="1"/>
      <protection locked="0"/>
    </xf>
    <xf numFmtId="177" fontId="32" fillId="0" borderId="1" xfId="1" applyNumberFormat="1" applyFont="1" applyFill="1" applyBorder="1" applyAlignment="1">
      <alignment horizontal="center" vertical="top" textRotation="90"/>
    </xf>
    <xf numFmtId="177" fontId="32" fillId="0" borderId="1" xfId="1" applyNumberFormat="1" applyFont="1" applyFill="1" applyBorder="1" applyAlignment="1">
      <alignment horizontal="center" vertical="center" textRotation="90"/>
    </xf>
    <xf numFmtId="0" fontId="81" fillId="0" borderId="1" xfId="0" applyFont="1" applyBorder="1"/>
    <xf numFmtId="43" fontId="81" fillId="0" borderId="1" xfId="1" applyFont="1" applyFill="1" applyBorder="1" applyAlignment="1" applyProtection="1">
      <alignment horizontal="center" vertical="center" wrapText="1"/>
      <protection locked="0"/>
    </xf>
    <xf numFmtId="43" fontId="32" fillId="0" borderId="1" xfId="1" applyFont="1" applyFill="1" applyBorder="1" applyAlignment="1">
      <alignment horizontal="center" vertical="center" textRotation="90"/>
    </xf>
    <xf numFmtId="43" fontId="32" fillId="0" borderId="1" xfId="1" applyFont="1" applyFill="1" applyBorder="1" applyAlignment="1" applyProtection="1">
      <alignment horizontal="center" vertical="center" wrapText="1"/>
      <protection locked="0"/>
    </xf>
    <xf numFmtId="4" fontId="16" fillId="0" borderId="1" xfId="0" applyNumberFormat="1" applyFont="1" applyBorder="1" applyAlignment="1">
      <alignment horizontal="center" vertical="top" textRotation="90"/>
    </xf>
    <xf numFmtId="43" fontId="32" fillId="0" borderId="1" xfId="1" applyFont="1" applyFill="1" applyBorder="1" applyAlignment="1">
      <alignment horizontal="center" vertical="top" textRotation="90"/>
    </xf>
    <xf numFmtId="43" fontId="32" fillId="0" borderId="1" xfId="1" applyFont="1" applyFill="1" applyBorder="1" applyAlignment="1" applyProtection="1">
      <alignment vertical="center"/>
      <protection locked="0"/>
    </xf>
    <xf numFmtId="43" fontId="32" fillId="0" borderId="1" xfId="1" applyFont="1" applyFill="1" applyBorder="1" applyAlignment="1">
      <alignment vertical="center"/>
    </xf>
    <xf numFmtId="178" fontId="32" fillId="0" borderId="1" xfId="0" applyNumberFormat="1" applyFont="1" applyBorder="1" applyAlignment="1">
      <alignment vertical="center"/>
    </xf>
    <xf numFmtId="4" fontId="16" fillId="0" borderId="3" xfId="0" applyNumberFormat="1" applyFont="1" applyBorder="1" applyAlignment="1">
      <alignment horizontal="center" vertical="top" textRotation="90"/>
    </xf>
    <xf numFmtId="43" fontId="32" fillId="0" borderId="0" xfId="1" applyFont="1" applyFill="1" applyAlignment="1">
      <alignment textRotation="90"/>
    </xf>
    <xf numFmtId="179" fontId="32" fillId="0" borderId="1" xfId="0" applyNumberFormat="1" applyFont="1" applyBorder="1" applyAlignment="1">
      <alignment vertical="center"/>
    </xf>
    <xf numFmtId="177" fontId="32" fillId="0" borderId="1" xfId="0" applyNumberFormat="1" applyFont="1" applyBorder="1" applyAlignment="1">
      <alignment vertical="center"/>
    </xf>
    <xf numFmtId="4" fontId="81" fillId="0" borderId="1" xfId="0" applyNumberFormat="1" applyFont="1" applyBorder="1"/>
    <xf numFmtId="9" fontId="81" fillId="0" borderId="1" xfId="3" applyFont="1" applyFill="1" applyBorder="1" applyAlignment="1" applyProtection="1">
      <alignment horizontal="center" wrapText="1"/>
      <protection locked="0"/>
    </xf>
    <xf numFmtId="0" fontId="81" fillId="0" borderId="1" xfId="0" applyFont="1" applyBorder="1" applyAlignment="1" applyProtection="1">
      <alignment horizontal="center" vertical="center" wrapText="1"/>
      <protection locked="0"/>
    </xf>
    <xf numFmtId="9" fontId="32" fillId="0" borderId="1" xfId="3" applyFont="1" applyFill="1" applyBorder="1" applyAlignment="1" applyProtection="1">
      <alignment horizontal="center" vertical="center" wrapText="1"/>
      <protection locked="0"/>
    </xf>
    <xf numFmtId="178" fontId="81" fillId="0" borderId="1" xfId="0" applyNumberFormat="1" applyFont="1" applyBorder="1" applyAlignment="1">
      <alignment vertical="center"/>
    </xf>
    <xf numFmtId="179" fontId="81" fillId="0" borderId="1" xfId="49" applyNumberFormat="1" applyFont="1" applyFill="1" applyBorder="1" applyAlignment="1">
      <alignment vertical="center"/>
    </xf>
    <xf numFmtId="43" fontId="81" fillId="0" borderId="1" xfId="1" applyFont="1" applyFill="1" applyBorder="1" applyAlignment="1">
      <alignment vertical="center"/>
    </xf>
    <xf numFmtId="43" fontId="81" fillId="0" borderId="1" xfId="1" applyFont="1" applyFill="1" applyBorder="1"/>
    <xf numFmtId="9" fontId="81" fillId="0" borderId="1" xfId="3" applyFont="1" applyFill="1" applyBorder="1" applyAlignment="1">
      <alignment horizontal="center"/>
    </xf>
    <xf numFmtId="178" fontId="81" fillId="0" borderId="1" xfId="0" applyNumberFormat="1" applyFont="1" applyBorder="1"/>
    <xf numFmtId="177" fontId="81" fillId="0" borderId="1" xfId="0" applyNumberFormat="1" applyFont="1" applyBorder="1"/>
    <xf numFmtId="9" fontId="81" fillId="0" borderId="1" xfId="3" applyFont="1" applyFill="1" applyBorder="1" applyAlignment="1">
      <alignment horizontal="center" vertical="center"/>
    </xf>
    <xf numFmtId="177" fontId="81" fillId="0" borderId="1" xfId="0" applyNumberFormat="1" applyFont="1" applyBorder="1" applyAlignment="1">
      <alignment vertical="center"/>
    </xf>
    <xf numFmtId="43" fontId="81" fillId="0" borderId="1" xfId="1" applyFont="1" applyFill="1" applyBorder="1" applyAlignment="1"/>
    <xf numFmtId="0" fontId="81" fillId="0" borderId="16" xfId="0" applyFont="1" applyBorder="1"/>
    <xf numFmtId="0" fontId="81" fillId="0" borderId="16" xfId="0" applyFont="1" applyBorder="1" applyAlignment="1" applyProtection="1">
      <alignment horizontal="center" vertical="center" wrapText="1"/>
      <protection locked="0"/>
    </xf>
    <xf numFmtId="0" fontId="32" fillId="0" borderId="16" xfId="0" applyFont="1" applyBorder="1" applyAlignment="1" applyProtection="1">
      <alignment horizontal="center" vertical="center" wrapText="1"/>
      <protection locked="0"/>
    </xf>
    <xf numFmtId="177" fontId="81" fillId="0" borderId="16" xfId="0" applyNumberFormat="1" applyFont="1" applyBorder="1"/>
    <xf numFmtId="43" fontId="128" fillId="0" borderId="1" xfId="0" applyNumberFormat="1" applyFont="1" applyBorder="1" applyAlignment="1">
      <alignment horizontal="center" vertical="center"/>
    </xf>
    <xf numFmtId="177" fontId="81" fillId="0" borderId="16" xfId="0" applyNumberFormat="1" applyFont="1" applyBorder="1" applyAlignment="1">
      <alignment vertical="center"/>
    </xf>
    <xf numFmtId="0" fontId="128" fillId="0" borderId="1" xfId="0" applyFont="1" applyBorder="1" applyAlignment="1">
      <alignment horizontal="center" vertical="center" wrapText="1"/>
    </xf>
    <xf numFmtId="43" fontId="124" fillId="0" borderId="0" xfId="0" applyNumberFormat="1" applyFont="1"/>
    <xf numFmtId="43" fontId="128" fillId="0" borderId="1" xfId="1" applyFont="1" applyFill="1" applyBorder="1" applyAlignment="1">
      <alignment horizontal="center" vertical="center" wrapText="1"/>
    </xf>
    <xf numFmtId="0" fontId="32" fillId="0" borderId="24" xfId="0" applyFont="1" applyBorder="1" applyAlignment="1">
      <alignment vertical="center" wrapText="1"/>
    </xf>
    <xf numFmtId="49" fontId="32" fillId="9" borderId="1" xfId="0" applyNumberFormat="1" applyFont="1" applyFill="1" applyBorder="1" applyAlignment="1">
      <alignment horizontal="left" vertical="center" wrapText="1"/>
    </xf>
    <xf numFmtId="49" fontId="32" fillId="9" borderId="1" xfId="0" applyNumberFormat="1" applyFont="1" applyFill="1" applyBorder="1" applyAlignment="1">
      <alignment horizontal="center" vertical="center" wrapText="1"/>
    </xf>
    <xf numFmtId="49" fontId="32" fillId="9" borderId="1" xfId="0" applyNumberFormat="1" applyFont="1" applyFill="1" applyBorder="1" applyAlignment="1">
      <alignment horizontal="center" vertical="center" textRotation="90"/>
    </xf>
    <xf numFmtId="49" fontId="32" fillId="0" borderId="1" xfId="0" applyNumberFormat="1" applyFont="1" applyBorder="1" applyAlignment="1">
      <alignment horizontal="center" vertical="center"/>
    </xf>
    <xf numFmtId="0" fontId="102" fillId="9" borderId="1" xfId="0" applyFont="1" applyFill="1" applyBorder="1" applyAlignment="1">
      <alignment horizontal="center" vertical="center"/>
    </xf>
    <xf numFmtId="49" fontId="102" fillId="9" borderId="1" xfId="0" applyNumberFormat="1" applyFont="1" applyFill="1" applyBorder="1" applyAlignment="1">
      <alignment horizontal="center" vertical="center"/>
    </xf>
    <xf numFmtId="43" fontId="32" fillId="9" borderId="1" xfId="0" applyNumberFormat="1" applyFont="1" applyFill="1" applyBorder="1" applyAlignment="1">
      <alignment horizontal="center" vertical="top" textRotation="90"/>
    </xf>
    <xf numFmtId="43" fontId="32" fillId="9" borderId="1" xfId="1" applyFont="1" applyFill="1" applyBorder="1" applyAlignment="1">
      <alignment horizontal="center" vertical="top" textRotation="90" wrapText="1"/>
    </xf>
    <xf numFmtId="43" fontId="32" fillId="9" borderId="1" xfId="49" applyFont="1" applyFill="1" applyBorder="1" applyAlignment="1">
      <alignment horizontal="center" vertical="top" textRotation="90"/>
    </xf>
    <xf numFmtId="49" fontId="102" fillId="0" borderId="16" xfId="0" applyNumberFormat="1" applyFont="1" applyBorder="1" applyAlignment="1">
      <alignment horizontal="center" vertical="center"/>
    </xf>
    <xf numFmtId="0" fontId="32" fillId="9" borderId="1" xfId="0" applyFont="1" applyFill="1" applyBorder="1" applyAlignment="1">
      <alignment horizontal="center" vertical="top" textRotation="90"/>
    </xf>
    <xf numFmtId="43" fontId="32" fillId="0" borderId="1" xfId="0" applyNumberFormat="1" applyFont="1" applyBorder="1" applyAlignment="1">
      <alignment horizontal="center" vertical="top" textRotation="90"/>
    </xf>
    <xf numFmtId="177" fontId="32" fillId="0" borderId="1" xfId="49" applyNumberFormat="1" applyFont="1" applyFill="1" applyBorder="1" applyAlignment="1">
      <alignment horizontal="center" vertical="top" textRotation="90"/>
    </xf>
    <xf numFmtId="43" fontId="129" fillId="0" borderId="1" xfId="49" applyFont="1" applyFill="1" applyBorder="1" applyAlignment="1">
      <alignment vertical="top" textRotation="90" wrapText="1"/>
    </xf>
    <xf numFmtId="43" fontId="32" fillId="9" borderId="1" xfId="0" applyNumberFormat="1" applyFont="1" applyFill="1" applyBorder="1" applyAlignment="1">
      <alignment textRotation="90"/>
    </xf>
    <xf numFmtId="43" fontId="32" fillId="9" borderId="16" xfId="49" applyFont="1" applyFill="1" applyBorder="1" applyAlignment="1">
      <alignment horizontal="center" vertical="top" textRotation="90"/>
    </xf>
    <xf numFmtId="43" fontId="32" fillId="0" borderId="1" xfId="0" applyNumberFormat="1" applyFont="1" applyBorder="1" applyAlignment="1">
      <alignment horizontal="center" textRotation="90"/>
    </xf>
    <xf numFmtId="43" fontId="32" fillId="9" borderId="18" xfId="49" applyFont="1" applyFill="1" applyBorder="1" applyAlignment="1">
      <alignment horizontal="center" vertical="top" textRotation="90"/>
    </xf>
    <xf numFmtId="4" fontId="32" fillId="9" borderId="1" xfId="0" applyNumberFormat="1" applyFont="1" applyFill="1" applyBorder="1" applyAlignment="1">
      <alignment horizontal="center" vertical="top" textRotation="90"/>
    </xf>
    <xf numFmtId="177" fontId="32" fillId="9" borderId="1" xfId="1" applyNumberFormat="1" applyFont="1" applyFill="1" applyBorder="1" applyAlignment="1">
      <alignment horizontal="center" vertical="top" textRotation="90"/>
    </xf>
    <xf numFmtId="4" fontId="32" fillId="0" borderId="3" xfId="0" applyNumberFormat="1" applyFont="1" applyBorder="1" applyAlignment="1">
      <alignment horizontal="center" vertical="top" textRotation="90"/>
    </xf>
    <xf numFmtId="43" fontId="32" fillId="9" borderId="1" xfId="1" applyFont="1" applyFill="1" applyBorder="1" applyAlignment="1" applyProtection="1">
      <alignment horizontal="center" vertical="center" textRotation="90" wrapText="1"/>
      <protection locked="0"/>
    </xf>
    <xf numFmtId="43" fontId="32" fillId="9" borderId="1" xfId="1" applyFont="1" applyFill="1" applyBorder="1" applyAlignment="1">
      <alignment horizontal="center" vertical="center" textRotation="90"/>
    </xf>
    <xf numFmtId="43" fontId="32" fillId="9" borderId="1" xfId="1" applyFont="1" applyFill="1" applyBorder="1" applyAlignment="1">
      <alignment horizontal="center" vertical="top" textRotation="90"/>
    </xf>
    <xf numFmtId="43" fontId="32" fillId="9" borderId="1" xfId="1" applyFont="1" applyFill="1" applyBorder="1" applyAlignment="1" applyProtection="1">
      <alignment vertical="center"/>
      <protection locked="0"/>
    </xf>
    <xf numFmtId="43" fontId="32" fillId="9" borderId="1" xfId="1" applyFont="1" applyFill="1" applyBorder="1" applyAlignment="1">
      <alignment vertical="center"/>
    </xf>
    <xf numFmtId="178" fontId="32" fillId="9" borderId="1" xfId="0" applyNumberFormat="1" applyFont="1" applyFill="1" applyBorder="1" applyAlignment="1">
      <alignment vertical="center"/>
    </xf>
    <xf numFmtId="4" fontId="32" fillId="0" borderId="3" xfId="0" applyNumberFormat="1" applyFont="1" applyBorder="1" applyAlignment="1">
      <alignment horizontal="center" vertical="center" textRotation="90"/>
    </xf>
    <xf numFmtId="179" fontId="32" fillId="9" borderId="1" xfId="0" applyNumberFormat="1" applyFont="1" applyFill="1" applyBorder="1" applyAlignment="1">
      <alignment vertical="center"/>
    </xf>
    <xf numFmtId="177" fontId="32" fillId="9" borderId="1" xfId="0" applyNumberFormat="1" applyFont="1" applyFill="1" applyBorder="1" applyAlignment="1">
      <alignment vertical="center"/>
    </xf>
    <xf numFmtId="179" fontId="32" fillId="0" borderId="1" xfId="49" applyNumberFormat="1" applyFont="1" applyFill="1" applyBorder="1" applyAlignment="1">
      <alignment vertical="center"/>
    </xf>
    <xf numFmtId="9" fontId="32" fillId="0" borderId="1" xfId="3" applyFont="1" applyFill="1" applyBorder="1" applyAlignment="1">
      <alignment horizontal="center" vertical="center"/>
    </xf>
    <xf numFmtId="178" fontId="81" fillId="9" borderId="1" xfId="0" applyNumberFormat="1" applyFont="1" applyFill="1" applyBorder="1" applyAlignment="1">
      <alignment vertical="center"/>
    </xf>
    <xf numFmtId="179" fontId="81" fillId="9" borderId="1" xfId="49" applyNumberFormat="1" applyFont="1" applyFill="1" applyBorder="1" applyAlignment="1">
      <alignment vertical="center"/>
    </xf>
    <xf numFmtId="43" fontId="81" fillId="9" borderId="1" xfId="1" applyFont="1" applyFill="1" applyBorder="1" applyAlignment="1">
      <alignment vertical="center"/>
    </xf>
    <xf numFmtId="43" fontId="81" fillId="9" borderId="1" xfId="1" applyFont="1" applyFill="1" applyBorder="1"/>
    <xf numFmtId="9" fontId="81" fillId="9" borderId="1" xfId="3" applyFont="1" applyFill="1" applyBorder="1" applyAlignment="1">
      <alignment horizontal="center"/>
    </xf>
    <xf numFmtId="178" fontId="81" fillId="9" borderId="1" xfId="0" applyNumberFormat="1" applyFont="1" applyFill="1" applyBorder="1"/>
    <xf numFmtId="177" fontId="81" fillId="9" borderId="1" xfId="0" applyNumberFormat="1" applyFont="1" applyFill="1" applyBorder="1"/>
    <xf numFmtId="43" fontId="121" fillId="0" borderId="1" xfId="0" applyNumberFormat="1" applyFont="1" applyBorder="1" applyAlignment="1">
      <alignment vertical="center"/>
    </xf>
    <xf numFmtId="177" fontId="32" fillId="0" borderId="16" xfId="0" applyNumberFormat="1" applyFont="1" applyBorder="1" applyAlignment="1">
      <alignment vertical="center"/>
    </xf>
    <xf numFmtId="177" fontId="81" fillId="9" borderId="16" xfId="0" applyNumberFormat="1" applyFont="1" applyFill="1" applyBorder="1"/>
    <xf numFmtId="0" fontId="128" fillId="9" borderId="1" xfId="0" applyFont="1" applyFill="1" applyBorder="1" applyAlignment="1">
      <alignment horizontal="center" vertical="center" wrapText="1"/>
    </xf>
    <xf numFmtId="0" fontId="128" fillId="10" borderId="1" xfId="0" applyFont="1" applyFill="1" applyBorder="1" applyAlignment="1">
      <alignment vertical="center" wrapText="1"/>
    </xf>
    <xf numFmtId="0" fontId="121" fillId="10" borderId="1" xfId="0" applyFont="1" applyFill="1" applyBorder="1" applyAlignment="1">
      <alignment horizontal="center" vertical="center"/>
    </xf>
    <xf numFmtId="0" fontId="128" fillId="9" borderId="1" xfId="0" applyFont="1" applyFill="1" applyBorder="1" applyAlignment="1">
      <alignment horizontal="center" vertical="center"/>
    </xf>
    <xf numFmtId="43" fontId="128" fillId="0" borderId="1" xfId="1" applyFont="1" applyFill="1" applyBorder="1" applyAlignment="1">
      <alignment horizontal="center" vertical="center"/>
    </xf>
    <xf numFmtId="43" fontId="128" fillId="0" borderId="1" xfId="0" applyNumberFormat="1" applyFont="1" applyBorder="1" applyAlignment="1">
      <alignment horizontal="center" vertical="center" wrapText="1"/>
    </xf>
    <xf numFmtId="49" fontId="32" fillId="8" borderId="1" xfId="0" applyNumberFormat="1" applyFont="1" applyFill="1" applyBorder="1" applyAlignment="1">
      <alignment horizontal="left" vertical="center" wrapText="1"/>
    </xf>
    <xf numFmtId="49" fontId="32" fillId="8" borderId="1" xfId="0" applyNumberFormat="1" applyFont="1" applyFill="1" applyBorder="1" applyAlignment="1">
      <alignment horizontal="center" vertical="center" wrapText="1"/>
    </xf>
    <xf numFmtId="49" fontId="32" fillId="8" borderId="1" xfId="0" applyNumberFormat="1" applyFont="1" applyFill="1" applyBorder="1" applyAlignment="1">
      <alignment horizontal="center" vertical="center" textRotation="90"/>
    </xf>
    <xf numFmtId="49" fontId="32" fillId="0" borderId="1" xfId="0" applyNumberFormat="1" applyFont="1" applyBorder="1" applyAlignment="1">
      <alignment horizontal="center" wrapText="1"/>
    </xf>
    <xf numFmtId="49" fontId="32" fillId="10" borderId="1" xfId="0" applyNumberFormat="1" applyFont="1" applyFill="1" applyBorder="1" applyAlignment="1">
      <alignment horizontal="left" vertical="center" wrapText="1"/>
    </xf>
    <xf numFmtId="49" fontId="32" fillId="10" borderId="1" xfId="0" applyNumberFormat="1" applyFont="1" applyFill="1" applyBorder="1" applyAlignment="1">
      <alignment horizontal="center" vertical="center" wrapText="1"/>
    </xf>
    <xf numFmtId="49" fontId="32" fillId="10" borderId="1" xfId="0" applyNumberFormat="1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top" textRotation="90"/>
    </xf>
    <xf numFmtId="43" fontId="32" fillId="8" borderId="1" xfId="1" applyFont="1" applyFill="1" applyBorder="1" applyAlignment="1">
      <alignment horizontal="center" vertical="top" textRotation="90" wrapText="1"/>
    </xf>
    <xf numFmtId="43" fontId="32" fillId="8" borderId="1" xfId="49" applyFont="1" applyFill="1" applyBorder="1" applyAlignment="1">
      <alignment horizontal="center" vertical="top" textRotation="90"/>
    </xf>
    <xf numFmtId="0" fontId="102" fillId="10" borderId="1" xfId="0" applyFont="1" applyFill="1" applyBorder="1" applyAlignment="1">
      <alignment horizontal="center" vertical="center"/>
    </xf>
    <xf numFmtId="49" fontId="102" fillId="10" borderId="1" xfId="0" applyNumberFormat="1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top" textRotation="90"/>
    </xf>
    <xf numFmtId="43" fontId="32" fillId="10" borderId="1" xfId="1" applyFont="1" applyFill="1" applyBorder="1" applyAlignment="1">
      <alignment horizontal="center" vertical="top" textRotation="90" wrapText="1"/>
    </xf>
    <xf numFmtId="43" fontId="32" fillId="10" borderId="1" xfId="49" applyFont="1" applyFill="1" applyBorder="1" applyAlignment="1">
      <alignment horizontal="center" vertical="top" textRotation="90"/>
    </xf>
    <xf numFmtId="43" fontId="32" fillId="0" borderId="1" xfId="0" applyNumberFormat="1" applyFont="1" applyBorder="1" applyAlignment="1">
      <alignment horizontal="right" vertical="top" textRotation="90" wrapText="1"/>
    </xf>
    <xf numFmtId="43" fontId="32" fillId="8" borderId="1" xfId="1" applyFont="1" applyFill="1" applyBorder="1" applyAlignment="1">
      <alignment horizontal="center" vertical="top" textRotation="90"/>
    </xf>
    <xf numFmtId="43" fontId="32" fillId="8" borderId="1" xfId="1" applyFont="1" applyFill="1" applyBorder="1" applyAlignment="1" applyProtection="1">
      <alignment vertical="center"/>
      <protection locked="0"/>
    </xf>
    <xf numFmtId="43" fontId="32" fillId="8" borderId="1" xfId="1" applyFont="1" applyFill="1" applyBorder="1" applyAlignment="1">
      <alignment vertical="center"/>
    </xf>
    <xf numFmtId="178" fontId="32" fillId="8" borderId="1" xfId="0" applyNumberFormat="1" applyFont="1" applyFill="1" applyBorder="1" applyAlignment="1">
      <alignment vertical="center"/>
    </xf>
    <xf numFmtId="43" fontId="32" fillId="10" borderId="1" xfId="1" applyFont="1" applyFill="1" applyBorder="1" applyAlignment="1">
      <alignment horizontal="center" vertical="top" textRotation="90"/>
    </xf>
    <xf numFmtId="43" fontId="32" fillId="10" borderId="1" xfId="1" applyFont="1" applyFill="1" applyBorder="1" applyAlignment="1" applyProtection="1">
      <alignment vertical="center"/>
      <protection locked="0"/>
    </xf>
    <xf numFmtId="43" fontId="32" fillId="10" borderId="1" xfId="1" applyFont="1" applyFill="1" applyBorder="1" applyAlignment="1">
      <alignment vertical="center"/>
    </xf>
    <xf numFmtId="178" fontId="32" fillId="10" borderId="1" xfId="0" applyNumberFormat="1" applyFont="1" applyFill="1" applyBorder="1" applyAlignment="1">
      <alignment vertical="center"/>
    </xf>
    <xf numFmtId="179" fontId="32" fillId="8" borderId="1" xfId="0" applyNumberFormat="1" applyFont="1" applyFill="1" applyBorder="1" applyAlignment="1">
      <alignment vertical="center"/>
    </xf>
    <xf numFmtId="177" fontId="32" fillId="8" borderId="1" xfId="0" applyNumberFormat="1" applyFont="1" applyFill="1" applyBorder="1" applyAlignment="1">
      <alignment vertical="center"/>
    </xf>
    <xf numFmtId="179" fontId="32" fillId="10" borderId="1" xfId="0" applyNumberFormat="1" applyFont="1" applyFill="1" applyBorder="1" applyAlignment="1">
      <alignment vertical="center"/>
    </xf>
    <xf numFmtId="177" fontId="32" fillId="10" borderId="1" xfId="0" applyNumberFormat="1" applyFont="1" applyFill="1" applyBorder="1" applyAlignment="1">
      <alignment vertical="center"/>
    </xf>
    <xf numFmtId="178" fontId="81" fillId="8" borderId="1" xfId="0" applyNumberFormat="1" applyFont="1" applyFill="1" applyBorder="1" applyAlignment="1">
      <alignment vertical="center"/>
    </xf>
    <xf numFmtId="179" fontId="81" fillId="8" borderId="1" xfId="49" applyNumberFormat="1" applyFont="1" applyFill="1" applyBorder="1" applyAlignment="1">
      <alignment vertical="center"/>
    </xf>
    <xf numFmtId="43" fontId="81" fillId="8" borderId="1" xfId="1" applyFont="1" applyFill="1" applyBorder="1" applyAlignment="1">
      <alignment vertical="center"/>
    </xf>
    <xf numFmtId="43" fontId="81" fillId="8" borderId="1" xfId="1" applyFont="1" applyFill="1" applyBorder="1"/>
    <xf numFmtId="9" fontId="81" fillId="8" borderId="1" xfId="3" applyFont="1" applyFill="1" applyBorder="1" applyAlignment="1">
      <alignment horizontal="center"/>
    </xf>
    <xf numFmtId="178" fontId="81" fillId="8" borderId="1" xfId="0" applyNumberFormat="1" applyFont="1" applyFill="1" applyBorder="1"/>
    <xf numFmtId="177" fontId="81" fillId="8" borderId="1" xfId="0" applyNumberFormat="1" applyFont="1" applyFill="1" applyBorder="1"/>
    <xf numFmtId="43" fontId="32" fillId="0" borderId="1" xfId="1" applyFont="1" applyFill="1" applyBorder="1"/>
    <xf numFmtId="9" fontId="32" fillId="0" borderId="1" xfId="3" applyFont="1" applyFill="1" applyBorder="1" applyAlignment="1">
      <alignment horizontal="center"/>
    </xf>
    <xf numFmtId="178" fontId="32" fillId="0" borderId="1" xfId="0" applyNumberFormat="1" applyFont="1" applyBorder="1"/>
    <xf numFmtId="177" fontId="32" fillId="0" borderId="1" xfId="0" applyNumberFormat="1" applyFont="1" applyBorder="1"/>
    <xf numFmtId="178" fontId="81" fillId="10" borderId="1" xfId="0" applyNumberFormat="1" applyFont="1" applyFill="1" applyBorder="1" applyAlignment="1">
      <alignment vertical="center"/>
    </xf>
    <xf numFmtId="179" fontId="81" fillId="10" borderId="1" xfId="49" applyNumberFormat="1" applyFont="1" applyFill="1" applyBorder="1" applyAlignment="1">
      <alignment vertical="center"/>
    </xf>
    <xf numFmtId="43" fontId="81" fillId="10" borderId="1" xfId="1" applyFont="1" applyFill="1" applyBorder="1" applyAlignment="1">
      <alignment vertical="center"/>
    </xf>
    <xf numFmtId="43" fontId="81" fillId="10" borderId="1" xfId="1" applyFont="1" applyFill="1" applyBorder="1"/>
    <xf numFmtId="9" fontId="81" fillId="10" borderId="1" xfId="3" applyFont="1" applyFill="1" applyBorder="1" applyAlignment="1">
      <alignment horizontal="center"/>
    </xf>
    <xf numFmtId="178" fontId="81" fillId="10" borderId="1" xfId="0" applyNumberFormat="1" applyFont="1" applyFill="1" applyBorder="1"/>
    <xf numFmtId="177" fontId="81" fillId="10" borderId="1" xfId="0" applyNumberFormat="1" applyFont="1" applyFill="1" applyBorder="1"/>
    <xf numFmtId="177" fontId="81" fillId="8" borderId="16" xfId="0" applyNumberFormat="1" applyFont="1" applyFill="1" applyBorder="1"/>
    <xf numFmtId="0" fontId="121" fillId="8" borderId="1" xfId="0" applyFont="1" applyFill="1" applyBorder="1" applyAlignment="1">
      <alignment horizontal="center" vertical="center" wrapText="1"/>
    </xf>
    <xf numFmtId="177" fontId="32" fillId="0" borderId="16" xfId="0" applyNumberFormat="1" applyFont="1" applyBorder="1"/>
    <xf numFmtId="177" fontId="81" fillId="10" borderId="16" xfId="0" applyNumberFormat="1" applyFont="1" applyFill="1" applyBorder="1"/>
    <xf numFmtId="0" fontId="128" fillId="10" borderId="1" xfId="0" applyFont="1" applyFill="1" applyBorder="1" applyAlignment="1">
      <alignment horizontal="center" vertical="center"/>
    </xf>
    <xf numFmtId="49" fontId="102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left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textRotation="90"/>
    </xf>
    <xf numFmtId="0" fontId="32" fillId="0" borderId="16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102" fillId="0" borderId="1" xfId="0" applyFont="1" applyBorder="1" applyAlignment="1">
      <alignment horizontal="left" vertical="center"/>
    </xf>
    <xf numFmtId="49" fontId="10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top" textRotation="90"/>
    </xf>
    <xf numFmtId="43" fontId="26" fillId="0" borderId="1" xfId="1" applyFont="1" applyFill="1" applyBorder="1" applyAlignment="1">
      <alignment horizontal="center" vertical="top" textRotation="90" wrapText="1"/>
    </xf>
    <xf numFmtId="43" fontId="26" fillId="0" borderId="1" xfId="49" applyFont="1" applyFill="1" applyBorder="1" applyAlignment="1">
      <alignment horizontal="center" vertical="top" textRotation="90"/>
    </xf>
    <xf numFmtId="43" fontId="130" fillId="0" borderId="1" xfId="49" applyFont="1" applyFill="1" applyBorder="1" applyAlignment="1">
      <alignment horizontal="center" vertical="top" textRotation="90"/>
    </xf>
    <xf numFmtId="43" fontId="16" fillId="0" borderId="1" xfId="49" applyFont="1" applyFill="1" applyBorder="1" applyAlignment="1">
      <alignment horizontal="center" vertical="top" textRotation="90"/>
    </xf>
    <xf numFmtId="43" fontId="131" fillId="0" borderId="1" xfId="49" applyFont="1" applyFill="1" applyBorder="1" applyAlignment="1">
      <alignment horizontal="center" vertical="top" textRotation="90"/>
    </xf>
    <xf numFmtId="4" fontId="53" fillId="0" borderId="9" xfId="0" applyNumberFormat="1" applyFont="1" applyBorder="1" applyAlignment="1">
      <alignment horizontal="center" vertical="top" textRotation="90"/>
    </xf>
    <xf numFmtId="4" fontId="53" fillId="0" borderId="0" xfId="0" applyNumberFormat="1" applyFont="1" applyAlignment="1">
      <alignment horizontal="center" vertical="top" textRotation="90"/>
    </xf>
    <xf numFmtId="4" fontId="32" fillId="0" borderId="16" xfId="0" applyNumberFormat="1" applyFont="1" applyBorder="1" applyAlignment="1">
      <alignment horizontal="center" vertical="top" textRotation="90"/>
    </xf>
    <xf numFmtId="4" fontId="53" fillId="0" borderId="7" xfId="0" applyNumberFormat="1" applyFont="1" applyBorder="1" applyAlignment="1">
      <alignment horizontal="center" vertical="center" textRotation="90"/>
    </xf>
    <xf numFmtId="4" fontId="53" fillId="0" borderId="1" xfId="0" applyNumberFormat="1" applyFont="1" applyBorder="1" applyAlignment="1">
      <alignment horizontal="center" vertical="center" textRotation="90"/>
    </xf>
    <xf numFmtId="43" fontId="26" fillId="0" borderId="1" xfId="1" applyFont="1" applyFill="1" applyBorder="1" applyAlignment="1">
      <alignment horizontal="center" vertical="top" textRotation="90"/>
    </xf>
    <xf numFmtId="43" fontId="26" fillId="0" borderId="1" xfId="1" applyFont="1" applyFill="1" applyBorder="1" applyAlignment="1" applyProtection="1">
      <alignment vertical="center"/>
      <protection locked="0"/>
    </xf>
    <xf numFmtId="43" fontId="26" fillId="0" borderId="1" xfId="1" applyFont="1" applyFill="1" applyBorder="1" applyAlignment="1">
      <alignment vertical="center"/>
    </xf>
    <xf numFmtId="178" fontId="26" fillId="0" borderId="1" xfId="0" applyNumberFormat="1" applyFont="1" applyBorder="1" applyAlignment="1">
      <alignment vertical="center"/>
    </xf>
    <xf numFmtId="43" fontId="32" fillId="0" borderId="1" xfId="1" applyFont="1" applyFill="1" applyBorder="1" applyAlignment="1" applyProtection="1">
      <alignment horizontal="center" vertical="center"/>
      <protection locked="0"/>
    </xf>
    <xf numFmtId="43" fontId="32" fillId="0" borderId="1" xfId="1" applyFont="1" applyFill="1" applyBorder="1" applyAlignment="1">
      <alignment horizontal="center" vertical="center"/>
    </xf>
    <xf numFmtId="178" fontId="32" fillId="0" borderId="1" xfId="0" applyNumberFormat="1" applyFont="1" applyBorder="1" applyAlignment="1">
      <alignment horizontal="center" vertical="center"/>
    </xf>
    <xf numFmtId="179" fontId="26" fillId="0" borderId="1" xfId="0" applyNumberFormat="1" applyFont="1" applyBorder="1" applyAlignment="1">
      <alignment vertical="center"/>
    </xf>
    <xf numFmtId="177" fontId="26" fillId="0" borderId="1" xfId="0" applyNumberFormat="1" applyFont="1" applyBorder="1" applyAlignment="1">
      <alignment vertical="center"/>
    </xf>
    <xf numFmtId="179" fontId="32" fillId="0" borderId="1" xfId="0" applyNumberFormat="1" applyFont="1" applyBorder="1" applyAlignment="1">
      <alignment horizontal="center" vertical="center"/>
    </xf>
    <xf numFmtId="177" fontId="32" fillId="0" borderId="1" xfId="0" applyNumberFormat="1" applyFont="1" applyBorder="1" applyAlignment="1">
      <alignment horizontal="center" vertical="center"/>
    </xf>
    <xf numFmtId="178" fontId="132" fillId="0" borderId="1" xfId="0" applyNumberFormat="1" applyFont="1" applyBorder="1" applyAlignment="1">
      <alignment vertical="center"/>
    </xf>
    <xf numFmtId="179" fontId="132" fillId="0" borderId="1" xfId="49" applyNumberFormat="1" applyFont="1" applyFill="1" applyBorder="1" applyAlignment="1">
      <alignment vertical="center"/>
    </xf>
    <xf numFmtId="43" fontId="132" fillId="0" borderId="1" xfId="1" applyFont="1" applyFill="1" applyBorder="1" applyAlignment="1">
      <alignment vertical="center"/>
    </xf>
    <xf numFmtId="43" fontId="132" fillId="0" borderId="1" xfId="1" applyFont="1" applyFill="1" applyBorder="1"/>
    <xf numFmtId="9" fontId="132" fillId="0" borderId="1" xfId="3" applyFont="1" applyFill="1" applyBorder="1" applyAlignment="1">
      <alignment horizontal="center"/>
    </xf>
    <xf numFmtId="178" fontId="132" fillId="0" borderId="1" xfId="0" applyNumberFormat="1" applyFont="1" applyBorder="1"/>
    <xf numFmtId="177" fontId="132" fillId="0" borderId="1" xfId="0" applyNumberFormat="1" applyFont="1" applyBorder="1"/>
    <xf numFmtId="178" fontId="81" fillId="0" borderId="1" xfId="0" applyNumberFormat="1" applyFont="1" applyBorder="1" applyAlignment="1">
      <alignment horizontal="center" vertical="center"/>
    </xf>
    <xf numFmtId="179" fontId="81" fillId="0" borderId="1" xfId="49" applyNumberFormat="1" applyFont="1" applyFill="1" applyBorder="1" applyAlignment="1">
      <alignment horizontal="center" vertical="center"/>
    </xf>
    <xf numFmtId="43" fontId="81" fillId="0" borderId="1" xfId="1" applyFont="1" applyFill="1" applyBorder="1" applyAlignment="1">
      <alignment horizontal="center" vertical="center"/>
    </xf>
    <xf numFmtId="43" fontId="81" fillId="0" borderId="1" xfId="1" applyFont="1" applyFill="1" applyBorder="1" applyAlignment="1">
      <alignment horizontal="center"/>
    </xf>
    <xf numFmtId="178" fontId="81" fillId="0" borderId="1" xfId="0" applyNumberFormat="1" applyFont="1" applyBorder="1" applyAlignment="1">
      <alignment horizontal="center"/>
    </xf>
    <xf numFmtId="177" fontId="81" fillId="0" borderId="1" xfId="0" applyNumberFormat="1" applyFont="1" applyBorder="1" applyAlignment="1">
      <alignment horizontal="center"/>
    </xf>
    <xf numFmtId="43" fontId="128" fillId="9" borderId="1" xfId="0" applyNumberFormat="1" applyFont="1" applyFill="1" applyBorder="1" applyAlignment="1">
      <alignment horizontal="center" vertical="center"/>
    </xf>
    <xf numFmtId="4" fontId="32" fillId="9" borderId="0" xfId="0" applyNumberFormat="1" applyFont="1" applyFill="1"/>
    <xf numFmtId="4" fontId="124" fillId="9" borderId="0" xfId="0" applyNumberFormat="1" applyFont="1" applyFill="1"/>
    <xf numFmtId="177" fontId="132" fillId="0" borderId="16" xfId="0" applyNumberFormat="1" applyFont="1" applyBorder="1"/>
    <xf numFmtId="0" fontId="133" fillId="0" borderId="1" xfId="0" applyFont="1" applyBorder="1" applyAlignment="1">
      <alignment horizontal="center" vertical="center"/>
    </xf>
    <xf numFmtId="177" fontId="81" fillId="0" borderId="16" xfId="0" applyNumberFormat="1" applyFont="1" applyBorder="1" applyAlignment="1">
      <alignment horizontal="center"/>
    </xf>
    <xf numFmtId="49" fontId="32" fillId="0" borderId="42" xfId="0" applyNumberFormat="1" applyFont="1" applyBorder="1" applyAlignment="1">
      <alignment horizontal="left" vertical="center" wrapText="1"/>
    </xf>
    <xf numFmtId="49" fontId="32" fillId="0" borderId="15" xfId="0" applyNumberFormat="1" applyFont="1" applyBorder="1" applyAlignment="1">
      <alignment horizontal="center" vertical="center" wrapText="1"/>
    </xf>
    <xf numFmtId="49" fontId="32" fillId="0" borderId="15" xfId="0" applyNumberFormat="1" applyFont="1" applyBorder="1" applyAlignment="1">
      <alignment horizontal="center" vertical="center" textRotation="90"/>
    </xf>
    <xf numFmtId="49" fontId="134" fillId="0" borderId="42" xfId="0" applyNumberFormat="1" applyFont="1" applyBorder="1" applyAlignment="1">
      <alignment horizontal="left" vertical="center" wrapText="1"/>
    </xf>
    <xf numFmtId="49" fontId="134" fillId="0" borderId="15" xfId="0" applyNumberFormat="1" applyFont="1" applyBorder="1" applyAlignment="1">
      <alignment horizontal="center" vertical="center" wrapText="1"/>
    </xf>
    <xf numFmtId="49" fontId="134" fillId="0" borderId="15" xfId="0" applyNumberFormat="1" applyFont="1" applyBorder="1" applyAlignment="1">
      <alignment horizontal="center" vertical="center" textRotation="90"/>
    </xf>
    <xf numFmtId="49" fontId="26" fillId="0" borderId="42" xfId="0" applyNumberFormat="1" applyFont="1" applyBorder="1" applyAlignment="1">
      <alignment horizontal="left" vertical="center" wrapText="1"/>
    </xf>
    <xf numFmtId="49" fontId="26" fillId="0" borderId="15" xfId="0" applyNumberFormat="1" applyFont="1" applyBorder="1" applyAlignment="1">
      <alignment horizontal="center" vertical="center" wrapText="1"/>
    </xf>
    <xf numFmtId="49" fontId="26" fillId="0" borderId="15" xfId="0" applyNumberFormat="1" applyFont="1" applyBorder="1" applyAlignment="1">
      <alignment horizontal="center" vertical="center" textRotation="90"/>
    </xf>
    <xf numFmtId="0" fontId="16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top" textRotation="90"/>
    </xf>
    <xf numFmtId="43" fontId="32" fillId="0" borderId="15" xfId="1" applyFont="1" applyFill="1" applyBorder="1" applyAlignment="1">
      <alignment horizontal="center" vertical="top" textRotation="90" wrapText="1"/>
    </xf>
    <xf numFmtId="43" fontId="32" fillId="0" borderId="15" xfId="49" applyFont="1" applyFill="1" applyBorder="1" applyAlignment="1">
      <alignment horizontal="center" vertical="top" textRotation="90"/>
    </xf>
    <xf numFmtId="0" fontId="105" fillId="0" borderId="15" xfId="0" applyFont="1" applyBorder="1" applyAlignment="1">
      <alignment horizontal="center" vertical="center"/>
    </xf>
    <xf numFmtId="0" fontId="134" fillId="0" borderId="15" xfId="0" applyFont="1" applyBorder="1" applyAlignment="1">
      <alignment horizontal="center" vertical="top" textRotation="90"/>
    </xf>
    <xf numFmtId="43" fontId="134" fillId="0" borderId="15" xfId="1" applyFont="1" applyFill="1" applyBorder="1" applyAlignment="1">
      <alignment horizontal="center" vertical="top" textRotation="90" wrapText="1"/>
    </xf>
    <xf numFmtId="43" fontId="134" fillId="0" borderId="15" xfId="49" applyFont="1" applyFill="1" applyBorder="1" applyAlignment="1">
      <alignment horizontal="center" vertical="top" textRotation="90"/>
    </xf>
    <xf numFmtId="0" fontId="20" fillId="0" borderId="15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top" textRotation="90"/>
    </xf>
    <xf numFmtId="43" fontId="26" fillId="0" borderId="15" xfId="1" applyFont="1" applyFill="1" applyBorder="1" applyAlignment="1">
      <alignment horizontal="center" vertical="top" textRotation="90" wrapText="1"/>
    </xf>
    <xf numFmtId="43" fontId="26" fillId="0" borderId="15" xfId="49" applyFont="1" applyFill="1" applyBorder="1" applyAlignment="1">
      <alignment horizontal="center" vertical="top" textRotation="90"/>
    </xf>
    <xf numFmtId="43" fontId="32" fillId="0" borderId="15" xfId="0" applyNumberFormat="1" applyFont="1" applyBorder="1" applyAlignment="1">
      <alignment textRotation="90"/>
    </xf>
    <xf numFmtId="43" fontId="32" fillId="0" borderId="42" xfId="49" applyFont="1" applyFill="1" applyBorder="1" applyAlignment="1">
      <alignment horizontal="center" vertical="top" textRotation="90"/>
    </xf>
    <xf numFmtId="43" fontId="32" fillId="0" borderId="43" xfId="49" applyFont="1" applyFill="1" applyBorder="1" applyAlignment="1">
      <alignment horizontal="center" vertical="top" textRotation="90"/>
    </xf>
    <xf numFmtId="4" fontId="32" fillId="0" borderId="15" xfId="0" applyNumberFormat="1" applyFont="1" applyBorder="1" applyAlignment="1">
      <alignment horizontal="center" vertical="top" textRotation="90"/>
    </xf>
    <xf numFmtId="177" fontId="32" fillId="0" borderId="15" xfId="1" applyNumberFormat="1" applyFont="1" applyFill="1" applyBorder="1" applyAlignment="1">
      <alignment horizontal="center" vertical="top" textRotation="90"/>
    </xf>
    <xf numFmtId="43" fontId="32" fillId="0" borderId="15" xfId="1" applyFont="1" applyFill="1" applyBorder="1" applyAlignment="1">
      <alignment horizontal="center" vertical="top" textRotation="90"/>
    </xf>
    <xf numFmtId="43" fontId="32" fillId="0" borderId="15" xfId="1" applyFont="1" applyFill="1" applyBorder="1" applyAlignment="1" applyProtection="1">
      <alignment vertical="center"/>
      <protection locked="0"/>
    </xf>
    <xf numFmtId="43" fontId="32" fillId="0" borderId="15" xfId="1" applyFont="1" applyFill="1" applyBorder="1" applyAlignment="1">
      <alignment vertical="center"/>
    </xf>
    <xf numFmtId="178" fontId="32" fillId="0" borderId="15" xfId="0" applyNumberFormat="1" applyFont="1" applyBorder="1" applyAlignment="1">
      <alignment vertical="center"/>
    </xf>
    <xf numFmtId="43" fontId="134" fillId="0" borderId="15" xfId="1" applyFont="1" applyFill="1" applyBorder="1" applyAlignment="1">
      <alignment horizontal="center" vertical="top" textRotation="90"/>
    </xf>
    <xf numFmtId="43" fontId="134" fillId="0" borderId="15" xfId="1" applyFont="1" applyFill="1" applyBorder="1" applyAlignment="1" applyProtection="1">
      <alignment vertical="center"/>
      <protection locked="0"/>
    </xf>
    <xf numFmtId="43" fontId="134" fillId="0" borderId="15" xfId="1" applyFont="1" applyFill="1" applyBorder="1" applyAlignment="1">
      <alignment vertical="center"/>
    </xf>
    <xf numFmtId="178" fontId="134" fillId="0" borderId="15" xfId="0" applyNumberFormat="1" applyFont="1" applyBorder="1" applyAlignment="1">
      <alignment vertical="center"/>
    </xf>
    <xf numFmtId="43" fontId="26" fillId="0" borderId="15" xfId="1" applyFont="1" applyFill="1" applyBorder="1" applyAlignment="1">
      <alignment horizontal="center" vertical="top" textRotation="90"/>
    </xf>
    <xf numFmtId="43" fontId="26" fillId="0" borderId="15" xfId="1" applyFont="1" applyFill="1" applyBorder="1" applyAlignment="1" applyProtection="1">
      <alignment vertical="center"/>
      <protection locked="0"/>
    </xf>
    <xf numFmtId="43" fontId="26" fillId="0" borderId="15" xfId="1" applyFont="1" applyFill="1" applyBorder="1" applyAlignment="1">
      <alignment vertical="center"/>
    </xf>
    <xf numFmtId="178" fontId="26" fillId="0" borderId="15" xfId="0" applyNumberFormat="1" applyFont="1" applyBorder="1" applyAlignment="1">
      <alignment vertical="center"/>
    </xf>
    <xf numFmtId="179" fontId="32" fillId="0" borderId="15" xfId="0" applyNumberFormat="1" applyFont="1" applyBorder="1" applyAlignment="1">
      <alignment vertical="center"/>
    </xf>
    <xf numFmtId="177" fontId="32" fillId="0" borderId="15" xfId="0" applyNumberFormat="1" applyFont="1" applyBorder="1" applyAlignment="1">
      <alignment vertical="center"/>
    </xf>
    <xf numFmtId="179" fontId="134" fillId="0" borderId="15" xfId="0" applyNumberFormat="1" applyFont="1" applyBorder="1" applyAlignment="1">
      <alignment vertical="center"/>
    </xf>
    <xf numFmtId="177" fontId="134" fillId="0" borderId="15" xfId="0" applyNumberFormat="1" applyFont="1" applyBorder="1" applyAlignment="1">
      <alignment vertical="center"/>
    </xf>
    <xf numFmtId="179" fontId="26" fillId="0" borderId="15" xfId="0" applyNumberFormat="1" applyFont="1" applyBorder="1" applyAlignment="1">
      <alignment vertical="center"/>
    </xf>
    <xf numFmtId="177" fontId="26" fillId="0" borderId="15" xfId="0" applyNumberFormat="1" applyFont="1" applyBorder="1" applyAlignment="1">
      <alignment vertical="center"/>
    </xf>
    <xf numFmtId="178" fontId="81" fillId="0" borderId="15" xfId="0" applyNumberFormat="1" applyFont="1" applyBorder="1" applyAlignment="1">
      <alignment vertical="center"/>
    </xf>
    <xf numFmtId="179" fontId="81" fillId="0" borderId="15" xfId="49" applyNumberFormat="1" applyFont="1" applyFill="1" applyBorder="1" applyAlignment="1">
      <alignment vertical="center"/>
    </xf>
    <xf numFmtId="43" fontId="81" fillId="0" borderId="15" xfId="1" applyFont="1" applyFill="1" applyBorder="1" applyAlignment="1">
      <alignment vertical="center"/>
    </xf>
    <xf numFmtId="43" fontId="81" fillId="0" borderId="15" xfId="1" applyFont="1" applyFill="1" applyBorder="1"/>
    <xf numFmtId="9" fontId="81" fillId="0" borderId="15" xfId="3" applyFont="1" applyFill="1" applyBorder="1" applyAlignment="1">
      <alignment horizontal="center"/>
    </xf>
    <xf numFmtId="178" fontId="81" fillId="0" borderId="15" xfId="0" applyNumberFormat="1" applyFont="1" applyBorder="1"/>
    <xf numFmtId="177" fontId="81" fillId="0" borderId="15" xfId="0" applyNumberFormat="1" applyFont="1" applyBorder="1"/>
    <xf numFmtId="178" fontId="135" fillId="0" borderId="15" xfId="0" applyNumberFormat="1" applyFont="1" applyBorder="1" applyAlignment="1">
      <alignment vertical="center"/>
    </xf>
    <xf numFmtId="179" fontId="135" fillId="0" borderId="15" xfId="49" applyNumberFormat="1" applyFont="1" applyFill="1" applyBorder="1" applyAlignment="1">
      <alignment vertical="center"/>
    </xf>
    <xf numFmtId="43" fontId="135" fillId="0" borderId="15" xfId="1" applyFont="1" applyFill="1" applyBorder="1" applyAlignment="1">
      <alignment vertical="center"/>
    </xf>
    <xf numFmtId="43" fontId="135" fillId="0" borderId="15" xfId="1" applyFont="1" applyFill="1" applyBorder="1"/>
    <xf numFmtId="9" fontId="135" fillId="0" borderId="15" xfId="3" applyFont="1" applyFill="1" applyBorder="1" applyAlignment="1">
      <alignment horizontal="center"/>
    </xf>
    <xf numFmtId="178" fontId="135" fillId="0" borderId="15" xfId="0" applyNumberFormat="1" applyFont="1" applyBorder="1"/>
    <xf numFmtId="177" fontId="135" fillId="0" borderId="15" xfId="0" applyNumberFormat="1" applyFont="1" applyBorder="1"/>
    <xf numFmtId="178" fontId="132" fillId="0" borderId="15" xfId="0" applyNumberFormat="1" applyFont="1" applyBorder="1" applyAlignment="1">
      <alignment vertical="center"/>
    </xf>
    <xf numFmtId="179" fontId="132" fillId="0" borderId="15" xfId="49" applyNumberFormat="1" applyFont="1" applyFill="1" applyBorder="1" applyAlignment="1">
      <alignment vertical="center"/>
    </xf>
    <xf numFmtId="43" fontId="132" fillId="0" borderId="15" xfId="1" applyFont="1" applyFill="1" applyBorder="1" applyAlignment="1">
      <alignment vertical="center"/>
    </xf>
    <xf numFmtId="43" fontId="132" fillId="0" borderId="15" xfId="1" applyFont="1" applyFill="1" applyBorder="1"/>
    <xf numFmtId="9" fontId="132" fillId="0" borderId="15" xfId="3" applyFont="1" applyFill="1" applyBorder="1" applyAlignment="1">
      <alignment horizontal="center"/>
    </xf>
    <xf numFmtId="178" fontId="132" fillId="0" borderId="15" xfId="0" applyNumberFormat="1" applyFont="1" applyBorder="1"/>
    <xf numFmtId="177" fontId="132" fillId="0" borderId="15" xfId="0" applyNumberFormat="1" applyFont="1" applyBorder="1"/>
    <xf numFmtId="177" fontId="81" fillId="0" borderId="42" xfId="0" applyNumberFormat="1" applyFont="1" applyBorder="1"/>
    <xf numFmtId="0" fontId="128" fillId="0" borderId="15" xfId="0" applyFont="1" applyBorder="1" applyAlignment="1">
      <alignment horizontal="center" vertical="center" wrapText="1"/>
    </xf>
    <xf numFmtId="177" fontId="135" fillId="0" borderId="42" xfId="0" applyNumberFormat="1" applyFont="1" applyBorder="1"/>
    <xf numFmtId="0" fontId="136" fillId="0" borderId="15" xfId="0" applyFont="1" applyBorder="1" applyAlignment="1">
      <alignment horizontal="center" vertical="center" wrapText="1"/>
    </xf>
    <xf numFmtId="177" fontId="132" fillId="0" borderId="42" xfId="0" applyNumberFormat="1" applyFont="1" applyBorder="1"/>
    <xf numFmtId="0" fontId="133" fillId="0" borderId="15" xfId="0" applyFont="1" applyBorder="1" applyAlignment="1">
      <alignment horizontal="center" vertical="center" wrapText="1"/>
    </xf>
    <xf numFmtId="49" fontId="137" fillId="0" borderId="42" xfId="0" applyNumberFormat="1" applyFont="1" applyBorder="1" applyAlignment="1">
      <alignment horizontal="left" vertical="center" wrapText="1"/>
    </xf>
    <xf numFmtId="49" fontId="137" fillId="0" borderId="15" xfId="0" applyNumberFormat="1" applyFont="1" applyBorder="1" applyAlignment="1">
      <alignment horizontal="center" vertical="center" wrapText="1"/>
    </xf>
    <xf numFmtId="49" fontId="137" fillId="0" borderId="15" xfId="0" applyNumberFormat="1" applyFont="1" applyBorder="1" applyAlignment="1">
      <alignment horizontal="center" vertical="center" textRotation="90"/>
    </xf>
    <xf numFmtId="49" fontId="138" fillId="0" borderId="1" xfId="51" applyNumberFormat="1" applyFont="1" applyBorder="1" applyAlignment="1">
      <alignment horizontal="center" vertical="center" wrapText="1"/>
    </xf>
    <xf numFmtId="0" fontId="138" fillId="0" borderId="1" xfId="0" applyFont="1" applyBorder="1" applyAlignment="1">
      <alignment horizontal="center" vertical="center" wrapText="1"/>
    </xf>
    <xf numFmtId="0" fontId="83" fillId="0" borderId="1" xfId="0" applyFont="1" applyBorder="1" applyAlignment="1">
      <alignment horizontal="center" vertical="center" wrapText="1"/>
    </xf>
    <xf numFmtId="49" fontId="32" fillId="0" borderId="1" xfId="51" applyNumberFormat="1" applyFont="1" applyBorder="1" applyAlignment="1">
      <alignment vertical="center" wrapText="1"/>
    </xf>
    <xf numFmtId="49" fontId="121" fillId="0" borderId="1" xfId="51" applyNumberFormat="1" applyFont="1" applyBorder="1" applyAlignment="1">
      <alignment vertical="center" wrapText="1"/>
    </xf>
    <xf numFmtId="49" fontId="121" fillId="0" borderId="1" xfId="51" applyNumberFormat="1" applyFont="1" applyBorder="1" applyAlignment="1">
      <alignment horizontal="center" textRotation="90"/>
    </xf>
    <xf numFmtId="0" fontId="81" fillId="0" borderId="1" xfId="0" applyFont="1" applyBorder="1" applyAlignment="1">
      <alignment horizontal="center" vertical="center"/>
    </xf>
    <xf numFmtId="0" fontId="81" fillId="0" borderId="1" xfId="0" applyFont="1" applyBorder="1" applyAlignment="1">
      <alignment vertical="center"/>
    </xf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/>
    <xf numFmtId="0" fontId="32" fillId="0" borderId="15" xfId="0" applyFont="1" applyBorder="1" applyAlignment="1">
      <alignment horizontal="center"/>
    </xf>
    <xf numFmtId="0" fontId="138" fillId="0" borderId="15" xfId="0" applyFont="1" applyBorder="1" applyAlignment="1">
      <alignment horizontal="center" vertical="center" wrapText="1"/>
    </xf>
    <xf numFmtId="0" fontId="32" fillId="0" borderId="15" xfId="0" applyFont="1" applyBorder="1" applyAlignment="1">
      <alignment vertical="center"/>
    </xf>
    <xf numFmtId="0" fontId="139" fillId="0" borderId="1" xfId="0" applyFont="1" applyBorder="1" applyAlignment="1">
      <alignment horizontal="center"/>
    </xf>
    <xf numFmtId="0" fontId="140" fillId="0" borderId="1" xfId="0" applyFont="1" applyBorder="1"/>
    <xf numFmtId="0" fontId="141" fillId="0" borderId="15" xfId="0" applyFont="1" applyBorder="1" applyAlignment="1">
      <alignment horizontal="center" vertical="center"/>
    </xf>
    <xf numFmtId="0" fontId="137" fillId="0" borderId="15" xfId="0" applyFont="1" applyBorder="1" applyAlignment="1">
      <alignment horizontal="center" vertical="top" textRotation="90"/>
    </xf>
    <xf numFmtId="43" fontId="137" fillId="0" borderId="15" xfId="1" applyFont="1" applyFill="1" applyBorder="1" applyAlignment="1">
      <alignment horizontal="center" vertical="top" textRotation="90" wrapText="1"/>
    </xf>
    <xf numFmtId="43" fontId="137" fillId="0" borderId="15" xfId="49" applyFont="1" applyFill="1" applyBorder="1" applyAlignment="1">
      <alignment horizontal="center" vertical="top" textRotation="90"/>
    </xf>
    <xf numFmtId="0" fontId="121" fillId="0" borderId="1" xfId="0" applyFont="1" applyBorder="1" applyAlignment="1">
      <alignment horizontal="center" vertical="center" textRotation="90"/>
    </xf>
    <xf numFmtId="1" fontId="121" fillId="0" borderId="1" xfId="0" applyNumberFormat="1" applyFont="1" applyBorder="1" applyAlignment="1">
      <alignment horizontal="center" vertical="top" textRotation="90"/>
    </xf>
    <xf numFmtId="43" fontId="121" fillId="0" borderId="1" xfId="1" applyFont="1" applyFill="1" applyBorder="1" applyAlignment="1">
      <alignment horizontal="center" vertical="top" textRotation="90"/>
    </xf>
    <xf numFmtId="43" fontId="121" fillId="0" borderId="1" xfId="1" applyFont="1" applyFill="1" applyBorder="1" applyAlignment="1">
      <alignment horizontal="center" vertical="top" textRotation="90" wrapText="1"/>
    </xf>
    <xf numFmtId="43" fontId="121" fillId="0" borderId="1" xfId="0" applyNumberFormat="1" applyFont="1" applyBorder="1" applyAlignment="1">
      <alignment horizontal="center" vertical="top" textRotation="90"/>
    </xf>
    <xf numFmtId="43" fontId="81" fillId="0" borderId="1" xfId="0" applyNumberFormat="1" applyFont="1" applyBorder="1" applyAlignment="1">
      <alignment horizontal="center" vertical="center" textRotation="90"/>
    </xf>
    <xf numFmtId="0" fontId="83" fillId="0" borderId="1" xfId="0" applyFont="1" applyBorder="1"/>
    <xf numFmtId="0" fontId="142" fillId="0" borderId="15" xfId="0" applyFont="1" applyBorder="1" applyAlignment="1">
      <alignment horizontal="center" textRotation="90"/>
    </xf>
    <xf numFmtId="0" fontId="83" fillId="0" borderId="1" xfId="0" applyFont="1" applyBorder="1" applyAlignment="1">
      <alignment horizontal="center"/>
    </xf>
    <xf numFmtId="0" fontId="79" fillId="0" borderId="15" xfId="0" applyFont="1" applyBorder="1" applyAlignment="1">
      <alignment horizontal="center" textRotation="90"/>
    </xf>
    <xf numFmtId="43" fontId="81" fillId="0" borderId="1" xfId="0" applyNumberFormat="1" applyFont="1" applyBorder="1" applyAlignment="1">
      <alignment horizontal="center" vertical="center"/>
    </xf>
    <xf numFmtId="43" fontId="81" fillId="0" borderId="1" xfId="0" applyNumberFormat="1" applyFont="1" applyBorder="1" applyAlignment="1">
      <alignment horizontal="center"/>
    </xf>
    <xf numFmtId="177" fontId="121" fillId="0" borderId="1" xfId="1" applyNumberFormat="1" applyFont="1" applyFill="1" applyBorder="1" applyAlignment="1">
      <alignment horizontal="center" vertical="top" textRotation="90"/>
    </xf>
    <xf numFmtId="43" fontId="81" fillId="0" borderId="1" xfId="0" applyNumberFormat="1" applyFont="1" applyBorder="1" applyAlignment="1">
      <alignment horizontal="center" textRotation="90"/>
    </xf>
    <xf numFmtId="0" fontId="79" fillId="0" borderId="15" xfId="0" applyFont="1" applyBorder="1" applyAlignment="1">
      <alignment horizontal="center" textRotation="90" wrapText="1"/>
    </xf>
    <xf numFmtId="0" fontId="81" fillId="0" borderId="15" xfId="0" applyFont="1" applyBorder="1" applyAlignment="1">
      <alignment horizontal="center" textRotation="90"/>
    </xf>
    <xf numFmtId="0" fontId="35" fillId="0" borderId="15" xfId="0" applyFont="1" applyBorder="1" applyAlignment="1">
      <alignment horizontal="center" textRotation="90"/>
    </xf>
    <xf numFmtId="43" fontId="35" fillId="0" borderId="15" xfId="0" applyNumberFormat="1" applyFont="1" applyBorder="1" applyAlignment="1">
      <alignment horizontal="center" textRotation="90"/>
    </xf>
    <xf numFmtId="177" fontId="35" fillId="0" borderId="15" xfId="0" applyNumberFormat="1" applyFont="1" applyBorder="1" applyAlignment="1">
      <alignment horizontal="center" textRotation="90"/>
    </xf>
    <xf numFmtId="0" fontId="143" fillId="0" borderId="15" xfId="0" applyFont="1" applyBorder="1" applyAlignment="1">
      <alignment horizontal="center" textRotation="90"/>
    </xf>
    <xf numFmtId="43" fontId="81" fillId="0" borderId="1" xfId="0" applyNumberFormat="1" applyFont="1" applyBorder="1" applyAlignment="1">
      <alignment horizontal="center" vertical="center" textRotation="90" wrapText="1"/>
    </xf>
    <xf numFmtId="43" fontId="81" fillId="0" borderId="1" xfId="0" applyNumberFormat="1" applyFont="1" applyBorder="1" applyAlignment="1">
      <alignment vertical="center" textRotation="90"/>
    </xf>
    <xf numFmtId="4" fontId="121" fillId="0" borderId="1" xfId="0" applyNumberFormat="1" applyFont="1" applyBorder="1" applyAlignment="1">
      <alignment horizontal="center" vertical="top" textRotation="90"/>
    </xf>
    <xf numFmtId="4" fontId="81" fillId="0" borderId="1" xfId="0" applyNumberFormat="1" applyFont="1" applyBorder="1" applyAlignment="1">
      <alignment horizontal="center" vertical="center" textRotation="90"/>
    </xf>
    <xf numFmtId="4" fontId="81" fillId="0" borderId="1" xfId="0" applyNumberFormat="1" applyFont="1" applyBorder="1" applyAlignment="1">
      <alignment horizontal="center" vertical="center"/>
    </xf>
    <xf numFmtId="43" fontId="137" fillId="0" borderId="15" xfId="1" applyFont="1" applyFill="1" applyBorder="1" applyAlignment="1">
      <alignment horizontal="center" vertical="top" textRotation="90"/>
    </xf>
    <xf numFmtId="43" fontId="137" fillId="0" borderId="15" xfId="1" applyFont="1" applyFill="1" applyBorder="1" applyAlignment="1" applyProtection="1">
      <alignment vertical="center"/>
      <protection locked="0"/>
    </xf>
    <xf numFmtId="43" fontId="137" fillId="0" borderId="15" xfId="1" applyFont="1" applyFill="1" applyBorder="1" applyAlignment="1">
      <alignment vertical="center"/>
    </xf>
    <xf numFmtId="178" fontId="137" fillId="0" borderId="15" xfId="0" applyNumberFormat="1" applyFont="1" applyBorder="1" applyAlignment="1">
      <alignment vertical="center"/>
    </xf>
    <xf numFmtId="43" fontId="81" fillId="0" borderId="1" xfId="1" applyFont="1" applyFill="1" applyBorder="1" applyAlignment="1" applyProtection="1">
      <alignment vertical="center"/>
      <protection locked="0"/>
    </xf>
    <xf numFmtId="43" fontId="81" fillId="0" borderId="1" xfId="1" applyFont="1" applyFill="1" applyBorder="1" applyAlignment="1">
      <alignment horizontal="center" vertical="center" textRotation="90"/>
    </xf>
    <xf numFmtId="43" fontId="81" fillId="0" borderId="15" xfId="1" applyFont="1" applyFill="1" applyBorder="1" applyAlignment="1">
      <alignment horizontal="center" textRotation="90"/>
    </xf>
    <xf numFmtId="0" fontId="32" fillId="0" borderId="15" xfId="0" applyFont="1" applyBorder="1" applyAlignment="1">
      <alignment horizontal="center" textRotation="90"/>
    </xf>
    <xf numFmtId="43" fontId="124" fillId="0" borderId="0" xfId="1" applyFont="1" applyFill="1" applyBorder="1"/>
    <xf numFmtId="179" fontId="137" fillId="0" borderId="15" xfId="0" applyNumberFormat="1" applyFont="1" applyBorder="1" applyAlignment="1">
      <alignment vertical="center"/>
    </xf>
    <xf numFmtId="177" fontId="137" fillId="0" borderId="15" xfId="0" applyNumberFormat="1" applyFont="1" applyBorder="1" applyAlignment="1">
      <alignment vertical="center"/>
    </xf>
    <xf numFmtId="179" fontId="81" fillId="0" borderId="1" xfId="0" applyNumberFormat="1" applyFont="1" applyBorder="1" applyAlignment="1">
      <alignment vertical="center"/>
    </xf>
    <xf numFmtId="178" fontId="144" fillId="0" borderId="15" xfId="0" applyNumberFormat="1" applyFont="1" applyBorder="1" applyAlignment="1">
      <alignment vertical="center"/>
    </xf>
    <xf numFmtId="179" fontId="144" fillId="0" borderId="15" xfId="49" applyNumberFormat="1" applyFont="1" applyFill="1" applyBorder="1" applyAlignment="1">
      <alignment vertical="center"/>
    </xf>
    <xf numFmtId="43" fontId="144" fillId="0" borderId="15" xfId="1" applyFont="1" applyFill="1" applyBorder="1" applyAlignment="1">
      <alignment vertical="center"/>
    </xf>
    <xf numFmtId="43" fontId="144" fillId="0" borderId="15" xfId="1" applyFont="1" applyFill="1" applyBorder="1"/>
    <xf numFmtId="9" fontId="144" fillId="0" borderId="15" xfId="3" applyFont="1" applyFill="1" applyBorder="1" applyAlignment="1">
      <alignment horizontal="center"/>
    </xf>
    <xf numFmtId="178" fontId="144" fillId="0" borderId="15" xfId="0" applyNumberFormat="1" applyFont="1" applyBorder="1"/>
    <xf numFmtId="177" fontId="144" fillId="0" borderId="15" xfId="0" applyNumberFormat="1" applyFont="1" applyBorder="1"/>
    <xf numFmtId="0" fontId="81" fillId="0" borderId="15" xfId="0" applyFont="1" applyBorder="1"/>
    <xf numFmtId="177" fontId="144" fillId="0" borderId="42" xfId="0" applyNumberFormat="1" applyFont="1" applyBorder="1"/>
    <xf numFmtId="0" fontId="145" fillId="0" borderId="15" xfId="0" applyFont="1" applyBorder="1" applyAlignment="1">
      <alignment horizontal="center" vertical="center" wrapText="1"/>
    </xf>
    <xf numFmtId="4" fontId="128" fillId="0" borderId="1" xfId="0" applyNumberFormat="1" applyFont="1" applyBorder="1" applyAlignment="1">
      <alignment horizontal="center" vertical="center"/>
    </xf>
    <xf numFmtId="4" fontId="124" fillId="0" borderId="0" xfId="0" applyNumberFormat="1" applyFont="1"/>
    <xf numFmtId="43" fontId="32" fillId="0" borderId="0" xfId="0" applyNumberFormat="1" applyFont="1"/>
    <xf numFmtId="43" fontId="128" fillId="0" borderId="15" xfId="0" applyNumberFormat="1" applyFont="1" applyBorder="1" applyAlignment="1">
      <alignment horizontal="center" vertical="center"/>
    </xf>
    <xf numFmtId="0" fontId="128" fillId="0" borderId="0" xfId="0" applyFont="1" applyAlignment="1">
      <alignment horizontal="center" vertical="center"/>
    </xf>
    <xf numFmtId="0" fontId="133" fillId="0" borderId="0" xfId="0" applyFont="1"/>
    <xf numFmtId="0" fontId="17" fillId="0" borderId="1" xfId="0" applyFont="1" applyBorder="1" applyAlignment="1" applyProtection="1">
      <alignment horizontal="center"/>
      <protection locked="0"/>
    </xf>
    <xf numFmtId="0" fontId="21" fillId="0" borderId="1" xfId="0" applyFont="1" applyBorder="1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14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43" fontId="21" fillId="0" borderId="1" xfId="1" applyFont="1" applyBorder="1"/>
    <xf numFmtId="0" fontId="146" fillId="0" borderId="1" xfId="0" applyFont="1" applyBorder="1" applyAlignment="1">
      <alignment vertical="center" wrapText="1"/>
    </xf>
    <xf numFmtId="0" fontId="147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center"/>
    </xf>
    <xf numFmtId="43" fontId="21" fillId="0" borderId="1" xfId="1" applyFont="1" applyFill="1" applyBorder="1"/>
    <xf numFmtId="0" fontId="11" fillId="2" borderId="1" xfId="0" applyFont="1" applyFill="1" applyBorder="1"/>
    <xf numFmtId="0" fontId="1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43" fontId="21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148" fillId="0" borderId="1" xfId="0" applyFont="1" applyBorder="1"/>
    <xf numFmtId="49" fontId="53" fillId="0" borderId="1" xfId="0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49" fontId="53" fillId="0" borderId="1" xfId="0" applyNumberFormat="1" applyFont="1" applyBorder="1" applyAlignment="1">
      <alignment horizontal="center" vertical="center"/>
    </xf>
    <xf numFmtId="49" fontId="149" fillId="0" borderId="1" xfId="0" applyNumberFormat="1" applyFont="1" applyBorder="1" applyAlignment="1">
      <alignment horizontal="center" vertical="center" wrapText="1"/>
    </xf>
    <xf numFmtId="49" fontId="150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/>
    <xf numFmtId="0" fontId="151" fillId="0" borderId="1" xfId="0" applyFont="1" applyBorder="1"/>
    <xf numFmtId="43" fontId="21" fillId="0" borderId="1" xfId="0" applyNumberFormat="1" applyFont="1" applyBorder="1" applyAlignment="1">
      <alignment horizontal="center"/>
    </xf>
    <xf numFmtId="0" fontId="124" fillId="0" borderId="0" xfId="0" applyFont="1" applyProtection="1">
      <protection locked="0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/>
    </xf>
    <xf numFmtId="0" fontId="79" fillId="9" borderId="0" xfId="0" applyFont="1" applyFill="1"/>
    <xf numFmtId="0" fontId="143" fillId="0" borderId="0" xfId="0" applyFont="1"/>
    <xf numFmtId="0" fontId="152" fillId="0" borderId="0" xfId="0" applyFont="1"/>
    <xf numFmtId="0" fontId="79" fillId="10" borderId="0" xfId="0" applyFont="1" applyFill="1"/>
    <xf numFmtId="0" fontId="153" fillId="0" borderId="0" xfId="0" applyFont="1"/>
    <xf numFmtId="0" fontId="79" fillId="8" borderId="0" xfId="0" applyFont="1" applyFill="1"/>
    <xf numFmtId="0" fontId="124" fillId="0" borderId="0" xfId="0" applyFont="1" applyAlignment="1">
      <alignment horizontal="center" wrapText="1"/>
    </xf>
    <xf numFmtId="0" fontId="124" fillId="0" borderId="1" xfId="0" applyFont="1" applyBorder="1" applyAlignment="1">
      <alignment horizontal="center" vertical="center"/>
    </xf>
    <xf numFmtId="0" fontId="143" fillId="0" borderId="0" xfId="0" applyFont="1" applyAlignment="1">
      <alignment vertical="center"/>
    </xf>
    <xf numFmtId="0" fontId="121" fillId="0" borderId="0" xfId="0" applyFont="1" applyAlignment="1">
      <alignment vertical="center"/>
    </xf>
    <xf numFmtId="0" fontId="124" fillId="0" borderId="3" xfId="0" applyFont="1" applyBorder="1"/>
    <xf numFmtId="0" fontId="35" fillId="0" borderId="0" xfId="0" applyFont="1"/>
    <xf numFmtId="0" fontId="154" fillId="0" borderId="0" xfId="0" applyFont="1"/>
    <xf numFmtId="0" fontId="154" fillId="0" borderId="1" xfId="0" applyFont="1" applyBorder="1" applyAlignment="1">
      <alignment horizontal="center" vertical="center"/>
    </xf>
    <xf numFmtId="0" fontId="155" fillId="0" borderId="0" xfId="0" applyFont="1" applyAlignment="1">
      <alignment vertical="center"/>
    </xf>
    <xf numFmtId="0" fontId="156" fillId="0" borderId="0" xfId="0" applyFont="1" applyAlignment="1">
      <alignment vertical="center"/>
    </xf>
    <xf numFmtId="0" fontId="154" fillId="0" borderId="15" xfId="0" applyFont="1" applyBorder="1" applyAlignment="1">
      <alignment horizontal="center" vertical="center"/>
    </xf>
    <xf numFmtId="0" fontId="35" fillId="0" borderId="1" xfId="0" applyFont="1" applyBorder="1" applyAlignment="1" applyProtection="1">
      <alignment horizontal="center"/>
      <protection locked="0"/>
    </xf>
    <xf numFmtId="0" fontId="35" fillId="0" borderId="1" xfId="0" applyFont="1" applyBorder="1" applyAlignment="1" applyProtection="1">
      <alignment horizontal="center" wrapText="1"/>
      <protection locked="0"/>
    </xf>
    <xf numFmtId="0" fontId="53" fillId="0" borderId="1" xfId="0" applyFont="1" applyBorder="1" applyAlignment="1" applyProtection="1">
      <alignment horizontal="center" wrapText="1"/>
      <protection locked="0"/>
    </xf>
    <xf numFmtId="0" fontId="89" fillId="0" borderId="1" xfId="0" applyFont="1" applyBorder="1" applyAlignment="1" applyProtection="1">
      <alignment horizontal="center" vertical="center" textRotation="90" wrapText="1"/>
      <protection locked="0"/>
    </xf>
    <xf numFmtId="0" fontId="102" fillId="0" borderId="1" xfId="0" applyFont="1" applyBorder="1" applyAlignment="1" applyProtection="1">
      <alignment horizontal="center" vertical="center" textRotation="90" wrapText="1"/>
      <protection locked="0"/>
    </xf>
    <xf numFmtId="4" fontId="53" fillId="0" borderId="1" xfId="0" applyNumberFormat="1" applyFont="1" applyBorder="1" applyAlignment="1" applyProtection="1">
      <alignment horizontal="center" textRotation="90" wrapText="1"/>
      <protection locked="0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 wrapText="1"/>
    </xf>
    <xf numFmtId="0" fontId="89" fillId="0" borderId="1" xfId="0" applyFont="1" applyBorder="1" applyAlignment="1">
      <alignment horizontal="center" vertical="center"/>
    </xf>
    <xf numFmtId="43" fontId="53" fillId="0" borderId="1" xfId="1" applyFont="1" applyFill="1" applyBorder="1" applyAlignment="1">
      <alignment horizontal="center" vertical="top" textRotation="90" wrapText="1"/>
    </xf>
    <xf numFmtId="0" fontId="102" fillId="0" borderId="16" xfId="0" applyFont="1" applyBorder="1" applyAlignment="1">
      <alignment horizontal="center" vertical="center"/>
    </xf>
    <xf numFmtId="49" fontId="102" fillId="0" borderId="0" xfId="0" applyNumberFormat="1" applyFont="1" applyAlignment="1">
      <alignment horizontal="center" vertical="center"/>
    </xf>
    <xf numFmtId="0" fontId="89" fillId="0" borderId="16" xfId="0" applyFont="1" applyBorder="1" applyAlignment="1">
      <alignment horizontal="center" vertical="center"/>
    </xf>
    <xf numFmtId="0" fontId="146" fillId="0" borderId="1" xfId="0" applyFont="1" applyBorder="1" applyAlignment="1">
      <alignment horizontal="center" vertical="center" wrapText="1"/>
    </xf>
    <xf numFmtId="43" fontId="53" fillId="0" borderId="1" xfId="1" applyFont="1" applyFill="1" applyBorder="1" applyAlignment="1">
      <alignment horizontal="center" vertical="center" textRotation="90" wrapText="1"/>
    </xf>
    <xf numFmtId="0" fontId="53" fillId="0" borderId="1" xfId="0" applyFont="1" applyBorder="1" applyAlignment="1" applyProtection="1">
      <alignment horizontal="center" textRotation="90"/>
      <protection locked="0"/>
    </xf>
    <xf numFmtId="43" fontId="53" fillId="0" borderId="0" xfId="1" applyFont="1" applyFill="1" applyBorder="1" applyAlignment="1">
      <alignment horizontal="center" vertical="top" textRotation="90" wrapText="1"/>
    </xf>
    <xf numFmtId="43" fontId="128" fillId="0" borderId="0" xfId="1" applyFont="1" applyFill="1" applyAlignment="1">
      <alignment vertical="center" textRotation="90"/>
    </xf>
    <xf numFmtId="43" fontId="53" fillId="0" borderId="1" xfId="49" applyFont="1" applyFill="1" applyBorder="1" applyAlignment="1">
      <alignment horizontal="center" vertical="center" textRotation="90"/>
    </xf>
    <xf numFmtId="43" fontId="157" fillId="0" borderId="0" xfId="1" applyFont="1" applyFill="1" applyAlignment="1">
      <alignment textRotation="90"/>
    </xf>
    <xf numFmtId="43" fontId="53" fillId="0" borderId="1" xfId="49" applyFont="1" applyFill="1" applyBorder="1" applyAlignment="1">
      <alignment horizontal="center" vertical="top" textRotation="180"/>
    </xf>
    <xf numFmtId="43" fontId="158" fillId="0" borderId="1" xfId="49" applyFont="1" applyFill="1" applyBorder="1" applyAlignment="1">
      <alignment horizontal="center" vertical="top"/>
    </xf>
    <xf numFmtId="0" fontId="159" fillId="0" borderId="0" xfId="0" applyFont="1"/>
    <xf numFmtId="4" fontId="149" fillId="0" borderId="1" xfId="0" applyNumberFormat="1" applyFont="1" applyBorder="1" applyAlignment="1" applyProtection="1">
      <alignment horizontal="center" textRotation="90" wrapText="1"/>
      <protection locked="0"/>
    </xf>
    <xf numFmtId="43" fontId="149" fillId="0" borderId="1" xfId="49" applyFont="1" applyFill="1" applyBorder="1" applyAlignment="1">
      <alignment horizontal="center" vertical="top" textRotation="90"/>
    </xf>
    <xf numFmtId="43" fontId="160" fillId="0" borderId="1" xfId="49" applyFont="1" applyFill="1" applyBorder="1" applyAlignment="1">
      <alignment horizontal="center" vertical="top" textRotation="90"/>
    </xf>
    <xf numFmtId="43" fontId="149" fillId="0" borderId="1" xfId="49" applyFont="1" applyFill="1" applyBorder="1" applyAlignment="1">
      <alignment horizontal="center" vertical="center" textRotation="90"/>
    </xf>
    <xf numFmtId="43" fontId="149" fillId="0" borderId="1" xfId="49" applyFont="1" applyFill="1" applyBorder="1" applyAlignment="1">
      <alignment horizontal="center" vertical="top" textRotation="180"/>
    </xf>
    <xf numFmtId="0" fontId="161" fillId="0" borderId="0" xfId="0" applyFont="1"/>
    <xf numFmtId="0" fontId="35" fillId="0" borderId="5" xfId="0" applyFont="1" applyBorder="1" applyAlignment="1">
      <alignment horizontal="center" textRotation="90"/>
    </xf>
    <xf numFmtId="4" fontId="71" fillId="0" borderId="1" xfId="0" applyNumberFormat="1" applyFont="1" applyBorder="1" applyAlignment="1" applyProtection="1">
      <alignment horizontal="center" textRotation="90" wrapText="1"/>
      <protection locked="0"/>
    </xf>
    <xf numFmtId="4" fontId="146" fillId="0" borderId="1" xfId="0" applyNumberFormat="1" applyFont="1" applyBorder="1" applyAlignment="1" applyProtection="1">
      <alignment horizontal="center" textRotation="90" wrapText="1"/>
      <protection locked="0"/>
    </xf>
    <xf numFmtId="4" fontId="147" fillId="0" borderId="1" xfId="0" applyNumberFormat="1" applyFont="1" applyBorder="1" applyAlignment="1" applyProtection="1">
      <alignment horizontal="center" textRotation="90" wrapText="1"/>
      <protection locked="0"/>
    </xf>
    <xf numFmtId="0" fontId="53" fillId="0" borderId="1" xfId="0" applyFont="1" applyBorder="1"/>
    <xf numFmtId="43" fontId="150" fillId="0" borderId="1" xfId="1" applyFont="1" applyFill="1" applyBorder="1" applyAlignment="1">
      <alignment textRotation="90"/>
    </xf>
    <xf numFmtId="43" fontId="53" fillId="0" borderId="1" xfId="1" applyFont="1" applyFill="1" applyBorder="1" applyAlignment="1">
      <alignment textRotation="90"/>
    </xf>
    <xf numFmtId="0" fontId="150" fillId="0" borderId="1" xfId="0" applyFont="1" applyBorder="1"/>
    <xf numFmtId="4" fontId="53" fillId="0" borderId="1" xfId="0" applyNumberFormat="1" applyFont="1" applyBorder="1" applyAlignment="1">
      <alignment textRotation="90"/>
    </xf>
    <xf numFmtId="43" fontId="53" fillId="0" borderId="1" xfId="1" applyFont="1" applyFill="1" applyBorder="1" applyAlignment="1">
      <alignment vertical="center" textRotation="90"/>
    </xf>
    <xf numFmtId="43" fontId="150" fillId="0" borderId="1" xfId="1" applyFont="1" applyFill="1" applyBorder="1" applyAlignment="1">
      <alignment vertical="center" textRotation="90"/>
    </xf>
    <xf numFmtId="43" fontId="162" fillId="0" borderId="1" xfId="1" applyFont="1" applyFill="1" applyBorder="1" applyAlignment="1">
      <alignment horizontal="center" textRotation="90"/>
    </xf>
    <xf numFmtId="43" fontId="89" fillId="0" borderId="1" xfId="1" applyFont="1" applyFill="1" applyBorder="1" applyAlignment="1">
      <alignment horizontal="center" textRotation="90"/>
    </xf>
    <xf numFmtId="0" fontId="53" fillId="0" borderId="1" xfId="0" applyFont="1" applyBorder="1" applyAlignment="1">
      <alignment textRotation="90"/>
    </xf>
    <xf numFmtId="0" fontId="53" fillId="0" borderId="1" xfId="0" applyFont="1" applyBorder="1" applyAlignment="1">
      <alignment vertical="center"/>
    </xf>
    <xf numFmtId="0" fontId="150" fillId="0" borderId="1" xfId="0" applyFont="1" applyBorder="1" applyAlignment="1">
      <alignment vertical="center"/>
    </xf>
    <xf numFmtId="43" fontId="53" fillId="0" borderId="1" xfId="1" applyFont="1" applyFill="1" applyBorder="1" applyAlignment="1">
      <alignment horizontal="center" textRotation="90" wrapText="1"/>
    </xf>
    <xf numFmtId="43" fontId="150" fillId="0" borderId="1" xfId="49" applyFont="1" applyFill="1" applyBorder="1" applyAlignment="1">
      <alignment horizontal="center" vertical="top" textRotation="90"/>
    </xf>
    <xf numFmtId="43" fontId="53" fillId="0" borderId="1" xfId="1" applyFont="1" applyFill="1" applyBorder="1" applyAlignment="1">
      <alignment horizontal="center" textRotation="90"/>
    </xf>
    <xf numFmtId="43" fontId="89" fillId="0" borderId="1" xfId="1" applyFont="1" applyFill="1" applyBorder="1" applyAlignment="1">
      <alignment textRotation="90"/>
    </xf>
    <xf numFmtId="43" fontId="53" fillId="0" borderId="1" xfId="1" applyFont="1" applyFill="1" applyBorder="1" applyAlignment="1">
      <alignment textRotation="90" wrapText="1"/>
    </xf>
    <xf numFmtId="177" fontId="53" fillId="0" borderId="1" xfId="1" applyNumberFormat="1" applyFont="1" applyFill="1" applyBorder="1" applyAlignment="1">
      <alignment horizontal="center" vertical="top" textRotation="90"/>
    </xf>
    <xf numFmtId="4" fontId="53" fillId="0" borderId="16" xfId="0" applyNumberFormat="1" applyFont="1" applyBorder="1" applyAlignment="1">
      <alignment horizontal="center" vertical="top" textRotation="90"/>
    </xf>
    <xf numFmtId="177" fontId="53" fillId="0" borderId="1" xfId="1" applyNumberFormat="1" applyFont="1" applyFill="1" applyBorder="1" applyAlignment="1">
      <alignment horizontal="center" vertical="center" textRotation="90"/>
    </xf>
    <xf numFmtId="4" fontId="53" fillId="0" borderId="16" xfId="0" applyNumberFormat="1" applyFont="1" applyBorder="1" applyAlignment="1">
      <alignment horizontal="center" vertical="center" textRotation="90"/>
    </xf>
    <xf numFmtId="0" fontId="163" fillId="0" borderId="0" xfId="0" applyFont="1"/>
    <xf numFmtId="43" fontId="53" fillId="0" borderId="27" xfId="1" applyFont="1" applyFill="1" applyBorder="1" applyAlignment="1" applyProtection="1">
      <alignment horizontal="center" vertical="center" wrapText="1"/>
      <protection locked="0"/>
    </xf>
    <xf numFmtId="43" fontId="53" fillId="0" borderId="24" xfId="1" applyFont="1" applyFill="1" applyBorder="1" applyAlignment="1" applyProtection="1">
      <alignment horizontal="center" vertical="center" wrapText="1"/>
      <protection locked="0"/>
    </xf>
    <xf numFmtId="43" fontId="53" fillId="0" borderId="1" xfId="1" applyFont="1" applyFill="1" applyBorder="1" applyAlignment="1">
      <alignment horizontal="center" vertical="top" textRotation="90"/>
    </xf>
    <xf numFmtId="43" fontId="53" fillId="0" borderId="44" xfId="1" applyFont="1" applyFill="1" applyBorder="1" applyProtection="1">
      <protection locked="0"/>
    </xf>
    <xf numFmtId="43" fontId="53" fillId="0" borderId="44" xfId="1" applyFont="1" applyFill="1" applyBorder="1" applyAlignment="1" applyProtection="1">
      <alignment vertical="center"/>
      <protection locked="0"/>
    </xf>
    <xf numFmtId="0" fontId="53" fillId="0" borderId="0" xfId="0" applyFont="1"/>
    <xf numFmtId="4" fontId="163" fillId="0" borderId="2" xfId="0" applyNumberFormat="1" applyFont="1" applyBorder="1"/>
    <xf numFmtId="43" fontId="53" fillId="0" borderId="26" xfId="1" applyFont="1" applyFill="1" applyBorder="1" applyAlignment="1" applyProtection="1">
      <alignment horizontal="center" vertical="center" wrapText="1"/>
      <protection locked="0"/>
    </xf>
    <xf numFmtId="43" fontId="53" fillId="0" borderId="1" xfId="1" applyFont="1" applyFill="1" applyBorder="1" applyAlignment="1" applyProtection="1">
      <alignment horizontal="center" vertical="center" wrapText="1"/>
      <protection locked="0"/>
    </xf>
    <xf numFmtId="9" fontId="53" fillId="0" borderId="24" xfId="3" applyFont="1" applyFill="1" applyBorder="1" applyAlignment="1" applyProtection="1">
      <alignment horizontal="center" wrapText="1"/>
      <protection locked="0"/>
    </xf>
    <xf numFmtId="0" fontId="53" fillId="0" borderId="24" xfId="0" applyFont="1" applyBorder="1" applyAlignment="1" applyProtection="1">
      <alignment horizontal="center" vertical="center" wrapText="1"/>
      <protection locked="0"/>
    </xf>
    <xf numFmtId="43" fontId="53" fillId="0" borderId="27" xfId="1" applyFont="1" applyFill="1" applyBorder="1" applyAlignment="1">
      <alignment vertical="center"/>
    </xf>
    <xf numFmtId="9" fontId="53" fillId="0" borderId="24" xfId="3" applyFont="1" applyFill="1" applyBorder="1" applyAlignment="1">
      <alignment horizontal="center" vertical="center"/>
    </xf>
    <xf numFmtId="178" fontId="53" fillId="0" borderId="24" xfId="0" applyNumberFormat="1" applyFont="1" applyBorder="1" applyAlignment="1">
      <alignment vertical="center"/>
    </xf>
    <xf numFmtId="177" fontId="53" fillId="0" borderId="24" xfId="0" applyNumberFormat="1" applyFont="1" applyBorder="1" applyAlignment="1">
      <alignment vertical="center"/>
    </xf>
    <xf numFmtId="0" fontId="53" fillId="0" borderId="26" xfId="0" applyFont="1" applyBorder="1" applyAlignment="1" applyProtection="1">
      <alignment horizontal="center" vertical="center" wrapText="1"/>
      <protection locked="0"/>
    </xf>
    <xf numFmtId="0" fontId="121" fillId="0" borderId="1" xfId="0" applyFont="1" applyBorder="1" applyAlignment="1" applyProtection="1">
      <alignment horizontal="center" vertical="center"/>
      <protection locked="0"/>
    </xf>
    <xf numFmtId="177" fontId="53" fillId="0" borderId="26" xfId="0" applyNumberFormat="1" applyFont="1" applyBorder="1"/>
    <xf numFmtId="0" fontId="79" fillId="0" borderId="1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 wrapText="1"/>
    </xf>
    <xf numFmtId="177" fontId="53" fillId="0" borderId="26" xfId="0" applyNumberFormat="1" applyFont="1" applyBorder="1" applyAlignment="1">
      <alignment vertical="center"/>
    </xf>
    <xf numFmtId="43" fontId="79" fillId="0" borderId="0" xfId="0" applyNumberFormat="1" applyFont="1" applyAlignment="1">
      <alignment vertical="center"/>
    </xf>
    <xf numFmtId="4" fontId="79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vertical="center" wrapText="1"/>
    </xf>
    <xf numFmtId="49" fontId="53" fillId="0" borderId="1" xfId="0" applyNumberFormat="1" applyFont="1" applyBorder="1" applyAlignment="1">
      <alignment vertical="center" wrapText="1"/>
    </xf>
    <xf numFmtId="0" fontId="89" fillId="0" borderId="1" xfId="0" applyFont="1" applyBorder="1" applyAlignment="1">
      <alignment vertical="center"/>
    </xf>
    <xf numFmtId="0" fontId="102" fillId="0" borderId="1" xfId="0" applyFont="1" applyBorder="1" applyAlignment="1">
      <alignment vertical="center"/>
    </xf>
    <xf numFmtId="43" fontId="53" fillId="0" borderId="1" xfId="1" applyFont="1" applyFill="1" applyBorder="1" applyAlignment="1">
      <alignment vertical="top" textRotation="90" wrapText="1"/>
    </xf>
    <xf numFmtId="0" fontId="89" fillId="0" borderId="0" xfId="0" applyFont="1" applyAlignment="1">
      <alignment horizontal="center" vertical="center"/>
    </xf>
    <xf numFmtId="0" fontId="35" fillId="9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center" vertical="center" wrapText="1"/>
    </xf>
    <xf numFmtId="49" fontId="53" fillId="9" borderId="1" xfId="0" applyNumberFormat="1" applyFont="1" applyFill="1" applyBorder="1" applyAlignment="1">
      <alignment horizontal="center" vertical="center" wrapText="1"/>
    </xf>
    <xf numFmtId="0" fontId="89" fillId="9" borderId="1" xfId="0" applyFont="1" applyFill="1" applyBorder="1" applyAlignment="1">
      <alignment horizontal="center" vertical="center"/>
    </xf>
    <xf numFmtId="43" fontId="53" fillId="9" borderId="1" xfId="1" applyFont="1" applyFill="1" applyBorder="1" applyAlignment="1">
      <alignment horizontal="center" vertical="top" textRotation="90" wrapText="1"/>
    </xf>
    <xf numFmtId="43" fontId="53" fillId="0" borderId="1" xfId="49" applyFont="1" applyFill="1" applyBorder="1" applyAlignment="1">
      <alignment vertical="top" textRotation="90"/>
    </xf>
    <xf numFmtId="43" fontId="53" fillId="9" borderId="1" xfId="49" applyFont="1" applyFill="1" applyBorder="1" applyAlignment="1">
      <alignment horizontal="center" vertical="top" textRotation="90"/>
    </xf>
    <xf numFmtId="43" fontId="149" fillId="0" borderId="1" xfId="49" applyFont="1" applyFill="1" applyBorder="1" applyAlignment="1">
      <alignment vertical="top" textRotation="90"/>
    </xf>
    <xf numFmtId="43" fontId="53" fillId="0" borderId="0" xfId="1" applyFont="1" applyFill="1" applyBorder="1" applyAlignment="1">
      <alignment textRotation="90"/>
    </xf>
    <xf numFmtId="43" fontId="53" fillId="0" borderId="0" xfId="1" applyFont="1" applyFill="1" applyBorder="1" applyAlignment="1">
      <alignment horizontal="center" vertical="top" textRotation="90"/>
    </xf>
    <xf numFmtId="43" fontId="150" fillId="0" borderId="1" xfId="1" applyFont="1" applyFill="1" applyBorder="1" applyAlignment="1">
      <alignment textRotation="90" wrapText="1"/>
    </xf>
    <xf numFmtId="4" fontId="53" fillId="0" borderId="1" xfId="0" applyNumberFormat="1" applyFont="1" applyBorder="1" applyAlignment="1">
      <alignment textRotation="90" wrapText="1"/>
    </xf>
    <xf numFmtId="0" fontId="53" fillId="0" borderId="1" xfId="0" applyFont="1" applyBorder="1" applyAlignment="1">
      <alignment horizontal="center"/>
    </xf>
    <xf numFmtId="0" fontId="150" fillId="0" borderId="1" xfId="0" applyFont="1" applyBorder="1" applyAlignment="1">
      <alignment horizontal="center"/>
    </xf>
    <xf numFmtId="4" fontId="150" fillId="0" borderId="1" xfId="0" applyNumberFormat="1" applyFont="1" applyBorder="1" applyAlignment="1">
      <alignment textRotation="180"/>
    </xf>
    <xf numFmtId="4" fontId="53" fillId="0" borderId="1" xfId="0" applyNumberFormat="1" applyFont="1" applyBorder="1" applyAlignment="1">
      <alignment textRotation="180"/>
    </xf>
    <xf numFmtId="4" fontId="150" fillId="0" borderId="1" xfId="0" applyNumberFormat="1" applyFont="1" applyBorder="1" applyAlignment="1">
      <alignment textRotation="90"/>
    </xf>
    <xf numFmtId="43" fontId="89" fillId="0" borderId="1" xfId="1" applyFont="1" applyFill="1" applyBorder="1" applyAlignment="1">
      <alignment horizontal="center" textRotation="90" wrapText="1"/>
    </xf>
    <xf numFmtId="4" fontId="53" fillId="0" borderId="1" xfId="0" applyNumberFormat="1" applyFont="1" applyBorder="1"/>
    <xf numFmtId="43" fontId="53" fillId="0" borderId="0" xfId="49" applyFont="1" applyFill="1" applyBorder="1" applyAlignment="1">
      <alignment horizontal="center" vertical="top" textRotation="90"/>
    </xf>
    <xf numFmtId="4" fontId="53" fillId="0" borderId="1" xfId="0" applyNumberFormat="1" applyFont="1" applyBorder="1" applyAlignment="1">
      <alignment vertical="top" textRotation="90"/>
    </xf>
    <xf numFmtId="177" fontId="53" fillId="0" borderId="1" xfId="1" applyNumberFormat="1" applyFont="1" applyFill="1" applyBorder="1" applyAlignment="1">
      <alignment vertical="top" textRotation="90"/>
    </xf>
    <xf numFmtId="4" fontId="53" fillId="0" borderId="16" xfId="0" applyNumberFormat="1" applyFont="1" applyBorder="1" applyAlignment="1">
      <alignment vertical="top" textRotation="90"/>
    </xf>
    <xf numFmtId="4" fontId="53" fillId="9" borderId="1" xfId="0" applyNumberFormat="1" applyFont="1" applyFill="1" applyBorder="1" applyAlignment="1">
      <alignment horizontal="center" vertical="top" textRotation="90"/>
    </xf>
    <xf numFmtId="177" fontId="53" fillId="9" borderId="1" xfId="1" applyNumberFormat="1" applyFont="1" applyFill="1" applyBorder="1" applyAlignment="1">
      <alignment horizontal="center" vertical="top" textRotation="90"/>
    </xf>
    <xf numFmtId="4" fontId="53" fillId="9" borderId="16" xfId="0" applyNumberFormat="1" applyFont="1" applyFill="1" applyBorder="1" applyAlignment="1">
      <alignment horizontal="center" vertical="top" textRotation="90"/>
    </xf>
    <xf numFmtId="43" fontId="53" fillId="0" borderId="44" xfId="1" applyFont="1" applyFill="1" applyBorder="1" applyAlignment="1" applyProtection="1">
      <protection locked="0"/>
    </xf>
    <xf numFmtId="43" fontId="53" fillId="0" borderId="44" xfId="1" applyFont="1" applyFill="1" applyBorder="1" applyAlignment="1" applyProtection="1">
      <alignment horizontal="center"/>
      <protection locked="0"/>
    </xf>
    <xf numFmtId="43" fontId="53" fillId="0" borderId="25" xfId="1" applyFont="1" applyFill="1" applyBorder="1" applyAlignment="1">
      <alignment horizontal="center"/>
    </xf>
    <xf numFmtId="178" fontId="53" fillId="0" borderId="25" xfId="0" applyNumberFormat="1" applyFont="1" applyBorder="1" applyAlignment="1">
      <alignment horizontal="center"/>
    </xf>
    <xf numFmtId="179" fontId="53" fillId="0" borderId="25" xfId="0" applyNumberFormat="1" applyFont="1" applyBorder="1" applyAlignment="1">
      <alignment horizontal="center"/>
    </xf>
    <xf numFmtId="43" fontId="53" fillId="9" borderId="44" xfId="1" applyFont="1" applyFill="1" applyBorder="1" applyProtection="1">
      <protection locked="0"/>
    </xf>
    <xf numFmtId="43" fontId="53" fillId="9" borderId="25" xfId="1" applyFont="1" applyFill="1" applyBorder="1"/>
    <xf numFmtId="178" fontId="53" fillId="9" borderId="25" xfId="0" applyNumberFormat="1" applyFont="1" applyFill="1" applyBorder="1"/>
    <xf numFmtId="179" fontId="53" fillId="9" borderId="25" xfId="0" applyNumberFormat="1" applyFont="1" applyFill="1" applyBorder="1"/>
    <xf numFmtId="43" fontId="53" fillId="0" borderId="27" xfId="1" applyFont="1" applyFill="1" applyBorder="1" applyProtection="1">
      <protection locked="0"/>
    </xf>
    <xf numFmtId="43" fontId="53" fillId="0" borderId="29" xfId="1" applyFont="1" applyFill="1" applyBorder="1" applyProtection="1">
      <protection locked="0"/>
    </xf>
    <xf numFmtId="177" fontId="53" fillId="0" borderId="25" xfId="0" applyNumberFormat="1" applyFont="1" applyBorder="1" applyAlignment="1">
      <alignment horizontal="center"/>
    </xf>
    <xf numFmtId="177" fontId="53" fillId="9" borderId="25" xfId="0" applyNumberFormat="1" applyFont="1" applyFill="1" applyBorder="1"/>
    <xf numFmtId="43" fontId="53" fillId="0" borderId="27" xfId="1" applyFont="1" applyFill="1" applyBorder="1" applyAlignment="1"/>
    <xf numFmtId="9" fontId="53" fillId="0" borderId="24" xfId="3" applyFont="1" applyFill="1" applyBorder="1" applyAlignment="1"/>
    <xf numFmtId="43" fontId="53" fillId="0" borderId="25" xfId="1" applyFont="1" applyFill="1" applyBorder="1" applyAlignment="1" applyProtection="1">
      <alignment horizontal="center"/>
      <protection locked="0"/>
    </xf>
    <xf numFmtId="178" fontId="53" fillId="0" borderId="28" xfId="0" applyNumberFormat="1" applyFont="1" applyBorder="1" applyAlignment="1">
      <alignment horizontal="center"/>
    </xf>
    <xf numFmtId="179" fontId="53" fillId="0" borderId="1" xfId="49" applyNumberFormat="1" applyFont="1" applyFill="1" applyBorder="1" applyAlignment="1">
      <alignment horizontal="center" vertical="center"/>
    </xf>
    <xf numFmtId="43" fontId="53" fillId="0" borderId="1" xfId="1" applyFont="1" applyFill="1" applyBorder="1" applyAlignment="1">
      <alignment horizontal="center" vertical="center"/>
    </xf>
    <xf numFmtId="43" fontId="53" fillId="0" borderId="27" xfId="1" applyFont="1" applyFill="1" applyBorder="1" applyAlignment="1">
      <alignment horizontal="center"/>
    </xf>
    <xf numFmtId="178" fontId="53" fillId="0" borderId="24" xfId="0" applyNumberFormat="1" applyFont="1" applyBorder="1" applyAlignment="1">
      <alignment horizontal="center"/>
    </xf>
    <xf numFmtId="177" fontId="53" fillId="0" borderId="24" xfId="0" applyNumberFormat="1" applyFont="1" applyBorder="1" applyAlignment="1">
      <alignment horizontal="center"/>
    </xf>
    <xf numFmtId="43" fontId="53" fillId="9" borderId="25" xfId="1" applyFont="1" applyFill="1" applyBorder="1" applyProtection="1">
      <protection locked="0"/>
    </xf>
    <xf numFmtId="178" fontId="53" fillId="9" borderId="28" xfId="0" applyNumberFormat="1" applyFont="1" applyFill="1" applyBorder="1"/>
    <xf numFmtId="179" fontId="53" fillId="9" borderId="1" xfId="49" applyNumberFormat="1" applyFont="1" applyFill="1" applyBorder="1" applyAlignment="1">
      <alignment vertical="center"/>
    </xf>
    <xf numFmtId="43" fontId="53" fillId="9" borderId="1" xfId="1" applyFont="1" applyFill="1" applyBorder="1" applyAlignment="1">
      <alignment vertical="center"/>
    </xf>
    <xf numFmtId="43" fontId="53" fillId="9" borderId="27" xfId="1" applyFont="1" applyFill="1" applyBorder="1"/>
    <xf numFmtId="9" fontId="53" fillId="9" borderId="24" xfId="3" applyFont="1" applyFill="1" applyBorder="1" applyAlignment="1">
      <alignment horizontal="center"/>
    </xf>
    <xf numFmtId="178" fontId="53" fillId="9" borderId="24" xfId="0" applyNumberFormat="1" applyFont="1" applyFill="1" applyBorder="1"/>
    <xf numFmtId="177" fontId="53" fillId="9" borderId="24" xfId="0" applyNumberFormat="1" applyFont="1" applyFill="1" applyBorder="1"/>
    <xf numFmtId="0" fontId="80" fillId="0" borderId="1" xfId="0" applyFont="1" applyBorder="1" applyAlignment="1">
      <alignment horizontal="center" vertical="center" wrapText="1"/>
    </xf>
    <xf numFmtId="4" fontId="79" fillId="0" borderId="0" xfId="0" applyNumberFormat="1" applyFont="1"/>
    <xf numFmtId="177" fontId="53" fillId="0" borderId="26" xfId="0" applyNumberFormat="1" applyFont="1" applyBorder="1" applyAlignment="1">
      <alignment horizontal="center"/>
    </xf>
    <xf numFmtId="43" fontId="79" fillId="0" borderId="0" xfId="0" applyNumberFormat="1" applyFont="1" applyAlignment="1">
      <alignment horizontal="center"/>
    </xf>
    <xf numFmtId="43" fontId="79" fillId="0" borderId="1" xfId="1" applyFont="1" applyFill="1" applyBorder="1" applyAlignment="1">
      <alignment horizontal="center" vertical="center"/>
    </xf>
    <xf numFmtId="0" fontId="79" fillId="0" borderId="15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 wrapText="1"/>
    </xf>
    <xf numFmtId="177" fontId="53" fillId="9" borderId="26" xfId="0" applyNumberFormat="1" applyFont="1" applyFill="1" applyBorder="1"/>
    <xf numFmtId="43" fontId="79" fillId="9" borderId="0" xfId="0" applyNumberFormat="1" applyFont="1" applyFill="1"/>
    <xf numFmtId="0" fontId="79" fillId="9" borderId="1" xfId="0" applyFont="1" applyFill="1" applyBorder="1" applyAlignment="1">
      <alignment horizontal="center" vertical="center"/>
    </xf>
    <xf numFmtId="4" fontId="79" fillId="0" borderId="1" xfId="0" applyNumberFormat="1" applyFont="1" applyBorder="1" applyAlignment="1">
      <alignment horizontal="center" vertical="center"/>
    </xf>
    <xf numFmtId="177" fontId="53" fillId="0" borderId="45" xfId="0" applyNumberFormat="1" applyFont="1" applyBorder="1"/>
    <xf numFmtId="0" fontId="143" fillId="0" borderId="1" xfId="0" applyFont="1" applyBorder="1" applyAlignment="1">
      <alignment horizontal="left" vertical="center" wrapText="1"/>
    </xf>
    <xf numFmtId="0" fontId="143" fillId="0" borderId="1" xfId="0" applyFont="1" applyBorder="1" applyAlignment="1">
      <alignment horizontal="center" vertical="center" wrapText="1"/>
    </xf>
    <xf numFmtId="49" fontId="89" fillId="0" borderId="1" xfId="0" applyNumberFormat="1" applyFont="1" applyBorder="1" applyAlignment="1">
      <alignment horizontal="center" vertical="center" wrapText="1"/>
    </xf>
    <xf numFmtId="43" fontId="89" fillId="0" borderId="1" xfId="1" applyFont="1" applyFill="1" applyBorder="1" applyAlignment="1">
      <alignment horizontal="center" vertical="top" textRotation="90" wrapText="1"/>
    </xf>
    <xf numFmtId="0" fontId="35" fillId="0" borderId="15" xfId="0" applyFont="1" applyBorder="1" applyAlignment="1">
      <alignment horizontal="left" vertical="center" wrapText="1"/>
    </xf>
    <xf numFmtId="0" fontId="35" fillId="0" borderId="15" xfId="0" applyFont="1" applyBorder="1" applyAlignment="1">
      <alignment horizontal="center" vertical="center" wrapText="1"/>
    </xf>
    <xf numFmtId="49" fontId="53" fillId="0" borderId="15" xfId="0" applyNumberFormat="1" applyFont="1" applyBorder="1" applyAlignment="1">
      <alignment horizontal="center" vertical="center" wrapText="1"/>
    </xf>
    <xf numFmtId="0" fontId="89" fillId="0" borderId="15" xfId="0" applyFont="1" applyBorder="1" applyAlignment="1">
      <alignment horizontal="center" vertical="center"/>
    </xf>
    <xf numFmtId="0" fontId="102" fillId="0" borderId="15" xfId="0" applyFont="1" applyBorder="1" applyAlignment="1">
      <alignment horizontal="center" vertical="center"/>
    </xf>
    <xf numFmtId="43" fontId="53" fillId="0" borderId="15" xfId="1" applyFont="1" applyFill="1" applyBorder="1" applyAlignment="1">
      <alignment horizontal="center" vertical="top" textRotation="90" wrapText="1"/>
    </xf>
    <xf numFmtId="0" fontId="164" fillId="0" borderId="1" xfId="0" applyFont="1" applyBorder="1" applyAlignment="1">
      <alignment horizontal="left" vertical="center" wrapText="1"/>
    </xf>
    <xf numFmtId="0" fontId="164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43" fontId="150" fillId="0" borderId="1" xfId="1" applyFont="1" applyFill="1" applyBorder="1" applyAlignment="1">
      <alignment horizontal="center" vertical="top" textRotation="90" wrapText="1"/>
    </xf>
    <xf numFmtId="43" fontId="89" fillId="0" borderId="1" xfId="49" applyFont="1" applyFill="1" applyBorder="1" applyAlignment="1">
      <alignment horizontal="center" vertical="top" textRotation="90"/>
    </xf>
    <xf numFmtId="43" fontId="89" fillId="0" borderId="1" xfId="49" applyFont="1" applyFill="1" applyBorder="1" applyAlignment="1">
      <alignment horizontal="center" vertical="center" textRotation="90"/>
    </xf>
    <xf numFmtId="43" fontId="128" fillId="0" borderId="0" xfId="1" applyFont="1" applyFill="1" applyAlignment="1">
      <alignment textRotation="90"/>
    </xf>
    <xf numFmtId="43" fontId="18" fillId="0" borderId="15" xfId="1" applyFont="1" applyFill="1" applyBorder="1" applyAlignment="1">
      <alignment horizontal="center" vertical="top" textRotation="90" wrapText="1"/>
    </xf>
    <xf numFmtId="43" fontId="53" fillId="0" borderId="15" xfId="49" applyFont="1" applyFill="1" applyBorder="1" applyAlignment="1">
      <alignment horizontal="center" vertical="top" textRotation="90"/>
    </xf>
    <xf numFmtId="43" fontId="128" fillId="0" borderId="1" xfId="1" applyFont="1" applyFill="1" applyBorder="1" applyAlignment="1">
      <alignment textRotation="90"/>
    </xf>
    <xf numFmtId="43" fontId="18" fillId="0" borderId="1" xfId="1" applyFont="1" applyFill="1" applyBorder="1" applyAlignment="1">
      <alignment horizontal="center" vertical="top" textRotation="90" wrapText="1"/>
    </xf>
    <xf numFmtId="43" fontId="136" fillId="0" borderId="1" xfId="1" applyFont="1" applyFill="1" applyBorder="1" applyAlignment="1">
      <alignment textRotation="90"/>
    </xf>
    <xf numFmtId="43" fontId="19" fillId="0" borderId="1" xfId="1" applyFont="1" applyFill="1" applyBorder="1" applyAlignment="1">
      <alignment horizontal="center" vertical="top" textRotation="90" wrapText="1"/>
    </xf>
    <xf numFmtId="43" fontId="165" fillId="0" borderId="1" xfId="49" applyFont="1" applyFill="1" applyBorder="1" applyAlignment="1">
      <alignment horizontal="center" vertical="center" textRotation="90"/>
    </xf>
    <xf numFmtId="43" fontId="149" fillId="0" borderId="15" xfId="49" applyFont="1" applyFill="1" applyBorder="1" applyAlignment="1">
      <alignment horizontal="center" vertical="top" textRotation="90"/>
    </xf>
    <xf numFmtId="0" fontId="53" fillId="0" borderId="1" xfId="0" applyFont="1" applyBorder="1" applyAlignment="1">
      <alignment vertical="center" textRotation="90"/>
    </xf>
    <xf numFmtId="0" fontId="150" fillId="0" borderId="1" xfId="0" applyFont="1" applyBorder="1" applyAlignment="1">
      <alignment vertical="center" textRotation="90"/>
    </xf>
    <xf numFmtId="4" fontId="89" fillId="0" borderId="1" xfId="0" applyNumberFormat="1" applyFont="1" applyBorder="1" applyAlignment="1">
      <alignment horizontal="center" vertical="center" textRotation="90"/>
    </xf>
    <xf numFmtId="43" fontId="89" fillId="0" borderId="1" xfId="1" applyFont="1" applyFill="1" applyBorder="1" applyAlignment="1">
      <alignment horizontal="center" vertical="center" textRotation="90"/>
    </xf>
    <xf numFmtId="43" fontId="53" fillId="0" borderId="15" xfId="1" applyFont="1" applyFill="1" applyBorder="1" applyAlignment="1">
      <alignment textRotation="90"/>
    </xf>
    <xf numFmtId="0" fontId="150" fillId="0" borderId="15" xfId="0" applyFont="1" applyBorder="1"/>
    <xf numFmtId="0" fontId="53" fillId="0" borderId="15" xfId="0" applyFont="1" applyBorder="1"/>
    <xf numFmtId="43" fontId="53" fillId="0" borderId="1" xfId="1" applyFont="1" applyFill="1" applyBorder="1" applyAlignment="1">
      <alignment horizontal="center" vertical="top"/>
    </xf>
    <xf numFmtId="43" fontId="53" fillId="0" borderId="1" xfId="1" applyFont="1" applyFill="1" applyBorder="1" applyAlignment="1"/>
    <xf numFmtId="43" fontId="150" fillId="0" borderId="1" xfId="1" applyFont="1" applyFill="1" applyBorder="1" applyAlignment="1"/>
    <xf numFmtId="43" fontId="150" fillId="0" borderId="1" xfId="1" applyFont="1" applyFill="1" applyBorder="1" applyAlignment="1">
      <alignment horizontal="center" vertical="top"/>
    </xf>
    <xf numFmtId="43" fontId="89" fillId="0" borderId="1" xfId="1" applyFont="1" applyFill="1" applyBorder="1" applyAlignment="1">
      <alignment horizontal="center" vertical="center" textRotation="90" wrapText="1"/>
    </xf>
    <xf numFmtId="43" fontId="53" fillId="0" borderId="15" xfId="1" applyFont="1" applyFill="1" applyBorder="1" applyAlignment="1">
      <alignment horizontal="center" textRotation="90" wrapText="1"/>
    </xf>
    <xf numFmtId="43" fontId="150" fillId="0" borderId="1" xfId="1" applyFont="1" applyFill="1" applyBorder="1" applyAlignment="1">
      <alignment horizontal="center" textRotation="90" wrapText="1"/>
    </xf>
    <xf numFmtId="177" fontId="89" fillId="0" borderId="1" xfId="1" applyNumberFormat="1" applyFont="1" applyFill="1" applyBorder="1" applyAlignment="1">
      <alignment horizontal="center" vertical="center" textRotation="90"/>
    </xf>
    <xf numFmtId="4" fontId="53" fillId="0" borderId="15" xfId="0" applyNumberFormat="1" applyFont="1" applyBorder="1" applyAlignment="1">
      <alignment horizontal="center" vertical="top" textRotation="90"/>
    </xf>
    <xf numFmtId="177" fontId="53" fillId="0" borderId="15" xfId="1" applyNumberFormat="1" applyFont="1" applyFill="1" applyBorder="1" applyAlignment="1">
      <alignment horizontal="center" vertical="top" textRotation="90"/>
    </xf>
    <xf numFmtId="4" fontId="53" fillId="0" borderId="42" xfId="0" applyNumberFormat="1" applyFont="1" applyBorder="1" applyAlignment="1">
      <alignment horizontal="center" vertical="top" textRotation="90"/>
    </xf>
    <xf numFmtId="4" fontId="150" fillId="0" borderId="1" xfId="0" applyNumberFormat="1" applyFont="1" applyBorder="1" applyAlignment="1">
      <alignment horizontal="center" vertical="top" textRotation="90"/>
    </xf>
    <xf numFmtId="177" fontId="150" fillId="0" borderId="1" xfId="1" applyNumberFormat="1" applyFont="1" applyFill="1" applyBorder="1" applyAlignment="1">
      <alignment horizontal="center" vertical="top" textRotation="90"/>
    </xf>
    <xf numFmtId="43" fontId="89" fillId="0" borderId="44" xfId="1" applyFont="1" applyFill="1" applyBorder="1" applyAlignment="1" applyProtection="1">
      <alignment vertical="center"/>
      <protection locked="0"/>
    </xf>
    <xf numFmtId="43" fontId="89" fillId="0" borderId="25" xfId="1" applyFont="1" applyFill="1" applyBorder="1" applyAlignment="1">
      <alignment vertical="center"/>
    </xf>
    <xf numFmtId="178" fontId="89" fillId="0" borderId="25" xfId="0" applyNumberFormat="1" applyFont="1" applyBorder="1" applyAlignment="1">
      <alignment vertical="center"/>
    </xf>
    <xf numFmtId="179" fontId="89" fillId="0" borderId="25" xfId="0" applyNumberFormat="1" applyFont="1" applyBorder="1" applyAlignment="1">
      <alignment vertical="center"/>
    </xf>
    <xf numFmtId="43" fontId="53" fillId="0" borderId="18" xfId="49" applyFont="1" applyFill="1" applyBorder="1" applyAlignment="1">
      <alignment horizontal="center" vertical="top" textRotation="90"/>
    </xf>
    <xf numFmtId="43" fontId="53" fillId="0" borderId="0" xfId="1" applyFont="1" applyFill="1" applyBorder="1" applyProtection="1">
      <protection locked="0"/>
    </xf>
    <xf numFmtId="43" fontId="53" fillId="0" borderId="0" xfId="1" applyFont="1" applyFill="1" applyBorder="1"/>
    <xf numFmtId="178" fontId="53" fillId="0" borderId="0" xfId="0" applyNumberFormat="1" applyFont="1"/>
    <xf numFmtId="179" fontId="53" fillId="0" borderId="0" xfId="0" applyNumberFormat="1" applyFont="1"/>
    <xf numFmtId="43" fontId="150" fillId="0" borderId="0" xfId="1" applyFont="1" applyFill="1" applyBorder="1" applyProtection="1">
      <protection locked="0"/>
    </xf>
    <xf numFmtId="43" fontId="150" fillId="0" borderId="0" xfId="1" applyFont="1" applyFill="1" applyBorder="1"/>
    <xf numFmtId="178" fontId="150" fillId="0" borderId="0" xfId="0" applyNumberFormat="1" applyFont="1"/>
    <xf numFmtId="179" fontId="150" fillId="0" borderId="0" xfId="0" applyNumberFormat="1" applyFont="1"/>
    <xf numFmtId="177" fontId="89" fillId="0" borderId="25" xfId="0" applyNumberFormat="1" applyFont="1" applyBorder="1" applyAlignment="1">
      <alignment vertical="center"/>
    </xf>
    <xf numFmtId="177" fontId="53" fillId="0" borderId="0" xfId="0" applyNumberFormat="1" applyFont="1"/>
    <xf numFmtId="177" fontId="150" fillId="0" borderId="0" xfId="0" applyNumberFormat="1" applyFont="1"/>
    <xf numFmtId="43" fontId="89" fillId="0" borderId="25" xfId="1" applyFont="1" applyFill="1" applyBorder="1" applyAlignment="1" applyProtection="1">
      <alignment vertical="center"/>
      <protection locked="0"/>
    </xf>
    <xf numFmtId="178" fontId="89" fillId="0" borderId="28" xfId="0" applyNumberFormat="1" applyFont="1" applyBorder="1" applyAlignment="1">
      <alignment vertical="center"/>
    </xf>
    <xf numFmtId="179" fontId="89" fillId="0" borderId="1" xfId="49" applyNumberFormat="1" applyFont="1" applyFill="1" applyBorder="1" applyAlignment="1">
      <alignment vertical="center"/>
    </xf>
    <xf numFmtId="43" fontId="89" fillId="0" borderId="1" xfId="1" applyFont="1" applyFill="1" applyBorder="1" applyAlignment="1">
      <alignment vertical="center"/>
    </xf>
    <xf numFmtId="43" fontId="89" fillId="0" borderId="27" xfId="1" applyFont="1" applyFill="1" applyBorder="1"/>
    <xf numFmtId="9" fontId="89" fillId="0" borderId="24" xfId="3" applyFont="1" applyFill="1" applyBorder="1" applyAlignment="1">
      <alignment horizontal="center"/>
    </xf>
    <xf numFmtId="178" fontId="89" fillId="0" borderId="24" xfId="0" applyNumberFormat="1" applyFont="1" applyBorder="1"/>
    <xf numFmtId="177" fontId="89" fillId="0" borderId="24" xfId="0" applyNumberFormat="1" applyFont="1" applyBorder="1"/>
    <xf numFmtId="9" fontId="53" fillId="0" borderId="0" xfId="3" applyFont="1" applyFill="1" applyBorder="1" applyAlignment="1">
      <alignment horizontal="center"/>
    </xf>
    <xf numFmtId="179" fontId="150" fillId="0" borderId="1" xfId="49" applyNumberFormat="1" applyFont="1" applyFill="1" applyBorder="1" applyAlignment="1">
      <alignment vertical="center"/>
    </xf>
    <xf numFmtId="43" fontId="150" fillId="0" borderId="1" xfId="1" applyFont="1" applyFill="1" applyBorder="1" applyAlignment="1">
      <alignment vertical="center"/>
    </xf>
    <xf numFmtId="9" fontId="150" fillId="0" borderId="0" xfId="3" applyFont="1" applyFill="1" applyBorder="1" applyAlignment="1">
      <alignment horizontal="center"/>
    </xf>
    <xf numFmtId="177" fontId="89" fillId="0" borderId="26" xfId="0" applyNumberFormat="1" applyFont="1" applyBorder="1"/>
    <xf numFmtId="43" fontId="143" fillId="0" borderId="0" xfId="0" applyNumberFormat="1" applyFont="1"/>
    <xf numFmtId="43" fontId="53" fillId="0" borderId="16" xfId="49" applyFont="1" applyFill="1" applyBorder="1" applyAlignment="1">
      <alignment horizontal="center" vertical="top" textRotation="90"/>
    </xf>
    <xf numFmtId="0" fontId="81" fillId="0" borderId="1" xfId="0" applyFont="1" applyBorder="1" applyAlignment="1">
      <alignment horizontal="center" vertical="center" wrapText="1"/>
    </xf>
    <xf numFmtId="43" fontId="166" fillId="0" borderId="1" xfId="1" applyFont="1" applyFill="1" applyBorder="1" applyAlignment="1">
      <alignment horizontal="center" vertical="center" wrapText="1"/>
    </xf>
    <xf numFmtId="43" fontId="152" fillId="0" borderId="0" xfId="0" applyNumberFormat="1" applyFont="1"/>
    <xf numFmtId="0" fontId="152" fillId="0" borderId="0" xfId="0" applyFont="1" applyAlignment="1">
      <alignment horizontal="center" vertical="center" wrapText="1"/>
    </xf>
    <xf numFmtId="4" fontId="152" fillId="0" borderId="0" xfId="0" applyNumberFormat="1" applyFont="1"/>
    <xf numFmtId="0" fontId="35" fillId="10" borderId="1" xfId="0" applyFont="1" applyFill="1" applyBorder="1" applyAlignment="1">
      <alignment horizontal="left" vertical="center" wrapText="1"/>
    </xf>
    <xf numFmtId="0" fontId="35" fillId="10" borderId="1" xfId="0" applyFont="1" applyFill="1" applyBorder="1" applyAlignment="1">
      <alignment horizontal="center" vertical="center" wrapText="1"/>
    </xf>
    <xf numFmtId="49" fontId="53" fillId="10" borderId="1" xfId="0" applyNumberFormat="1" applyFont="1" applyFill="1" applyBorder="1" applyAlignment="1">
      <alignment horizontal="center" vertical="center" wrapText="1"/>
    </xf>
    <xf numFmtId="0" fontId="89" fillId="10" borderId="1" xfId="0" applyFont="1" applyFill="1" applyBorder="1" applyAlignment="1">
      <alignment horizontal="center" vertical="center"/>
    </xf>
    <xf numFmtId="43" fontId="53" fillId="10" borderId="1" xfId="1" applyFont="1" applyFill="1" applyBorder="1" applyAlignment="1">
      <alignment horizontal="center" vertical="top" textRotation="90" wrapText="1"/>
    </xf>
    <xf numFmtId="0" fontId="167" fillId="0" borderId="1" xfId="0" applyFont="1" applyBorder="1" applyAlignment="1">
      <alignment horizontal="left" vertical="center" wrapText="1"/>
    </xf>
    <xf numFmtId="0" fontId="167" fillId="0" borderId="1" xfId="0" applyFont="1" applyBorder="1" applyAlignment="1">
      <alignment horizontal="center" vertical="center" wrapText="1"/>
    </xf>
    <xf numFmtId="49" fontId="168" fillId="0" borderId="1" xfId="0" applyNumberFormat="1" applyFont="1" applyBorder="1" applyAlignment="1">
      <alignment horizontal="center" vertical="center" wrapText="1"/>
    </xf>
    <xf numFmtId="0" fontId="169" fillId="0" borderId="1" xfId="0" applyFont="1" applyBorder="1" applyAlignment="1">
      <alignment horizontal="center" vertical="center"/>
    </xf>
    <xf numFmtId="0" fontId="170" fillId="0" borderId="1" xfId="0" applyFont="1" applyBorder="1" applyAlignment="1">
      <alignment horizontal="center" vertical="center"/>
    </xf>
    <xf numFmtId="43" fontId="168" fillId="0" borderId="1" xfId="1" applyFont="1" applyFill="1" applyBorder="1" applyAlignment="1">
      <alignment horizontal="center" vertical="top" textRotation="90" wrapText="1"/>
    </xf>
    <xf numFmtId="0" fontId="71" fillId="0" borderId="1" xfId="0" applyFont="1" applyBorder="1" applyAlignment="1">
      <alignment horizontal="center" vertical="center" wrapText="1"/>
    </xf>
    <xf numFmtId="43" fontId="128" fillId="10" borderId="1" xfId="1" applyFont="1" applyFill="1" applyBorder="1" applyAlignment="1">
      <alignment textRotation="90"/>
    </xf>
    <xf numFmtId="43" fontId="18" fillId="10" borderId="1" xfId="1" applyFont="1" applyFill="1" applyBorder="1" applyAlignment="1">
      <alignment horizontal="center" vertical="top" textRotation="90" wrapText="1"/>
    </xf>
    <xf numFmtId="43" fontId="145" fillId="0" borderId="1" xfId="1" applyFont="1" applyFill="1" applyBorder="1" applyAlignment="1">
      <alignment textRotation="90"/>
    </xf>
    <xf numFmtId="43" fontId="171" fillId="0" borderId="1" xfId="1" applyFont="1" applyFill="1" applyBorder="1" applyAlignment="1">
      <alignment horizontal="center" vertical="top" textRotation="90" wrapText="1"/>
    </xf>
    <xf numFmtId="43" fontId="168" fillId="0" borderId="1" xfId="49" applyFont="1" applyFill="1" applyBorder="1" applyAlignment="1">
      <alignment horizontal="center" vertical="top" textRotation="90"/>
    </xf>
    <xf numFmtId="43" fontId="168" fillId="0" borderId="1" xfId="1" applyFont="1" applyFill="1" applyBorder="1" applyAlignment="1">
      <alignment horizontal="center" vertical="top"/>
    </xf>
    <xf numFmtId="43" fontId="168" fillId="0" borderId="1" xfId="1" applyFont="1" applyFill="1" applyBorder="1" applyAlignment="1"/>
    <xf numFmtId="43" fontId="168" fillId="0" borderId="1" xfId="1" applyFont="1" applyFill="1" applyBorder="1" applyAlignment="1">
      <alignment textRotation="90"/>
    </xf>
    <xf numFmtId="43" fontId="168" fillId="0" borderId="1" xfId="1" applyFont="1" applyFill="1" applyBorder="1" applyAlignment="1">
      <alignment horizontal="center" textRotation="90" wrapText="1"/>
    </xf>
    <xf numFmtId="4" fontId="168" fillId="0" borderId="1" xfId="0" applyNumberFormat="1" applyFont="1" applyBorder="1" applyAlignment="1">
      <alignment horizontal="center" vertical="top" textRotation="90"/>
    </xf>
    <xf numFmtId="177" fontId="168" fillId="0" borderId="1" xfId="1" applyNumberFormat="1" applyFont="1" applyFill="1" applyBorder="1" applyAlignment="1">
      <alignment horizontal="center" vertical="top" textRotation="90"/>
    </xf>
    <xf numFmtId="43" fontId="53" fillId="10" borderId="0" xfId="1" applyFont="1" applyFill="1" applyBorder="1" applyProtection="1">
      <protection locked="0"/>
    </xf>
    <xf numFmtId="43" fontId="53" fillId="10" borderId="0" xfId="1" applyFont="1" applyFill="1" applyBorder="1"/>
    <xf numFmtId="178" fontId="53" fillId="10" borderId="0" xfId="0" applyNumberFormat="1" applyFont="1" applyFill="1"/>
    <xf numFmtId="179" fontId="53" fillId="10" borderId="0" xfId="0" applyNumberFormat="1" applyFont="1" applyFill="1"/>
    <xf numFmtId="43" fontId="168" fillId="0" borderId="0" xfId="1" applyFont="1" applyFill="1" applyBorder="1" applyProtection="1">
      <protection locked="0"/>
    </xf>
    <xf numFmtId="43" fontId="168" fillId="0" borderId="0" xfId="1" applyFont="1" applyFill="1" applyBorder="1"/>
    <xf numFmtId="178" fontId="168" fillId="0" borderId="0" xfId="0" applyNumberFormat="1" applyFont="1"/>
    <xf numFmtId="179" fontId="168" fillId="0" borderId="0" xfId="0" applyNumberFormat="1" applyFont="1"/>
    <xf numFmtId="177" fontId="53" fillId="10" borderId="0" xfId="0" applyNumberFormat="1" applyFont="1" applyFill="1"/>
    <xf numFmtId="177" fontId="168" fillId="0" borderId="0" xfId="0" applyNumberFormat="1" applyFont="1"/>
    <xf numFmtId="179" fontId="53" fillId="10" borderId="1" xfId="49" applyNumberFormat="1" applyFont="1" applyFill="1" applyBorder="1" applyAlignment="1">
      <alignment vertical="center"/>
    </xf>
    <xf numFmtId="43" fontId="53" fillId="10" borderId="1" xfId="1" applyFont="1" applyFill="1" applyBorder="1" applyAlignment="1">
      <alignment vertical="center"/>
    </xf>
    <xf numFmtId="9" fontId="53" fillId="10" borderId="0" xfId="3" applyFont="1" applyFill="1" applyBorder="1" applyAlignment="1">
      <alignment horizontal="center"/>
    </xf>
    <xf numFmtId="179" fontId="168" fillId="0" borderId="1" xfId="49" applyNumberFormat="1" applyFont="1" applyFill="1" applyBorder="1" applyAlignment="1">
      <alignment vertical="center"/>
    </xf>
    <xf numFmtId="43" fontId="168" fillId="0" borderId="1" xfId="1" applyFont="1" applyFill="1" applyBorder="1" applyAlignment="1">
      <alignment vertical="center"/>
    </xf>
    <xf numFmtId="9" fontId="168" fillId="0" borderId="0" xfId="3" applyFont="1" applyFill="1" applyBorder="1" applyAlignment="1">
      <alignment horizontal="center"/>
    </xf>
    <xf numFmtId="43" fontId="79" fillId="10" borderId="0" xfId="0" applyNumberFormat="1" applyFont="1" applyFill="1"/>
    <xf numFmtId="0" fontId="79" fillId="10" borderId="0" xfId="0" applyFont="1" applyFill="1" applyAlignment="1">
      <alignment horizontal="center" vertical="center" wrapText="1"/>
    </xf>
    <xf numFmtId="4" fontId="79" fillId="10" borderId="0" xfId="0" applyNumberFormat="1" applyFont="1" applyFill="1"/>
    <xf numFmtId="0" fontId="79" fillId="8" borderId="0" xfId="0" applyFont="1" applyFill="1" applyAlignment="1">
      <alignment horizontal="center" vertical="center" wrapText="1"/>
    </xf>
    <xf numFmtId="43" fontId="153" fillId="0" borderId="0" xfId="0" applyNumberFormat="1" applyFont="1"/>
    <xf numFmtId="0" fontId="153" fillId="11" borderId="0" xfId="0" applyFont="1" applyFill="1" applyAlignment="1">
      <alignment horizontal="center" vertical="center" wrapText="1"/>
    </xf>
    <xf numFmtId="4" fontId="153" fillId="0" borderId="0" xfId="0" applyNumberFormat="1" applyFont="1"/>
    <xf numFmtId="0" fontId="35" fillId="8" borderId="1" xfId="0" applyFont="1" applyFill="1" applyBorder="1" applyAlignment="1">
      <alignment horizontal="left" vertical="center" wrapText="1"/>
    </xf>
    <xf numFmtId="0" fontId="35" fillId="8" borderId="1" xfId="0" applyFont="1" applyFill="1" applyBorder="1" applyAlignment="1">
      <alignment horizontal="center" vertical="center" wrapText="1"/>
    </xf>
    <xf numFmtId="49" fontId="53" fillId="8" borderId="1" xfId="0" applyNumberFormat="1" applyFont="1" applyFill="1" applyBorder="1" applyAlignment="1">
      <alignment horizontal="center" vertical="center" wrapText="1"/>
    </xf>
    <xf numFmtId="0" fontId="89" fillId="8" borderId="1" xfId="0" applyFont="1" applyFill="1" applyBorder="1" applyAlignment="1">
      <alignment horizontal="center" vertical="center"/>
    </xf>
    <xf numFmtId="0" fontId="102" fillId="8" borderId="1" xfId="0" applyFont="1" applyFill="1" applyBorder="1" applyAlignment="1">
      <alignment horizontal="center" vertical="center"/>
    </xf>
    <xf numFmtId="43" fontId="53" fillId="8" borderId="1" xfId="1" applyFont="1" applyFill="1" applyBorder="1" applyAlignment="1">
      <alignment horizontal="center" vertical="top" textRotation="90" wrapText="1"/>
    </xf>
    <xf numFmtId="0" fontId="71" fillId="0" borderId="1" xfId="0" applyFont="1" applyBorder="1" applyAlignment="1">
      <alignment horizontal="center" vertical="center"/>
    </xf>
    <xf numFmtId="0" fontId="146" fillId="0" borderId="1" xfId="0" applyFont="1" applyBorder="1" applyAlignment="1">
      <alignment horizontal="center" vertical="center"/>
    </xf>
    <xf numFmtId="43" fontId="128" fillId="8" borderId="1" xfId="1" applyFont="1" applyFill="1" applyBorder="1" applyAlignment="1">
      <alignment textRotation="90"/>
    </xf>
    <xf numFmtId="43" fontId="18" fillId="8" borderId="1" xfId="1" applyFont="1" applyFill="1" applyBorder="1" applyAlignment="1">
      <alignment horizontal="center" vertical="top" textRotation="90" wrapText="1"/>
    </xf>
    <xf numFmtId="43" fontId="89" fillId="0" borderId="1" xfId="1" applyFont="1" applyFill="1" applyBorder="1" applyAlignment="1">
      <alignment horizontal="center" vertical="top" textRotation="90"/>
    </xf>
    <xf numFmtId="43" fontId="106" fillId="0" borderId="1" xfId="1" applyFont="1" applyFill="1" applyBorder="1" applyAlignment="1">
      <alignment horizontal="center" textRotation="90"/>
    </xf>
    <xf numFmtId="43" fontId="53" fillId="8" borderId="0" xfId="1" applyFont="1" applyFill="1" applyBorder="1" applyProtection="1">
      <protection locked="0"/>
    </xf>
    <xf numFmtId="43" fontId="53" fillId="8" borderId="0" xfId="1" applyFont="1" applyFill="1" applyBorder="1"/>
    <xf numFmtId="178" fontId="53" fillId="8" borderId="0" xfId="0" applyNumberFormat="1" applyFont="1" applyFill="1"/>
    <xf numFmtId="179" fontId="53" fillId="8" borderId="0" xfId="0" applyNumberFormat="1" applyFont="1" applyFill="1"/>
    <xf numFmtId="177" fontId="53" fillId="8" borderId="0" xfId="0" applyNumberFormat="1" applyFont="1" applyFill="1"/>
    <xf numFmtId="179" fontId="53" fillId="8" borderId="1" xfId="49" applyNumberFormat="1" applyFont="1" applyFill="1" applyBorder="1" applyAlignment="1">
      <alignment vertical="center"/>
    </xf>
    <xf numFmtId="43" fontId="53" fillId="8" borderId="1" xfId="1" applyFont="1" applyFill="1" applyBorder="1" applyAlignment="1">
      <alignment vertical="center"/>
    </xf>
    <xf numFmtId="9" fontId="53" fillId="8" borderId="0" xfId="3" applyFont="1" applyFill="1" applyBorder="1" applyAlignment="1">
      <alignment horizontal="center"/>
    </xf>
    <xf numFmtId="43" fontId="79" fillId="8" borderId="0" xfId="0" applyNumberFormat="1" applyFont="1" applyFill="1"/>
    <xf numFmtId="4" fontId="79" fillId="8" borderId="0" xfId="0" applyNumberFormat="1" applyFont="1" applyFill="1"/>
    <xf numFmtId="43" fontId="79" fillId="0" borderId="0" xfId="0" applyNumberFormat="1" applyFont="1" applyAlignment="1">
      <alignment horizontal="center" vertical="center" wrapText="1"/>
    </xf>
    <xf numFmtId="0" fontId="53" fillId="0" borderId="5" xfId="0" applyFont="1" applyBorder="1" applyAlignment="1">
      <alignment horizontal="center" vertical="center" wrapText="1"/>
    </xf>
    <xf numFmtId="0" fontId="53" fillId="0" borderId="37" xfId="0" applyFont="1" applyBorder="1" applyAlignment="1">
      <alignment horizontal="center" vertical="center"/>
    </xf>
    <xf numFmtId="49" fontId="53" fillId="0" borderId="34" xfId="0" applyNumberFormat="1" applyFont="1" applyBorder="1" applyAlignment="1">
      <alignment horizontal="center" vertical="center" wrapText="1"/>
    </xf>
    <xf numFmtId="49" fontId="53" fillId="0" borderId="5" xfId="51" applyNumberFormat="1" applyFont="1" applyBorder="1" applyAlignment="1">
      <alignment horizontal="center" vertical="center" wrapText="1"/>
    </xf>
    <xf numFmtId="0" fontId="89" fillId="0" borderId="5" xfId="0" applyFont="1" applyBorder="1" applyAlignment="1">
      <alignment horizontal="center" vertical="center"/>
    </xf>
    <xf numFmtId="0" fontId="102" fillId="0" borderId="5" xfId="0" applyFont="1" applyBorder="1" applyAlignment="1">
      <alignment horizontal="center" vertical="center"/>
    </xf>
    <xf numFmtId="0" fontId="124" fillId="0" borderId="1" xfId="0" applyFont="1" applyBorder="1" applyAlignment="1">
      <alignment horizontal="center" wrapText="1"/>
    </xf>
    <xf numFmtId="0" fontId="143" fillId="0" borderId="1" xfId="0" applyFont="1" applyBorder="1" applyAlignment="1">
      <alignment vertical="center"/>
    </xf>
    <xf numFmtId="0" fontId="121" fillId="0" borderId="1" xfId="0" applyFont="1" applyBorder="1" applyAlignment="1">
      <alignment vertical="center"/>
    </xf>
    <xf numFmtId="0" fontId="166" fillId="0" borderId="1" xfId="0" applyFont="1" applyBorder="1" applyAlignment="1">
      <alignment textRotation="90"/>
    </xf>
    <xf numFmtId="43" fontId="149" fillId="0" borderId="23" xfId="49" applyFont="1" applyFill="1" applyBorder="1" applyAlignment="1">
      <alignment horizontal="center" vertical="top" textRotation="90"/>
    </xf>
    <xf numFmtId="0" fontId="172" fillId="0" borderId="1" xfId="0" applyFont="1" applyBorder="1" applyAlignment="1">
      <alignment textRotation="90"/>
    </xf>
    <xf numFmtId="43" fontId="150" fillId="0" borderId="34" xfId="49" applyFont="1" applyFill="1" applyBorder="1" applyAlignment="1">
      <alignment horizontal="center" vertical="top" textRotation="90"/>
    </xf>
    <xf numFmtId="43" fontId="53" fillId="0" borderId="34" xfId="1" applyFont="1" applyFill="1" applyBorder="1" applyAlignment="1">
      <alignment horizontal="center" vertical="top" textRotation="90"/>
    </xf>
    <xf numFmtId="0" fontId="173" fillId="0" borderId="1" xfId="0" applyFont="1" applyBorder="1" applyAlignment="1">
      <alignment textRotation="90"/>
    </xf>
    <xf numFmtId="4" fontId="53" fillId="0" borderId="23" xfId="0" applyNumberFormat="1" applyFont="1" applyBorder="1" applyAlignment="1">
      <alignment horizontal="center" vertical="top" textRotation="90"/>
    </xf>
    <xf numFmtId="4" fontId="53" fillId="0" borderId="10" xfId="0" applyNumberFormat="1" applyFont="1" applyBorder="1" applyAlignment="1">
      <alignment horizontal="center" vertical="top" textRotation="90"/>
    </xf>
    <xf numFmtId="4" fontId="166" fillId="0" borderId="1" xfId="0" applyNumberFormat="1" applyFont="1" applyBorder="1" applyAlignment="1">
      <alignment horizontal="center" textRotation="90"/>
    </xf>
    <xf numFmtId="0" fontId="124" fillId="0" borderId="16" xfId="0" applyFont="1" applyBorder="1"/>
    <xf numFmtId="4" fontId="124" fillId="0" borderId="1" xfId="0" applyNumberFormat="1" applyFont="1" applyBorder="1" applyAlignment="1">
      <alignment horizontal="center" vertical="center"/>
    </xf>
    <xf numFmtId="0" fontId="102" fillId="0" borderId="16" xfId="0" applyFont="1" applyBorder="1" applyAlignment="1" quotePrefix="1">
      <alignment horizontal="center" vertical="center"/>
    </xf>
    <xf numFmtId="49" fontId="102" fillId="0" borderId="16" xfId="0" applyNumberFormat="1" applyFont="1" applyBorder="1" applyAlignment="1" quotePrefix="1">
      <alignment horizontal="center" vertical="center"/>
    </xf>
    <xf numFmtId="49" fontId="102" fillId="0" borderId="1" xfId="0" applyNumberFormat="1" applyFont="1" applyBorder="1" applyAlignment="1" quotePrefix="1">
      <alignment horizontal="center" vertical="center"/>
    </xf>
    <xf numFmtId="0" fontId="102" fillId="0" borderId="1" xfId="0" applyFont="1" applyBorder="1" applyAlignment="1" quotePrefix="1">
      <alignment horizontal="center" vertical="center"/>
    </xf>
    <xf numFmtId="0" fontId="107" fillId="0" borderId="1" xfId="0" applyFont="1" applyBorder="1" applyAlignment="1" quotePrefix="1">
      <alignment horizontal="center" vertical="center"/>
    </xf>
    <xf numFmtId="0" fontId="102" fillId="10" borderId="1" xfId="0" applyFont="1" applyFill="1" applyBorder="1" applyAlignment="1" quotePrefix="1">
      <alignment horizontal="center" vertical="center"/>
    </xf>
    <xf numFmtId="0" fontId="102" fillId="8" borderId="1" xfId="0" applyFont="1" applyFill="1" applyBorder="1" applyAlignment="1" quotePrefix="1">
      <alignment horizontal="center" vertical="center"/>
    </xf>
    <xf numFmtId="0" fontId="53" fillId="0" borderId="1" xfId="0" applyFont="1" applyBorder="1" applyAlignment="1" quotePrefix="1">
      <alignment horizontal="center" vertical="center" wrapText="1"/>
    </xf>
    <xf numFmtId="49" fontId="53" fillId="0" borderId="1" xfId="0" applyNumberFormat="1" applyFont="1" applyBorder="1" applyAlignment="1" quotePrefix="1">
      <alignment horizontal="center" vertical="center" wrapText="1"/>
    </xf>
    <xf numFmtId="49" fontId="149" fillId="0" borderId="1" xfId="0" applyNumberFormat="1" applyFont="1" applyBorder="1" applyAlignment="1" quotePrefix="1">
      <alignment horizontal="center" vertical="center" wrapText="1"/>
    </xf>
    <xf numFmtId="49" fontId="150" fillId="0" borderId="1" xfId="0" applyNumberFormat="1" applyFont="1" applyBorder="1" applyAlignment="1" quotePrefix="1">
      <alignment horizontal="center" vertical="center" wrapText="1"/>
    </xf>
    <xf numFmtId="0" fontId="32" fillId="0" borderId="1" xfId="0" applyFont="1" applyBorder="1" applyAlignment="1" quotePrefix="1">
      <alignment horizontal="center" vertical="center" wrapText="1"/>
    </xf>
    <xf numFmtId="49" fontId="32" fillId="0" borderId="1" xfId="0" applyNumberFormat="1" applyFont="1" applyBorder="1" applyAlignment="1" quotePrefix="1">
      <alignment horizontal="center" vertical="center" wrapText="1"/>
    </xf>
    <xf numFmtId="49" fontId="32" fillId="9" borderId="1" xfId="0" applyNumberFormat="1" applyFont="1" applyFill="1" applyBorder="1" applyAlignment="1" quotePrefix="1">
      <alignment horizontal="center" vertical="center" wrapText="1"/>
    </xf>
    <xf numFmtId="49" fontId="32" fillId="8" borderId="1" xfId="0" applyNumberFormat="1" applyFont="1" applyFill="1" applyBorder="1" applyAlignment="1" quotePrefix="1">
      <alignment horizontal="center" vertical="center" wrapText="1"/>
    </xf>
    <xf numFmtId="49" fontId="32" fillId="10" borderId="1" xfId="0" applyNumberFormat="1" applyFont="1" applyFill="1" applyBorder="1" applyAlignment="1" quotePrefix="1">
      <alignment horizontal="center" vertical="center" wrapText="1"/>
    </xf>
    <xf numFmtId="43" fontId="32" fillId="0" borderId="1" xfId="0" applyNumberFormat="1" applyFont="1" applyBorder="1" applyAlignment="1" quotePrefix="1">
      <alignment horizontal="center" vertical="top" textRotation="90"/>
    </xf>
    <xf numFmtId="49" fontId="26" fillId="0" borderId="1" xfId="0" applyNumberFormat="1" applyFont="1" applyBorder="1" applyAlignment="1" quotePrefix="1">
      <alignment horizontal="center" vertical="center" wrapText="1"/>
    </xf>
    <xf numFmtId="49" fontId="32" fillId="0" borderId="15" xfId="0" applyNumberFormat="1" applyFont="1" applyBorder="1" applyAlignment="1" quotePrefix="1">
      <alignment horizontal="center" vertical="center" wrapText="1"/>
    </xf>
    <xf numFmtId="49" fontId="134" fillId="0" borderId="15" xfId="0" applyNumberFormat="1" applyFont="1" applyBorder="1" applyAlignment="1" quotePrefix="1">
      <alignment horizontal="center" vertical="center" wrapText="1"/>
    </xf>
    <xf numFmtId="43" fontId="12" fillId="0" borderId="1" xfId="1" applyFont="1" applyBorder="1" applyAlignment="1" quotePrefix="1">
      <alignment horizontal="center" vertical="center" wrapText="1"/>
    </xf>
    <xf numFmtId="16" fontId="12" fillId="0" borderId="1" xfId="0" applyNumberFormat="1" applyFont="1" applyBorder="1" applyAlignment="1" quotePrefix="1">
      <alignment horizontal="center" wrapText="1"/>
    </xf>
    <xf numFmtId="0" fontId="12" fillId="0" borderId="1" xfId="0" applyFont="1" applyBorder="1" applyAlignment="1" quotePrefix="1">
      <alignment horizontal="center" vertical="center" wrapText="1"/>
    </xf>
    <xf numFmtId="0" fontId="12" fillId="0" borderId="1" xfId="0" applyFont="1" applyBorder="1" applyAlignment="1" quotePrefix="1">
      <alignment horizontal="center"/>
    </xf>
    <xf numFmtId="0" fontId="107" fillId="0" borderId="1" xfId="0" applyFont="1" applyBorder="1" applyAlignment="1" quotePrefix="1">
      <alignment horizontal="center"/>
    </xf>
    <xf numFmtId="16" fontId="107" fillId="0" borderId="1" xfId="0" applyNumberFormat="1" applyFont="1" applyBorder="1" applyAlignment="1" quotePrefix="1">
      <alignment horizontal="center" wrapText="1"/>
    </xf>
    <xf numFmtId="3" fontId="102" fillId="0" borderId="1" xfId="0" applyNumberFormat="1" applyFont="1" applyBorder="1" applyAlignment="1" quotePrefix="1">
      <alignment horizontal="center"/>
    </xf>
    <xf numFmtId="16" fontId="102" fillId="0" borderId="1" xfId="0" applyNumberFormat="1" applyFont="1" applyBorder="1" applyAlignment="1" quotePrefix="1">
      <alignment horizontal="center" wrapText="1"/>
    </xf>
    <xf numFmtId="0" fontId="102" fillId="0" borderId="1" xfId="0" applyFont="1" applyBorder="1" applyAlignment="1" quotePrefix="1">
      <alignment horizontal="center"/>
    </xf>
    <xf numFmtId="0" fontId="53" fillId="0" borderId="3" xfId="0" applyFont="1" applyBorder="1" applyAlignment="1" quotePrefix="1">
      <alignment horizontal="center" vertical="center"/>
    </xf>
    <xf numFmtId="1" fontId="53" fillId="0" borderId="3" xfId="0" applyNumberFormat="1" applyFont="1" applyBorder="1" applyAlignment="1" quotePrefix="1">
      <alignment horizontal="center" vertical="center"/>
    </xf>
    <xf numFmtId="0" fontId="54" fillId="0" borderId="3" xfId="0" applyFont="1" applyBorder="1" applyAlignment="1" quotePrefix="1">
      <alignment horizontal="center" vertical="center"/>
    </xf>
    <xf numFmtId="1" fontId="87" fillId="0" borderId="1" xfId="0" applyNumberFormat="1" applyFont="1" applyBorder="1" applyAlignment="1" quotePrefix="1">
      <alignment horizontal="center" vertical="center"/>
    </xf>
    <xf numFmtId="0" fontId="53" fillId="0" borderId="5" xfId="0" applyFont="1" applyBorder="1" applyAlignment="1" quotePrefix="1">
      <alignment horizontal="center" vertical="center"/>
    </xf>
    <xf numFmtId="0" fontId="65" fillId="0" borderId="3" xfId="0" applyFont="1" applyBorder="1" applyAlignment="1" quotePrefix="1">
      <alignment horizontal="center" vertical="center"/>
    </xf>
    <xf numFmtId="1" fontId="54" fillId="0" borderId="3" xfId="0" applyNumberFormat="1" applyFont="1" applyBorder="1" applyAlignment="1" quotePrefix="1">
      <alignment horizontal="center" vertical="center"/>
    </xf>
    <xf numFmtId="0" fontId="54" fillId="4" borderId="3" xfId="0" applyFont="1" applyFill="1" applyBorder="1" applyAlignment="1" quotePrefix="1">
      <alignment horizontal="center" vertical="center"/>
    </xf>
    <xf numFmtId="0" fontId="3" fillId="0" borderId="3" xfId="0" applyFont="1" applyBorder="1" applyAlignment="1" quotePrefix="1">
      <alignment horizontal="center" vertical="center"/>
    </xf>
    <xf numFmtId="0" fontId="2" fillId="0" borderId="3" xfId="0" applyFont="1" applyBorder="1" applyAlignment="1" quotePrefix="1">
      <alignment horizontal="center" vertical="center"/>
    </xf>
    <xf numFmtId="0" fontId="54" fillId="4" borderId="7" xfId="0" applyFont="1" applyFill="1" applyBorder="1" applyAlignment="1" quotePrefix="1">
      <alignment horizontal="center" vertical="center"/>
    </xf>
    <xf numFmtId="0" fontId="54" fillId="0" borderId="7" xfId="0" applyFont="1" applyBorder="1" applyAlignment="1" quotePrefix="1">
      <alignment horizontal="center" vertical="center"/>
    </xf>
    <xf numFmtId="0" fontId="3" fillId="0" borderId="7" xfId="0" applyFont="1" applyBorder="1" applyAlignment="1" quotePrefix="1">
      <alignment horizontal="center" vertical="center"/>
    </xf>
    <xf numFmtId="0" fontId="61" fillId="0" borderId="1" xfId="0" applyFont="1" applyBorder="1" applyAlignment="1" quotePrefix="1">
      <alignment horizontal="center" vertical="center" wrapText="1"/>
    </xf>
    <xf numFmtId="49" fontId="54" fillId="0" borderId="1" xfId="0" applyNumberFormat="1" applyFont="1" applyBorder="1" applyAlignment="1" quotePrefix="1">
      <alignment horizontal="center" vertical="center" wrapText="1"/>
    </xf>
    <xf numFmtId="0" fontId="54" fillId="0" borderId="1" xfId="0" applyFont="1" applyBorder="1" applyAlignment="1" quotePrefix="1">
      <alignment horizontal="center" vertical="center" wrapText="1"/>
    </xf>
    <xf numFmtId="49" fontId="3" fillId="0" borderId="1" xfId="0" applyNumberFormat="1" applyFont="1" applyBorder="1" applyAlignment="1" quotePrefix="1">
      <alignment horizontal="center" vertical="center" wrapText="1"/>
    </xf>
    <xf numFmtId="49" fontId="62" fillId="0" borderId="1" xfId="0" applyNumberFormat="1" applyFont="1" applyBorder="1" applyAlignment="1" quotePrefix="1">
      <alignment horizontal="center" vertical="center" wrapText="1"/>
    </xf>
    <xf numFmtId="49" fontId="64" fillId="0" borderId="1" xfId="0" applyNumberFormat="1" applyFont="1" applyBorder="1" applyAlignment="1" quotePrefix="1">
      <alignment horizontal="center" vertical="center" wrapText="1"/>
    </xf>
    <xf numFmtId="49" fontId="65" fillId="0" borderId="1" xfId="0" applyNumberFormat="1" applyFont="1" applyBorder="1" applyAlignment="1" quotePrefix="1">
      <alignment horizontal="center" vertical="center" wrapText="1"/>
    </xf>
    <xf numFmtId="49" fontId="2" fillId="0" borderId="1" xfId="0" applyNumberFormat="1" applyFont="1" applyBorder="1" applyAlignment="1" quotePrefix="1">
      <alignment horizontal="center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</cellStyles>
  <dxfs count="2">
    <dxf>
      <fill>
        <patternFill patternType="solid">
          <bgColor rgb="FFFF0000"/>
        </patternFill>
      </fill>
    </dxf>
    <dxf>
      <fill>
        <patternFill patternType="solid">
          <bgColor theme="9" tint="0.399945066682943"/>
        </patternFill>
      </fill>
    </dxf>
  </dxfs>
  <tableStyles count="0" defaultTableStyle="TableStyleMedium2" defaultPivotStyle="PivotStyleMedium9"/>
  <colors>
    <mruColors>
      <color rgb="00006600"/>
      <color rgb="0000FF00"/>
      <color rgb="0066B101"/>
      <color rgb="0066FF66"/>
      <color rgb="00000000"/>
      <color rgb="0000CC99"/>
      <color rgb="00A1A1A1"/>
      <color rgb="0006AA6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1" Type="http://schemas.openxmlformats.org/officeDocument/2006/relationships/styles" Target="styles.xml"/><Relationship Id="rId5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49" Type="http://schemas.openxmlformats.org/officeDocument/2006/relationships/theme" Target="theme/theme1.xml"/><Relationship Id="rId48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9.xml"/><Relationship Id="rId40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7.xml"/><Relationship Id="rId38" Type="http://schemas.openxmlformats.org/officeDocument/2006/relationships/externalLink" Target="externalLinks/externalLink6.xml"/><Relationship Id="rId37" Type="http://schemas.openxmlformats.org/officeDocument/2006/relationships/externalLink" Target="externalLinks/externalLink5.xml"/><Relationship Id="rId36" Type="http://schemas.openxmlformats.org/officeDocument/2006/relationships/externalLink" Target="externalLinks/externalLink4.xml"/><Relationship Id="rId35" Type="http://schemas.openxmlformats.org/officeDocument/2006/relationships/externalLink" Target="externalLinks/externalLink3.xml"/><Relationship Id="rId34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.xml"/><Relationship Id="rId32" Type="http://schemas.openxmlformats.org/officeDocument/2006/relationships/connections" Target="connections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684982</xdr:colOff>
      <xdr:row>0</xdr:row>
      <xdr:rowOff>0</xdr:rowOff>
    </xdr:from>
    <xdr:to>
      <xdr:col>3</xdr:col>
      <xdr:colOff>1733355</xdr:colOff>
      <xdr:row>0</xdr:row>
      <xdr:rowOff>1389529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74130" y="0"/>
          <a:ext cx="1037590" cy="1389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596698</xdr:colOff>
      <xdr:row>0</xdr:row>
      <xdr:rowOff>0</xdr:rowOff>
    </xdr:from>
    <xdr:to>
      <xdr:col>20</xdr:col>
      <xdr:colOff>536827</xdr:colOff>
      <xdr:row>0</xdr:row>
      <xdr:rowOff>1653016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1586190" y="0"/>
          <a:ext cx="1295400" cy="1652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2413001</xdr:colOff>
      <xdr:row>0</xdr:row>
      <xdr:rowOff>423334</xdr:rowOff>
    </xdr:from>
    <xdr:to>
      <xdr:col>2</xdr:col>
      <xdr:colOff>4419601</xdr:colOff>
      <xdr:row>0</xdr:row>
      <xdr:rowOff>2099734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68980" y="422910"/>
          <a:ext cx="2006600" cy="167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6433611</xdr:colOff>
      <xdr:row>1</xdr:row>
      <xdr:rowOff>42333</xdr:rowOff>
    </xdr:from>
    <xdr:to>
      <xdr:col>3</xdr:col>
      <xdr:colOff>8440209</xdr:colOff>
      <xdr:row>1</xdr:row>
      <xdr:rowOff>1672167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8199120" y="232410"/>
          <a:ext cx="2006600" cy="1630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5503334</xdr:colOff>
      <xdr:row>0</xdr:row>
      <xdr:rowOff>156634</xdr:rowOff>
    </xdr:from>
    <xdr:to>
      <xdr:col>2</xdr:col>
      <xdr:colOff>94191</xdr:colOff>
      <xdr:row>0</xdr:row>
      <xdr:rowOff>1109134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8550" y="156210"/>
          <a:ext cx="93980" cy="952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3550709</xdr:colOff>
      <xdr:row>0</xdr:row>
      <xdr:rowOff>0</xdr:rowOff>
    </xdr:from>
    <xdr:to>
      <xdr:col>1</xdr:col>
      <xdr:colOff>5604933</xdr:colOff>
      <xdr:row>0</xdr:row>
      <xdr:rowOff>1381125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17365" y="0"/>
          <a:ext cx="2054225" cy="138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1917700</xdr:colOff>
      <xdr:row>0</xdr:row>
      <xdr:rowOff>156634</xdr:rowOff>
    </xdr:from>
    <xdr:to>
      <xdr:col>3</xdr:col>
      <xdr:colOff>558800</xdr:colOff>
      <xdr:row>0</xdr:row>
      <xdr:rowOff>2095500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62670" y="156210"/>
          <a:ext cx="2419350" cy="19392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4095750</xdr:colOff>
      <xdr:row>0</xdr:row>
      <xdr:rowOff>238125</xdr:rowOff>
    </xdr:from>
    <xdr:to>
      <xdr:col>1</xdr:col>
      <xdr:colOff>6379633</xdr:colOff>
      <xdr:row>0</xdr:row>
      <xdr:rowOff>1397000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2830" y="238125"/>
          <a:ext cx="2283460" cy="11588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2010833</xdr:colOff>
      <xdr:row>0</xdr:row>
      <xdr:rowOff>190500</xdr:rowOff>
    </xdr:from>
    <xdr:to>
      <xdr:col>5</xdr:col>
      <xdr:colOff>1312334</xdr:colOff>
      <xdr:row>0</xdr:row>
      <xdr:rowOff>1926167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745335" y="190500"/>
          <a:ext cx="1535430" cy="1735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3672418</xdr:colOff>
      <xdr:row>0</xdr:row>
      <xdr:rowOff>0</xdr:rowOff>
    </xdr:from>
    <xdr:to>
      <xdr:col>1</xdr:col>
      <xdr:colOff>5286376</xdr:colOff>
      <xdr:row>0</xdr:row>
      <xdr:rowOff>952500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39285" y="0"/>
          <a:ext cx="1614170" cy="952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2174874</xdr:colOff>
      <xdr:row>1</xdr:row>
      <xdr:rowOff>52917</xdr:rowOff>
    </xdr:from>
    <xdr:to>
      <xdr:col>3</xdr:col>
      <xdr:colOff>58207</xdr:colOff>
      <xdr:row>4</xdr:row>
      <xdr:rowOff>952500</xdr:rowOff>
    </xdr:to>
    <xdr:pic>
      <xdr:nvPicPr>
        <xdr:cNvPr id="3" name="Picture 2" descr="LOGO NEW"/>
        <xdr:cNvPicPr>
          <a:picLocks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53245" y="243205"/>
          <a:ext cx="1817370" cy="1471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3267075</xdr:colOff>
      <xdr:row>0</xdr:row>
      <xdr:rowOff>391583</xdr:rowOff>
    </xdr:from>
    <xdr:to>
      <xdr:col>1</xdr:col>
      <xdr:colOff>4572000</xdr:colOff>
      <xdr:row>0</xdr:row>
      <xdr:rowOff>1254124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4155" y="391160"/>
          <a:ext cx="1304925" cy="862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3378198</xdr:colOff>
      <xdr:row>0</xdr:row>
      <xdr:rowOff>592668</xdr:rowOff>
    </xdr:from>
    <xdr:to>
      <xdr:col>1</xdr:col>
      <xdr:colOff>4783665</xdr:colOff>
      <xdr:row>0</xdr:row>
      <xdr:rowOff>1651000</xdr:rowOff>
    </xdr:to>
    <xdr:pic>
      <xdr:nvPicPr>
        <xdr:cNvPr id="2" name="Picture 1" descr="LOGO NEW"/>
        <xdr:cNvPicPr>
          <a:picLocks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flipH="1">
          <a:off x="4099560" y="592455"/>
          <a:ext cx="1405890" cy="1058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AT-BURSARY-002\Downloads\untitled%20folder\UAT%20SEPTEMBER,%202024%20ORIGINAL%20Edited%20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AT-BURSARY-002\Downloads\2025%20SALARY\JANUARY%20SALARY,%202025\JANUARY%20%20%20SALARY,%202025%20ORIG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3AF81287\UAT%20JANUARY%20SALARY,%202023%20%20ORIGINAL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7CB2FECF\UAT%20OCTOBER%20SALARY,%202023%20%20ORIGINA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mbe.ayekuro.UAT\Desktop\UNIVERSITY%20OF%20AFRICA,%20TORU-ORU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EC529552\JUNE%20NON%20TEACH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AT-BURSARY-002\Downloads\untitled%20folder\NOVEMBER%20SALARY%202024\untitled%20folder%204\OCTOBER%20SALARY,%202024\VC'S%20RENUMERATIO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AT-BURSARY-002\Downloads\untitled%20folder\NOVEMBER%20SALARY%202024\untitled%20folder%204\OCTOBER%20SALARY,%202024\UAT%202023%20SALARY\DECEMBER%20SALARY\UAT%20DECEMBER%20SALARY,%202023%20%20ORIGINAL%20co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mbe.ayekuro.UAT\Desktop\NOVEMBER%20SALARY%20ORIGINAL%20ADJUSTED\SOFT%20NOVEMBER%20SALARY,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mbe.ayekuro.UAT\Desktop\UAT%20SALARIES\UAT%20SALARY%202022\UAT%20SALARIES%20,%202022\UAT%20STAFF%20FEBRUARY%20SALARY,%202022\LOCAL%20STAFF%20SALARY%20FABRUARY,%202022\SOFT%20%20FEB%20SALARY,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C1CC2901\FEBRUARY%20SALARY,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DF413C9D\UAT%20%20STAFF%20AUGUST%20SALARY,%202022%20MINIMUM%20WAG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DF413C9D\OCTOBER%20BANK%20SOFT%20COPY%20SALARY,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7A2D99C5\UAT%20DECEMBER%20SALARY,%202023%20%20ORIGINAL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1662B2E7\UAT%20SEPTEMBER%20SALARY,%202023%20ORIJ%20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mbe.ayekuro.UAT\OneDrive%20-%20University%20of%20Africa,%20Toru-Orua\Desktop\GOVT%20UAT%20MAYSALARY,%20202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ASUU 1"/>
      <sheetName val="BANK SCHEDULE"/>
      <sheetName val="REAL TRANSPORTATION"/>
      <sheetName val="CO-OPERATIVE 2"/>
      <sheetName val="SOCIAL AND MGT SCIENCE"/>
      <sheetName val="FSMS SCIENCES"/>
      <sheetName val="EDU NASU"/>
      <sheetName val="SCIENCE DEDUCT"/>
      <sheetName val="TOP LIFTERS"/>
      <sheetName val="BURSARY"/>
      <sheetName val="Sheet1"/>
      <sheetName val="Sheet2"/>
      <sheetName val="Sheet3"/>
      <sheetName val="NON TEACHING STAFF"/>
      <sheetName val="Sheet16"/>
      <sheetName val="ANUPA"/>
      <sheetName val="SSANU DEDUCTION"/>
      <sheetName val="NASU DEDUCTIONS"/>
      <sheetName val="DEDUCTIONS"/>
      <sheetName val="SCH FEE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</sheetNames>
    <sheetDataSet>
      <sheetData sheetId="0">
        <row r="6">
          <cell r="D6" t="str">
            <v>PHYSICS</v>
          </cell>
        </row>
        <row r="6">
          <cell r="AS6">
            <v>8333.33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Sheet4"/>
      <sheetName val="CO-OPERATIVE DEDUCTION"/>
      <sheetName val="NON TEACHING STAFF"/>
      <sheetName val="WAGE BILL"/>
      <sheetName val="BANK SCHEDULE"/>
      <sheetName val="BETF 1"/>
      <sheetName val="ASUU DEDUCTION"/>
      <sheetName val="FAE"/>
      <sheetName val="FSMS DEDUCT"/>
      <sheetName val="ASUU WELFARE"/>
      <sheetName val="FBAS DEDUCTION"/>
      <sheetName val="FLO"/>
      <sheetName val="SSANU DEUCTION"/>
      <sheetName val="TRANSPORT "/>
      <sheetName val="NANT DEDUCTION"/>
      <sheetName val="TOP LIFTERS"/>
      <sheetName val="FLORSHINE"/>
      <sheetName val="BURSARY"/>
      <sheetName val="Sheet1"/>
      <sheetName val="Sheet2"/>
      <sheetName val="Sheet3"/>
      <sheetName val="NASU DEDUCTION 2"/>
      <sheetName val="DEDUCTIONS"/>
      <sheetName val="SCH FEE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RENT DEDUCTION"/>
      <sheetName val="BHIS DEDUCTION 2"/>
      <sheetName val="PAYEE TAX"/>
      <sheetName val="PAYSLIP"/>
    </sheetNames>
    <sheetDataSet>
      <sheetData sheetId="0">
        <row r="74">
          <cell r="BA74">
            <v>298420.27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NON TEACHING STAFF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VARIATION ANALYSIS"/>
      <sheetName val="NORMINAL ROLL"/>
      <sheetName val="BHIS DEDUCT"/>
      <sheetName val="BETF 2"/>
      <sheetName val="WAGE BILL"/>
    </sheetNames>
    <sheetDataSet>
      <sheetData sheetId="0" refreshError="1">
        <row r="126">
          <cell r="B126" t="str">
            <v>WERIDONGHAN ERNEST JACKSON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RENT DEDUCTIONS"/>
      <sheetName val="CO-OPERATIVE"/>
      <sheetName val="SSANU"/>
      <sheetName val="EDTF"/>
      <sheetName val="FLOURISH DEDUCTIONS"/>
      <sheetName val="ANUPA 2"/>
      <sheetName val="ASUU 1"/>
      <sheetName val="NON TEACHING STAFF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  <sheetName val="BHIS 3"/>
      <sheetName val="BANK 2"/>
    </sheetNames>
    <sheetDataSet>
      <sheetData sheetId="0" refreshError="1">
        <row r="173">
          <cell r="G173" t="str">
            <v>0029686697</v>
          </cell>
        </row>
        <row r="174">
          <cell r="G174">
            <v>2010376654</v>
          </cell>
        </row>
        <row r="174">
          <cell r="I174">
            <v>2863233</v>
          </cell>
          <cell r="J174">
            <v>238602.75</v>
          </cell>
        </row>
        <row r="178">
          <cell r="G178">
            <v>2128380019</v>
          </cell>
        </row>
        <row r="179">
          <cell r="F179" t="str">
            <v>FIDELITY</v>
          </cell>
          <cell r="G179">
            <v>6976347296</v>
          </cell>
        </row>
        <row r="180">
          <cell r="F180" t="str">
            <v>GTB</v>
          </cell>
          <cell r="G180" t="str">
            <v>0246799705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VARIATION ANALYSIS"/>
      <sheetName val="N"/>
      <sheetName val="TEACHING STAFF"/>
      <sheetName val=" NON-TEACHING STAFF"/>
      <sheetName val="NORMINAL ROLL"/>
      <sheetName val="ACADEMIC VOUCHER"/>
      <sheetName val="WAGE BILL "/>
      <sheetName val="TAX DEDUCTION"/>
    </sheetNames>
    <sheetDataSet>
      <sheetData sheetId="0" refreshError="1"/>
      <sheetData sheetId="1" refreshError="1"/>
      <sheetData sheetId="2" refreshError="1"/>
      <sheetData sheetId="3" refreshError="1">
        <row r="2">
          <cell r="R2" t="str">
            <v>LABOTRATORY  HAZARD</v>
          </cell>
        </row>
        <row r="4">
          <cell r="J4">
            <v>22271942001</v>
          </cell>
        </row>
        <row r="5">
          <cell r="J5" t="str">
            <v>22297388274</v>
          </cell>
        </row>
        <row r="7">
          <cell r="J7">
            <v>22179869639</v>
          </cell>
        </row>
        <row r="9">
          <cell r="J9" t="str">
            <v>22343652566</v>
          </cell>
        </row>
        <row r="10">
          <cell r="J10" t="str">
            <v>22326449084</v>
          </cell>
        </row>
        <row r="11">
          <cell r="J11" t="str">
            <v>22309529464</v>
          </cell>
        </row>
        <row r="12">
          <cell r="J12" t="str">
            <v>22242094308</v>
          </cell>
        </row>
        <row r="13">
          <cell r="J13">
            <v>22282150042</v>
          </cell>
        </row>
        <row r="14">
          <cell r="J14">
            <v>22344927920</v>
          </cell>
        </row>
        <row r="15">
          <cell r="J15" t="str">
            <v>22433306432</v>
          </cell>
        </row>
        <row r="16">
          <cell r="J16" t="str">
            <v>22419981006</v>
          </cell>
        </row>
        <row r="17">
          <cell r="J17" t="str">
            <v>22435584786</v>
          </cell>
        </row>
        <row r="19">
          <cell r="O19">
            <v>62500</v>
          </cell>
          <cell r="P19">
            <v>128000</v>
          </cell>
        </row>
        <row r="23">
          <cell r="J23">
            <v>22252211997</v>
          </cell>
        </row>
        <row r="24">
          <cell r="J24">
            <v>22173480742</v>
          </cell>
        </row>
        <row r="25">
          <cell r="J25">
            <v>22300772577</v>
          </cell>
        </row>
        <row r="27">
          <cell r="J27" t="str">
            <v>22278531941</v>
          </cell>
        </row>
        <row r="29">
          <cell r="J29" t="str">
            <v>22212807961</v>
          </cell>
        </row>
        <row r="33">
          <cell r="J33" t="str">
            <v>22202025092</v>
          </cell>
        </row>
        <row r="37">
          <cell r="J37" t="str">
            <v>22261685510</v>
          </cell>
        </row>
        <row r="39">
          <cell r="J39">
            <v>22201205251</v>
          </cell>
        </row>
        <row r="40">
          <cell r="J40" t="str">
            <v>22257608444</v>
          </cell>
        </row>
        <row r="42">
          <cell r="J42">
            <v>22432784237</v>
          </cell>
        </row>
        <row r="43">
          <cell r="J43" t="str">
            <v>22235877000</v>
          </cell>
        </row>
        <row r="44">
          <cell r="J44">
            <v>22229879595</v>
          </cell>
        </row>
        <row r="46">
          <cell r="J46" t="str">
            <v>22335485233</v>
          </cell>
        </row>
        <row r="47">
          <cell r="J47" t="str">
            <v>22142264607</v>
          </cell>
        </row>
        <row r="48">
          <cell r="J48" t="str">
            <v>22255527330</v>
          </cell>
        </row>
        <row r="49">
          <cell r="J49" t="str">
            <v>22262835989</v>
          </cell>
        </row>
        <row r="52">
          <cell r="J52">
            <v>22277196408</v>
          </cell>
        </row>
        <row r="54">
          <cell r="J54" t="str">
            <v>22343768368</v>
          </cell>
        </row>
        <row r="55">
          <cell r="J55" t="str">
            <v>22224285937</v>
          </cell>
        </row>
        <row r="58">
          <cell r="J58" t="str">
            <v>22269109102</v>
          </cell>
        </row>
        <row r="59">
          <cell r="J59" t="str">
            <v>22478855828</v>
          </cell>
        </row>
        <row r="60">
          <cell r="J60" t="str">
            <v>22473675613</v>
          </cell>
        </row>
        <row r="61">
          <cell r="J61" t="str">
            <v>22217975205</v>
          </cell>
        </row>
        <row r="62">
          <cell r="J62" t="str">
            <v>22217974522</v>
          </cell>
        </row>
        <row r="63">
          <cell r="J63" t="str">
            <v>2248404007</v>
          </cell>
        </row>
        <row r="64">
          <cell r="J64">
            <v>22484037880</v>
          </cell>
        </row>
        <row r="65">
          <cell r="J65" t="str">
            <v>22219118468</v>
          </cell>
        </row>
        <row r="66">
          <cell r="J66" t="str">
            <v>22334793166</v>
          </cell>
        </row>
        <row r="67">
          <cell r="J67" t="str">
            <v>22295652362</v>
          </cell>
        </row>
        <row r="68">
          <cell r="J68" t="str">
            <v>22419981844</v>
          </cell>
        </row>
        <row r="69">
          <cell r="J69">
            <v>0</v>
          </cell>
        </row>
        <row r="70">
          <cell r="J70" t="str">
            <v>22287072006</v>
          </cell>
        </row>
        <row r="71">
          <cell r="J71">
            <v>22308729797</v>
          </cell>
        </row>
        <row r="73">
          <cell r="J73" t="str">
            <v>22167946946</v>
          </cell>
        </row>
        <row r="74">
          <cell r="J74">
            <v>22318063166</v>
          </cell>
        </row>
        <row r="75">
          <cell r="J75" t="str">
            <v>22271867610</v>
          </cell>
        </row>
        <row r="76">
          <cell r="J76" t="str">
            <v>22214383007</v>
          </cell>
        </row>
        <row r="77">
          <cell r="J77" t="str">
            <v>22162855836</v>
          </cell>
        </row>
        <row r="78">
          <cell r="J78">
            <v>22284782801</v>
          </cell>
        </row>
        <row r="79">
          <cell r="J79" t="str">
            <v>22238084751</v>
          </cell>
        </row>
        <row r="81">
          <cell r="J81">
            <v>22298816620</v>
          </cell>
        </row>
        <row r="82">
          <cell r="J82" t="str">
            <v>22397399741</v>
          </cell>
        </row>
        <row r="83">
          <cell r="J83" t="str">
            <v>22195120275</v>
          </cell>
        </row>
        <row r="85">
          <cell r="J85" t="str">
            <v>2235236851</v>
          </cell>
        </row>
        <row r="86">
          <cell r="J86">
            <v>22263982125</v>
          </cell>
        </row>
        <row r="87">
          <cell r="J87">
            <v>22208360808</v>
          </cell>
        </row>
        <row r="88">
          <cell r="J88" t="str">
            <v>22336650438</v>
          </cell>
        </row>
        <row r="89">
          <cell r="J89" t="str">
            <v>22484040019</v>
          </cell>
        </row>
        <row r="90">
          <cell r="J90" t="str">
            <v>22185579012</v>
          </cell>
        </row>
        <row r="91">
          <cell r="J91">
            <v>22213317368</v>
          </cell>
        </row>
        <row r="92">
          <cell r="J92" t="str">
            <v>22227202098</v>
          </cell>
        </row>
        <row r="94">
          <cell r="J94" t="str">
            <v>22294210880</v>
          </cell>
        </row>
        <row r="96">
          <cell r="J96">
            <v>22225541794</v>
          </cell>
        </row>
        <row r="97">
          <cell r="J97" t="str">
            <v>22162370609</v>
          </cell>
        </row>
        <row r="98">
          <cell r="J98" t="str">
            <v>22144721748</v>
          </cell>
        </row>
        <row r="99">
          <cell r="J99" t="str">
            <v>22305333269</v>
          </cell>
        </row>
        <row r="100">
          <cell r="J100" t="str">
            <v>22157445028</v>
          </cell>
        </row>
        <row r="101">
          <cell r="J101" t="str">
            <v>22257019103</v>
          </cell>
        </row>
        <row r="102">
          <cell r="J102" t="str">
            <v>22312377508</v>
          </cell>
        </row>
        <row r="105">
          <cell r="J105" t="str">
            <v>22195288090</v>
          </cell>
        </row>
        <row r="106">
          <cell r="J106">
            <v>22234852008</v>
          </cell>
        </row>
        <row r="107">
          <cell r="J107">
            <v>22286110934</v>
          </cell>
        </row>
        <row r="108">
          <cell r="J108" t="str">
            <v>22356469128</v>
          </cell>
        </row>
        <row r="110">
          <cell r="J110">
            <v>22146608618</v>
          </cell>
        </row>
        <row r="111">
          <cell r="J111" t="str">
            <v>22330558035</v>
          </cell>
        </row>
        <row r="112">
          <cell r="J112" t="str">
            <v>22232208542</v>
          </cell>
        </row>
        <row r="113">
          <cell r="J113" t="str">
            <v>22158208767</v>
          </cell>
        </row>
        <row r="114">
          <cell r="J114">
            <v>22164061187</v>
          </cell>
        </row>
        <row r="115">
          <cell r="J115" t="str">
            <v>22334743213</v>
          </cell>
        </row>
        <row r="116">
          <cell r="J116" t="str">
            <v>22234176949</v>
          </cell>
        </row>
        <row r="117">
          <cell r="J117">
            <v>22230973859</v>
          </cell>
        </row>
        <row r="118">
          <cell r="J118" t="str">
            <v>22272026214</v>
          </cell>
        </row>
        <row r="119">
          <cell r="J119" t="str">
            <v>22184870709</v>
          </cell>
        </row>
        <row r="120">
          <cell r="J120">
            <v>22297237145</v>
          </cell>
        </row>
        <row r="121">
          <cell r="J121">
            <v>22337780066</v>
          </cell>
        </row>
        <row r="122">
          <cell r="J122">
            <v>22210017131</v>
          </cell>
        </row>
        <row r="123">
          <cell r="J123">
            <v>22284241162</v>
          </cell>
        </row>
        <row r="126">
          <cell r="J126">
            <v>22451861353</v>
          </cell>
        </row>
        <row r="127">
          <cell r="J127">
            <v>22408299062</v>
          </cell>
        </row>
        <row r="128">
          <cell r="J128" t="str">
            <v>223844515064</v>
          </cell>
        </row>
        <row r="130">
          <cell r="J130">
            <v>22386853197</v>
          </cell>
        </row>
        <row r="132">
          <cell r="J132">
            <v>22272687972</v>
          </cell>
        </row>
        <row r="145">
          <cell r="J145">
            <v>22242366027</v>
          </cell>
        </row>
        <row r="146">
          <cell r="J146">
            <v>22520264380</v>
          </cell>
        </row>
        <row r="147">
          <cell r="J147">
            <v>22541365987</v>
          </cell>
        </row>
        <row r="148">
          <cell r="J148">
            <v>22418913446</v>
          </cell>
        </row>
        <row r="149">
          <cell r="J149">
            <v>22417705686</v>
          </cell>
        </row>
        <row r="150">
          <cell r="J150">
            <v>22514777793</v>
          </cell>
        </row>
        <row r="151">
          <cell r="J151" t="str">
            <v>22524055948</v>
          </cell>
        </row>
        <row r="154">
          <cell r="J154">
            <v>22514778150</v>
          </cell>
        </row>
        <row r="155">
          <cell r="J155">
            <v>22210523384</v>
          </cell>
        </row>
        <row r="156">
          <cell r="J156">
            <v>22406477367</v>
          </cell>
        </row>
        <row r="157">
          <cell r="J157" t="str">
            <v>22423583515</v>
          </cell>
        </row>
        <row r="158">
          <cell r="J158" t="str">
            <v>22528634662</v>
          </cell>
        </row>
        <row r="162">
          <cell r="J162">
            <v>2245737037</v>
          </cell>
        </row>
        <row r="168">
          <cell r="J168" t="str">
            <v>22452731277</v>
          </cell>
        </row>
        <row r="173">
          <cell r="J173">
            <v>22514100492</v>
          </cell>
        </row>
        <row r="174">
          <cell r="J174" t="str">
            <v>22510242350</v>
          </cell>
        </row>
        <row r="175">
          <cell r="J175">
            <v>22418912856</v>
          </cell>
        </row>
        <row r="176">
          <cell r="J176">
            <v>22500697313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JACKSON AKPOJARO "/>
      <sheetName val="TEACHING STAFF"/>
      <sheetName val="BANK 2"/>
      <sheetName val="CO-OPERATIVE 2"/>
      <sheetName val="BHIS 4"/>
      <sheetName val="DEDUCTIONS"/>
      <sheetName val="ETF"/>
      <sheetName val="DEPENDENT RELATIVE"/>
      <sheetName val="FACULTY OF BASIC &amp; APPLIED DU"/>
      <sheetName val="BHIS 2"/>
      <sheetName val="ASUU"/>
      <sheetName val="BETF"/>
      <sheetName val="BANK SCH II"/>
      <sheetName val="BANK SCHDULE"/>
      <sheetName val="BHIS"/>
      <sheetName val="CO-OPERATIVE"/>
      <sheetName val="ANUPA"/>
      <sheetName val="UAT RENT"/>
      <sheetName val="NON TEACHING STAFF"/>
      <sheetName val="Sheet2"/>
      <sheetName val="SALARY ADVANCE &amp; SCH FEELS"/>
      <sheetName val="WAGE BILL"/>
      <sheetName val="PAYSLI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C's Remuneration"/>
      <sheetName val="Sheet8"/>
      <sheetName val="Sheet3"/>
      <sheetName val="Sheet2"/>
      <sheetName val="Sheet1"/>
      <sheetName val="Sheet4"/>
      <sheetName val="DVC's Remuneration "/>
      <sheetName val="Sheet9"/>
      <sheetName val="Sheet7"/>
      <sheetName val="Sheet6"/>
      <sheetName val="Registrar"/>
      <sheetName val="Bursar"/>
      <sheetName val="Sheet5"/>
      <sheetName val="Librar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D22">
            <v>83302.68</v>
          </cell>
        </row>
      </sheetData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Sheet2"/>
      <sheetName val="Sheet1"/>
      <sheetName val="ASUU DEDUCTION "/>
      <sheetName val="BHIS DEDUCTIONS"/>
      <sheetName val="RENT DEDUCTIONS"/>
      <sheetName val="FLOURISH DEDUCTIONS"/>
      <sheetName val="NON TEACHING STAFF"/>
      <sheetName val="SSANU DEDUCTIONS "/>
      <sheetName val="ANUPA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  <sheetName val="BANK SCHEDULE"/>
      <sheetName val="BETF 2"/>
      <sheetName val="CO-OPERATIVE DEDUCT"/>
    </sheetNames>
    <sheetDataSet>
      <sheetData sheetId="0" refreshError="1">
        <row r="129">
          <cell r="AU12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EPT SALARY, 2021 BANK COPY"/>
      <sheetName val="UAT EXPATRIATE SOFT COPY  2"/>
    </sheetNames>
    <sheetDataSet>
      <sheetData sheetId="0" refreshError="1">
        <row r="4">
          <cell r="E4" t="str">
            <v>0072045836</v>
          </cell>
        </row>
        <row r="108">
          <cell r="E108">
            <v>1006415522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EB SALARY, 2022 BANK COPY"/>
      <sheetName val="UAT EXPATRIATE SOFT COPY  2"/>
      <sheetName val="CORPERS 3"/>
    </sheetNames>
    <sheetDataSet>
      <sheetData sheetId="0" refreshError="1">
        <row r="281">
          <cell r="E281" t="str">
            <v>0077210321</v>
          </cell>
        </row>
      </sheetData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OFT COPY"/>
      <sheetName val="Sheet1"/>
      <sheetName val="2022 EXP. REPORT"/>
      <sheetName val="SUBVENTION REQUEST TEMPLATE"/>
      <sheetName val="TEACHING STAFF"/>
      <sheetName val="BANK SCHEDULE"/>
      <sheetName val="ASUU 1"/>
      <sheetName val="DEDUCTIONS"/>
      <sheetName val="DEPENDENT RELATIVE"/>
      <sheetName val="FACULTY OF BASIC &amp; APPLIED DU"/>
      <sheetName val="BHIS 2"/>
      <sheetName val="ASUU"/>
      <sheetName val="BETF"/>
      <sheetName val="BANK SCH II"/>
      <sheetName val="BANK SCHDULE"/>
      <sheetName val="BHIS"/>
      <sheetName val="CO-OPERATIVE"/>
      <sheetName val="ANUPA"/>
      <sheetName val="UAT RENT"/>
      <sheetName val="NON TEACHING STAFF"/>
      <sheetName val="SSANU DEDUCTION"/>
      <sheetName val="SALARY ADVANCE &amp; SCH FEELS"/>
      <sheetName val="WAGE BILL"/>
      <sheetName val="PAYSLIP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JACKSON AKPOJARO "/>
      <sheetName val="SOFT COPY"/>
      <sheetName val="Sheet1"/>
      <sheetName val="UNIVERSITY OF AFRICA LIABILITIE"/>
      <sheetName val="TEACHING STAFF"/>
      <sheetName val="BANK SCHEDULE"/>
      <sheetName val="TRANSPORT SCHEME"/>
      <sheetName val="BSTF"/>
      <sheetName val="ASUU JULY"/>
      <sheetName val="BHIS 2"/>
      <sheetName val="ASUU"/>
      <sheetName val="BETF"/>
      <sheetName val="BANK SCH II"/>
      <sheetName val="BANK SCHDULE"/>
      <sheetName val="BHIS"/>
      <sheetName val="BHIS EDU"/>
      <sheetName val="UAT RENT DEDUCTIONS"/>
      <sheetName val="NON TEACHING STAFF"/>
      <sheetName val="SSANU"/>
      <sheetName val="CO-OPERATIVE"/>
      <sheetName val="Sheet2"/>
      <sheetName val="ANUPA"/>
      <sheetName val="SALARY ADVANCE DEDUCTION"/>
      <sheetName val="SALARY SUMMARY"/>
      <sheetName val="ASUU DEDUCT"/>
      <sheetName val="WAGE BILL"/>
      <sheetName val="DEDUCTIONS"/>
      <sheetName val="PAYSLI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NON ACADEMIC VOUCHER"/>
      <sheetName val="BETF"/>
      <sheetName val="ACADEMIC VOUCHER"/>
      <sheetName val="WAGE BILL "/>
      <sheetName val="MUNIMUM WAGE"/>
      <sheetName val="LOCAL OCOTOBER SALARY"/>
      <sheetName val="EXPATRIATE SATFF BANK COPY"/>
      <sheetName val="CORPERS"/>
    </sheetNames>
    <sheetDataSet>
      <sheetData sheetId="0">
        <row r="5">
          <cell r="D5" t="str">
            <v>ZIKIRI</v>
          </cell>
          <cell r="E5" t="str">
            <v>ADMIN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Sheet2"/>
      <sheetName val="Sheet1"/>
      <sheetName val="ASUU DEDUCTION "/>
      <sheetName val="BHIS DEDUCTIONS"/>
      <sheetName val="RENT DEDUCTIONS"/>
      <sheetName val="FLOURISH DEDUCTIONS"/>
      <sheetName val="NON TEACHING STAFF"/>
      <sheetName val="SSANU DEDUCTIONS "/>
      <sheetName val="ANUPA"/>
      <sheetName val="DEDUCTIONS"/>
      <sheetName val="BHIS 2"/>
      <sheetName val="ASUU"/>
      <sheetName val="BETF"/>
      <sheetName val="BANK SCH II"/>
      <sheetName val="BANK SCHDULE"/>
      <sheetName val="BHIS"/>
      <sheetName val="DEPENDENT RELATIVE"/>
      <sheetName val="SALARY ADVANCE &amp; SCH FEELS"/>
      <sheetName val="WAGE BILL"/>
      <sheetName val="PAYSLIP"/>
      <sheetName val="BANK SCHEDULE"/>
      <sheetName val="BETF 2"/>
      <sheetName val="CO-OPERATIVE DEDUCT"/>
    </sheetNames>
    <sheetDataSet>
      <sheetData sheetId="0">
        <row r="164">
          <cell r="G164" t="str">
            <v>0030621811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BANK SCHEDULE"/>
      <sheetName val="VARIATION ANALYSIS"/>
      <sheetName val="NORMINAL ROLL"/>
      <sheetName val="NON TEACHING STAFF"/>
      <sheetName val="BETF V"/>
      <sheetName val="BHIS "/>
      <sheetName val="DEDUCTIONS"/>
      <sheetName val="DEPENDENT RELATIVE"/>
      <sheetName val="BHIS 2"/>
      <sheetName val="ASUU"/>
      <sheetName val="BETF"/>
      <sheetName val="BANK SCH II"/>
      <sheetName val="BANK SCHDULE"/>
      <sheetName val="BHIS"/>
      <sheetName val="WAGE BILL"/>
    </sheetNames>
    <sheetDataSet>
      <sheetData sheetId="0">
        <row r="179">
          <cell r="L179">
            <v>285670.58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EACHING STAFF"/>
      <sheetName val="BHIS 2"/>
      <sheetName val="ASUU"/>
      <sheetName val="BETF"/>
      <sheetName val="BANK SCH II"/>
      <sheetName val="BANK SCHDULE"/>
      <sheetName val="BHIS"/>
      <sheetName val="NON TEACHING STAFF"/>
      <sheetName val="DEDUCTIONS"/>
      <sheetName val="VARIATION ANALYSIS"/>
      <sheetName val="NORMINAL ROLL"/>
    </sheetNames>
    <sheetDataSet>
      <sheetData sheetId="0" refreshError="1">
        <row r="161">
          <cell r="M16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queryTables/queryTable1.xml><?xml version="1.0" encoding="utf-8"?>
<queryTable xmlns="http://schemas.openxmlformats.org/spreadsheetml/2006/main" name="Query from MS Access Database_1" connectionId="1" autoFormatId="16" applyNumberFormats="0" applyBorderFormats="0" applyFontFormats="1" applyPatternFormats="1" applyAlignmentFormats="0" applyWidthHeightFormats="0">
  <queryTableRefresh preserveSortFilterLayout="1" nextId="63">
    <queryTableFields count="62">
      <queryTableField id="1" name="ACCT NO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name="004"/>
      <queryTableField id="10" name="005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dataBound="0"/>
      <queryTableField id="19" dataBound="0"/>
      <queryTableField id="20" dataBound="0"/>
      <queryTableField id="21" dataBound="0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name="101"/>
      <queryTableField id="31" name="105"/>
      <queryTableField id="32" dataBound="0"/>
      <queryTableField id="33" dataBound="0"/>
      <queryTableField id="34" dataBound="0"/>
      <queryTableField id="35" dataBound="0"/>
      <queryTableField id="36" dataBound="0"/>
      <queryTableField id="37" dataBound="0"/>
      <queryTableField id="38" dataBound="0"/>
      <queryTableField id="39" dataBound="0"/>
      <queryTableField id="40" dataBound="0"/>
      <queryTableField id="41" dataBound="0"/>
      <queryTableField id="42" dataBound="0"/>
      <queryTableField id="43" dataBound="0"/>
      <queryTableField id="44" dataBound="0"/>
      <queryTableField id="45" dataBound="0"/>
      <queryTableField id="46" dataBound="0"/>
      <queryTableField id="47" dataBound="0"/>
      <queryTableField id="48" dataBound="0"/>
      <queryTableField id="49" dataBound="0"/>
      <queryTableField id="50" dataBound="0"/>
      <queryTableField id="51" name="135"/>
      <queryTableField id="52" dataBound="0"/>
      <queryTableField id="53" dataBound="0"/>
      <queryTableField id="54" dataBound="0"/>
      <queryTableField id="55" dataBound="0"/>
      <queryTableField id="56" name="138"/>
      <queryTableField id="57" dataBound="0"/>
      <queryTableField id="58" name="144"/>
      <queryTableField id="59" name="TOTAL EARN"/>
      <queryTableField id="60" name="TOT DEDUCT"/>
      <queryTableField id="61" dataBound="0"/>
      <queryTableField id="62" dataBound="0"/>
    </queryTableFields>
  </queryTableRefresh>
</queryTable>
</file>

<file path=xl/queryTables/queryTable2.xml><?xml version="1.0" encoding="utf-8"?>
<queryTable xmlns="http://schemas.openxmlformats.org/spreadsheetml/2006/main" name="Query from MS Access Database_1" connectionId="3" autoFormatId="16" applyNumberFormats="0" applyBorderFormats="0" applyFontFormats="1" applyPatternFormats="1" applyAlignmentFormats="0" applyWidthHeightFormats="0">
  <queryTableRefresh preserveSortFilterLayout="1" nextId="77">
    <queryTableFields count="76">
      <queryTableField id="1" name="ACCT NO"/>
      <queryTableField id="2" dataBound="0"/>
      <queryTableField id="3" dataBound="0"/>
      <queryTableField id="4" dataBound="0"/>
      <queryTableField id="5" dataBound="0"/>
      <queryTableField id="6" dataBound="0"/>
      <queryTableField id="7" dataBound="0"/>
      <queryTableField id="8" dataBound="0"/>
      <queryTableField id="9" dataBound="0"/>
      <queryTableField id="10" dataBound="0"/>
      <queryTableField id="11" dataBound="0"/>
      <queryTableField id="12" dataBound="0"/>
      <queryTableField id="13" dataBound="0"/>
      <queryTableField id="14" dataBound="0"/>
      <queryTableField id="15" dataBound="0"/>
      <queryTableField id="16" dataBound="0"/>
      <queryTableField id="17" dataBound="0"/>
      <queryTableField id="18" name="004"/>
      <queryTableField id="19" dataBound="0"/>
      <queryTableField id="20" dataBound="0"/>
      <queryTableField id="21" name="005"/>
      <queryTableField id="22" dataBound="0"/>
      <queryTableField id="23" dataBound="0"/>
      <queryTableField id="24" dataBound="0"/>
      <queryTableField id="25" dataBound="0"/>
      <queryTableField id="26" dataBound="0"/>
      <queryTableField id="27" dataBound="0"/>
      <queryTableField id="28" dataBound="0"/>
      <queryTableField id="29" dataBound="0"/>
      <queryTableField id="30" dataBound="0"/>
      <queryTableField id="31" dataBound="0"/>
      <queryTableField id="32" dataBound="0"/>
      <queryTableField id="33" dataBound="0"/>
      <queryTableField id="34" dataBound="0"/>
      <queryTableField id="35" dataBound="0"/>
      <queryTableField id="36" dataBound="0"/>
      <queryTableField id="37" dataBound="0"/>
      <queryTableField id="38" name="135"/>
      <queryTableField id="39" dataBound="0"/>
      <queryTableField id="40" dataBound="0"/>
      <queryTableField id="41" dataBound="0"/>
      <queryTableField id="42" dataBound="0"/>
      <queryTableField id="43" dataBound="0"/>
      <queryTableField id="44" dataBound="0"/>
      <queryTableField id="45" dataBound="0"/>
      <queryTableField id="46" dataBound="0"/>
      <queryTableField id="47" dataBound="0"/>
      <queryTableField id="48" dataBound="0"/>
      <queryTableField id="49" dataBound="0"/>
      <queryTableField id="50" dataBound="0"/>
      <queryTableField id="51" dataBound="0"/>
      <queryTableField id="52" dataBound="0"/>
      <queryTableField id="53" dataBound="0"/>
      <queryTableField id="54" dataBound="0"/>
      <queryTableField id="55" dataBound="0"/>
      <queryTableField id="56" dataBound="0"/>
      <queryTableField id="57" dataBound="0"/>
      <queryTableField id="58" dataBound="0"/>
      <queryTableField id="59" dataBound="0"/>
      <queryTableField id="60" dataBound="0"/>
      <queryTableField id="61" dataBound="0"/>
      <queryTableField id="62" dataBound="0"/>
      <queryTableField id="63" dataBound="0"/>
      <queryTableField id="64" dataBound="0"/>
      <queryTableField id="65" dataBound="0"/>
      <queryTableField id="66" dataBound="0"/>
      <queryTableField id="67" dataBound="0"/>
      <queryTableField id="68" dataBound="0"/>
      <queryTableField id="69" dataBound="0"/>
      <queryTableField id="70" dataBound="0"/>
      <queryTableField id="71" name="138"/>
      <queryTableField id="72" name="144"/>
      <queryTableField id="73" dataBound="0"/>
      <queryTableField id="74" name="TOT DEDUCT"/>
      <queryTableField id="75" dataBound="0"/>
      <queryTableField id="76" name="NET PAY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Gre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queryTable" Target="../queryTables/queryTable1.xml"/><Relationship Id="rId6" Type="http://schemas.openxmlformats.org/officeDocument/2006/relationships/hyperlink" Target="mailto:ist30K@5%25" TargetMode="External"/><Relationship Id="rId5" Type="http://schemas.openxmlformats.org/officeDocument/2006/relationships/hyperlink" Target="mailto:nxt30k@10%25" TargetMode="External"/><Relationship Id="rId4" Type="http://schemas.openxmlformats.org/officeDocument/2006/relationships/hyperlink" Target="mailto:nxt50k@15%25" TargetMode="External"/><Relationship Id="rId3" Type="http://schemas.openxmlformats.org/officeDocument/2006/relationships/hyperlink" Target="mailto:nxt50k@20%25" TargetMode="External"/><Relationship Id="rId2" Type="http://schemas.openxmlformats.org/officeDocument/2006/relationships/hyperlink" Target="mailto:abv160k@25%25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queryTable" Target="../queryTables/queryTable2.xml"/><Relationship Id="rId6" Type="http://schemas.openxmlformats.org/officeDocument/2006/relationships/hyperlink" Target="mailto:ist30K@5%25" TargetMode="External"/><Relationship Id="rId5" Type="http://schemas.openxmlformats.org/officeDocument/2006/relationships/hyperlink" Target="mailto:nxt30k@10%25" TargetMode="External"/><Relationship Id="rId4" Type="http://schemas.openxmlformats.org/officeDocument/2006/relationships/hyperlink" Target="mailto:nxt50k@15%25" TargetMode="External"/><Relationship Id="rId3" Type="http://schemas.openxmlformats.org/officeDocument/2006/relationships/hyperlink" Target="mailto:nxt50k@20%25" TargetMode="External"/><Relationship Id="rId2" Type="http://schemas.openxmlformats.org/officeDocument/2006/relationships/hyperlink" Target="mailto:abv160k@25%25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5" Type="http://schemas.openxmlformats.org/officeDocument/2006/relationships/hyperlink" Target="mailto:abv160k@25%25" TargetMode="External"/><Relationship Id="rId4" Type="http://schemas.openxmlformats.org/officeDocument/2006/relationships/hyperlink" Target="mailto:nxt50k@20%25" TargetMode="External"/><Relationship Id="rId3" Type="http://schemas.openxmlformats.org/officeDocument/2006/relationships/hyperlink" Target="mailto:nxt50k@15%25" TargetMode="External"/><Relationship Id="rId2" Type="http://schemas.openxmlformats.org/officeDocument/2006/relationships/hyperlink" Target="mailto:nxt30k@10%25" TargetMode="External"/><Relationship Id="rId1" Type="http://schemas.openxmlformats.org/officeDocument/2006/relationships/hyperlink" Target="mailto:ist30K@5%25" TargetMode="External"/></Relationships>
</file>

<file path=xl/worksheets/_rels/sheet17.xml.rels><?xml version="1.0" encoding="UTF-8" standalone="yes"?>
<Relationships xmlns="http://schemas.openxmlformats.org/package/2006/relationships"><Relationship Id="rId5" Type="http://schemas.openxmlformats.org/officeDocument/2006/relationships/hyperlink" Target="mailto:ist30K@5%25" TargetMode="External"/><Relationship Id="rId4" Type="http://schemas.openxmlformats.org/officeDocument/2006/relationships/hyperlink" Target="mailto:nxt30k@10%25" TargetMode="External"/><Relationship Id="rId3" Type="http://schemas.openxmlformats.org/officeDocument/2006/relationships/hyperlink" Target="mailto:nxt50k@15%25" TargetMode="External"/><Relationship Id="rId2" Type="http://schemas.openxmlformats.org/officeDocument/2006/relationships/hyperlink" Target="mailto:nxt50k@20%25" TargetMode="External"/><Relationship Id="rId1" Type="http://schemas.openxmlformats.org/officeDocument/2006/relationships/hyperlink" Target="mailto:abv160k@25%25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332"/>
  <sheetViews>
    <sheetView tabSelected="1" view="pageBreakPreview" zoomScale="56" zoomScaleNormal="93" topLeftCell="F1" workbookViewId="0">
      <selection activeCell="AS4" sqref="AS4"/>
    </sheetView>
  </sheetViews>
  <sheetFormatPr defaultColWidth="9.16190476190476" defaultRowHeight="36"/>
  <cols>
    <col min="1" max="1" width="15" style="666" customWidth="1"/>
    <col min="2" max="2" width="38.6666666666667" style="1105" customWidth="1"/>
    <col min="3" max="3" width="31.6666666666667" style="1106" customWidth="1"/>
    <col min="4" max="4" width="25.8285714285714" style="666" customWidth="1"/>
    <col min="5" max="5" width="21.3333333333333" style="666" customWidth="1"/>
    <col min="6" max="6" width="23.3333333333333" style="1107" customWidth="1"/>
    <col min="7" max="7" width="26.8952380952381" style="1108" customWidth="1"/>
    <col min="8" max="8" width="6.82857142857143" style="666" customWidth="1"/>
    <col min="9" max="9" width="7.66666666666667" style="666" customWidth="1"/>
    <col min="10" max="10" width="12.5047619047619" style="666" customWidth="1"/>
    <col min="11" max="11" width="15.6666666666667" style="666" customWidth="1"/>
    <col min="12" max="12" width="11.5047619047619" style="666" customWidth="1"/>
    <col min="13" max="13" width="5.33333333333333" style="666" customWidth="1"/>
    <col min="14" max="14" width="5.16190476190476" style="666" customWidth="1"/>
    <col min="15" max="15" width="3.82857142857143" style="666" customWidth="1"/>
    <col min="16" max="16" width="3.66666666666667" style="666" customWidth="1"/>
    <col min="17" max="17" width="3" style="666" hidden="1" customWidth="1"/>
    <col min="18" max="18" width="4.33333333333333" style="666" customWidth="1"/>
    <col min="19" max="19" width="4" style="666" customWidth="1"/>
    <col min="20" max="21" width="4.82857142857143" style="666" customWidth="1"/>
    <col min="22" max="22" width="3.16190476190476" style="666" customWidth="1"/>
    <col min="23" max="23" width="3.82857142857143" style="666" customWidth="1"/>
    <col min="24" max="24" width="4" style="666" hidden="1" customWidth="1"/>
    <col min="25" max="25" width="4.16190476190476" style="666" customWidth="1"/>
    <col min="26" max="26" width="4.5047619047619" style="666" customWidth="1"/>
    <col min="27" max="27" width="3.33333333333333" style="666" customWidth="1"/>
    <col min="28" max="28" width="3.16190476190476" style="666" customWidth="1"/>
    <col min="29" max="34" width="3.5047619047619" style="666" hidden="1" customWidth="1"/>
    <col min="35" max="35" width="3.33333333333333" style="666" customWidth="1"/>
    <col min="36" max="36" width="3.66666666666667" style="666" customWidth="1"/>
    <col min="37" max="37" width="4" style="666" customWidth="1"/>
    <col min="38" max="38" width="3.66666666666667" style="661" customWidth="1"/>
    <col min="39" max="39" width="6.82857142857143" style="666" customWidth="1"/>
    <col min="40" max="40" width="3.66666666666667" style="666" customWidth="1"/>
    <col min="41" max="41" width="6.33333333333333" style="666" customWidth="1"/>
    <col min="42" max="42" width="3.5047619047619" style="666" customWidth="1"/>
    <col min="43" max="43" width="4.5047619047619" style="1109" customWidth="1"/>
    <col min="44" max="44" width="4.5047619047619" style="666" customWidth="1"/>
    <col min="45" max="45" width="4.33333333333333" style="663" customWidth="1"/>
    <col min="46" max="46" width="4.33333333333333" style="666" customWidth="1"/>
    <col min="47" max="47" width="4.5047619047619" style="666" customWidth="1"/>
    <col min="48" max="48" width="4.82857142857143" style="666" customWidth="1"/>
    <col min="49" max="51" width="4.5047619047619" style="666" customWidth="1"/>
    <col min="52" max="52" width="3.82857142857143" style="666" customWidth="1"/>
    <col min="53" max="53" width="6.82857142857143" style="666" customWidth="1"/>
    <col min="54" max="54" width="6.5047619047619" style="666" customWidth="1"/>
    <col min="55" max="55" width="4.33333333333333" style="666" customWidth="1"/>
    <col min="56" max="57" width="3.66666666666667" style="666" customWidth="1"/>
    <col min="58" max="58" width="4.5047619047619" style="666" hidden="1" customWidth="1"/>
    <col min="59" max="59" width="3.33333333333333" style="666" customWidth="1"/>
    <col min="60" max="60" width="3.66666666666667" style="666" customWidth="1"/>
    <col min="61" max="61" width="4.33333333333333" style="666" hidden="1" customWidth="1"/>
    <col min="62" max="62" width="2.66666666666667" style="666" hidden="1" customWidth="1"/>
    <col min="63" max="63" width="5" style="666" customWidth="1"/>
    <col min="64" max="64" width="5.66666666666667" style="666" customWidth="1"/>
    <col min="65" max="65" width="5.82857142857143" style="666" customWidth="1"/>
    <col min="66" max="66" width="3.5047619047619" style="666" hidden="1" customWidth="1"/>
    <col min="67" max="67" width="2.82857142857143" style="666" hidden="1" customWidth="1"/>
    <col min="68" max="68" width="7.33333333333333" style="666" customWidth="1"/>
    <col min="69" max="69" width="36.1619047619048" style="666" hidden="1" customWidth="1"/>
    <col min="70" max="70" width="35.8285714285714" style="666" hidden="1" customWidth="1"/>
    <col min="71" max="71" width="25.3333333333333" style="666" hidden="1" customWidth="1"/>
    <col min="72" max="72" width="27" style="666" hidden="1" customWidth="1"/>
    <col min="73" max="73" width="34.1619047619048" style="666" hidden="1" customWidth="1"/>
    <col min="74" max="74" width="9.16190476190476" style="666" hidden="1" customWidth="1"/>
    <col min="75" max="75" width="18.6666666666667" style="666" hidden="1" customWidth="1"/>
    <col min="76" max="76" width="20.6666666666667" style="666" hidden="1" customWidth="1"/>
    <col min="77" max="77" width="18.3333333333333" style="666" hidden="1" customWidth="1"/>
    <col min="78" max="78" width="22.6666666666667" style="666" hidden="1" customWidth="1"/>
    <col min="79" max="79" width="23.5047619047619" style="666" hidden="1" customWidth="1"/>
    <col min="80" max="80" width="20.1619047619048" style="666" hidden="1" customWidth="1"/>
    <col min="81" max="81" width="22.8285714285714" style="666" hidden="1" customWidth="1"/>
    <col min="82" max="82" width="22.6666666666667" style="666" hidden="1" customWidth="1"/>
    <col min="83" max="83" width="5.16190476190476" style="666" hidden="1" customWidth="1"/>
    <col min="84" max="84" width="29.3333333333333" style="666" hidden="1" customWidth="1"/>
    <col min="85" max="88" width="9.16190476190476" style="666" hidden="1" customWidth="1"/>
    <col min="89" max="89" width="1.82857142857143" style="666" hidden="1" customWidth="1"/>
    <col min="90" max="90" width="34" style="666" hidden="1" customWidth="1"/>
    <col min="91" max="91" width="5.66666666666667" style="666" hidden="1" customWidth="1"/>
    <col min="92" max="92" width="27.5047619047619" style="665" customWidth="1"/>
    <col min="93" max="93" width="20.5047619047619" style="666" customWidth="1"/>
    <col min="94" max="16384" width="9.16190476190476" style="666"/>
  </cols>
  <sheetData>
    <row r="1" ht="158" customHeight="1" spans="1:89">
      <c r="A1" s="1110"/>
      <c r="B1" s="1111" t="s">
        <v>0</v>
      </c>
      <c r="C1" s="1112"/>
      <c r="D1" s="1111"/>
      <c r="E1" s="1111"/>
      <c r="F1" s="1113"/>
      <c r="G1" s="1114"/>
      <c r="H1" s="1111"/>
      <c r="I1" s="1111"/>
      <c r="J1" s="1111"/>
      <c r="K1" s="1111"/>
      <c r="L1" s="1111"/>
      <c r="M1" s="1111"/>
      <c r="N1" s="1111"/>
      <c r="O1" s="1111"/>
      <c r="P1" s="1111"/>
      <c r="Q1" s="1111"/>
      <c r="R1" s="1111"/>
      <c r="S1" s="1111"/>
      <c r="T1" s="1111"/>
      <c r="U1" s="1111"/>
      <c r="V1" s="1111"/>
      <c r="W1" s="1111"/>
      <c r="X1" s="1111"/>
      <c r="Y1" s="1111"/>
      <c r="Z1" s="1111"/>
      <c r="AA1" s="1111"/>
      <c r="AB1" s="1111"/>
      <c r="AC1" s="1111"/>
      <c r="AD1" s="1111"/>
      <c r="AE1" s="1111"/>
      <c r="AF1" s="1111"/>
      <c r="AG1" s="1111"/>
      <c r="AH1" s="1111"/>
      <c r="AI1" s="1111"/>
      <c r="AJ1" s="1111"/>
      <c r="AK1" s="1111"/>
      <c r="AL1" s="1138"/>
      <c r="AM1" s="1111"/>
      <c r="AN1" s="1111"/>
      <c r="AO1" s="1111"/>
      <c r="AP1" s="1111"/>
      <c r="AQ1" s="1111"/>
      <c r="AR1" s="1111"/>
      <c r="AS1" s="1144"/>
      <c r="AT1" s="1111"/>
      <c r="AU1" s="1111"/>
      <c r="AV1" s="1111"/>
      <c r="AW1" s="1111"/>
      <c r="AX1" s="1111"/>
      <c r="AY1" s="1111"/>
      <c r="AZ1" s="1111"/>
      <c r="BA1" s="1111"/>
      <c r="BB1" s="1111"/>
      <c r="BC1" s="1111"/>
      <c r="BD1" s="1111"/>
      <c r="BE1" s="1111"/>
      <c r="BF1" s="1111"/>
      <c r="BG1" s="1111"/>
      <c r="BH1" s="1111"/>
      <c r="BI1" s="1111"/>
      <c r="BJ1" s="1111"/>
      <c r="BK1" s="1111"/>
      <c r="BL1" s="1111"/>
      <c r="BM1" s="1111"/>
      <c r="BN1" s="1111"/>
      <c r="BO1" s="1111"/>
      <c r="BP1" s="1111"/>
      <c r="BQ1" s="1170"/>
      <c r="BR1" s="1170"/>
      <c r="BS1" s="1170"/>
      <c r="BT1" s="1170"/>
      <c r="BU1" s="1170"/>
      <c r="BV1" s="1170"/>
      <c r="BW1" s="1170"/>
      <c r="BX1" s="1170"/>
      <c r="BY1" s="1170"/>
      <c r="BZ1" s="1170"/>
      <c r="CA1" s="1170"/>
      <c r="CB1" s="1170"/>
      <c r="CC1" s="1170"/>
      <c r="CD1" s="1170"/>
      <c r="CE1" s="1170"/>
      <c r="CF1" s="1170"/>
      <c r="CG1" s="1176"/>
      <c r="CH1" s="1176"/>
      <c r="CI1" s="1176"/>
      <c r="CJ1" s="1176"/>
      <c r="CK1" s="1176"/>
    </row>
    <row r="2" ht="67.5" customHeight="1" spans="1:89">
      <c r="A2" s="1110"/>
      <c r="B2" s="1111" t="s">
        <v>1</v>
      </c>
      <c r="C2" s="1115"/>
      <c r="D2" s="1111"/>
      <c r="E2" s="1111"/>
      <c r="F2" s="1113"/>
      <c r="G2" s="1114"/>
      <c r="H2" s="1111"/>
      <c r="I2" s="1111"/>
      <c r="J2" s="1111"/>
      <c r="K2" s="1111"/>
      <c r="L2" s="1111"/>
      <c r="M2" s="1111"/>
      <c r="N2" s="1111"/>
      <c r="O2" s="1111"/>
      <c r="P2" s="1111"/>
      <c r="Q2" s="1111"/>
      <c r="R2" s="1111"/>
      <c r="S2" s="1111"/>
      <c r="T2" s="1111"/>
      <c r="U2" s="1111"/>
      <c r="V2" s="1111"/>
      <c r="W2" s="1111"/>
      <c r="X2" s="1111"/>
      <c r="Y2" s="1111"/>
      <c r="Z2" s="1111"/>
      <c r="AA2" s="1111"/>
      <c r="AB2" s="1111"/>
      <c r="AC2" s="1111"/>
      <c r="AD2" s="1111"/>
      <c r="AE2" s="1111"/>
      <c r="AF2" s="1111"/>
      <c r="AG2" s="1111"/>
      <c r="AH2" s="1111"/>
      <c r="AI2" s="1111"/>
      <c r="AJ2" s="1111"/>
      <c r="AK2" s="1111"/>
      <c r="AL2" s="1138"/>
      <c r="AM2" s="1111"/>
      <c r="AN2" s="1111"/>
      <c r="AO2" s="1111"/>
      <c r="AP2" s="1111"/>
      <c r="AQ2" s="1111"/>
      <c r="AR2" s="1111"/>
      <c r="AS2" s="1144"/>
      <c r="AT2" s="1111"/>
      <c r="AU2" s="1111"/>
      <c r="AV2" s="1111"/>
      <c r="AW2" s="1111"/>
      <c r="AX2" s="1111"/>
      <c r="AY2" s="1111"/>
      <c r="AZ2" s="1111"/>
      <c r="BA2" s="1111"/>
      <c r="BB2" s="1111"/>
      <c r="BC2" s="1111"/>
      <c r="BD2" s="1111"/>
      <c r="BE2" s="1111"/>
      <c r="BF2" s="1111"/>
      <c r="BG2" s="1111"/>
      <c r="BH2" s="1111"/>
      <c r="BI2" s="1111"/>
      <c r="BJ2" s="1111"/>
      <c r="BK2" s="1111"/>
      <c r="BL2" s="1111"/>
      <c r="BM2" s="1111"/>
      <c r="BN2" s="1111"/>
      <c r="BO2" s="1111"/>
      <c r="BP2" s="1111"/>
      <c r="BQ2" s="1170"/>
      <c r="BR2" s="1170"/>
      <c r="BS2" s="1170"/>
      <c r="BT2" s="1170"/>
      <c r="BU2" s="1170"/>
      <c r="BV2" s="1170"/>
      <c r="BW2" s="1170"/>
      <c r="BX2" s="1170"/>
      <c r="BY2" s="1170"/>
      <c r="BZ2" s="1170"/>
      <c r="CA2" s="1170"/>
      <c r="CB2" s="1170"/>
      <c r="CC2" s="1170"/>
      <c r="CD2" s="1170"/>
      <c r="CE2" s="1177" t="e">
        <f>#REF!</f>
        <v>#REF!</v>
      </c>
      <c r="CF2" s="1177"/>
      <c r="CG2" s="1176"/>
      <c r="CH2" s="1176"/>
      <c r="CI2" s="1176"/>
      <c r="CJ2" s="1176"/>
      <c r="CK2" s="1176"/>
    </row>
    <row r="3" s="1096" customFormat="1" ht="297" customHeight="1" spans="1:92">
      <c r="A3" s="1116" t="s">
        <v>2</v>
      </c>
      <c r="B3" s="1117" t="s">
        <v>3</v>
      </c>
      <c r="C3" s="1116" t="s">
        <v>4</v>
      </c>
      <c r="D3" s="1118" t="s">
        <v>5</v>
      </c>
      <c r="E3" s="1118" t="s">
        <v>6</v>
      </c>
      <c r="F3" s="1119" t="s">
        <v>7</v>
      </c>
      <c r="G3" s="1120" t="s">
        <v>8</v>
      </c>
      <c r="H3" s="1121" t="s">
        <v>9</v>
      </c>
      <c r="I3" s="1121" t="s">
        <v>10</v>
      </c>
      <c r="J3" s="1121" t="s">
        <v>11</v>
      </c>
      <c r="K3" s="1121" t="s">
        <v>12</v>
      </c>
      <c r="L3" s="1121" t="s">
        <v>13</v>
      </c>
      <c r="M3" s="1121" t="s">
        <v>14</v>
      </c>
      <c r="N3" s="1131" t="s">
        <v>15</v>
      </c>
      <c r="O3" s="1131" t="s">
        <v>16</v>
      </c>
      <c r="P3" s="1131" t="s">
        <v>17</v>
      </c>
      <c r="Q3" s="1131" t="s">
        <v>18</v>
      </c>
      <c r="R3" s="1131" t="s">
        <v>19</v>
      </c>
      <c r="S3" s="1131" t="s">
        <v>20</v>
      </c>
      <c r="T3" s="1131" t="s">
        <v>21</v>
      </c>
      <c r="U3" s="1131" t="s">
        <v>22</v>
      </c>
      <c r="V3" s="1131" t="s">
        <v>23</v>
      </c>
      <c r="W3" s="1131" t="s">
        <v>24</v>
      </c>
      <c r="X3" s="1131"/>
      <c r="Y3" s="1131" t="s">
        <v>25</v>
      </c>
      <c r="Z3" s="1131" t="s">
        <v>26</v>
      </c>
      <c r="AA3" s="1131" t="s">
        <v>27</v>
      </c>
      <c r="AB3" s="1131" t="s">
        <v>28</v>
      </c>
      <c r="AC3" s="1131" t="s">
        <v>29</v>
      </c>
      <c r="AD3" s="1131" t="s">
        <v>30</v>
      </c>
      <c r="AE3" s="1131" t="s">
        <v>31</v>
      </c>
      <c r="AF3" s="1131" t="s">
        <v>32</v>
      </c>
      <c r="AG3" s="1131" t="s">
        <v>33</v>
      </c>
      <c r="AH3" s="1131"/>
      <c r="AI3" s="1121" t="s">
        <v>34</v>
      </c>
      <c r="AJ3" s="1121" t="s">
        <v>35</v>
      </c>
      <c r="AK3" s="1121" t="s">
        <v>36</v>
      </c>
      <c r="AL3" s="1139" t="s">
        <v>37</v>
      </c>
      <c r="AM3" s="1121" t="s">
        <v>38</v>
      </c>
      <c r="AN3" s="1121" t="s">
        <v>39</v>
      </c>
      <c r="AO3" s="1145" t="s">
        <v>40</v>
      </c>
      <c r="AP3" s="1146" t="s">
        <v>41</v>
      </c>
      <c r="AQ3" s="1147" t="s">
        <v>42</v>
      </c>
      <c r="AR3" s="1147" t="s">
        <v>43</v>
      </c>
      <c r="AS3" s="1148" t="s">
        <v>44</v>
      </c>
      <c r="AT3" s="1147" t="s">
        <v>45</v>
      </c>
      <c r="AU3" s="1146" t="s">
        <v>46</v>
      </c>
      <c r="AV3" s="1146" t="s">
        <v>47</v>
      </c>
      <c r="AW3" s="1146" t="s">
        <v>48</v>
      </c>
      <c r="AX3" s="1146" t="s">
        <v>49</v>
      </c>
      <c r="AY3" s="1146" t="s">
        <v>50</v>
      </c>
      <c r="AZ3" s="1146" t="s">
        <v>51</v>
      </c>
      <c r="BA3" s="1146" t="s">
        <v>52</v>
      </c>
      <c r="BB3" s="1146" t="s">
        <v>53</v>
      </c>
      <c r="BC3" s="1146" t="s">
        <v>54</v>
      </c>
      <c r="BD3" s="1146" t="s">
        <v>55</v>
      </c>
      <c r="BE3" s="1121" t="s">
        <v>56</v>
      </c>
      <c r="BF3" s="1121" t="s">
        <v>57</v>
      </c>
      <c r="BG3" s="1146" t="s">
        <v>58</v>
      </c>
      <c r="BH3" s="1121" t="s">
        <v>59</v>
      </c>
      <c r="BI3" s="1121" t="s">
        <v>60</v>
      </c>
      <c r="BJ3" s="1121" t="s">
        <v>61</v>
      </c>
      <c r="BK3" s="1121" t="s">
        <v>62</v>
      </c>
      <c r="BL3" s="1146" t="s">
        <v>63</v>
      </c>
      <c r="BM3" s="1121" t="s">
        <v>64</v>
      </c>
      <c r="BN3" s="1121" t="s">
        <v>65</v>
      </c>
      <c r="BO3" s="1121" t="s">
        <v>66</v>
      </c>
      <c r="BP3" s="1121" t="s">
        <v>67</v>
      </c>
      <c r="BQ3" s="1171" t="s">
        <v>68</v>
      </c>
      <c r="BR3" s="1172" t="s">
        <v>69</v>
      </c>
      <c r="BS3" s="1172" t="s">
        <v>60</v>
      </c>
      <c r="BT3" s="1172" t="s">
        <v>70</v>
      </c>
      <c r="BU3" s="1172" t="s">
        <v>71</v>
      </c>
      <c r="BV3" s="1172" t="s">
        <v>72</v>
      </c>
      <c r="BW3" s="1172" t="s">
        <v>73</v>
      </c>
      <c r="BX3" s="1172" t="s">
        <v>74</v>
      </c>
      <c r="BY3" s="1172" t="s">
        <v>75</v>
      </c>
      <c r="BZ3" s="1172" t="s">
        <v>76</v>
      </c>
      <c r="CA3" s="1172" t="s">
        <v>77</v>
      </c>
      <c r="CB3" s="1172" t="s">
        <v>78</v>
      </c>
      <c r="CC3" s="1172" t="s">
        <v>79</v>
      </c>
      <c r="CD3" s="1178" t="s">
        <v>80</v>
      </c>
      <c r="CE3" s="1179" t="s">
        <v>81</v>
      </c>
      <c r="CF3" s="1179" t="s">
        <v>82</v>
      </c>
      <c r="CG3" s="1171" t="s">
        <v>83</v>
      </c>
      <c r="CH3" s="1180" t="s">
        <v>84</v>
      </c>
      <c r="CI3" s="1181" t="s">
        <v>85</v>
      </c>
      <c r="CJ3" s="1181" t="s">
        <v>86</v>
      </c>
      <c r="CK3" s="1186" t="s">
        <v>87</v>
      </c>
      <c r="CN3" s="1187" t="s">
        <v>88</v>
      </c>
    </row>
    <row r="4" s="245" customFormat="1" ht="171" customHeight="1" spans="1:92">
      <c r="A4" s="1122">
        <v>1</v>
      </c>
      <c r="B4" s="70" t="s">
        <v>89</v>
      </c>
      <c r="C4" s="1123" t="s">
        <v>90</v>
      </c>
      <c r="D4" s="1088" t="s">
        <v>91</v>
      </c>
      <c r="E4" s="1088" t="s">
        <v>92</v>
      </c>
      <c r="F4" s="1124" t="s">
        <v>93</v>
      </c>
      <c r="G4" s="783">
        <v>2017212564</v>
      </c>
      <c r="H4" s="1125">
        <f t="shared" ref="H4:H7" si="0">M4*12</f>
        <v>9356702.4</v>
      </c>
      <c r="I4" s="1125">
        <f>M4*12</f>
        <v>9356702.4</v>
      </c>
      <c r="J4" s="1125">
        <v>555352</v>
      </c>
      <c r="K4" s="1125">
        <v>194373.2</v>
      </c>
      <c r="L4" s="1125">
        <v>30000</v>
      </c>
      <c r="M4" s="295">
        <f t="shared" ref="M4:M6" si="1">SUM(J4:L4)</f>
        <v>779725.2</v>
      </c>
      <c r="N4" s="295">
        <f>M4*0.35/3</f>
        <v>90967.94</v>
      </c>
      <c r="O4" s="295">
        <v>8333.33</v>
      </c>
      <c r="P4" s="295">
        <f>41667</f>
        <v>41667</v>
      </c>
      <c r="Q4" s="295"/>
      <c r="R4" s="295">
        <v>2500</v>
      </c>
      <c r="S4" s="295"/>
      <c r="T4" s="295"/>
      <c r="U4" s="295">
        <v>250000</v>
      </c>
      <c r="V4" s="295"/>
      <c r="W4" s="295"/>
      <c r="X4" s="295"/>
      <c r="Y4" s="295"/>
      <c r="Z4" s="295">
        <v>2500</v>
      </c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1140"/>
      <c r="AM4" s="295">
        <f>M4*0.02</f>
        <v>15594.504</v>
      </c>
      <c r="AN4" s="295">
        <v>500</v>
      </c>
      <c r="AO4" s="295"/>
      <c r="AP4" s="295">
        <v>100000</v>
      </c>
      <c r="AQ4" s="1149"/>
      <c r="AR4" s="1149"/>
      <c r="AS4" s="1150">
        <v>1000</v>
      </c>
      <c r="AT4" s="1151"/>
      <c r="AU4" s="1149"/>
      <c r="AV4" s="1151"/>
      <c r="AW4" s="1149"/>
      <c r="AX4" s="1149"/>
      <c r="AY4" s="1161"/>
      <c r="AZ4" s="1153"/>
      <c r="BA4" s="295">
        <v>456250</v>
      </c>
      <c r="BB4" s="295"/>
      <c r="BC4" s="295">
        <v>12500</v>
      </c>
      <c r="BD4" s="295">
        <v>25000</v>
      </c>
      <c r="BE4" s="724">
        <v>3500</v>
      </c>
      <c r="BF4" s="724">
        <v>3500</v>
      </c>
      <c r="BG4" s="724"/>
      <c r="BH4" s="724">
        <f>BL4*0.02</f>
        <v>23513.8694</v>
      </c>
      <c r="BI4" s="1166"/>
      <c r="BJ4" s="1166"/>
      <c r="BK4" s="724">
        <v>204399.81</v>
      </c>
      <c r="BL4" s="1167">
        <f>M4+N4+O4+P4+R4+S4+T4+U4+V4+W4+Y4+Z4+AA4+AB4</f>
        <v>1175693.47</v>
      </c>
      <c r="BM4" s="724">
        <v>845758.18</v>
      </c>
      <c r="BN4" s="1173"/>
      <c r="BO4" s="1173"/>
      <c r="BP4" s="724">
        <f>BL4-BM4</f>
        <v>329935.29</v>
      </c>
      <c r="BQ4" s="1174">
        <f t="shared" ref="BQ4:BQ16" si="2">BL4*12</f>
        <v>14108321.64</v>
      </c>
      <c r="BR4" s="306">
        <f t="shared" ref="BR4:BR36" si="3">200000+(0.2*BQ4)</f>
        <v>3021664.328</v>
      </c>
      <c r="BS4" s="307">
        <f t="shared" ref="BS4:BS16" si="4">BI4*12</f>
        <v>0</v>
      </c>
      <c r="BT4" s="308">
        <f t="shared" ref="BT4:BT36" si="5">SUM(BR4:BS4)</f>
        <v>3021664.328</v>
      </c>
      <c r="BU4" s="313">
        <f t="shared" ref="BU4:BU36" si="6">+BQ4-BT4</f>
        <v>11086657.312</v>
      </c>
      <c r="BV4" s="306"/>
      <c r="BW4" s="307">
        <f t="shared" ref="BW4:BW36" si="7">IF((BU4&gt;0),(IF((BU4&gt;300000),(300000*7%),(BU4*7%))),(BQ4*1%))</f>
        <v>21000</v>
      </c>
      <c r="BX4" s="307">
        <f t="shared" ref="BX4:BX36" si="8">IF((BU4-300000)&gt;0,(IF((BU4&gt;600000),(300000*11%),((BU4-300000)*11%))),(""))</f>
        <v>33000</v>
      </c>
      <c r="BY4" s="307">
        <f t="shared" ref="BY4:BY36" si="9">IF(((BU4-600000)&gt;0),(IF((BU4&gt;1100000),(500000*15%),((BU4-600000)*15%))),(""))</f>
        <v>75000</v>
      </c>
      <c r="BZ4" s="307">
        <f t="shared" ref="BZ4:BZ36" si="10">IF(((BU4-(1100000))&gt;0),(IF((BU4&gt;(1600000)),((500000)*19%),((BU4-(1100000))*19%))),(""))</f>
        <v>95000</v>
      </c>
      <c r="CA4" s="307">
        <f t="shared" ref="CA4:CA36" si="11">IF(((BU4-(1600000))&gt;0),(IF((BU4&gt;(3200000)),((1600000)*21%),((BU4-(1600000))*21%))),(""))</f>
        <v>336000</v>
      </c>
      <c r="CB4" s="307">
        <f t="shared" ref="CB4:CB36" si="12">IF(((BU4-(3200000))&gt;0),(IF((BU4&gt;(3200000)),((BU4-(3200000))*24%),(0))),(""))</f>
        <v>1892797.75488</v>
      </c>
      <c r="CC4" s="305">
        <f t="shared" ref="CC4:CC36" si="13">SUM(BW4:CB4)</f>
        <v>2452797.75488</v>
      </c>
      <c r="CD4" s="320">
        <f t="shared" ref="CD4:CD36" si="14">1%*BQ4</f>
        <v>141083.2164</v>
      </c>
      <c r="CE4" s="321">
        <f t="shared" ref="CE4:CE36" si="15">MAX(CC4:CD4)</f>
        <v>2452797.75488</v>
      </c>
      <c r="CF4" s="322">
        <f t="shared" ref="CF4:CF17" si="16">+CE4/12</f>
        <v>204399.812906667</v>
      </c>
      <c r="CG4" s="323"/>
      <c r="CH4" s="324"/>
      <c r="CI4" s="325"/>
      <c r="CJ4" s="326"/>
      <c r="CK4" s="1188"/>
      <c r="CL4" s="335"/>
      <c r="CM4" s="335"/>
      <c r="CN4" s="1189"/>
    </row>
    <row r="5" s="245" customFormat="1" ht="146" customHeight="1" spans="1:92">
      <c r="A5" s="1122">
        <v>2</v>
      </c>
      <c r="B5" s="70" t="s">
        <v>94</v>
      </c>
      <c r="C5" s="1123" t="s">
        <v>95</v>
      </c>
      <c r="D5" s="1088" t="s">
        <v>96</v>
      </c>
      <c r="E5" s="1088" t="s">
        <v>92</v>
      </c>
      <c r="F5" s="1124" t="s">
        <v>97</v>
      </c>
      <c r="G5" s="1126" t="s">
        <v>98</v>
      </c>
      <c r="H5" s="1125">
        <f t="shared" si="0"/>
        <v>9356702.4</v>
      </c>
      <c r="I5" s="1125">
        <f t="shared" ref="I5" si="17">M5*12</f>
        <v>9356702.4</v>
      </c>
      <c r="J5" s="1125">
        <v>555352</v>
      </c>
      <c r="K5" s="1125">
        <v>194373.2</v>
      </c>
      <c r="L5" s="1125">
        <v>30000</v>
      </c>
      <c r="M5" s="295">
        <f t="shared" si="1"/>
        <v>779725.2</v>
      </c>
      <c r="N5" s="295"/>
      <c r="O5" s="295"/>
      <c r="P5" s="295">
        <f>41667</f>
        <v>41667</v>
      </c>
      <c r="Q5" s="295"/>
      <c r="R5" s="295">
        <v>2500</v>
      </c>
      <c r="S5" s="295"/>
      <c r="T5" s="295"/>
      <c r="U5" s="295"/>
      <c r="V5" s="295"/>
      <c r="W5" s="295"/>
      <c r="X5" s="295"/>
      <c r="Y5" s="295"/>
      <c r="Z5" s="295">
        <v>2500</v>
      </c>
      <c r="AA5" s="295"/>
      <c r="AB5" s="295"/>
      <c r="AC5" s="295"/>
      <c r="AD5" s="295"/>
      <c r="AE5" s="295"/>
      <c r="AF5" s="295"/>
      <c r="AG5" s="295"/>
      <c r="AH5" s="295"/>
      <c r="AJ5" s="295"/>
      <c r="AK5" s="295"/>
      <c r="AL5" s="1140"/>
      <c r="AM5" s="295">
        <f t="shared" ref="AM5:AM37" si="18">M5*0.02</f>
        <v>15594.504</v>
      </c>
      <c r="AN5" s="295">
        <v>500</v>
      </c>
      <c r="AO5" s="295"/>
      <c r="AP5" s="295"/>
      <c r="AQ5" s="1151">
        <v>1000</v>
      </c>
      <c r="AR5" s="1151"/>
      <c r="AS5" s="1150"/>
      <c r="AT5" s="1151"/>
      <c r="AU5" s="1151"/>
      <c r="AV5" s="1151"/>
      <c r="AW5" s="1151"/>
      <c r="AX5" s="295"/>
      <c r="AY5" s="1161"/>
      <c r="AZ5" s="1151"/>
      <c r="BA5" s="295"/>
      <c r="BB5" s="295"/>
      <c r="BC5" s="295">
        <v>12500</v>
      </c>
      <c r="BD5" s="295">
        <v>25000</v>
      </c>
      <c r="BE5" s="724">
        <v>3500</v>
      </c>
      <c r="BF5" s="724">
        <v>3500</v>
      </c>
      <c r="BG5" s="724"/>
      <c r="BH5" s="724">
        <f>BL5*0.02</f>
        <v>16527.844</v>
      </c>
      <c r="BI5" s="1166"/>
      <c r="BJ5" s="1166"/>
      <c r="BK5" s="724">
        <v>137333.969066667</v>
      </c>
      <c r="BL5" s="1167">
        <f t="shared" ref="BL5:BL29" si="19">M5+N5+O5+P5+R5+S5+T5+U5+V5+W5+Y5+Z5+AA5</f>
        <v>826392.2</v>
      </c>
      <c r="BM5" s="724">
        <v>215456.32</v>
      </c>
      <c r="BN5" s="1173"/>
      <c r="BO5" s="1173"/>
      <c r="BP5" s="724">
        <f t="shared" ref="BP5:BP70" si="20">BL5-BM5</f>
        <v>610935.88</v>
      </c>
      <c r="BQ5" s="1174">
        <f t="shared" si="2"/>
        <v>9916706.4</v>
      </c>
      <c r="BR5" s="306">
        <f t="shared" si="3"/>
        <v>2183341.28</v>
      </c>
      <c r="BS5" s="307">
        <f t="shared" si="4"/>
        <v>0</v>
      </c>
      <c r="BT5" s="308">
        <f t="shared" si="5"/>
        <v>2183341.28</v>
      </c>
      <c r="BU5" s="313">
        <f t="shared" si="6"/>
        <v>7733365.12</v>
      </c>
      <c r="BV5" s="306"/>
      <c r="BW5" s="307">
        <f t="shared" si="7"/>
        <v>21000</v>
      </c>
      <c r="BX5" s="307">
        <f t="shared" si="8"/>
        <v>33000</v>
      </c>
      <c r="BY5" s="307">
        <f t="shared" si="9"/>
        <v>75000</v>
      </c>
      <c r="BZ5" s="307">
        <f t="shared" si="10"/>
        <v>95000</v>
      </c>
      <c r="CA5" s="307">
        <f t="shared" si="11"/>
        <v>336000</v>
      </c>
      <c r="CB5" s="307">
        <f t="shared" si="12"/>
        <v>1088007.6288</v>
      </c>
      <c r="CC5" s="305">
        <f t="shared" si="13"/>
        <v>1648007.6288</v>
      </c>
      <c r="CD5" s="320">
        <f t="shared" si="14"/>
        <v>99167.064</v>
      </c>
      <c r="CE5" s="321">
        <f t="shared" si="15"/>
        <v>1648007.6288</v>
      </c>
      <c r="CF5" s="322">
        <f t="shared" si="16"/>
        <v>137333.969066667</v>
      </c>
      <c r="CG5" s="323"/>
      <c r="CH5" s="324"/>
      <c r="CI5" s="325"/>
      <c r="CJ5" s="326"/>
      <c r="CK5" s="1188"/>
      <c r="CL5" s="335"/>
      <c r="CM5" s="335"/>
      <c r="CN5" s="1189"/>
    </row>
    <row r="6" s="245" customFormat="1" ht="117" customHeight="1" spans="1:92">
      <c r="A6" s="1122">
        <v>3</v>
      </c>
      <c r="B6" s="70" t="s">
        <v>99</v>
      </c>
      <c r="C6" s="1123" t="str">
        <f>'[1]TEACHING STAFF'!$D$6</f>
        <v>PHYSICS</v>
      </c>
      <c r="D6" s="1088" t="s">
        <v>100</v>
      </c>
      <c r="E6" s="1088" t="s">
        <v>92</v>
      </c>
      <c r="F6" s="1124" t="s">
        <v>101</v>
      </c>
      <c r="G6" s="783" t="s">
        <v>102</v>
      </c>
      <c r="H6" s="1125"/>
      <c r="I6" s="1125"/>
      <c r="J6" s="1125">
        <v>555352</v>
      </c>
      <c r="K6" s="1125">
        <v>194373.2</v>
      </c>
      <c r="L6" s="1125">
        <v>30000</v>
      </c>
      <c r="M6" s="295">
        <f t="shared" si="1"/>
        <v>779725.2</v>
      </c>
      <c r="N6" s="295"/>
      <c r="O6" s="295"/>
      <c r="P6" s="295">
        <v>20833.33</v>
      </c>
      <c r="Q6" s="295"/>
      <c r="R6" s="295">
        <v>2500</v>
      </c>
      <c r="S6" s="295"/>
      <c r="T6" s="295"/>
      <c r="U6" s="295"/>
      <c r="V6" s="295"/>
      <c r="W6" s="295"/>
      <c r="X6" s="295"/>
      <c r="Y6" s="295"/>
      <c r="Z6" s="295">
        <v>2500</v>
      </c>
      <c r="AA6" s="295"/>
      <c r="AB6" s="295"/>
      <c r="AC6" s="295"/>
      <c r="AD6" s="295"/>
      <c r="AE6" s="295"/>
      <c r="AF6" s="295"/>
      <c r="AG6" s="295"/>
      <c r="AH6" s="295"/>
      <c r="AI6" s="295"/>
      <c r="AJ6" s="295"/>
      <c r="AK6" s="295"/>
      <c r="AL6" s="1140"/>
      <c r="AM6" s="295">
        <f t="shared" si="18"/>
        <v>15594.504</v>
      </c>
      <c r="AN6" s="295">
        <v>500</v>
      </c>
      <c r="AO6" s="295"/>
      <c r="AP6" s="295"/>
      <c r="AQ6" s="1151">
        <v>1000</v>
      </c>
      <c r="AR6" s="1151"/>
      <c r="AS6" s="1150"/>
      <c r="AT6" s="1151"/>
      <c r="AU6" s="1151"/>
      <c r="AV6" s="1151"/>
      <c r="AW6" s="1151"/>
      <c r="AX6" s="1151"/>
      <c r="AY6" s="1161"/>
      <c r="AZ6" s="1151"/>
      <c r="BA6" s="295"/>
      <c r="BB6" s="295"/>
      <c r="BC6" s="295">
        <v>4166.67</v>
      </c>
      <c r="BD6" s="295">
        <f>'[1]TEACHING STAFF'!$AS$6</f>
        <v>8333.33</v>
      </c>
      <c r="BE6" s="724">
        <v>3500</v>
      </c>
      <c r="BF6" s="724">
        <v>3500</v>
      </c>
      <c r="BG6" s="724"/>
      <c r="BH6" s="724">
        <f t="shared" ref="BH6:BH65" si="21">BL6*0.02</f>
        <v>16111.1706</v>
      </c>
      <c r="BI6" s="1166"/>
      <c r="BJ6" s="1166"/>
      <c r="BK6" s="724">
        <v>133333.9</v>
      </c>
      <c r="BL6" s="1167">
        <f t="shared" si="19"/>
        <v>805558.53</v>
      </c>
      <c r="BM6" s="724">
        <f>BK6+BH6+BE6+BD6+BC6+AQ6+AN6+AM6</f>
        <v>182539.5746</v>
      </c>
      <c r="BN6" s="1173"/>
      <c r="BO6" s="1173"/>
      <c r="BP6" s="724">
        <f t="shared" si="20"/>
        <v>623018.9554</v>
      </c>
      <c r="BQ6" s="1174"/>
      <c r="BR6" s="306"/>
      <c r="BS6" s="307"/>
      <c r="BT6" s="308"/>
      <c r="BU6" s="313"/>
      <c r="BV6" s="306"/>
      <c r="BW6" s="307"/>
      <c r="BX6" s="307"/>
      <c r="BY6" s="307"/>
      <c r="BZ6" s="307"/>
      <c r="CA6" s="307"/>
      <c r="CB6" s="307"/>
      <c r="CC6" s="305"/>
      <c r="CD6" s="320"/>
      <c r="CE6" s="321"/>
      <c r="CF6" s="322"/>
      <c r="CG6" s="323"/>
      <c r="CH6" s="324"/>
      <c r="CI6" s="325"/>
      <c r="CJ6" s="326"/>
      <c r="CK6" s="1188"/>
      <c r="CL6" s="335"/>
      <c r="CM6" s="335"/>
      <c r="CN6" s="1190"/>
    </row>
    <row r="7" s="245" customFormat="1" ht="161.25" customHeight="1" spans="1:92">
      <c r="A7" s="1122">
        <v>4</v>
      </c>
      <c r="B7" s="70" t="s">
        <v>103</v>
      </c>
      <c r="C7" s="1123" t="s">
        <v>104</v>
      </c>
      <c r="D7" s="1088" t="s">
        <v>105</v>
      </c>
      <c r="E7" s="1088" t="s">
        <v>106</v>
      </c>
      <c r="F7" s="1124" t="s">
        <v>97</v>
      </c>
      <c r="G7" s="1126" t="s">
        <v>107</v>
      </c>
      <c r="H7" s="1125">
        <f t="shared" si="0"/>
        <v>3843072.48</v>
      </c>
      <c r="I7" s="1125"/>
      <c r="J7" s="1125">
        <v>319245.33</v>
      </c>
      <c r="K7" s="1125">
        <v>45673.005</v>
      </c>
      <c r="L7" s="1125">
        <v>15000</v>
      </c>
      <c r="M7" s="295">
        <v>320256.04</v>
      </c>
      <c r="N7" s="295"/>
      <c r="O7" s="295"/>
      <c r="P7" s="295"/>
      <c r="Q7" s="295"/>
      <c r="R7" s="295">
        <v>2500</v>
      </c>
      <c r="S7" s="295"/>
      <c r="T7" s="295"/>
      <c r="U7" s="295"/>
      <c r="V7" s="295"/>
      <c r="W7" s="295"/>
      <c r="X7" s="295"/>
      <c r="Y7" s="295"/>
      <c r="Z7" s="295">
        <v>2500</v>
      </c>
      <c r="AA7" s="295"/>
      <c r="AB7" s="295"/>
      <c r="AC7" s="295">
        <v>0</v>
      </c>
      <c r="AD7" s="295"/>
      <c r="AE7" s="295"/>
      <c r="AF7" s="295"/>
      <c r="AG7" s="295"/>
      <c r="AH7" s="295"/>
      <c r="AI7" s="295"/>
      <c r="AJ7" s="295"/>
      <c r="AK7" s="295"/>
      <c r="AL7" s="1140"/>
      <c r="AM7" s="295">
        <f t="shared" si="18"/>
        <v>6405.1208</v>
      </c>
      <c r="AN7" s="295">
        <v>500</v>
      </c>
      <c r="AO7" s="295"/>
      <c r="AP7" s="295"/>
      <c r="AQ7" s="1151">
        <v>1000</v>
      </c>
      <c r="AR7" s="1151"/>
      <c r="AS7" s="1150"/>
      <c r="AT7" s="1151"/>
      <c r="AU7" s="1151"/>
      <c r="AV7" s="1151"/>
      <c r="AW7" s="1151"/>
      <c r="AX7" s="1151"/>
      <c r="AY7" s="1161"/>
      <c r="AZ7" s="1151"/>
      <c r="BA7" s="295"/>
      <c r="BB7" s="295"/>
      <c r="BC7" s="295"/>
      <c r="BD7" s="295"/>
      <c r="BE7" s="724">
        <v>1750</v>
      </c>
      <c r="BF7" s="724"/>
      <c r="BG7" s="724"/>
      <c r="BH7" s="724">
        <f t="shared" si="21"/>
        <v>6505.1208</v>
      </c>
      <c r="BI7" s="1166"/>
      <c r="BJ7" s="1166"/>
      <c r="BK7" s="724">
        <v>41809.6813866667</v>
      </c>
      <c r="BL7" s="1167">
        <f t="shared" si="19"/>
        <v>325256.04</v>
      </c>
      <c r="BM7" s="724">
        <f t="shared" ref="BM7:BM71" si="22">AI7+AJ7+AK7+AL7+AM7+AN7+AP7++AQ7+AR7+AS7+AT7+AU7+AV7+AW7+AX7+AY7+AZ7+BA7+BB7+BC7+BD7+BE7+BG7+BH7+BK7</f>
        <v>57969.9229866667</v>
      </c>
      <c r="BN7" s="724"/>
      <c r="BO7" s="724"/>
      <c r="BP7" s="724">
        <f t="shared" si="20"/>
        <v>267286.117013333</v>
      </c>
      <c r="BQ7" s="1174">
        <f t="shared" si="2"/>
        <v>3903072.48</v>
      </c>
      <c r="BR7" s="306">
        <f t="shared" ref="BR7" si="23">200000+(0.2*BQ7)</f>
        <v>980614.496</v>
      </c>
      <c r="BS7" s="307">
        <f t="shared" si="4"/>
        <v>0</v>
      </c>
      <c r="BT7" s="308">
        <f t="shared" ref="BT7" si="24">SUM(BR7:BS7)</f>
        <v>980614.496</v>
      </c>
      <c r="BU7" s="313">
        <f t="shared" ref="BU7" si="25">+BQ7-BT7</f>
        <v>2922457.984</v>
      </c>
      <c r="BV7" s="306"/>
      <c r="BW7" s="307">
        <f t="shared" ref="BW7" si="26">IF((BU7&gt;0),(IF((BU7&gt;300000),(300000*7%),(BU7*7%))),(BQ7*1%))</f>
        <v>21000</v>
      </c>
      <c r="BX7" s="307">
        <f t="shared" ref="BX7" si="27">IF((BU7-300000)&gt;0,(IF((BU7&gt;600000),(300000*11%),((BU7-300000)*11%))),(""))</f>
        <v>33000</v>
      </c>
      <c r="BY7" s="307">
        <f t="shared" ref="BY7" si="28">IF(((BU7-600000)&gt;0),(IF((BU7&gt;1100000),(500000*15%),((BU7-600000)*15%))),(""))</f>
        <v>75000</v>
      </c>
      <c r="BZ7" s="307">
        <f t="shared" ref="BZ7" si="29">IF(((BU7-(1100000))&gt;0),(IF((BU7&gt;(1600000)),((500000)*19%),((BU7-(1100000))*19%))),(""))</f>
        <v>95000</v>
      </c>
      <c r="CA7" s="307">
        <f t="shared" ref="CA7" si="30">IF(((BU7-(1600000))&gt;0),(IF((BU7&gt;(3200000)),((1600000)*21%),((BU7-(1600000))*21%))),(""))</f>
        <v>277716.17664</v>
      </c>
      <c r="CB7" s="307" t="str">
        <f t="shared" ref="CB7" si="31">IF(((BU7-(3200000))&gt;0),(IF((BU7&gt;(3200000)),((BU7-(3200000))*24%),(0))),(""))</f>
        <v/>
      </c>
      <c r="CC7" s="305">
        <f t="shared" ref="CC7" si="32">SUM(BW7:CB7)</f>
        <v>501716.17664</v>
      </c>
      <c r="CD7" s="320">
        <f t="shared" ref="CD7" si="33">1%*BQ7</f>
        <v>39030.7248</v>
      </c>
      <c r="CE7" s="321">
        <f t="shared" ref="CE7" si="34">MAX(CC7:CD7)</f>
        <v>501716.17664</v>
      </c>
      <c r="CF7" s="322">
        <f>BK7</f>
        <v>41809.6813866667</v>
      </c>
      <c r="CG7" s="323"/>
      <c r="CH7" s="324"/>
      <c r="CI7" s="325"/>
      <c r="CJ7" s="326"/>
      <c r="CK7" s="1188"/>
      <c r="CL7" s="335"/>
      <c r="CN7" s="1190" t="s">
        <v>108</v>
      </c>
    </row>
    <row r="8" s="245" customFormat="1" ht="161.25" customHeight="1" spans="1:92">
      <c r="A8" s="1122">
        <v>5</v>
      </c>
      <c r="B8" s="70" t="s">
        <v>109</v>
      </c>
      <c r="C8" s="1123" t="s">
        <v>110</v>
      </c>
      <c r="D8" s="1088" t="s">
        <v>111</v>
      </c>
      <c r="E8" s="1088" t="s">
        <v>112</v>
      </c>
      <c r="F8" s="1124" t="s">
        <v>113</v>
      </c>
      <c r="G8" s="1126">
        <v>2088596893</v>
      </c>
      <c r="H8" s="1125"/>
      <c r="I8" s="1125"/>
      <c r="J8" s="1125"/>
      <c r="K8" s="1125"/>
      <c r="L8" s="1125"/>
      <c r="M8" s="295">
        <f>640512.08/2</f>
        <v>320256.04</v>
      </c>
      <c r="N8" s="295"/>
      <c r="O8" s="295"/>
      <c r="P8" s="295"/>
      <c r="Q8" s="295"/>
      <c r="R8" s="295">
        <v>2500</v>
      </c>
      <c r="S8" s="295"/>
      <c r="T8" s="295"/>
      <c r="U8" s="295"/>
      <c r="V8" s="295"/>
      <c r="W8" s="295"/>
      <c r="X8" s="295"/>
      <c r="Y8" s="295"/>
      <c r="Z8" s="295">
        <v>2500</v>
      </c>
      <c r="AA8" s="295"/>
      <c r="AB8" s="295"/>
      <c r="AC8" s="295">
        <v>0</v>
      </c>
      <c r="AD8" s="295"/>
      <c r="AE8" s="295"/>
      <c r="AF8" s="295"/>
      <c r="AG8" s="295"/>
      <c r="AH8" s="295"/>
      <c r="AI8" s="295"/>
      <c r="AJ8" s="295"/>
      <c r="AK8" s="295"/>
      <c r="AL8" s="1140"/>
      <c r="AM8" s="295">
        <f t="shared" ref="AM8" si="35">M8*0.02</f>
        <v>6405.1208</v>
      </c>
      <c r="AN8" s="295">
        <v>500</v>
      </c>
      <c r="AO8" s="295"/>
      <c r="AP8" s="295"/>
      <c r="AQ8" s="1151">
        <v>1000</v>
      </c>
      <c r="AR8" s="1151"/>
      <c r="AS8" s="1150"/>
      <c r="AT8" s="1151"/>
      <c r="AU8" s="1151"/>
      <c r="AV8" s="1151"/>
      <c r="AW8" s="1151"/>
      <c r="AX8" s="1151"/>
      <c r="AY8" s="1161"/>
      <c r="AZ8" s="1151"/>
      <c r="BA8" s="295"/>
      <c r="BB8" s="295"/>
      <c r="BC8" s="295"/>
      <c r="BD8" s="295"/>
      <c r="BE8" s="724">
        <v>1750</v>
      </c>
      <c r="BF8" s="724"/>
      <c r="BG8" s="724"/>
      <c r="BH8" s="724">
        <f t="shared" ref="BH8" si="36">BL8*0.02</f>
        <v>6505.1208</v>
      </c>
      <c r="BI8" s="1166"/>
      <c r="BJ8" s="1166"/>
      <c r="BK8" s="724">
        <v>41809.6813866667</v>
      </c>
      <c r="BL8" s="1167">
        <f t="shared" ref="BL8" si="37">M8+N8+O8+P8+R8+S8+T8+U8+V8+W8+Y8+Z8+AA8</f>
        <v>325256.04</v>
      </c>
      <c r="BM8" s="724">
        <f t="shared" ref="BM8" si="38">AI8+AJ8+AK8+AL8+AM8+AN8+AP8++AQ8+AR8+AS8+AT8+AU8+AV8+AW8+AX8+AY8+AZ8+BA8+BB8+BC8+BD8+BE8+BG8+BH8+BK8</f>
        <v>57969.9229866667</v>
      </c>
      <c r="BN8" s="724"/>
      <c r="BO8" s="724"/>
      <c r="BP8" s="724">
        <f t="shared" ref="BP8" si="39">BL8-BM8</f>
        <v>267286.117013333</v>
      </c>
      <c r="BQ8" s="1174"/>
      <c r="BR8" s="306"/>
      <c r="BS8" s="307"/>
      <c r="BT8" s="308"/>
      <c r="BU8" s="313"/>
      <c r="BV8" s="306"/>
      <c r="BW8" s="307"/>
      <c r="BX8" s="307"/>
      <c r="BY8" s="307"/>
      <c r="BZ8" s="307"/>
      <c r="CA8" s="307"/>
      <c r="CB8" s="307"/>
      <c r="CC8" s="305"/>
      <c r="CD8" s="320"/>
      <c r="CE8" s="321"/>
      <c r="CF8" s="322"/>
      <c r="CG8" s="323"/>
      <c r="CH8" s="324"/>
      <c r="CI8" s="325"/>
      <c r="CJ8" s="326"/>
      <c r="CK8" s="1188"/>
      <c r="CL8" s="335"/>
      <c r="CN8" s="1190" t="s">
        <v>108</v>
      </c>
    </row>
    <row r="9" s="245" customFormat="1" ht="161.25" customHeight="1" spans="1:92">
      <c r="A9" s="1122">
        <v>6</v>
      </c>
      <c r="B9" s="70" t="s">
        <v>114</v>
      </c>
      <c r="C9" s="1123" t="s">
        <v>95</v>
      </c>
      <c r="D9" s="1088" t="s">
        <v>111</v>
      </c>
      <c r="E9" s="1088" t="s">
        <v>115</v>
      </c>
      <c r="F9" s="1124" t="s">
        <v>97</v>
      </c>
      <c r="G9" s="1126" t="s">
        <v>116</v>
      </c>
      <c r="H9" s="1125">
        <f t="shared" ref="H9" si="40">M9*12</f>
        <v>4559020.02</v>
      </c>
      <c r="I9" s="1125"/>
      <c r="J9" s="1125">
        <v>319245.33</v>
      </c>
      <c r="K9" s="1125">
        <v>45673.005</v>
      </c>
      <c r="L9" s="1125">
        <v>15000</v>
      </c>
      <c r="M9" s="295">
        <f t="shared" ref="M9" si="41">SUM(J9:L9)</f>
        <v>379918.335</v>
      </c>
      <c r="N9" s="295"/>
      <c r="O9" s="295"/>
      <c r="P9" s="295"/>
      <c r="Q9" s="295"/>
      <c r="R9" s="295">
        <v>2500</v>
      </c>
      <c r="S9" s="295"/>
      <c r="T9" s="295"/>
      <c r="U9" s="295"/>
      <c r="V9" s="295"/>
      <c r="W9" s="295"/>
      <c r="X9" s="295"/>
      <c r="Y9" s="295"/>
      <c r="Z9" s="295">
        <v>2500</v>
      </c>
      <c r="AA9" s="295"/>
      <c r="AB9" s="295"/>
      <c r="AC9" s="295">
        <v>0</v>
      </c>
      <c r="AD9" s="295"/>
      <c r="AE9" s="295"/>
      <c r="AF9" s="295"/>
      <c r="AG9" s="295"/>
      <c r="AH9" s="295"/>
      <c r="AI9" s="295"/>
      <c r="AJ9" s="295"/>
      <c r="AK9" s="295"/>
      <c r="AL9" s="1140"/>
      <c r="AM9" s="295">
        <f t="shared" ref="AM9:AM10" si="42">M9*0.02</f>
        <v>7598.3667</v>
      </c>
      <c r="AN9" s="295">
        <v>500</v>
      </c>
      <c r="AO9" s="295"/>
      <c r="AP9" s="295"/>
      <c r="AQ9" s="1151">
        <v>1000</v>
      </c>
      <c r="AR9" s="1151"/>
      <c r="AS9" s="1150"/>
      <c r="AT9" s="1151"/>
      <c r="AU9" s="1151"/>
      <c r="AV9" s="1151"/>
      <c r="AW9" s="1151"/>
      <c r="AX9" s="1151"/>
      <c r="AY9" s="1161"/>
      <c r="AZ9" s="1151"/>
      <c r="BA9" s="295"/>
      <c r="BB9" s="295"/>
      <c r="BC9" s="295"/>
      <c r="BD9" s="295"/>
      <c r="BE9" s="724">
        <v>1750</v>
      </c>
      <c r="BF9" s="724"/>
      <c r="BG9" s="724"/>
      <c r="BH9" s="724">
        <f t="shared" ref="BH9" si="43">BL9*0.02</f>
        <v>7698.3667</v>
      </c>
      <c r="BI9" s="1166"/>
      <c r="BJ9" s="1166"/>
      <c r="BK9" s="724">
        <v>52570.9869866667</v>
      </c>
      <c r="BL9" s="1167">
        <f t="shared" ref="BL9" si="44">M9+N9+O9+P9+R9+S9+T9+U9+V9+W9+Y9+Z9+AA9</f>
        <v>384918.335</v>
      </c>
      <c r="BM9" s="724">
        <f t="shared" ref="BM9" si="45">AI9+AJ9+AK9+AL9+AM9+AN9+AP9++AQ9+AR9+AS9+AT9+AU9+AV9+AW9+AX9+AY9+AZ9+BA9+BB9+BC9+BD9+BE9+BG9+BH9+BK9</f>
        <v>71117.7203866667</v>
      </c>
      <c r="BN9" s="724"/>
      <c r="BO9" s="724"/>
      <c r="BP9" s="724">
        <f t="shared" ref="BP9" si="46">BL9-BM9</f>
        <v>313800.614613333</v>
      </c>
      <c r="BQ9" s="1174"/>
      <c r="BR9" s="306"/>
      <c r="BS9" s="307"/>
      <c r="BT9" s="308"/>
      <c r="BU9" s="313"/>
      <c r="BV9" s="306"/>
      <c r="BW9" s="307"/>
      <c r="BX9" s="307"/>
      <c r="BY9" s="307"/>
      <c r="BZ9" s="307"/>
      <c r="CA9" s="307"/>
      <c r="CB9" s="307"/>
      <c r="CC9" s="305"/>
      <c r="CD9" s="320"/>
      <c r="CE9" s="321"/>
      <c r="CF9" s="322"/>
      <c r="CG9" s="323"/>
      <c r="CH9" s="324"/>
      <c r="CI9" s="325"/>
      <c r="CJ9" s="326"/>
      <c r="CK9" s="1188"/>
      <c r="CL9" s="335"/>
      <c r="CN9" s="1190" t="s">
        <v>108</v>
      </c>
    </row>
    <row r="10" s="245" customFormat="1" ht="161.25" customHeight="1" spans="1:92">
      <c r="A10" s="1122">
        <v>7</v>
      </c>
      <c r="B10" s="70" t="s">
        <v>117</v>
      </c>
      <c r="C10" s="1123" t="s">
        <v>118</v>
      </c>
      <c r="D10" s="1088" t="s">
        <v>111</v>
      </c>
      <c r="E10" s="1088" t="s">
        <v>92</v>
      </c>
      <c r="F10" s="1124" t="s">
        <v>113</v>
      </c>
      <c r="G10" s="783">
        <v>1006415522</v>
      </c>
      <c r="H10" s="1125"/>
      <c r="I10" s="1125"/>
      <c r="J10" s="1125">
        <v>277675.583333333</v>
      </c>
      <c r="K10" s="1125">
        <v>97186.4541666666</v>
      </c>
      <c r="L10" s="1125">
        <v>15000</v>
      </c>
      <c r="M10" s="295">
        <f t="shared" ref="M10" si="47">SUM(J10:L10)</f>
        <v>389862.0375</v>
      </c>
      <c r="N10" s="295"/>
      <c r="O10" s="295"/>
      <c r="P10" s="295"/>
      <c r="Q10" s="295"/>
      <c r="R10" s="295">
        <v>2500</v>
      </c>
      <c r="S10" s="295"/>
      <c r="T10" s="295"/>
      <c r="U10" s="295"/>
      <c r="V10" s="295"/>
      <c r="W10" s="295"/>
      <c r="X10" s="295"/>
      <c r="Y10" s="295"/>
      <c r="Z10" s="295">
        <v>2500</v>
      </c>
      <c r="AA10" s="295"/>
      <c r="AB10" s="295"/>
      <c r="AC10" s="295">
        <v>0</v>
      </c>
      <c r="AD10" s="295"/>
      <c r="AE10" s="295"/>
      <c r="AF10" s="295"/>
      <c r="AG10" s="295"/>
      <c r="AH10" s="295"/>
      <c r="AI10" s="1141"/>
      <c r="AJ10" s="295"/>
      <c r="AK10" s="295"/>
      <c r="AL10" s="1140"/>
      <c r="AM10" s="295">
        <f t="shared" si="42"/>
        <v>7797.24075</v>
      </c>
      <c r="AN10" s="295">
        <v>500</v>
      </c>
      <c r="AO10" s="295">
        <v>0</v>
      </c>
      <c r="AP10" s="295"/>
      <c r="AQ10" s="295"/>
      <c r="AR10" s="1151"/>
      <c r="AS10" s="1151">
        <v>1000</v>
      </c>
      <c r="AT10" s="1151"/>
      <c r="AU10" s="1151"/>
      <c r="AV10" s="1151"/>
      <c r="AW10" s="1151"/>
      <c r="AX10" s="1151"/>
      <c r="AY10" s="1151"/>
      <c r="AZ10" s="1161"/>
      <c r="BA10" s="1151"/>
      <c r="BB10" s="1162"/>
      <c r="BC10" s="295"/>
      <c r="BD10" s="295"/>
      <c r="BE10" s="724">
        <v>1750</v>
      </c>
      <c r="BF10" s="724"/>
      <c r="BG10" s="724"/>
      <c r="BH10" s="724">
        <f t="shared" ref="BH10" si="48">BL10*0.02</f>
        <v>7897.24075</v>
      </c>
      <c r="BI10" s="1166"/>
      <c r="BJ10" s="1166"/>
      <c r="BK10" s="724">
        <v>54480.1778666667</v>
      </c>
      <c r="BL10" s="1167">
        <f t="shared" ref="BL10" si="49">M10+N10+O10+P10+R10+S10+T10+U10+V10+W10+Y10+Z10+AA10</f>
        <v>394862.0375</v>
      </c>
      <c r="BM10" s="724">
        <f t="shared" ref="BM10" si="50">AI10+AJ10+AK10+AL10+AM10+AN10+AP10++AQ10+AR10+AS10+AT10+AU10+AV10+AW10+AX10+AY10+AZ10+BA10+BB10+BC10+BD10+BE10+BG10+BH10+BK10</f>
        <v>73424.6593666667</v>
      </c>
      <c r="BN10" s="724"/>
      <c r="BO10" s="724"/>
      <c r="BP10" s="724">
        <f t="shared" ref="BP10" si="51">BL10-BM10</f>
        <v>321437.378133333</v>
      </c>
      <c r="BQ10" s="724">
        <f t="shared" ref="BQ10" si="52">BM10-BN10</f>
        <v>73424.6593666667</v>
      </c>
      <c r="BR10" s="306"/>
      <c r="BS10" s="307"/>
      <c r="BT10" s="308"/>
      <c r="BU10" s="313"/>
      <c r="BV10" s="306"/>
      <c r="BW10" s="307"/>
      <c r="BX10" s="307"/>
      <c r="BY10" s="307"/>
      <c r="BZ10" s="307"/>
      <c r="CA10" s="307"/>
      <c r="CB10" s="307"/>
      <c r="CC10" s="305"/>
      <c r="CD10" s="320"/>
      <c r="CE10" s="321"/>
      <c r="CF10" s="322"/>
      <c r="CG10" s="323"/>
      <c r="CH10" s="324"/>
      <c r="CI10" s="325"/>
      <c r="CJ10" s="326"/>
      <c r="CK10" s="1188"/>
      <c r="CL10" s="335"/>
      <c r="CN10" s="1190" t="s">
        <v>108</v>
      </c>
    </row>
    <row r="11" s="245" customFormat="1" ht="172.5" customHeight="1" spans="1:92">
      <c r="A11" s="1122">
        <v>8</v>
      </c>
      <c r="B11" s="70" t="s">
        <v>119</v>
      </c>
      <c r="C11" s="1123" t="s">
        <v>95</v>
      </c>
      <c r="D11" s="1088" t="s">
        <v>120</v>
      </c>
      <c r="E11" s="1088" t="s">
        <v>121</v>
      </c>
      <c r="F11" s="1124" t="s">
        <v>122</v>
      </c>
      <c r="G11" s="783" t="s">
        <v>123</v>
      </c>
      <c r="H11" s="1125">
        <v>2425322</v>
      </c>
      <c r="I11" s="1125">
        <v>2688069</v>
      </c>
      <c r="J11" s="1125">
        <v>224005.75</v>
      </c>
      <c r="K11" s="1125">
        <v>56001.4375</v>
      </c>
      <c r="L11" s="1125">
        <v>30000</v>
      </c>
      <c r="M11" s="295">
        <v>413255.25</v>
      </c>
      <c r="N11" s="295">
        <f t="shared" ref="N11:N18" si="53">M11*0.35/3</f>
        <v>48213.1125</v>
      </c>
      <c r="O11" s="295">
        <v>5000</v>
      </c>
      <c r="P11" s="295">
        <v>41667</v>
      </c>
      <c r="Q11" s="295"/>
      <c r="R11" s="295">
        <v>2500</v>
      </c>
      <c r="S11" s="295"/>
      <c r="T11" s="295"/>
      <c r="U11" s="295"/>
      <c r="V11" s="295"/>
      <c r="W11" s="295"/>
      <c r="X11" s="295"/>
      <c r="Y11" s="295"/>
      <c r="Z11" s="295">
        <v>2500</v>
      </c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1140"/>
      <c r="AM11" s="295">
        <f t="shared" si="18"/>
        <v>8265.105</v>
      </c>
      <c r="AN11" s="295">
        <v>500</v>
      </c>
      <c r="AO11" s="295"/>
      <c r="AP11" s="295"/>
      <c r="AQ11" s="1151">
        <v>1000</v>
      </c>
      <c r="AR11" s="1151"/>
      <c r="AS11" s="1150"/>
      <c r="AT11" s="1151"/>
      <c r="AU11" s="1151"/>
      <c r="AV11" s="1151">
        <v>5000</v>
      </c>
      <c r="AW11" s="1151"/>
      <c r="AX11" s="1151"/>
      <c r="AY11" s="1161"/>
      <c r="AZ11" s="1151"/>
      <c r="BA11" s="295"/>
      <c r="BB11" s="393"/>
      <c r="BC11" s="295"/>
      <c r="BD11" s="295"/>
      <c r="BE11" s="724">
        <v>1500</v>
      </c>
      <c r="BF11" s="724"/>
      <c r="BG11" s="724"/>
      <c r="BH11" s="724">
        <f t="shared" si="21"/>
        <v>10262.70725</v>
      </c>
      <c r="BI11" s="1166"/>
      <c r="BJ11" s="1166"/>
      <c r="BK11" s="724">
        <v>77188.66</v>
      </c>
      <c r="BL11" s="1167">
        <f t="shared" si="19"/>
        <v>513135.3625</v>
      </c>
      <c r="BM11" s="724">
        <f t="shared" si="22"/>
        <v>103716.47225</v>
      </c>
      <c r="BN11" s="724"/>
      <c r="BO11" s="724"/>
      <c r="BP11" s="724">
        <f t="shared" si="20"/>
        <v>409418.89025</v>
      </c>
      <c r="BQ11" s="1174">
        <f t="shared" si="2"/>
        <v>6157624.35</v>
      </c>
      <c r="BR11" s="306">
        <f t="shared" si="3"/>
        <v>1431524.87</v>
      </c>
      <c r="BS11" s="307">
        <f t="shared" si="4"/>
        <v>0</v>
      </c>
      <c r="BT11" s="308">
        <f t="shared" si="5"/>
        <v>1431524.87</v>
      </c>
      <c r="BU11" s="313">
        <f t="shared" si="6"/>
        <v>4726099.48</v>
      </c>
      <c r="BV11" s="306"/>
      <c r="BW11" s="307">
        <f t="shared" si="7"/>
        <v>21000</v>
      </c>
      <c r="BX11" s="307">
        <f t="shared" si="8"/>
        <v>33000</v>
      </c>
      <c r="BY11" s="307">
        <f t="shared" si="9"/>
        <v>75000</v>
      </c>
      <c r="BZ11" s="307">
        <f t="shared" si="10"/>
        <v>95000</v>
      </c>
      <c r="CA11" s="307">
        <f t="shared" si="11"/>
        <v>336000</v>
      </c>
      <c r="CB11" s="307">
        <f t="shared" si="12"/>
        <v>366263.8752</v>
      </c>
      <c r="CC11" s="305">
        <f t="shared" si="13"/>
        <v>926263.8752</v>
      </c>
      <c r="CD11" s="320">
        <f t="shared" si="14"/>
        <v>61576.2435</v>
      </c>
      <c r="CE11" s="321">
        <f t="shared" si="15"/>
        <v>926263.8752</v>
      </c>
      <c r="CF11" s="322">
        <f t="shared" si="16"/>
        <v>77188.6562666667</v>
      </c>
      <c r="CG11" s="323"/>
      <c r="CH11" s="324"/>
      <c r="CI11" s="325"/>
      <c r="CJ11" s="326"/>
      <c r="CK11" s="1188"/>
      <c r="CL11" s="335"/>
      <c r="CN11" s="1190"/>
    </row>
    <row r="12" s="245" customFormat="1" ht="172.5" customHeight="1" spans="1:92">
      <c r="A12" s="1122">
        <v>9</v>
      </c>
      <c r="B12" s="70" t="s">
        <v>124</v>
      </c>
      <c r="C12" s="1122" t="s">
        <v>110</v>
      </c>
      <c r="D12" s="1088" t="s">
        <v>125</v>
      </c>
      <c r="E12" s="1088" t="s">
        <v>126</v>
      </c>
      <c r="F12" s="1124" t="s">
        <v>127</v>
      </c>
      <c r="G12" s="783" t="s">
        <v>128</v>
      </c>
      <c r="H12" s="1125">
        <v>2048214</v>
      </c>
      <c r="I12" s="1125">
        <v>2144788</v>
      </c>
      <c r="J12" s="1125">
        <v>178732.333333333</v>
      </c>
      <c r="K12" s="1125">
        <v>44683.0833333333</v>
      </c>
      <c r="L12" s="1125">
        <v>30000</v>
      </c>
      <c r="M12" s="295">
        <v>259114.17</v>
      </c>
      <c r="N12" s="295">
        <f t="shared" si="53"/>
        <v>30229.9865</v>
      </c>
      <c r="O12" s="295">
        <v>5000</v>
      </c>
      <c r="P12" s="295"/>
      <c r="Q12" s="295"/>
      <c r="R12" s="295">
        <v>2500</v>
      </c>
      <c r="S12" s="295"/>
      <c r="T12" s="295"/>
      <c r="U12" s="295"/>
      <c r="V12" s="295"/>
      <c r="W12" s="295"/>
      <c r="X12" s="295"/>
      <c r="Y12" s="295"/>
      <c r="Z12" s="295">
        <v>2500</v>
      </c>
      <c r="AA12" s="295"/>
      <c r="AB12" s="295"/>
      <c r="AC12" s="295"/>
      <c r="AD12" s="295"/>
      <c r="AE12" s="295"/>
      <c r="AF12" s="295"/>
      <c r="AG12" s="295"/>
      <c r="AH12" s="295"/>
      <c r="AI12" s="295"/>
      <c r="AJ12" s="295"/>
      <c r="AK12" s="295"/>
      <c r="AL12" s="1140"/>
      <c r="AM12" s="295">
        <f t="shared" si="18"/>
        <v>5182.2834</v>
      </c>
      <c r="AN12" s="295">
        <v>500</v>
      </c>
      <c r="AO12" s="295"/>
      <c r="AP12" s="295"/>
      <c r="AQ12" s="1151">
        <v>1000</v>
      </c>
      <c r="AR12" s="1151"/>
      <c r="AS12" s="1150"/>
      <c r="AT12" s="1151"/>
      <c r="AU12" s="1151"/>
      <c r="AV12" s="1151"/>
      <c r="AW12" s="1151"/>
      <c r="AX12" s="1151"/>
      <c r="AY12" s="1161"/>
      <c r="AZ12" s="1151"/>
      <c r="BA12" s="295">
        <v>5000</v>
      </c>
      <c r="BB12" s="295"/>
      <c r="BC12" s="295"/>
      <c r="BD12" s="295"/>
      <c r="BE12" s="724">
        <v>1000</v>
      </c>
      <c r="BF12" s="724"/>
      <c r="BG12" s="724"/>
      <c r="BH12" s="724">
        <f t="shared" si="21"/>
        <v>5986.88313</v>
      </c>
      <c r="BI12" s="1166"/>
      <c r="BJ12" s="1166"/>
      <c r="BK12" s="724">
        <v>37456.48</v>
      </c>
      <c r="BL12" s="1167">
        <f t="shared" si="19"/>
        <v>299344.1565</v>
      </c>
      <c r="BM12" s="724">
        <f t="shared" si="22"/>
        <v>56125.64653</v>
      </c>
      <c r="BN12" s="724"/>
      <c r="BO12" s="724"/>
      <c r="BP12" s="724">
        <f t="shared" si="20"/>
        <v>243218.50997</v>
      </c>
      <c r="BQ12" s="1174">
        <f t="shared" si="2"/>
        <v>3592129.878</v>
      </c>
      <c r="BR12" s="306">
        <f t="shared" si="3"/>
        <v>918425.9756</v>
      </c>
      <c r="BS12" s="307">
        <f t="shared" si="4"/>
        <v>0</v>
      </c>
      <c r="BT12" s="308">
        <f t="shared" si="5"/>
        <v>918425.9756</v>
      </c>
      <c r="BU12" s="313">
        <f t="shared" si="6"/>
        <v>2673703.9024</v>
      </c>
      <c r="BV12" s="306"/>
      <c r="BW12" s="307">
        <f t="shared" si="7"/>
        <v>21000</v>
      </c>
      <c r="BX12" s="307">
        <f t="shared" si="8"/>
        <v>33000</v>
      </c>
      <c r="BY12" s="307">
        <f t="shared" si="9"/>
        <v>75000</v>
      </c>
      <c r="BZ12" s="307">
        <f t="shared" si="10"/>
        <v>95000</v>
      </c>
      <c r="CA12" s="307">
        <f t="shared" si="11"/>
        <v>225477.819504</v>
      </c>
      <c r="CB12" s="307" t="str">
        <f t="shared" si="12"/>
        <v/>
      </c>
      <c r="CC12" s="305">
        <f t="shared" si="13"/>
        <v>449477.819504</v>
      </c>
      <c r="CD12" s="320">
        <f t="shared" si="14"/>
        <v>35921.29878</v>
      </c>
      <c r="CE12" s="321">
        <f t="shared" si="15"/>
        <v>449477.819504</v>
      </c>
      <c r="CF12" s="322">
        <f t="shared" si="16"/>
        <v>37456.4849586667</v>
      </c>
      <c r="CG12" s="323"/>
      <c r="CH12" s="324"/>
      <c r="CI12" s="325"/>
      <c r="CJ12" s="326"/>
      <c r="CK12" s="1188"/>
      <c r="CL12" s="335"/>
      <c r="CN12" s="1189"/>
    </row>
    <row r="13" s="245" customFormat="1" ht="172.5" customHeight="1" spans="1:92">
      <c r="A13" s="1122">
        <v>10</v>
      </c>
      <c r="B13" s="70" t="s">
        <v>129</v>
      </c>
      <c r="C13" s="1123" t="s">
        <v>95</v>
      </c>
      <c r="D13" s="1088" t="s">
        <v>130</v>
      </c>
      <c r="E13" s="1088" t="s">
        <v>131</v>
      </c>
      <c r="F13" s="1124" t="s">
        <v>113</v>
      </c>
      <c r="G13" s="783">
        <v>2067246166</v>
      </c>
      <c r="H13" s="1125">
        <v>2308911</v>
      </c>
      <c r="I13" s="1125">
        <v>2048214</v>
      </c>
      <c r="J13" s="1125">
        <v>192409.25</v>
      </c>
      <c r="K13" s="1125">
        <v>48102.3125</v>
      </c>
      <c r="L13" s="1125">
        <v>30000</v>
      </c>
      <c r="M13" s="295">
        <v>319130.33</v>
      </c>
      <c r="N13" s="295">
        <f t="shared" si="53"/>
        <v>37231.8718333333</v>
      </c>
      <c r="O13" s="295">
        <v>5000</v>
      </c>
      <c r="P13" s="295"/>
      <c r="Q13" s="295"/>
      <c r="R13" s="295">
        <v>2500</v>
      </c>
      <c r="S13" s="295"/>
      <c r="T13" s="295"/>
      <c r="U13" s="295"/>
      <c r="V13" s="295"/>
      <c r="W13" s="295"/>
      <c r="X13" s="295"/>
      <c r="Y13" s="295"/>
      <c r="Z13" s="295">
        <v>2500</v>
      </c>
      <c r="AA13" s="295"/>
      <c r="AB13" s="295"/>
      <c r="AC13" s="295"/>
      <c r="AD13" s="295"/>
      <c r="AE13" s="295"/>
      <c r="AF13" s="295"/>
      <c r="AG13" s="295"/>
      <c r="AH13" s="295"/>
      <c r="AI13" s="295"/>
      <c r="AJ13" s="295"/>
      <c r="AK13" s="295"/>
      <c r="AL13" s="1140"/>
      <c r="AM13" s="295">
        <f t="shared" si="18"/>
        <v>6382.6066</v>
      </c>
      <c r="AN13" s="295">
        <v>500</v>
      </c>
      <c r="AO13" s="295"/>
      <c r="AP13" s="295">
        <v>21000</v>
      </c>
      <c r="AQ13" s="1151">
        <v>1000</v>
      </c>
      <c r="AR13" s="1151"/>
      <c r="AS13" s="1150"/>
      <c r="AT13" s="1151"/>
      <c r="AU13" s="1151"/>
      <c r="AV13" s="1151"/>
      <c r="AW13" s="1151"/>
      <c r="AX13" s="1151"/>
      <c r="AY13" s="1161"/>
      <c r="AZ13" s="1151"/>
      <c r="BA13" s="295">
        <v>0</v>
      </c>
      <c r="BB13" s="295"/>
      <c r="BC13" s="295"/>
      <c r="BD13" s="295"/>
      <c r="BE13" s="724">
        <v>1500</v>
      </c>
      <c r="BF13" s="724"/>
      <c r="BG13" s="724"/>
      <c r="BH13" s="724">
        <f t="shared" si="21"/>
        <v>7327.24403666667</v>
      </c>
      <c r="BI13" s="1166"/>
      <c r="BJ13" s="1166"/>
      <c r="BK13" s="724">
        <v>49008.21</v>
      </c>
      <c r="BL13" s="1167">
        <f t="shared" si="19"/>
        <v>366362.201833333</v>
      </c>
      <c r="BM13" s="724">
        <f t="shared" si="22"/>
        <v>86718.0606366667</v>
      </c>
      <c r="BN13" s="724"/>
      <c r="BO13" s="724"/>
      <c r="BP13" s="724">
        <f t="shared" si="20"/>
        <v>279644.141196667</v>
      </c>
      <c r="BQ13" s="1174">
        <f t="shared" si="2"/>
        <v>4396346.422</v>
      </c>
      <c r="BR13" s="306">
        <f t="shared" si="3"/>
        <v>1079269.2844</v>
      </c>
      <c r="BS13" s="307">
        <f t="shared" si="4"/>
        <v>0</v>
      </c>
      <c r="BT13" s="308">
        <f t="shared" si="5"/>
        <v>1079269.2844</v>
      </c>
      <c r="BU13" s="313">
        <f t="shared" si="6"/>
        <v>3317077.1376</v>
      </c>
      <c r="BV13" s="306"/>
      <c r="BW13" s="307">
        <f t="shared" si="7"/>
        <v>21000</v>
      </c>
      <c r="BX13" s="307">
        <f t="shared" si="8"/>
        <v>33000</v>
      </c>
      <c r="BY13" s="307">
        <f t="shared" si="9"/>
        <v>75000</v>
      </c>
      <c r="BZ13" s="307">
        <f t="shared" si="10"/>
        <v>95000</v>
      </c>
      <c r="CA13" s="307">
        <f t="shared" si="11"/>
        <v>336000</v>
      </c>
      <c r="CB13" s="307">
        <f t="shared" si="12"/>
        <v>28098.513024</v>
      </c>
      <c r="CC13" s="305">
        <f t="shared" si="13"/>
        <v>588098.513024</v>
      </c>
      <c r="CD13" s="320">
        <f t="shared" si="14"/>
        <v>43963.46422</v>
      </c>
      <c r="CE13" s="321">
        <f t="shared" si="15"/>
        <v>588098.513024</v>
      </c>
      <c r="CF13" s="322">
        <f t="shared" si="16"/>
        <v>49008.2094186667</v>
      </c>
      <c r="CG13" s="323"/>
      <c r="CH13" s="324"/>
      <c r="CI13" s="325"/>
      <c r="CJ13" s="326"/>
      <c r="CK13" s="1188"/>
      <c r="CL13" s="335"/>
      <c r="CN13" s="1189"/>
    </row>
    <row r="14" s="245" customFormat="1" ht="172.5" customHeight="1" spans="1:92">
      <c r="A14" s="1122">
        <v>11</v>
      </c>
      <c r="B14" s="70" t="s">
        <v>132</v>
      </c>
      <c r="C14" s="1123" t="s">
        <v>133</v>
      </c>
      <c r="D14" s="1088" t="s">
        <v>130</v>
      </c>
      <c r="E14" s="1088" t="s">
        <v>134</v>
      </c>
      <c r="F14" s="1124" t="s">
        <v>135</v>
      </c>
      <c r="G14" s="783" t="s">
        <v>136</v>
      </c>
      <c r="H14" s="1125">
        <v>2688069</v>
      </c>
      <c r="I14" s="1125">
        <v>2775651</v>
      </c>
      <c r="J14" s="1125">
        <v>231304.25</v>
      </c>
      <c r="K14" s="1125">
        <v>57826.0625</v>
      </c>
      <c r="L14" s="1125">
        <v>30000</v>
      </c>
      <c r="M14" s="295">
        <v>328253.42</v>
      </c>
      <c r="N14" s="295">
        <f t="shared" si="53"/>
        <v>38296.2323333333</v>
      </c>
      <c r="O14" s="295">
        <v>5000</v>
      </c>
      <c r="P14" s="295"/>
      <c r="Q14" s="295"/>
      <c r="R14" s="295">
        <v>2500</v>
      </c>
      <c r="S14" s="295"/>
      <c r="T14" s="295"/>
      <c r="U14" s="295"/>
      <c r="V14" s="295"/>
      <c r="W14" s="295"/>
      <c r="X14" s="295"/>
      <c r="Y14" s="295"/>
      <c r="Z14" s="295">
        <v>2500</v>
      </c>
      <c r="AA14" s="295"/>
      <c r="AB14" s="295"/>
      <c r="AC14" s="295"/>
      <c r="AD14" s="295"/>
      <c r="AE14" s="295"/>
      <c r="AF14" s="295"/>
      <c r="AG14" s="295"/>
      <c r="AH14" s="295"/>
      <c r="AI14" s="295"/>
      <c r="AJ14" s="295"/>
      <c r="AK14" s="295"/>
      <c r="AL14" s="1140"/>
      <c r="AM14" s="295">
        <f t="shared" si="18"/>
        <v>6565.0684</v>
      </c>
      <c r="AN14" s="295">
        <v>500</v>
      </c>
      <c r="AO14" s="295"/>
      <c r="AP14" s="295"/>
      <c r="AQ14" s="1151">
        <v>1000</v>
      </c>
      <c r="AR14" s="1151"/>
      <c r="AS14" s="1150"/>
      <c r="AT14" s="1151"/>
      <c r="AU14" s="1151"/>
      <c r="AV14" s="1151"/>
      <c r="AW14" s="1151"/>
      <c r="AX14" s="1151"/>
      <c r="AY14" s="1161"/>
      <c r="AZ14" s="1151"/>
      <c r="BA14" s="295">
        <v>19333.33</v>
      </c>
      <c r="BB14" s="295"/>
      <c r="BC14" s="295"/>
      <c r="BD14" s="295"/>
      <c r="BE14" s="724">
        <v>1500</v>
      </c>
      <c r="BF14" s="724"/>
      <c r="BG14" s="724"/>
      <c r="BH14" s="724">
        <f t="shared" si="21"/>
        <v>7530.99304666667</v>
      </c>
      <c r="BI14" s="1166"/>
      <c r="BJ14" s="1166"/>
      <c r="BK14" s="724">
        <v>50964.2</v>
      </c>
      <c r="BL14" s="1167">
        <f t="shared" si="19"/>
        <v>376549.652333333</v>
      </c>
      <c r="BM14" s="724">
        <f t="shared" si="22"/>
        <v>87393.5914466667</v>
      </c>
      <c r="BN14" s="724"/>
      <c r="BO14" s="724"/>
      <c r="BP14" s="724">
        <f t="shared" si="20"/>
        <v>289156.060886667</v>
      </c>
      <c r="BQ14" s="1174">
        <f t="shared" si="2"/>
        <v>4518595.828</v>
      </c>
      <c r="BR14" s="306">
        <f t="shared" si="3"/>
        <v>1103719.1656</v>
      </c>
      <c r="BS14" s="307">
        <f t="shared" si="4"/>
        <v>0</v>
      </c>
      <c r="BT14" s="308">
        <f t="shared" si="5"/>
        <v>1103719.1656</v>
      </c>
      <c r="BU14" s="313">
        <f t="shared" si="6"/>
        <v>3414876.6624</v>
      </c>
      <c r="BV14" s="306"/>
      <c r="BW14" s="307">
        <f t="shared" si="7"/>
        <v>21000</v>
      </c>
      <c r="BX14" s="307">
        <f t="shared" si="8"/>
        <v>33000</v>
      </c>
      <c r="BY14" s="307">
        <f t="shared" si="9"/>
        <v>75000</v>
      </c>
      <c r="BZ14" s="307">
        <f t="shared" si="10"/>
        <v>95000</v>
      </c>
      <c r="CA14" s="307">
        <f t="shared" si="11"/>
        <v>336000</v>
      </c>
      <c r="CB14" s="307">
        <f t="shared" si="12"/>
        <v>51570.3989759999</v>
      </c>
      <c r="CC14" s="305">
        <f t="shared" si="13"/>
        <v>611570.398976</v>
      </c>
      <c r="CD14" s="320">
        <f t="shared" si="14"/>
        <v>45185.95828</v>
      </c>
      <c r="CE14" s="321">
        <f t="shared" si="15"/>
        <v>611570.398976</v>
      </c>
      <c r="CF14" s="322">
        <f t="shared" si="16"/>
        <v>50964.1999146667</v>
      </c>
      <c r="CG14" s="323"/>
      <c r="CH14" s="324"/>
      <c r="CI14" s="325"/>
      <c r="CJ14" s="326"/>
      <c r="CK14" s="1188"/>
      <c r="CL14" s="335"/>
      <c r="CN14" s="1189"/>
    </row>
    <row r="15" s="245" customFormat="1" ht="172.5" customHeight="1" spans="1:92">
      <c r="A15" s="1122">
        <v>12</v>
      </c>
      <c r="B15" s="70" t="s">
        <v>137</v>
      </c>
      <c r="C15" s="1122" t="s">
        <v>110</v>
      </c>
      <c r="D15" s="1088" t="s">
        <v>138</v>
      </c>
      <c r="E15" s="1088" t="s">
        <v>139</v>
      </c>
      <c r="F15" s="1124" t="s">
        <v>135</v>
      </c>
      <c r="G15" s="783" t="s">
        <v>140</v>
      </c>
      <c r="H15" s="1125">
        <v>3588849</v>
      </c>
      <c r="I15" s="1125">
        <v>3679250</v>
      </c>
      <c r="J15" s="1125">
        <v>306604.17</v>
      </c>
      <c r="K15" s="1125">
        <v>76651.0425</v>
      </c>
      <c r="L15" s="1125">
        <v>30000</v>
      </c>
      <c r="M15" s="295">
        <v>464981</v>
      </c>
      <c r="N15" s="295">
        <f t="shared" si="53"/>
        <v>54247.7833333333</v>
      </c>
      <c r="O15" s="295">
        <v>5000</v>
      </c>
      <c r="P15" s="295"/>
      <c r="Q15" s="295"/>
      <c r="R15" s="295">
        <v>2500</v>
      </c>
      <c r="S15" s="295"/>
      <c r="T15" s="295"/>
      <c r="U15" s="295"/>
      <c r="V15" s="295"/>
      <c r="W15" s="295"/>
      <c r="X15" s="295"/>
      <c r="Y15" s="295"/>
      <c r="Z15" s="295">
        <v>2500</v>
      </c>
      <c r="AA15" s="295"/>
      <c r="AB15" s="295"/>
      <c r="AC15" s="295"/>
      <c r="AD15" s="295"/>
      <c r="AE15" s="295"/>
      <c r="AF15" s="295"/>
      <c r="AG15" s="295"/>
      <c r="AH15" s="295"/>
      <c r="AI15" s="295"/>
      <c r="AJ15" s="295"/>
      <c r="AK15" s="295"/>
      <c r="AL15" s="1140"/>
      <c r="AM15" s="295">
        <f t="shared" si="18"/>
        <v>9299.62</v>
      </c>
      <c r="AN15" s="295">
        <v>500</v>
      </c>
      <c r="AO15" s="295"/>
      <c r="AP15" s="295">
        <v>101667</v>
      </c>
      <c r="AQ15" s="1151">
        <v>1000</v>
      </c>
      <c r="AR15" s="1151"/>
      <c r="AS15" s="1150"/>
      <c r="AT15" s="1151"/>
      <c r="AU15" s="1151"/>
      <c r="AV15" s="1151"/>
      <c r="AW15" s="1151"/>
      <c r="AX15" s="1151"/>
      <c r="AY15" s="1161"/>
      <c r="AZ15" s="1151"/>
      <c r="BA15" s="295">
        <v>85000</v>
      </c>
      <c r="BB15" s="295"/>
      <c r="BC15" s="295">
        <v>7500</v>
      </c>
      <c r="BD15" s="295">
        <v>15000</v>
      </c>
      <c r="BE15" s="724">
        <v>2000</v>
      </c>
      <c r="BF15" s="724"/>
      <c r="BG15" s="724"/>
      <c r="BH15" s="724">
        <f t="shared" si="21"/>
        <v>10584.5756666667</v>
      </c>
      <c r="BI15" s="1166"/>
      <c r="BJ15" s="1166"/>
      <c r="BK15" s="724">
        <v>80278.59</v>
      </c>
      <c r="BL15" s="1167">
        <f t="shared" si="19"/>
        <v>529228.783333333</v>
      </c>
      <c r="BM15" s="724">
        <f t="shared" si="22"/>
        <v>312829.785666667</v>
      </c>
      <c r="BN15" s="724"/>
      <c r="BO15" s="724"/>
      <c r="BP15" s="724">
        <f t="shared" si="20"/>
        <v>216398.997666667</v>
      </c>
      <c r="BQ15" s="1174">
        <f t="shared" si="2"/>
        <v>6350745.4</v>
      </c>
      <c r="BR15" s="306">
        <f t="shared" si="3"/>
        <v>1470149.08</v>
      </c>
      <c r="BS15" s="307">
        <f t="shared" si="4"/>
        <v>0</v>
      </c>
      <c r="BT15" s="308">
        <f t="shared" si="5"/>
        <v>1470149.08</v>
      </c>
      <c r="BU15" s="313">
        <f t="shared" si="6"/>
        <v>4880596.32</v>
      </c>
      <c r="BV15" s="306"/>
      <c r="BW15" s="307">
        <f t="shared" si="7"/>
        <v>21000</v>
      </c>
      <c r="BX15" s="307">
        <f t="shared" si="8"/>
        <v>33000</v>
      </c>
      <c r="BY15" s="307">
        <f t="shared" si="9"/>
        <v>75000</v>
      </c>
      <c r="BZ15" s="307">
        <f t="shared" si="10"/>
        <v>95000</v>
      </c>
      <c r="CA15" s="307">
        <f t="shared" si="11"/>
        <v>336000</v>
      </c>
      <c r="CB15" s="307">
        <f t="shared" si="12"/>
        <v>403343.1168</v>
      </c>
      <c r="CC15" s="305">
        <f t="shared" si="13"/>
        <v>963343.1168</v>
      </c>
      <c r="CD15" s="320">
        <f t="shared" si="14"/>
        <v>63507.454</v>
      </c>
      <c r="CE15" s="321">
        <f t="shared" si="15"/>
        <v>963343.1168</v>
      </c>
      <c r="CF15" s="322">
        <f t="shared" si="16"/>
        <v>80278.5930666667</v>
      </c>
      <c r="CG15" s="323"/>
      <c r="CH15" s="324"/>
      <c r="CI15" s="325"/>
      <c r="CJ15" s="326"/>
      <c r="CK15" s="1188"/>
      <c r="CL15" s="335"/>
      <c r="CN15" s="1189"/>
    </row>
    <row r="16" s="245" customFormat="1" ht="172.5" customHeight="1" spans="1:92">
      <c r="A16" s="1122">
        <v>13</v>
      </c>
      <c r="B16" s="70" t="s">
        <v>141</v>
      </c>
      <c r="C16" s="1123" t="s">
        <v>142</v>
      </c>
      <c r="D16" s="1088" t="s">
        <v>143</v>
      </c>
      <c r="E16" s="1088" t="s">
        <v>144</v>
      </c>
      <c r="F16" s="1124" t="s">
        <v>145</v>
      </c>
      <c r="G16" s="783" t="s">
        <v>146</v>
      </c>
      <c r="H16" s="1125"/>
      <c r="I16" s="1125">
        <v>4307259</v>
      </c>
      <c r="J16" s="1125">
        <v>358938.25</v>
      </c>
      <c r="K16" s="1125">
        <v>89734.5625</v>
      </c>
      <c r="L16" s="1125">
        <v>30000</v>
      </c>
      <c r="M16" s="295">
        <v>491756.42</v>
      </c>
      <c r="N16" s="295">
        <f t="shared" si="53"/>
        <v>57371.5823333333</v>
      </c>
      <c r="O16" s="295">
        <v>5000</v>
      </c>
      <c r="P16" s="295">
        <f>P17</f>
        <v>20833.33</v>
      </c>
      <c r="Q16" s="295"/>
      <c r="R16" s="295">
        <v>2500</v>
      </c>
      <c r="S16" s="295"/>
      <c r="T16" s="295"/>
      <c r="U16" s="295"/>
      <c r="V16" s="295"/>
      <c r="W16" s="295"/>
      <c r="X16" s="295"/>
      <c r="Y16" s="295"/>
      <c r="Z16" s="295">
        <v>2500</v>
      </c>
      <c r="AA16" s="295"/>
      <c r="AB16" s="295"/>
      <c r="AC16" s="295"/>
      <c r="AD16" s="295"/>
      <c r="AE16" s="295"/>
      <c r="AF16" s="295"/>
      <c r="AG16" s="295"/>
      <c r="AH16" s="295"/>
      <c r="AI16" s="295"/>
      <c r="AJ16" s="295"/>
      <c r="AK16" s="295"/>
      <c r="AL16" s="1140"/>
      <c r="AM16" s="295">
        <f t="shared" si="18"/>
        <v>9835.1284</v>
      </c>
      <c r="AN16" s="295">
        <v>500</v>
      </c>
      <c r="AO16" s="295"/>
      <c r="AP16" s="295"/>
      <c r="AQ16" s="1151"/>
      <c r="AR16" s="1151"/>
      <c r="AS16" s="1150"/>
      <c r="AT16" s="1151"/>
      <c r="AU16" s="1151"/>
      <c r="AV16" s="1151">
        <v>5000</v>
      </c>
      <c r="AW16" s="1163">
        <v>1000</v>
      </c>
      <c r="AX16" s="1163">
        <v>1000</v>
      </c>
      <c r="AY16" s="1161"/>
      <c r="AZ16" s="1163"/>
      <c r="BA16" s="295">
        <v>0</v>
      </c>
      <c r="BB16" s="295"/>
      <c r="BC16" s="295"/>
      <c r="BD16" s="295"/>
      <c r="BE16" s="724">
        <v>2000</v>
      </c>
      <c r="BF16" s="724"/>
      <c r="BG16" s="724"/>
      <c r="BH16" s="724">
        <f t="shared" si="21"/>
        <v>11599.2266466667</v>
      </c>
      <c r="BI16" s="1166"/>
      <c r="BJ16" s="1166"/>
      <c r="BK16" s="724">
        <v>90019.24</v>
      </c>
      <c r="BL16" s="1167">
        <f t="shared" si="19"/>
        <v>579961.332333333</v>
      </c>
      <c r="BM16" s="724">
        <f t="shared" si="22"/>
        <v>120953.595046667</v>
      </c>
      <c r="BN16" s="724"/>
      <c r="BO16" s="724"/>
      <c r="BP16" s="724">
        <f t="shared" si="20"/>
        <v>459007.737286667</v>
      </c>
      <c r="BQ16" s="1174">
        <f t="shared" si="2"/>
        <v>6959535.988</v>
      </c>
      <c r="BR16" s="306">
        <f t="shared" ref="BR16" si="54">200000+(0.2*BQ16)</f>
        <v>1591907.1976</v>
      </c>
      <c r="BS16" s="307">
        <f t="shared" si="4"/>
        <v>0</v>
      </c>
      <c r="BT16" s="308">
        <f t="shared" ref="BT16" si="55">SUM(BR16:BS16)</f>
        <v>1591907.1976</v>
      </c>
      <c r="BU16" s="313">
        <f t="shared" ref="BU16" si="56">+BQ16-BT16</f>
        <v>5367628.7904</v>
      </c>
      <c r="BV16" s="306"/>
      <c r="BW16" s="307">
        <f t="shared" ref="BW16" si="57">IF((BU16&gt;0),(IF((BU16&gt;300000),(300000*7%),(BU16*7%))),(BQ16*1%))</f>
        <v>21000</v>
      </c>
      <c r="BX16" s="307">
        <f t="shared" ref="BX16" si="58">IF((BU16-300000)&gt;0,(IF((BU16&gt;600000),(300000*11%),((BU16-300000)*11%))),(""))</f>
        <v>33000</v>
      </c>
      <c r="BY16" s="307">
        <f t="shared" ref="BY16" si="59">IF(((BU16-600000)&gt;0),(IF((BU16&gt;1100000),(500000*15%),((BU16-600000)*15%))),(""))</f>
        <v>75000</v>
      </c>
      <c r="BZ16" s="307">
        <f t="shared" ref="BZ16" si="60">IF(((BU16-(1100000))&gt;0),(IF((BU16&gt;(1600000)),((500000)*19%),((BU16-(1100000))*19%))),(""))</f>
        <v>95000</v>
      </c>
      <c r="CA16" s="307">
        <f t="shared" ref="CA16" si="61">IF(((BU16-(1600000))&gt;0),(IF((BU16&gt;(3200000)),((1600000)*21%),((BU16-(1600000))*21%))),(""))</f>
        <v>336000</v>
      </c>
      <c r="CB16" s="307">
        <f t="shared" ref="CB16" si="62">IF(((BU16-(3200000))&gt;0),(IF((BU16&gt;(3200000)),((BU16-(3200000))*24%),(0))),(""))</f>
        <v>520230.909696</v>
      </c>
      <c r="CC16" s="305">
        <f t="shared" ref="CC16" si="63">SUM(BW16:CB16)</f>
        <v>1080230.909696</v>
      </c>
      <c r="CD16" s="320">
        <f t="shared" ref="CD16" si="64">1%*BQ16</f>
        <v>69595.35988</v>
      </c>
      <c r="CE16" s="321">
        <f t="shared" ref="CE16" si="65">MAX(CC16:CD16)</f>
        <v>1080230.909696</v>
      </c>
      <c r="CF16" s="322">
        <f t="shared" ref="CF16" si="66">+CE16/12</f>
        <v>90019.2424746666</v>
      </c>
      <c r="CG16" s="323"/>
      <c r="CH16" s="324"/>
      <c r="CI16" s="325"/>
      <c r="CJ16" s="326"/>
      <c r="CK16" s="1188"/>
      <c r="CL16" s="335"/>
      <c r="CN16" s="1189"/>
    </row>
    <row r="17" s="245" customFormat="1" ht="172.5" customHeight="1" spans="1:92">
      <c r="A17" s="1122">
        <v>14</v>
      </c>
      <c r="B17" s="70" t="s">
        <v>147</v>
      </c>
      <c r="C17" s="1123" t="s">
        <v>148</v>
      </c>
      <c r="D17" s="1088" t="s">
        <v>149</v>
      </c>
      <c r="E17" s="1088" t="s">
        <v>150</v>
      </c>
      <c r="F17" s="1124" t="s">
        <v>151</v>
      </c>
      <c r="G17" s="783">
        <v>3013002388</v>
      </c>
      <c r="H17" s="1125">
        <v>3588849</v>
      </c>
      <c r="I17" s="1125">
        <v>3679250</v>
      </c>
      <c r="J17" s="1125">
        <v>306604.166666667</v>
      </c>
      <c r="K17" s="1125">
        <v>76651.0416666667</v>
      </c>
      <c r="L17" s="1125">
        <v>30000</v>
      </c>
      <c r="M17" s="295">
        <v>426338.75</v>
      </c>
      <c r="N17" s="295">
        <f t="shared" si="53"/>
        <v>49739.5208333333</v>
      </c>
      <c r="O17" s="295">
        <v>5000</v>
      </c>
      <c r="P17" s="295">
        <v>20833.33</v>
      </c>
      <c r="Q17" s="295"/>
      <c r="R17" s="295">
        <v>2500</v>
      </c>
      <c r="S17" s="295"/>
      <c r="T17" s="295"/>
      <c r="U17" s="295"/>
      <c r="V17" s="295"/>
      <c r="W17" s="295"/>
      <c r="X17" s="295"/>
      <c r="Y17" s="295"/>
      <c r="Z17" s="295">
        <v>2500</v>
      </c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1140"/>
      <c r="AM17" s="295">
        <f t="shared" si="18"/>
        <v>8526.775</v>
      </c>
      <c r="AN17" s="295">
        <v>500</v>
      </c>
      <c r="AO17" s="295"/>
      <c r="AP17" s="295"/>
      <c r="AQ17" s="1151"/>
      <c r="AR17" s="1151"/>
      <c r="AS17" s="1150"/>
      <c r="AT17" s="1151"/>
      <c r="AU17" s="1151"/>
      <c r="AV17" s="1151"/>
      <c r="AW17" s="1151">
        <v>1000</v>
      </c>
      <c r="AX17" s="1151"/>
      <c r="AY17" s="1161"/>
      <c r="AZ17" s="1151"/>
      <c r="BA17" s="295">
        <v>0</v>
      </c>
      <c r="BB17" s="393"/>
      <c r="BC17" s="295">
        <v>3750</v>
      </c>
      <c r="BD17" s="295">
        <v>7500</v>
      </c>
      <c r="BE17" s="724">
        <v>2000</v>
      </c>
      <c r="BF17" s="724"/>
      <c r="BG17" s="724"/>
      <c r="BH17" s="724">
        <f t="shared" si="21"/>
        <v>10138.2320166667</v>
      </c>
      <c r="BI17" s="1166"/>
      <c r="BJ17" s="1166"/>
      <c r="BK17" s="724">
        <v>75993.6940266666</v>
      </c>
      <c r="BL17" s="1167">
        <f t="shared" si="19"/>
        <v>506911.600833333</v>
      </c>
      <c r="BM17" s="724">
        <f t="shared" si="22"/>
        <v>109408.701043333</v>
      </c>
      <c r="BN17" s="724"/>
      <c r="BO17" s="724"/>
      <c r="BP17" s="724">
        <f t="shared" si="20"/>
        <v>397502.89979</v>
      </c>
      <c r="BQ17" s="1174"/>
      <c r="BR17" s="306"/>
      <c r="BS17" s="307"/>
      <c r="BT17" s="308"/>
      <c r="BU17" s="313"/>
      <c r="BV17" s="306"/>
      <c r="BW17" s="307"/>
      <c r="BX17" s="307"/>
      <c r="BY17" s="307"/>
      <c r="BZ17" s="307"/>
      <c r="CA17" s="307"/>
      <c r="CB17" s="307"/>
      <c r="CC17" s="305"/>
      <c r="CD17" s="320"/>
      <c r="CE17" s="321"/>
      <c r="CF17" s="322">
        <f t="shared" si="16"/>
        <v>0</v>
      </c>
      <c r="CG17" s="323"/>
      <c r="CH17" s="324"/>
      <c r="CI17" s="325"/>
      <c r="CJ17" s="326"/>
      <c r="CK17" s="1188"/>
      <c r="CL17" s="335"/>
      <c r="CN17" s="1190"/>
    </row>
    <row r="18" s="245" customFormat="1" ht="172.5" customHeight="1" spans="1:92">
      <c r="A18" s="1122">
        <v>15</v>
      </c>
      <c r="B18" s="70" t="s">
        <v>152</v>
      </c>
      <c r="C18" s="1123" t="s">
        <v>104</v>
      </c>
      <c r="D18" s="1088" t="s">
        <v>130</v>
      </c>
      <c r="E18" s="1088" t="s">
        <v>153</v>
      </c>
      <c r="F18" s="1124" t="s">
        <v>93</v>
      </c>
      <c r="G18" s="783">
        <v>3041696126</v>
      </c>
      <c r="H18" s="1125">
        <v>2688069</v>
      </c>
      <c r="I18" s="1125">
        <v>2775651</v>
      </c>
      <c r="J18" s="1125">
        <v>231304.25</v>
      </c>
      <c r="K18" s="1125">
        <v>57826.0625</v>
      </c>
      <c r="L18" s="1125">
        <v>30000</v>
      </c>
      <c r="M18" s="295">
        <v>328253.42</v>
      </c>
      <c r="N18" s="295">
        <f t="shared" si="53"/>
        <v>38296.2323333333</v>
      </c>
      <c r="O18" s="295">
        <v>5000</v>
      </c>
      <c r="P18" s="295"/>
      <c r="Q18" s="295"/>
      <c r="R18" s="295">
        <v>2500</v>
      </c>
      <c r="S18" s="295"/>
      <c r="T18" s="295"/>
      <c r="U18" s="295"/>
      <c r="V18" s="295"/>
      <c r="W18" s="295"/>
      <c r="X18" s="295"/>
      <c r="Y18" s="295"/>
      <c r="Z18" s="295">
        <v>2500</v>
      </c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1140"/>
      <c r="AM18" s="295">
        <f t="shared" si="18"/>
        <v>6565.0684</v>
      </c>
      <c r="AN18" s="295">
        <v>500</v>
      </c>
      <c r="AO18" s="295"/>
      <c r="AP18" s="295"/>
      <c r="AQ18" s="1151">
        <v>1000</v>
      </c>
      <c r="AR18" s="1151"/>
      <c r="AS18" s="1150"/>
      <c r="AT18" s="1151"/>
      <c r="AU18" s="1151"/>
      <c r="AV18" s="1151"/>
      <c r="AW18" s="1151"/>
      <c r="AX18" s="1151"/>
      <c r="AY18" s="1161"/>
      <c r="AZ18" s="1151"/>
      <c r="BA18" s="295">
        <v>10000</v>
      </c>
      <c r="BB18" s="295"/>
      <c r="BC18" s="295">
        <v>5000</v>
      </c>
      <c r="BD18" s="295">
        <v>10000</v>
      </c>
      <c r="BE18" s="724">
        <v>1500</v>
      </c>
      <c r="BF18" s="724">
        <v>2000</v>
      </c>
      <c r="BG18" s="724"/>
      <c r="BH18" s="724">
        <f t="shared" si="21"/>
        <v>7530.99304666667</v>
      </c>
      <c r="BI18" s="1166"/>
      <c r="BJ18" s="1166"/>
      <c r="BK18" s="724">
        <v>50964.2</v>
      </c>
      <c r="BL18" s="1167">
        <f t="shared" si="19"/>
        <v>376549.652333333</v>
      </c>
      <c r="BM18" s="724">
        <f>BK18+BH18+BE18+BD18+BC18+BA18+AQ18+AN18+AM18</f>
        <v>93060.2614466667</v>
      </c>
      <c r="BN18" s="724"/>
      <c r="BO18" s="724"/>
      <c r="BP18" s="724">
        <f t="shared" si="20"/>
        <v>283489.390886667</v>
      </c>
      <c r="BQ18" s="1174">
        <f t="shared" ref="BQ18:BQ32" si="67">BL18*12</f>
        <v>4518595.828</v>
      </c>
      <c r="BR18" s="306">
        <f t="shared" ref="BR18" si="68">200000+(0.2*BQ18)</f>
        <v>1103719.1656</v>
      </c>
      <c r="BS18" s="307">
        <f t="shared" ref="BS18:BS32" si="69">BI18*12</f>
        <v>0</v>
      </c>
      <c r="BT18" s="308">
        <f t="shared" ref="BT18" si="70">SUM(BR18:BS18)</f>
        <v>1103719.1656</v>
      </c>
      <c r="BU18" s="313">
        <f t="shared" ref="BU18" si="71">+BQ18-BT18</f>
        <v>3414876.6624</v>
      </c>
      <c r="BV18" s="306"/>
      <c r="BW18" s="307">
        <f t="shared" ref="BW18" si="72">IF((BU18&gt;0),(IF((BU18&gt;300000),(300000*7%),(BU18*7%))),(BQ18*1%))</f>
        <v>21000</v>
      </c>
      <c r="BX18" s="307">
        <f t="shared" ref="BX18" si="73">IF((BU18-300000)&gt;0,(IF((BU18&gt;600000),(300000*11%),((BU18-300000)*11%))),(""))</f>
        <v>33000</v>
      </c>
      <c r="BY18" s="307">
        <f t="shared" ref="BY18" si="74">IF(((BU18-600000)&gt;0),(IF((BU18&gt;1100000),(500000*15%),((BU18-600000)*15%))),(""))</f>
        <v>75000</v>
      </c>
      <c r="BZ18" s="307">
        <f t="shared" ref="BZ18" si="75">IF(((BU18-(1100000))&gt;0),(IF((BU18&gt;(1600000)),((500000)*19%),((BU18-(1100000))*19%))),(""))</f>
        <v>95000</v>
      </c>
      <c r="CA18" s="307">
        <f t="shared" ref="CA18" si="76">IF(((BU18-(1600000))&gt;0),(IF((BU18&gt;(3200000)),((1600000)*21%),((BU18-(1600000))*21%))),(""))</f>
        <v>336000</v>
      </c>
      <c r="CB18" s="307">
        <f t="shared" ref="CB18" si="77">IF(((BU18-(3200000))&gt;0),(IF((BU18&gt;(3200000)),((BU18-(3200000))*24%),(0))),(""))</f>
        <v>51570.3989759999</v>
      </c>
      <c r="CC18" s="305">
        <f t="shared" ref="CC18" si="78">SUM(BW18:CB18)</f>
        <v>611570.398976</v>
      </c>
      <c r="CD18" s="320">
        <f t="shared" ref="CD18" si="79">1%*BQ18</f>
        <v>45185.95828</v>
      </c>
      <c r="CE18" s="321">
        <f t="shared" ref="CE18" si="80">MAX(CC18:CD18)</f>
        <v>611570.398976</v>
      </c>
      <c r="CF18" s="322">
        <f t="shared" ref="CF18" si="81">+CE18/12</f>
        <v>50964.1999146667</v>
      </c>
      <c r="CG18" s="323"/>
      <c r="CH18" s="324"/>
      <c r="CI18" s="325"/>
      <c r="CJ18" s="326"/>
      <c r="CK18" s="1188"/>
      <c r="CL18" s="335"/>
      <c r="CN18" s="1189"/>
    </row>
    <row r="19" s="245" customFormat="1" ht="179" customHeight="1" spans="1:92">
      <c r="A19" s="1122">
        <v>16</v>
      </c>
      <c r="B19" s="70" t="s">
        <v>154</v>
      </c>
      <c r="C19" s="1123" t="s">
        <v>133</v>
      </c>
      <c r="D19" s="1088" t="s">
        <v>155</v>
      </c>
      <c r="E19" s="1088" t="s">
        <v>156</v>
      </c>
      <c r="F19" s="1124" t="s">
        <v>157</v>
      </c>
      <c r="G19" s="1127" t="s">
        <v>158</v>
      </c>
      <c r="H19" s="1125">
        <v>2863233</v>
      </c>
      <c r="I19" s="1125">
        <v>2950816</v>
      </c>
      <c r="J19" s="1125">
        <v>245901.333333333</v>
      </c>
      <c r="K19" s="1125">
        <v>61475.3333333333</v>
      </c>
      <c r="L19" s="1125">
        <v>30000</v>
      </c>
      <c r="M19" s="295">
        <v>346499.83</v>
      </c>
      <c r="N19" s="295">
        <f t="shared" ref="N19:N23" si="82">M19*0.35/3</f>
        <v>40424.9801666667</v>
      </c>
      <c r="O19" s="295">
        <v>5000</v>
      </c>
      <c r="P19" s="295"/>
      <c r="Q19" s="295"/>
      <c r="R19" s="295">
        <v>2500</v>
      </c>
      <c r="S19" s="295"/>
      <c r="T19" s="295"/>
      <c r="U19" s="295"/>
      <c r="V19" s="295"/>
      <c r="W19" s="295"/>
      <c r="X19" s="295"/>
      <c r="Y19" s="295"/>
      <c r="Z19" s="295">
        <v>2500</v>
      </c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1140"/>
      <c r="AM19" s="295">
        <f t="shared" si="18"/>
        <v>6929.9966</v>
      </c>
      <c r="AN19" s="295">
        <v>500</v>
      </c>
      <c r="AO19" s="295"/>
      <c r="AP19" s="295"/>
      <c r="AQ19" s="1151">
        <v>1000</v>
      </c>
      <c r="AR19" s="1151"/>
      <c r="AS19" s="1150"/>
      <c r="AT19" s="1151"/>
      <c r="AU19" s="1151"/>
      <c r="AV19" s="1151"/>
      <c r="AW19" s="1151"/>
      <c r="AX19" s="1151"/>
      <c r="AY19" s="1161"/>
      <c r="AZ19" s="1151"/>
      <c r="BA19" s="295">
        <v>0</v>
      </c>
      <c r="BB19" s="295"/>
      <c r="BC19" s="295">
        <v>7500</v>
      </c>
      <c r="BD19" s="295">
        <v>15000</v>
      </c>
      <c r="BE19" s="724">
        <v>1500</v>
      </c>
      <c r="BF19" s="724"/>
      <c r="BG19" s="724"/>
      <c r="BH19" s="724">
        <f t="shared" si="21"/>
        <v>7938.49620333333</v>
      </c>
      <c r="BI19" s="1166"/>
      <c r="BJ19" s="1166"/>
      <c r="BK19" s="724">
        <v>54876.23</v>
      </c>
      <c r="BL19" s="1167">
        <f t="shared" si="19"/>
        <v>396924.810166667</v>
      </c>
      <c r="BM19" s="724">
        <f t="shared" si="22"/>
        <v>95244.7228033333</v>
      </c>
      <c r="BN19" s="724"/>
      <c r="BO19" s="724"/>
      <c r="BP19" s="724">
        <f t="shared" si="20"/>
        <v>301680.087363333</v>
      </c>
      <c r="BQ19" s="1174">
        <f t="shared" si="67"/>
        <v>4763097.722</v>
      </c>
      <c r="BR19" s="306">
        <f t="shared" si="3"/>
        <v>1152619.5444</v>
      </c>
      <c r="BS19" s="307">
        <f t="shared" si="69"/>
        <v>0</v>
      </c>
      <c r="BT19" s="308">
        <f t="shared" si="5"/>
        <v>1152619.5444</v>
      </c>
      <c r="BU19" s="313">
        <f t="shared" si="6"/>
        <v>3610478.1776</v>
      </c>
      <c r="BV19" s="306"/>
      <c r="BW19" s="307">
        <f t="shared" si="7"/>
        <v>21000</v>
      </c>
      <c r="BX19" s="307">
        <f t="shared" si="8"/>
        <v>33000</v>
      </c>
      <c r="BY19" s="307">
        <f t="shared" si="9"/>
        <v>75000</v>
      </c>
      <c r="BZ19" s="307">
        <f t="shared" si="10"/>
        <v>95000</v>
      </c>
      <c r="CA19" s="307">
        <f t="shared" si="11"/>
        <v>336000</v>
      </c>
      <c r="CB19" s="307">
        <f t="shared" si="12"/>
        <v>98514.762624</v>
      </c>
      <c r="CC19" s="305">
        <f t="shared" si="13"/>
        <v>658514.762624</v>
      </c>
      <c r="CD19" s="320">
        <f t="shared" si="14"/>
        <v>47630.97722</v>
      </c>
      <c r="CE19" s="321">
        <f t="shared" si="15"/>
        <v>658514.762624</v>
      </c>
      <c r="CF19" s="322">
        <f t="shared" ref="CF19:CF59" si="83">+CE19/12</f>
        <v>54876.2302186667</v>
      </c>
      <c r="CG19" s="323"/>
      <c r="CH19" s="324"/>
      <c r="CI19" s="325"/>
      <c r="CJ19" s="326"/>
      <c r="CK19" s="1188"/>
      <c r="CL19" s="335"/>
      <c r="CN19" s="1189"/>
    </row>
    <row r="20" s="245" customFormat="1" ht="182" customHeight="1" spans="1:92">
      <c r="A20" s="1122">
        <v>17</v>
      </c>
      <c r="B20" s="70" t="s">
        <v>159</v>
      </c>
      <c r="C20" s="1122" t="s">
        <v>160</v>
      </c>
      <c r="D20" s="1088" t="s">
        <v>130</v>
      </c>
      <c r="E20" s="1088" t="s">
        <v>161</v>
      </c>
      <c r="F20" s="1124" t="s">
        <v>122</v>
      </c>
      <c r="G20" s="783" t="s">
        <v>162</v>
      </c>
      <c r="H20" s="1125">
        <v>2199496</v>
      </c>
      <c r="I20" s="1125">
        <v>2600486</v>
      </c>
      <c r="J20" s="1125">
        <v>216707.166666667</v>
      </c>
      <c r="K20" s="1125">
        <v>54176.7916666667</v>
      </c>
      <c r="L20" s="1125">
        <v>30000</v>
      </c>
      <c r="M20" s="295">
        <v>310007.17</v>
      </c>
      <c r="N20" s="295">
        <f t="shared" si="82"/>
        <v>36167.5031666667</v>
      </c>
      <c r="O20" s="295">
        <v>5000</v>
      </c>
      <c r="P20" s="295"/>
      <c r="Q20" s="295"/>
      <c r="R20" s="295">
        <v>2500</v>
      </c>
      <c r="S20" s="295"/>
      <c r="T20" s="295"/>
      <c r="U20" s="295"/>
      <c r="V20" s="295"/>
      <c r="W20" s="295"/>
      <c r="X20" s="295"/>
      <c r="Y20" s="295"/>
      <c r="Z20" s="295">
        <v>2500</v>
      </c>
      <c r="AA20" s="295"/>
      <c r="AB20" s="295"/>
      <c r="AC20" s="295"/>
      <c r="AD20" s="295"/>
      <c r="AE20" s="295"/>
      <c r="AF20" s="295"/>
      <c r="AG20" s="295"/>
      <c r="AH20" s="295"/>
      <c r="AI20" s="295"/>
      <c r="AJ20" s="295"/>
      <c r="AK20" s="295"/>
      <c r="AL20" s="1140"/>
      <c r="AM20" s="295">
        <f t="shared" si="18"/>
        <v>6200.1434</v>
      </c>
      <c r="AN20" s="295">
        <v>500</v>
      </c>
      <c r="AO20" s="295"/>
      <c r="AP20" s="295"/>
      <c r="AQ20" s="1149"/>
      <c r="AR20" s="1149"/>
      <c r="AS20" s="1152"/>
      <c r="AT20" s="1149"/>
      <c r="AU20" s="1149"/>
      <c r="AV20" s="1151"/>
      <c r="AW20" s="1151">
        <v>1000</v>
      </c>
      <c r="AX20" s="1151"/>
      <c r="AY20" s="1161">
        <v>2000</v>
      </c>
      <c r="AZ20" s="1151"/>
      <c r="BA20" s="295">
        <v>33339.29</v>
      </c>
      <c r="BB20" s="295"/>
      <c r="BC20" s="295"/>
      <c r="BD20" s="295"/>
      <c r="BE20" s="724">
        <v>1500</v>
      </c>
      <c r="BF20" s="724"/>
      <c r="BG20" s="724"/>
      <c r="BH20" s="724">
        <f t="shared" si="21"/>
        <v>7123.49346333333</v>
      </c>
      <c r="BI20" s="1166"/>
      <c r="BJ20" s="1166"/>
      <c r="BK20" s="724">
        <v>47052.2</v>
      </c>
      <c r="BL20" s="1167">
        <f t="shared" si="19"/>
        <v>356174.673166667</v>
      </c>
      <c r="BM20" s="724">
        <f t="shared" si="22"/>
        <v>98715.1268633333</v>
      </c>
      <c r="BN20" s="724"/>
      <c r="BO20" s="724"/>
      <c r="BP20" s="724">
        <f t="shared" si="20"/>
        <v>257459.546303333</v>
      </c>
      <c r="BQ20" s="1174">
        <f t="shared" si="67"/>
        <v>4274096.078</v>
      </c>
      <c r="BR20" s="306">
        <f t="shared" si="3"/>
        <v>1054819.2156</v>
      </c>
      <c r="BS20" s="307">
        <f t="shared" si="69"/>
        <v>0</v>
      </c>
      <c r="BT20" s="308">
        <f t="shared" si="5"/>
        <v>1054819.2156</v>
      </c>
      <c r="BU20" s="313">
        <f t="shared" si="6"/>
        <v>3219276.8624</v>
      </c>
      <c r="BV20" s="306"/>
      <c r="BW20" s="307">
        <f t="shared" si="7"/>
        <v>21000</v>
      </c>
      <c r="BX20" s="307">
        <f t="shared" si="8"/>
        <v>33000</v>
      </c>
      <c r="BY20" s="307">
        <f t="shared" si="9"/>
        <v>75000</v>
      </c>
      <c r="BZ20" s="307">
        <f t="shared" si="10"/>
        <v>95000</v>
      </c>
      <c r="CA20" s="307">
        <f t="shared" si="11"/>
        <v>336000</v>
      </c>
      <c r="CB20" s="307">
        <f t="shared" si="12"/>
        <v>4626.446976</v>
      </c>
      <c r="CC20" s="305">
        <f t="shared" si="13"/>
        <v>564626.446976</v>
      </c>
      <c r="CD20" s="320">
        <f t="shared" si="14"/>
        <v>42740.96078</v>
      </c>
      <c r="CE20" s="321">
        <f t="shared" si="15"/>
        <v>564626.446976</v>
      </c>
      <c r="CF20" s="322">
        <f t="shared" si="83"/>
        <v>47052.2039146667</v>
      </c>
      <c r="CG20" s="323"/>
      <c r="CH20" s="324"/>
      <c r="CI20" s="325"/>
      <c r="CJ20" s="326"/>
      <c r="CK20" s="1188"/>
      <c r="CL20" s="335"/>
      <c r="CN20" s="1189"/>
    </row>
    <row r="21" s="245" customFormat="1" ht="184" customHeight="1" spans="1:92">
      <c r="A21" s="1122">
        <v>18</v>
      </c>
      <c r="B21" s="70" t="s">
        <v>163</v>
      </c>
      <c r="C21" s="1123" t="s">
        <v>164</v>
      </c>
      <c r="D21" s="1088" t="s">
        <v>130</v>
      </c>
      <c r="E21" s="1088" t="s">
        <v>134</v>
      </c>
      <c r="F21" s="1124" t="s">
        <v>165</v>
      </c>
      <c r="G21" s="783">
        <v>2178561969</v>
      </c>
      <c r="H21" s="1125" t="e">
        <f>#REF!</f>
        <v>#REF!</v>
      </c>
      <c r="I21" s="1125">
        <v>2775651</v>
      </c>
      <c r="J21" s="1125">
        <v>231304.25</v>
      </c>
      <c r="K21" s="1125">
        <v>57826.0625</v>
      </c>
      <c r="L21" s="1125">
        <v>30000</v>
      </c>
      <c r="M21" s="295">
        <v>328253.42</v>
      </c>
      <c r="N21" s="295">
        <f t="shared" si="82"/>
        <v>38296.2323333333</v>
      </c>
      <c r="O21" s="295">
        <v>5000</v>
      </c>
      <c r="P21" s="295"/>
      <c r="Q21" s="295"/>
      <c r="R21" s="295">
        <v>2500</v>
      </c>
      <c r="S21" s="295"/>
      <c r="T21" s="295"/>
      <c r="U21" s="295"/>
      <c r="V21" s="295"/>
      <c r="W21" s="295"/>
      <c r="X21" s="295"/>
      <c r="Y21" s="295"/>
      <c r="Z21" s="295">
        <v>2500</v>
      </c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1140"/>
      <c r="AM21" s="295">
        <f t="shared" si="18"/>
        <v>6565.0684</v>
      </c>
      <c r="AN21" s="295">
        <v>500</v>
      </c>
      <c r="AO21" s="295"/>
      <c r="AP21" s="295"/>
      <c r="AQ21" s="1149"/>
      <c r="AR21" s="1149"/>
      <c r="AS21" s="1152"/>
      <c r="AT21" s="1149"/>
      <c r="AU21" s="1149"/>
      <c r="AV21" s="1151"/>
      <c r="AW21" s="1149"/>
      <c r="AX21" s="1149"/>
      <c r="AY21" s="1161">
        <v>2000</v>
      </c>
      <c r="AZ21" s="1153"/>
      <c r="BA21" s="295">
        <v>0</v>
      </c>
      <c r="BB21" s="295"/>
      <c r="BC21" s="295">
        <v>5000</v>
      </c>
      <c r="BD21" s="295">
        <v>10000</v>
      </c>
      <c r="BE21" s="724">
        <v>1500</v>
      </c>
      <c r="BF21" s="724"/>
      <c r="BG21" s="724"/>
      <c r="BH21" s="724">
        <f t="shared" si="21"/>
        <v>7530.99304666667</v>
      </c>
      <c r="BI21" s="1166"/>
      <c r="BJ21" s="1166"/>
      <c r="BK21" s="724">
        <v>50964.2</v>
      </c>
      <c r="BL21" s="1167">
        <f t="shared" si="19"/>
        <v>376549.652333333</v>
      </c>
      <c r="BM21" s="724">
        <f t="shared" si="22"/>
        <v>84060.2614466667</v>
      </c>
      <c r="BN21" s="724"/>
      <c r="BO21" s="724"/>
      <c r="BP21" s="724">
        <f t="shared" si="20"/>
        <v>292489.390886667</v>
      </c>
      <c r="BQ21" s="1174">
        <f t="shared" si="67"/>
        <v>4518595.828</v>
      </c>
      <c r="BR21" s="306">
        <f t="shared" si="3"/>
        <v>1103719.1656</v>
      </c>
      <c r="BS21" s="307">
        <f t="shared" si="69"/>
        <v>0</v>
      </c>
      <c r="BT21" s="308">
        <f t="shared" si="5"/>
        <v>1103719.1656</v>
      </c>
      <c r="BU21" s="313">
        <f t="shared" si="6"/>
        <v>3414876.6624</v>
      </c>
      <c r="BV21" s="306"/>
      <c r="BW21" s="307">
        <f t="shared" si="7"/>
        <v>21000</v>
      </c>
      <c r="BX21" s="307">
        <f t="shared" si="8"/>
        <v>33000</v>
      </c>
      <c r="BY21" s="307">
        <f t="shared" si="9"/>
        <v>75000</v>
      </c>
      <c r="BZ21" s="307">
        <f t="shared" si="10"/>
        <v>95000</v>
      </c>
      <c r="CA21" s="307">
        <f t="shared" si="11"/>
        <v>336000</v>
      </c>
      <c r="CB21" s="307">
        <f t="shared" si="12"/>
        <v>51570.3989759999</v>
      </c>
      <c r="CC21" s="305">
        <f t="shared" si="13"/>
        <v>611570.398976</v>
      </c>
      <c r="CD21" s="320">
        <f t="shared" si="14"/>
        <v>45185.95828</v>
      </c>
      <c r="CE21" s="321">
        <f t="shared" si="15"/>
        <v>611570.398976</v>
      </c>
      <c r="CF21" s="322">
        <f t="shared" si="83"/>
        <v>50964.1999146667</v>
      </c>
      <c r="CG21" s="323"/>
      <c r="CH21" s="324"/>
      <c r="CI21" s="325"/>
      <c r="CJ21" s="326"/>
      <c r="CK21" s="1188"/>
      <c r="CL21" s="335"/>
      <c r="CN21" s="1189"/>
    </row>
    <row r="22" s="245" customFormat="1" ht="172.5" customHeight="1" spans="1:92">
      <c r="A22" s="1122">
        <v>19</v>
      </c>
      <c r="B22" s="70" t="s">
        <v>166</v>
      </c>
      <c r="C22" s="1123" t="s">
        <v>167</v>
      </c>
      <c r="D22" s="1088" t="s">
        <v>138</v>
      </c>
      <c r="E22" s="1088" t="s">
        <v>168</v>
      </c>
      <c r="F22" s="1124" t="s">
        <v>135</v>
      </c>
      <c r="G22" s="783" t="s">
        <v>169</v>
      </c>
      <c r="H22" s="1125">
        <v>2775651</v>
      </c>
      <c r="I22" s="1125">
        <v>3428047</v>
      </c>
      <c r="J22" s="1125">
        <v>285670.583333333</v>
      </c>
      <c r="K22" s="1125">
        <v>71417.6458333333</v>
      </c>
      <c r="L22" s="1125">
        <v>30000</v>
      </c>
      <c r="M22" s="295">
        <v>464981</v>
      </c>
      <c r="N22" s="295">
        <f t="shared" si="82"/>
        <v>54247.7833333333</v>
      </c>
      <c r="O22" s="295">
        <v>5000</v>
      </c>
      <c r="P22" s="295">
        <v>20833.33</v>
      </c>
      <c r="Q22" s="295"/>
      <c r="R22" s="295">
        <v>2500</v>
      </c>
      <c r="S22" s="295"/>
      <c r="T22" s="295"/>
      <c r="U22" s="295"/>
      <c r="V22" s="295"/>
      <c r="W22" s="295"/>
      <c r="X22" s="295"/>
      <c r="Y22" s="295"/>
      <c r="Z22" s="295">
        <v>2500</v>
      </c>
      <c r="AA22" s="295">
        <v>30000</v>
      </c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1140"/>
      <c r="AM22" s="295">
        <f t="shared" si="18"/>
        <v>9299.62</v>
      </c>
      <c r="AN22" s="295">
        <v>500</v>
      </c>
      <c r="AO22" s="295"/>
      <c r="AP22" s="295">
        <v>21000</v>
      </c>
      <c r="AQ22" s="1149"/>
      <c r="AR22" s="1149"/>
      <c r="AS22" s="1152"/>
      <c r="AT22" s="1149"/>
      <c r="AU22" s="1149"/>
      <c r="AV22" s="1151"/>
      <c r="AW22" s="1151">
        <v>1000</v>
      </c>
      <c r="AX22" s="1151"/>
      <c r="AY22" s="1161"/>
      <c r="AZ22" s="1151"/>
      <c r="BA22" s="295">
        <v>97947</v>
      </c>
      <c r="BB22" s="295"/>
      <c r="BC22" s="295"/>
      <c r="BD22" s="295"/>
      <c r="BE22" s="724">
        <v>1500</v>
      </c>
      <c r="BF22" s="724"/>
      <c r="BG22" s="724">
        <f>1250*2</f>
        <v>2500</v>
      </c>
      <c r="BH22" s="724">
        <f t="shared" si="21"/>
        <v>11601.2422666667</v>
      </c>
      <c r="BI22" s="1166"/>
      <c r="BJ22" s="1166"/>
      <c r="BK22" s="724">
        <v>90038.59</v>
      </c>
      <c r="BL22" s="1167">
        <f t="shared" si="19"/>
        <v>580062.113333333</v>
      </c>
      <c r="BM22" s="724">
        <f t="shared" si="22"/>
        <v>235386.452266667</v>
      </c>
      <c r="BN22" s="724"/>
      <c r="BO22" s="724"/>
      <c r="BP22" s="724">
        <f t="shared" si="20"/>
        <v>344675.661066667</v>
      </c>
      <c r="BQ22" s="1174">
        <f t="shared" si="67"/>
        <v>6960745.36</v>
      </c>
      <c r="BR22" s="306">
        <f t="shared" si="3"/>
        <v>1592149.072</v>
      </c>
      <c r="BS22" s="307">
        <f t="shared" si="69"/>
        <v>0</v>
      </c>
      <c r="BT22" s="308">
        <f t="shared" si="5"/>
        <v>1592149.072</v>
      </c>
      <c r="BU22" s="313">
        <f t="shared" si="6"/>
        <v>5368596.288</v>
      </c>
      <c r="BV22" s="306"/>
      <c r="BW22" s="307">
        <f t="shared" si="7"/>
        <v>21000</v>
      </c>
      <c r="BX22" s="307">
        <f t="shared" si="8"/>
        <v>33000</v>
      </c>
      <c r="BY22" s="307">
        <f t="shared" si="9"/>
        <v>75000</v>
      </c>
      <c r="BZ22" s="307">
        <f t="shared" si="10"/>
        <v>95000</v>
      </c>
      <c r="CA22" s="307">
        <f t="shared" si="11"/>
        <v>336000</v>
      </c>
      <c r="CB22" s="307">
        <f t="shared" si="12"/>
        <v>520463.10912</v>
      </c>
      <c r="CC22" s="305">
        <f t="shared" si="13"/>
        <v>1080463.10912</v>
      </c>
      <c r="CD22" s="320">
        <f t="shared" si="14"/>
        <v>69607.4536</v>
      </c>
      <c r="CE22" s="321">
        <f t="shared" si="15"/>
        <v>1080463.10912</v>
      </c>
      <c r="CF22" s="322">
        <f t="shared" si="83"/>
        <v>90038.5924266667</v>
      </c>
      <c r="CG22" s="323"/>
      <c r="CH22" s="324"/>
      <c r="CI22" s="325"/>
      <c r="CJ22" s="326"/>
      <c r="CK22" s="1188"/>
      <c r="CL22" s="335"/>
      <c r="CN22" s="1189"/>
    </row>
    <row r="23" s="245" customFormat="1" ht="172.5" customHeight="1" spans="1:92">
      <c r="A23" s="1122">
        <v>20</v>
      </c>
      <c r="B23" s="70" t="s">
        <v>170</v>
      </c>
      <c r="C23" s="1123" t="s">
        <v>167</v>
      </c>
      <c r="D23" s="1088" t="s">
        <v>120</v>
      </c>
      <c r="E23" s="1088" t="s">
        <v>171</v>
      </c>
      <c r="F23" s="1124" t="s">
        <v>127</v>
      </c>
      <c r="G23" s="783" t="s">
        <v>172</v>
      </c>
      <c r="H23" s="1125">
        <v>2035373</v>
      </c>
      <c r="I23" s="1125">
        <v>2144788</v>
      </c>
      <c r="J23" s="1125">
        <f>J26</f>
        <v>202110.166666667</v>
      </c>
      <c r="K23" s="1125">
        <f>K26</f>
        <v>50527.5416666667</v>
      </c>
      <c r="L23" s="1125">
        <v>30000</v>
      </c>
      <c r="M23" s="295">
        <v>400171.75</v>
      </c>
      <c r="N23" s="295">
        <f t="shared" si="82"/>
        <v>46686.7041666667</v>
      </c>
      <c r="O23" s="295">
        <v>5000</v>
      </c>
      <c r="P23" s="295"/>
      <c r="Q23" s="295"/>
      <c r="R23" s="295">
        <v>2500</v>
      </c>
      <c r="S23" s="295"/>
      <c r="T23" s="295"/>
      <c r="U23" s="295"/>
      <c r="V23" s="295"/>
      <c r="W23" s="295"/>
      <c r="X23" s="295"/>
      <c r="Y23" s="295"/>
      <c r="Z23" s="295">
        <v>2500</v>
      </c>
      <c r="AA23" s="295"/>
      <c r="AB23" s="295"/>
      <c r="AC23" s="295"/>
      <c r="AD23" s="295"/>
      <c r="AE23" s="295"/>
      <c r="AF23" s="295"/>
      <c r="AG23" s="295"/>
      <c r="AH23" s="295"/>
      <c r="AI23" s="295"/>
      <c r="AJ23" s="295"/>
      <c r="AK23" s="295"/>
      <c r="AL23" s="1140"/>
      <c r="AM23" s="295">
        <f t="shared" si="18"/>
        <v>8003.435</v>
      </c>
      <c r="AN23" s="295">
        <v>500</v>
      </c>
      <c r="AO23" s="295"/>
      <c r="AP23" s="295"/>
      <c r="AQ23" s="1149"/>
      <c r="AR23" s="1149"/>
      <c r="AS23" s="1152"/>
      <c r="AT23" s="1149"/>
      <c r="AU23" s="1149"/>
      <c r="AV23" s="1151"/>
      <c r="AW23" s="1151">
        <v>1000</v>
      </c>
      <c r="AX23" s="1151"/>
      <c r="AY23" s="1161"/>
      <c r="AZ23" s="1151"/>
      <c r="BA23" s="295">
        <v>0</v>
      </c>
      <c r="BB23" s="295"/>
      <c r="BC23" s="295"/>
      <c r="BD23" s="295"/>
      <c r="BE23" s="724">
        <v>1500</v>
      </c>
      <c r="BF23" s="724"/>
      <c r="BG23" s="724"/>
      <c r="BH23" s="724">
        <f t="shared" si="21"/>
        <v>9137.16908333333</v>
      </c>
      <c r="BI23" s="1166"/>
      <c r="BJ23" s="1166"/>
      <c r="BK23" s="724">
        <v>66383.4898666667</v>
      </c>
      <c r="BL23" s="1167">
        <f t="shared" si="19"/>
        <v>456858.454166667</v>
      </c>
      <c r="BM23" s="724">
        <f t="shared" si="22"/>
        <v>86524.09395</v>
      </c>
      <c r="BN23" s="724"/>
      <c r="BO23" s="724"/>
      <c r="BP23" s="724">
        <f t="shared" si="20"/>
        <v>370334.360216667</v>
      </c>
      <c r="BQ23" s="1174">
        <f t="shared" si="67"/>
        <v>5482301.45</v>
      </c>
      <c r="BR23" s="306">
        <f t="shared" si="3"/>
        <v>1296460.29</v>
      </c>
      <c r="BS23" s="307">
        <f t="shared" si="69"/>
        <v>0</v>
      </c>
      <c r="BT23" s="308">
        <f t="shared" si="5"/>
        <v>1296460.29</v>
      </c>
      <c r="BU23" s="313">
        <f t="shared" si="6"/>
        <v>4185841.16</v>
      </c>
      <c r="BV23" s="306"/>
      <c r="BW23" s="307">
        <f t="shared" si="7"/>
        <v>21000</v>
      </c>
      <c r="BX23" s="307">
        <f t="shared" si="8"/>
        <v>33000</v>
      </c>
      <c r="BY23" s="307">
        <f t="shared" si="9"/>
        <v>75000</v>
      </c>
      <c r="BZ23" s="307">
        <f t="shared" si="10"/>
        <v>95000</v>
      </c>
      <c r="CA23" s="307">
        <f t="shared" si="11"/>
        <v>336000</v>
      </c>
      <c r="CB23" s="307">
        <f t="shared" si="12"/>
        <v>236601.8784</v>
      </c>
      <c r="CC23" s="305">
        <f t="shared" si="13"/>
        <v>796601.8784</v>
      </c>
      <c r="CD23" s="320">
        <f t="shared" si="14"/>
        <v>54823.0145</v>
      </c>
      <c r="CE23" s="321">
        <f t="shared" si="15"/>
        <v>796601.8784</v>
      </c>
      <c r="CF23" s="322">
        <f t="shared" si="83"/>
        <v>66383.4898666667</v>
      </c>
      <c r="CG23" s="323"/>
      <c r="CH23" s="324"/>
      <c r="CI23" s="325"/>
      <c r="CJ23" s="326"/>
      <c r="CK23" s="1188"/>
      <c r="CL23" s="335"/>
      <c r="CN23" s="1190"/>
    </row>
    <row r="24" s="245" customFormat="1" ht="172.5" customHeight="1" spans="1:92">
      <c r="A24" s="1122">
        <v>21</v>
      </c>
      <c r="B24" s="70" t="s">
        <v>173</v>
      </c>
      <c r="C24" s="1123" t="s">
        <v>167</v>
      </c>
      <c r="D24" s="1088" t="s">
        <v>155</v>
      </c>
      <c r="E24" s="1088" t="s">
        <v>174</v>
      </c>
      <c r="F24" s="1124" t="s">
        <v>122</v>
      </c>
      <c r="G24" s="783" t="s">
        <v>175</v>
      </c>
      <c r="H24" s="1125">
        <v>1980666</v>
      </c>
      <c r="I24" s="1125">
        <v>2035373</v>
      </c>
      <c r="J24" s="1125">
        <v>169614.416666667</v>
      </c>
      <c r="K24" s="1125">
        <v>42403.6041666667</v>
      </c>
      <c r="L24" s="1125">
        <v>30000</v>
      </c>
      <c r="M24" s="295">
        <v>291760.8375</v>
      </c>
      <c r="N24" s="295">
        <f t="shared" ref="N24:N29" si="84">M24*0.35/3</f>
        <v>34038.764375</v>
      </c>
      <c r="O24" s="295">
        <v>5000</v>
      </c>
      <c r="P24" s="295">
        <v>20833.33</v>
      </c>
      <c r="Q24" s="295"/>
      <c r="R24" s="295">
        <v>2500</v>
      </c>
      <c r="S24" s="295"/>
      <c r="T24" s="295"/>
      <c r="U24" s="295"/>
      <c r="V24" s="295"/>
      <c r="W24" s="295"/>
      <c r="X24" s="295"/>
      <c r="Y24" s="295"/>
      <c r="Z24" s="295">
        <v>2500</v>
      </c>
      <c r="AA24" s="295"/>
      <c r="AB24" s="295"/>
      <c r="AC24" s="295"/>
      <c r="AD24" s="295"/>
      <c r="AE24" s="295"/>
      <c r="AF24" s="295"/>
      <c r="AG24" s="295"/>
      <c r="AH24" s="295"/>
      <c r="AI24" s="295"/>
      <c r="AJ24" s="295"/>
      <c r="AK24" s="295"/>
      <c r="AL24" s="1140"/>
      <c r="AM24" s="295">
        <f t="shared" si="18"/>
        <v>5835.21675</v>
      </c>
      <c r="AN24" s="295">
        <v>500</v>
      </c>
      <c r="AO24" s="295"/>
      <c r="AP24" s="295">
        <v>76667</v>
      </c>
      <c r="AQ24" s="1149"/>
      <c r="AR24" s="1149"/>
      <c r="AS24" s="1152"/>
      <c r="AT24" s="1149"/>
      <c r="AU24" s="1149"/>
      <c r="AV24" s="1151"/>
      <c r="AW24" s="1151">
        <v>1000</v>
      </c>
      <c r="AX24" s="1151"/>
      <c r="AY24" s="1161"/>
      <c r="AZ24" s="1151"/>
      <c r="BA24" s="295">
        <v>0</v>
      </c>
      <c r="BB24" s="295"/>
      <c r="BC24" s="295"/>
      <c r="BD24" s="295"/>
      <c r="BE24" s="724">
        <v>1500</v>
      </c>
      <c r="BF24" s="724"/>
      <c r="BG24" s="724"/>
      <c r="BH24" s="724">
        <f t="shared" si="21"/>
        <v>7132.6586375</v>
      </c>
      <c r="BI24" s="1166"/>
      <c r="BJ24" s="1166"/>
      <c r="BK24" s="724">
        <v>47140.1895866667</v>
      </c>
      <c r="BL24" s="1167">
        <f t="shared" si="19"/>
        <v>356632.931875</v>
      </c>
      <c r="BM24" s="724">
        <f t="shared" si="22"/>
        <v>139775.064974167</v>
      </c>
      <c r="BN24" s="724"/>
      <c r="BO24" s="724"/>
      <c r="BP24" s="724">
        <f t="shared" si="20"/>
        <v>216857.866900833</v>
      </c>
      <c r="BQ24" s="1174">
        <f t="shared" si="67"/>
        <v>4279595.1825</v>
      </c>
      <c r="BR24" s="306">
        <f t="shared" si="3"/>
        <v>1055919.0365</v>
      </c>
      <c r="BS24" s="307">
        <f t="shared" si="69"/>
        <v>0</v>
      </c>
      <c r="BT24" s="308">
        <f t="shared" si="5"/>
        <v>1055919.0365</v>
      </c>
      <c r="BU24" s="313">
        <f t="shared" si="6"/>
        <v>3223676.146</v>
      </c>
      <c r="BV24" s="306"/>
      <c r="BW24" s="307">
        <f t="shared" si="7"/>
        <v>21000</v>
      </c>
      <c r="BX24" s="307">
        <f t="shared" si="8"/>
        <v>33000</v>
      </c>
      <c r="BY24" s="307">
        <f t="shared" si="9"/>
        <v>75000</v>
      </c>
      <c r="BZ24" s="307">
        <f t="shared" si="10"/>
        <v>95000</v>
      </c>
      <c r="CA24" s="307">
        <f t="shared" si="11"/>
        <v>336000</v>
      </c>
      <c r="CB24" s="307">
        <f t="shared" si="12"/>
        <v>5682.27504000016</v>
      </c>
      <c r="CC24" s="305">
        <f t="shared" si="13"/>
        <v>565682.27504</v>
      </c>
      <c r="CD24" s="320">
        <f t="shared" si="14"/>
        <v>42795.951825</v>
      </c>
      <c r="CE24" s="321">
        <f t="shared" si="15"/>
        <v>565682.27504</v>
      </c>
      <c r="CF24" s="322">
        <f t="shared" si="83"/>
        <v>47140.1895866667</v>
      </c>
      <c r="CG24" s="323"/>
      <c r="CH24" s="324"/>
      <c r="CI24" s="325"/>
      <c r="CJ24" s="326"/>
      <c r="CK24" s="1188"/>
      <c r="CL24" s="335"/>
      <c r="CN24" s="1190"/>
    </row>
    <row r="25" s="245" customFormat="1" ht="172.5" customHeight="1" spans="1:92">
      <c r="A25" s="1122">
        <v>22</v>
      </c>
      <c r="B25" s="70" t="s">
        <v>176</v>
      </c>
      <c r="C25" s="1123" t="s">
        <v>177</v>
      </c>
      <c r="D25" s="1088" t="s">
        <v>143</v>
      </c>
      <c r="E25" s="1088" t="s">
        <v>178</v>
      </c>
      <c r="F25" s="1124" t="s">
        <v>127</v>
      </c>
      <c r="G25" s="783" t="s">
        <v>179</v>
      </c>
      <c r="H25" s="1125"/>
      <c r="I25" s="1125">
        <v>2090081</v>
      </c>
      <c r="J25" s="1125">
        <v>174173.416666667</v>
      </c>
      <c r="K25" s="1125">
        <v>43543.3541666667</v>
      </c>
      <c r="L25" s="1125">
        <v>30000</v>
      </c>
      <c r="M25" s="295">
        <v>413255.25</v>
      </c>
      <c r="N25" s="295">
        <f t="shared" si="84"/>
        <v>48213.1125</v>
      </c>
      <c r="O25" s="295">
        <v>5000</v>
      </c>
      <c r="P25" s="295">
        <v>20833.33</v>
      </c>
      <c r="Q25" s="295"/>
      <c r="R25" s="295">
        <v>2500</v>
      </c>
      <c r="S25" s="295"/>
      <c r="T25" s="295"/>
      <c r="U25" s="295"/>
      <c r="V25" s="295"/>
      <c r="W25" s="295"/>
      <c r="X25" s="295"/>
      <c r="Y25" s="295"/>
      <c r="Z25" s="295">
        <v>2500</v>
      </c>
      <c r="AA25" s="295"/>
      <c r="AB25" s="295"/>
      <c r="AC25" s="295"/>
      <c r="AD25" s="295"/>
      <c r="AE25" s="295"/>
      <c r="AF25" s="295"/>
      <c r="AG25" s="295"/>
      <c r="AH25" s="295"/>
      <c r="AI25" s="295"/>
      <c r="AJ25" s="295"/>
      <c r="AK25" s="295"/>
      <c r="AL25" s="1140"/>
      <c r="AM25" s="295">
        <f t="shared" si="18"/>
        <v>8265.105</v>
      </c>
      <c r="AN25" s="295">
        <v>500</v>
      </c>
      <c r="AO25" s="295"/>
      <c r="AP25" s="295"/>
      <c r="AQ25" s="1149"/>
      <c r="AR25" s="1149"/>
      <c r="AS25" s="1152"/>
      <c r="AT25" s="1149"/>
      <c r="AU25" s="1149"/>
      <c r="AV25" s="1151"/>
      <c r="AW25" s="1151">
        <v>1000</v>
      </c>
      <c r="AX25" s="1151"/>
      <c r="AY25" s="1161"/>
      <c r="AZ25" s="1151"/>
      <c r="BA25" s="295">
        <v>0</v>
      </c>
      <c r="BB25" s="295"/>
      <c r="BC25" s="295">
        <v>3750</v>
      </c>
      <c r="BD25" s="295">
        <v>7500</v>
      </c>
      <c r="BE25" s="724">
        <v>1500</v>
      </c>
      <c r="BF25" s="724"/>
      <c r="BG25" s="724"/>
      <c r="BH25" s="724">
        <f t="shared" si="21"/>
        <v>9846.03385</v>
      </c>
      <c r="BI25" s="1166"/>
      <c r="BJ25" s="1166"/>
      <c r="BK25" s="724">
        <v>69188.59</v>
      </c>
      <c r="BL25" s="1167">
        <f t="shared" si="19"/>
        <v>492301.6925</v>
      </c>
      <c r="BM25" s="724">
        <f t="shared" si="22"/>
        <v>101549.72885</v>
      </c>
      <c r="BN25" s="724"/>
      <c r="BO25" s="724"/>
      <c r="BP25" s="724">
        <f t="shared" si="20"/>
        <v>390751.96365</v>
      </c>
      <c r="BQ25" s="1174">
        <f t="shared" si="67"/>
        <v>5907620.31</v>
      </c>
      <c r="BR25" s="306">
        <f t="shared" si="3"/>
        <v>1381524.062</v>
      </c>
      <c r="BS25" s="307">
        <f t="shared" si="69"/>
        <v>0</v>
      </c>
      <c r="BT25" s="308">
        <f t="shared" si="5"/>
        <v>1381524.062</v>
      </c>
      <c r="BU25" s="313">
        <f t="shared" si="6"/>
        <v>4526096.248</v>
      </c>
      <c r="BV25" s="306"/>
      <c r="BW25" s="307">
        <f t="shared" si="7"/>
        <v>21000</v>
      </c>
      <c r="BX25" s="307">
        <f t="shared" si="8"/>
        <v>33000</v>
      </c>
      <c r="BY25" s="307">
        <f t="shared" si="9"/>
        <v>75000</v>
      </c>
      <c r="BZ25" s="307">
        <f t="shared" si="10"/>
        <v>95000</v>
      </c>
      <c r="CA25" s="307">
        <f t="shared" si="11"/>
        <v>336000</v>
      </c>
      <c r="CB25" s="307">
        <f t="shared" si="12"/>
        <v>318263.09952</v>
      </c>
      <c r="CC25" s="305">
        <f t="shared" si="13"/>
        <v>878263.09952</v>
      </c>
      <c r="CD25" s="320">
        <f t="shared" si="14"/>
        <v>59076.2031</v>
      </c>
      <c r="CE25" s="321">
        <f t="shared" si="15"/>
        <v>878263.09952</v>
      </c>
      <c r="CF25" s="322">
        <f t="shared" si="83"/>
        <v>73188.5916266667</v>
      </c>
      <c r="CG25" s="323"/>
      <c r="CH25" s="324"/>
      <c r="CI25" s="325"/>
      <c r="CJ25" s="326"/>
      <c r="CK25" s="1188"/>
      <c r="CL25" s="335"/>
      <c r="CN25" s="1190"/>
    </row>
    <row r="26" s="245" customFormat="1" ht="172.5" customHeight="1" spans="1:92">
      <c r="A26" s="1122">
        <v>23</v>
      </c>
      <c r="B26" s="70" t="s">
        <v>180</v>
      </c>
      <c r="C26" s="1122" t="s">
        <v>51</v>
      </c>
      <c r="D26" s="1088" t="s">
        <v>130</v>
      </c>
      <c r="E26" s="1088" t="s">
        <v>174</v>
      </c>
      <c r="F26" s="1124" t="s">
        <v>135</v>
      </c>
      <c r="G26" s="783" t="s">
        <v>181</v>
      </c>
      <c r="H26" s="1125">
        <v>2308911</v>
      </c>
      <c r="I26" s="1125">
        <v>2425322</v>
      </c>
      <c r="J26" s="1125">
        <v>202110.166666667</v>
      </c>
      <c r="K26" s="1125">
        <v>50527.5416666667</v>
      </c>
      <c r="L26" s="1125">
        <v>30000</v>
      </c>
      <c r="M26" s="295">
        <v>291760.83</v>
      </c>
      <c r="N26" s="295">
        <f t="shared" si="84"/>
        <v>34038.7635</v>
      </c>
      <c r="O26" s="295">
        <v>5000</v>
      </c>
      <c r="P26" s="295"/>
      <c r="Q26" s="295"/>
      <c r="R26" s="295">
        <v>2500</v>
      </c>
      <c r="S26" s="295"/>
      <c r="T26" s="295"/>
      <c r="U26" s="295"/>
      <c r="V26" s="295"/>
      <c r="W26" s="295"/>
      <c r="X26" s="295"/>
      <c r="Y26" s="1136"/>
      <c r="Z26" s="295">
        <v>2500</v>
      </c>
      <c r="AA26" s="295"/>
      <c r="AB26" s="295"/>
      <c r="AC26" s="295"/>
      <c r="AD26" s="295"/>
      <c r="AE26" s="295"/>
      <c r="AF26" s="295"/>
      <c r="AG26" s="295"/>
      <c r="AH26" s="295"/>
      <c r="AI26" s="295"/>
      <c r="AJ26" s="295"/>
      <c r="AK26" s="295"/>
      <c r="AL26" s="1140"/>
      <c r="AM26" s="295">
        <f t="shared" si="18"/>
        <v>5835.2166</v>
      </c>
      <c r="AN26" s="295">
        <v>500</v>
      </c>
      <c r="AO26" s="295"/>
      <c r="AP26" s="295">
        <v>93334</v>
      </c>
      <c r="AQ26" s="1149"/>
      <c r="AR26" s="1149"/>
      <c r="AS26" s="1152"/>
      <c r="AT26" s="1149"/>
      <c r="AU26" s="1149"/>
      <c r="AV26" s="1151"/>
      <c r="AW26" s="1151"/>
      <c r="AX26" s="1151">
        <v>1000</v>
      </c>
      <c r="AY26" s="1161"/>
      <c r="AZ26" s="1151">
        <v>1000</v>
      </c>
      <c r="BA26" s="295">
        <v>118333.33</v>
      </c>
      <c r="BB26" s="295"/>
      <c r="BC26" s="295"/>
      <c r="BD26" s="295"/>
      <c r="BE26" s="724">
        <v>1500</v>
      </c>
      <c r="BF26" s="724"/>
      <c r="BG26" s="724"/>
      <c r="BH26" s="724">
        <f t="shared" si="21"/>
        <v>6715.99187</v>
      </c>
      <c r="BI26" s="1166"/>
      <c r="BJ26" s="1166"/>
      <c r="BK26" s="724">
        <v>43581</v>
      </c>
      <c r="BL26" s="1167">
        <f t="shared" si="19"/>
        <v>335799.5935</v>
      </c>
      <c r="BM26" s="724">
        <f t="shared" si="22"/>
        <v>271799.53847</v>
      </c>
      <c r="BN26" s="724"/>
      <c r="BO26" s="724"/>
      <c r="BP26" s="724">
        <f t="shared" si="20"/>
        <v>64000.05503</v>
      </c>
      <c r="BQ26" s="1174">
        <f t="shared" si="67"/>
        <v>4029595.122</v>
      </c>
      <c r="BR26" s="306">
        <f t="shared" si="3"/>
        <v>1005919.0244</v>
      </c>
      <c r="BS26" s="307">
        <f t="shared" si="69"/>
        <v>0</v>
      </c>
      <c r="BT26" s="308">
        <f t="shared" si="5"/>
        <v>1005919.0244</v>
      </c>
      <c r="BU26" s="313">
        <f t="shared" si="6"/>
        <v>3023676.0976</v>
      </c>
      <c r="BV26" s="306"/>
      <c r="BW26" s="307">
        <f t="shared" si="7"/>
        <v>21000</v>
      </c>
      <c r="BX26" s="307">
        <f t="shared" si="8"/>
        <v>33000</v>
      </c>
      <c r="BY26" s="307">
        <f t="shared" si="9"/>
        <v>75000</v>
      </c>
      <c r="BZ26" s="307">
        <f t="shared" si="10"/>
        <v>95000</v>
      </c>
      <c r="CA26" s="307">
        <f t="shared" si="11"/>
        <v>298971.980496</v>
      </c>
      <c r="CB26" s="307" t="str">
        <f t="shared" si="12"/>
        <v/>
      </c>
      <c r="CC26" s="305">
        <f t="shared" si="13"/>
        <v>522971.980496</v>
      </c>
      <c r="CD26" s="320">
        <f t="shared" si="14"/>
        <v>40295.95122</v>
      </c>
      <c r="CE26" s="321">
        <f t="shared" si="15"/>
        <v>522971.980496</v>
      </c>
      <c r="CF26" s="322">
        <f t="shared" si="83"/>
        <v>43580.9983746667</v>
      </c>
      <c r="CG26" s="323"/>
      <c r="CH26" s="324"/>
      <c r="CI26" s="325"/>
      <c r="CJ26" s="326"/>
      <c r="CK26" s="1188"/>
      <c r="CL26" s="335"/>
      <c r="CN26" s="1190"/>
    </row>
    <row r="27" s="245" customFormat="1" ht="172.5" customHeight="1" spans="1:92">
      <c r="A27" s="1122">
        <v>24</v>
      </c>
      <c r="B27" s="70" t="s">
        <v>182</v>
      </c>
      <c r="C27" s="1123" t="s">
        <v>95</v>
      </c>
      <c r="D27" s="1088" t="s">
        <v>130</v>
      </c>
      <c r="E27" s="1088" t="s">
        <v>134</v>
      </c>
      <c r="F27" s="1124" t="s">
        <v>135</v>
      </c>
      <c r="G27" s="783" t="s">
        <v>183</v>
      </c>
      <c r="H27" s="1125">
        <v>2688069</v>
      </c>
      <c r="I27" s="1125">
        <v>2775651</v>
      </c>
      <c r="J27" s="1125">
        <v>231304.25</v>
      </c>
      <c r="K27" s="1125">
        <v>57826.0625</v>
      </c>
      <c r="L27" s="1125">
        <v>30000</v>
      </c>
      <c r="M27" s="295">
        <v>328253.42</v>
      </c>
      <c r="N27" s="295">
        <f t="shared" si="84"/>
        <v>38296.2323333333</v>
      </c>
      <c r="O27" s="295">
        <v>5000</v>
      </c>
      <c r="P27" s="295">
        <f>P22</f>
        <v>20833.33</v>
      </c>
      <c r="Q27" s="295"/>
      <c r="R27" s="295">
        <v>2500</v>
      </c>
      <c r="S27" s="295"/>
      <c r="T27" s="295"/>
      <c r="U27" s="295"/>
      <c r="V27" s="295"/>
      <c r="W27" s="295"/>
      <c r="X27" s="295"/>
      <c r="Y27" s="295"/>
      <c r="Z27" s="295">
        <v>2500</v>
      </c>
      <c r="AA27" s="295"/>
      <c r="AB27" s="295"/>
      <c r="AC27" s="295"/>
      <c r="AD27" s="295"/>
      <c r="AE27" s="295"/>
      <c r="AF27" s="295"/>
      <c r="AG27" s="295"/>
      <c r="AH27" s="295"/>
      <c r="AI27" s="295"/>
      <c r="AJ27" s="295"/>
      <c r="AK27" s="295"/>
      <c r="AL27" s="1140">
        <v>93334</v>
      </c>
      <c r="AM27" s="295">
        <f t="shared" si="18"/>
        <v>6565.0684</v>
      </c>
      <c r="AN27" s="295">
        <v>500</v>
      </c>
      <c r="AO27" s="295"/>
      <c r="AP27" s="295">
        <v>109688</v>
      </c>
      <c r="AQ27" s="1151">
        <v>1000</v>
      </c>
      <c r="AR27" s="1151"/>
      <c r="AS27" s="1150"/>
      <c r="AT27" s="1151"/>
      <c r="AU27" s="1151"/>
      <c r="AV27" s="1151"/>
      <c r="AW27" s="1151"/>
      <c r="AX27" s="1151"/>
      <c r="AY27" s="1161"/>
      <c r="AZ27" s="1151"/>
      <c r="BA27" s="295">
        <v>95000</v>
      </c>
      <c r="BB27" s="295"/>
      <c r="BC27" s="295"/>
      <c r="BD27" s="295"/>
      <c r="BE27" s="724">
        <v>1500</v>
      </c>
      <c r="BF27" s="724"/>
      <c r="BG27" s="724"/>
      <c r="BH27" s="724">
        <f t="shared" si="21"/>
        <v>7947.65964666667</v>
      </c>
      <c r="BI27" s="1166"/>
      <c r="BJ27" s="1166"/>
      <c r="BK27" s="724">
        <v>54964.2</v>
      </c>
      <c r="BL27" s="1167">
        <f t="shared" si="19"/>
        <v>397382.982333333</v>
      </c>
      <c r="BM27" s="724">
        <f t="shared" si="22"/>
        <v>370498.928046667</v>
      </c>
      <c r="BN27" s="724"/>
      <c r="BO27" s="724"/>
      <c r="BP27" s="724">
        <f t="shared" si="20"/>
        <v>26884.0542866667</v>
      </c>
      <c r="BQ27" s="1174">
        <f t="shared" si="67"/>
        <v>4768595.788</v>
      </c>
      <c r="BR27" s="306">
        <f t="shared" si="3"/>
        <v>1153719.1576</v>
      </c>
      <c r="BS27" s="307">
        <f t="shared" si="69"/>
        <v>0</v>
      </c>
      <c r="BT27" s="308">
        <f t="shared" si="5"/>
        <v>1153719.1576</v>
      </c>
      <c r="BU27" s="313">
        <f t="shared" si="6"/>
        <v>3614876.6304</v>
      </c>
      <c r="BV27" s="306"/>
      <c r="BW27" s="307">
        <f t="shared" si="7"/>
        <v>21000</v>
      </c>
      <c r="BX27" s="307">
        <f t="shared" si="8"/>
        <v>33000</v>
      </c>
      <c r="BY27" s="307">
        <f t="shared" si="9"/>
        <v>75000</v>
      </c>
      <c r="BZ27" s="307">
        <f t="shared" si="10"/>
        <v>95000</v>
      </c>
      <c r="CA27" s="307">
        <f t="shared" si="11"/>
        <v>336000</v>
      </c>
      <c r="CB27" s="307">
        <f t="shared" si="12"/>
        <v>99570.3912960001</v>
      </c>
      <c r="CC27" s="305">
        <f t="shared" si="13"/>
        <v>659570.391296</v>
      </c>
      <c r="CD27" s="320">
        <f t="shared" si="14"/>
        <v>47685.95788</v>
      </c>
      <c r="CE27" s="321">
        <f t="shared" si="15"/>
        <v>659570.391296</v>
      </c>
      <c r="CF27" s="322">
        <f t="shared" si="83"/>
        <v>54964.1992746667</v>
      </c>
      <c r="CG27" s="323"/>
      <c r="CH27" s="324"/>
      <c r="CI27" s="325"/>
      <c r="CJ27" s="326"/>
      <c r="CK27" s="1188"/>
      <c r="CL27" s="335"/>
      <c r="CN27" s="1190"/>
    </row>
    <row r="28" s="245" customFormat="1" ht="174" customHeight="1" spans="1:92">
      <c r="A28" s="1122">
        <v>25</v>
      </c>
      <c r="B28" s="70" t="s">
        <v>184</v>
      </c>
      <c r="C28" s="1123" t="s">
        <v>185</v>
      </c>
      <c r="D28" s="1088" t="s">
        <v>138</v>
      </c>
      <c r="E28" s="1088" t="s">
        <v>186</v>
      </c>
      <c r="F28" s="1124" t="s">
        <v>93</v>
      </c>
      <c r="G28" s="783">
        <v>2035909165</v>
      </c>
      <c r="H28" s="1125">
        <v>4432861</v>
      </c>
      <c r="I28" s="1125">
        <v>4558463</v>
      </c>
      <c r="J28" s="1125">
        <v>379871.916666667</v>
      </c>
      <c r="K28" s="1125">
        <v>94967.9791666667</v>
      </c>
      <c r="L28" s="1125">
        <v>30000</v>
      </c>
      <c r="M28" s="295">
        <v>480795.42</v>
      </c>
      <c r="N28" s="295">
        <f t="shared" si="84"/>
        <v>56092.799</v>
      </c>
      <c r="O28" s="295">
        <v>5000</v>
      </c>
      <c r="P28" s="295"/>
      <c r="Q28" s="295"/>
      <c r="R28" s="295">
        <v>2500</v>
      </c>
      <c r="S28" s="295"/>
      <c r="T28" s="295"/>
      <c r="U28" s="295"/>
      <c r="V28" s="295"/>
      <c r="W28" s="295"/>
      <c r="X28" s="295"/>
      <c r="Y28" s="295"/>
      <c r="Z28" s="295">
        <v>2500</v>
      </c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1140"/>
      <c r="AM28" s="295">
        <f t="shared" si="18"/>
        <v>9615.9084</v>
      </c>
      <c r="AN28" s="295">
        <v>500</v>
      </c>
      <c r="AO28" s="295"/>
      <c r="AP28" s="295">
        <v>40834</v>
      </c>
      <c r="AQ28" s="1149"/>
      <c r="AR28" s="1149"/>
      <c r="AS28" s="1150">
        <v>1000</v>
      </c>
      <c r="AT28" s="1151"/>
      <c r="AU28" s="1149"/>
      <c r="AV28" s="1151"/>
      <c r="AW28" s="1149"/>
      <c r="AX28" s="1149"/>
      <c r="AY28" s="1161">
        <v>2000</v>
      </c>
      <c r="AZ28" s="1149"/>
      <c r="BA28" s="295">
        <v>265000</v>
      </c>
      <c r="BB28" s="295"/>
      <c r="BC28" s="295">
        <v>7500</v>
      </c>
      <c r="BD28" s="295">
        <v>15000</v>
      </c>
      <c r="BE28" s="724">
        <v>2000</v>
      </c>
      <c r="BF28" s="724"/>
      <c r="BG28" s="724"/>
      <c r="BH28" s="724">
        <f t="shared" si="21"/>
        <v>10937.76438</v>
      </c>
      <c r="BI28" s="1166"/>
      <c r="BJ28" s="1166"/>
      <c r="BK28" s="724">
        <v>83669.2</v>
      </c>
      <c r="BL28" s="1167">
        <f t="shared" si="19"/>
        <v>546888.219</v>
      </c>
      <c r="BM28" s="724">
        <f t="shared" si="22"/>
        <v>438056.87278</v>
      </c>
      <c r="BN28" s="724"/>
      <c r="BO28" s="724"/>
      <c r="BP28" s="724">
        <f t="shared" si="20"/>
        <v>108831.34622</v>
      </c>
      <c r="BQ28" s="1174">
        <f t="shared" si="67"/>
        <v>6562658.628</v>
      </c>
      <c r="BR28" s="306">
        <f t="shared" si="3"/>
        <v>1512531.7256</v>
      </c>
      <c r="BS28" s="307">
        <f t="shared" si="69"/>
        <v>0</v>
      </c>
      <c r="BT28" s="308">
        <f t="shared" si="5"/>
        <v>1512531.7256</v>
      </c>
      <c r="BU28" s="313">
        <f t="shared" si="6"/>
        <v>5050126.9024</v>
      </c>
      <c r="BV28" s="306"/>
      <c r="BW28" s="307">
        <f t="shared" si="7"/>
        <v>21000</v>
      </c>
      <c r="BX28" s="307">
        <f t="shared" si="8"/>
        <v>33000</v>
      </c>
      <c r="BY28" s="307">
        <f t="shared" si="9"/>
        <v>75000</v>
      </c>
      <c r="BZ28" s="307">
        <f t="shared" si="10"/>
        <v>95000</v>
      </c>
      <c r="CA28" s="307">
        <f t="shared" si="11"/>
        <v>336000</v>
      </c>
      <c r="CB28" s="307">
        <f t="shared" si="12"/>
        <v>444030.456576</v>
      </c>
      <c r="CC28" s="305">
        <f t="shared" si="13"/>
        <v>1004030.456576</v>
      </c>
      <c r="CD28" s="320">
        <f t="shared" si="14"/>
        <v>65626.58628</v>
      </c>
      <c r="CE28" s="321">
        <f t="shared" si="15"/>
        <v>1004030.456576</v>
      </c>
      <c r="CF28" s="322">
        <f t="shared" si="83"/>
        <v>83669.2047146667</v>
      </c>
      <c r="CG28" s="323"/>
      <c r="CH28" s="324"/>
      <c r="CI28" s="325"/>
      <c r="CJ28" s="326"/>
      <c r="CK28" s="1188"/>
      <c r="CL28" s="335"/>
      <c r="CN28" s="1190"/>
    </row>
    <row r="29" s="245" customFormat="1" ht="174" customHeight="1" spans="1:92">
      <c r="A29" s="1122">
        <v>26</v>
      </c>
      <c r="B29" s="70" t="s">
        <v>187</v>
      </c>
      <c r="C29" s="1123" t="s">
        <v>188</v>
      </c>
      <c r="D29" s="1088" t="s">
        <v>138</v>
      </c>
      <c r="E29" s="1088" t="s">
        <v>168</v>
      </c>
      <c r="F29" s="1124" t="s">
        <v>135</v>
      </c>
      <c r="G29" s="783" t="s">
        <v>189</v>
      </c>
      <c r="H29" s="1125"/>
      <c r="I29" s="1125"/>
      <c r="J29" s="1125"/>
      <c r="K29" s="1125"/>
      <c r="L29" s="1125"/>
      <c r="M29" s="295">
        <v>464981</v>
      </c>
      <c r="N29" s="295">
        <f t="shared" si="84"/>
        <v>54247.7833333333</v>
      </c>
      <c r="O29" s="295">
        <v>5000</v>
      </c>
      <c r="P29" s="295">
        <v>20833.33</v>
      </c>
      <c r="Q29" s="295"/>
      <c r="R29" s="295">
        <v>2500</v>
      </c>
      <c r="S29" s="295"/>
      <c r="T29" s="295"/>
      <c r="U29" s="295"/>
      <c r="V29" s="295"/>
      <c r="W29" s="295"/>
      <c r="X29" s="295"/>
      <c r="Y29" s="295"/>
      <c r="Z29" s="295">
        <v>2500</v>
      </c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1140"/>
      <c r="AM29" s="295">
        <f t="shared" ref="AM29" si="85">M29*0.02</f>
        <v>9299.62</v>
      </c>
      <c r="AN29" s="295">
        <v>500</v>
      </c>
      <c r="AO29" s="295"/>
      <c r="AP29" s="295"/>
      <c r="AQ29" s="1149"/>
      <c r="AR29" s="1149"/>
      <c r="AS29" s="1150"/>
      <c r="AT29" s="1151"/>
      <c r="AU29" s="1149"/>
      <c r="AV29" s="1151"/>
      <c r="AW29" s="1149"/>
      <c r="AX29" s="1164">
        <v>1000</v>
      </c>
      <c r="AY29" s="1161">
        <v>2000</v>
      </c>
      <c r="AZ29" s="1149"/>
      <c r="BA29" s="295">
        <v>78833.33</v>
      </c>
      <c r="BB29" s="295"/>
      <c r="BC29" s="295">
        <v>3500</v>
      </c>
      <c r="BD29" s="295">
        <v>7500</v>
      </c>
      <c r="BE29" s="724">
        <v>2000</v>
      </c>
      <c r="BF29" s="724"/>
      <c r="BG29" s="724"/>
      <c r="BH29" s="724">
        <v>10584.58</v>
      </c>
      <c r="BI29" s="1166"/>
      <c r="BJ29" s="1166"/>
      <c r="BK29" s="724">
        <v>84278.53</v>
      </c>
      <c r="BL29" s="1167">
        <f t="shared" si="19"/>
        <v>550062.113333333</v>
      </c>
      <c r="BM29" s="724">
        <f t="shared" si="22"/>
        <v>199496.06</v>
      </c>
      <c r="BN29" s="724"/>
      <c r="BO29" s="724"/>
      <c r="BP29" s="724">
        <f t="shared" ref="BP29" si="86">BL29-BM29</f>
        <v>350566.053333333</v>
      </c>
      <c r="BQ29" s="1174"/>
      <c r="BR29" s="306"/>
      <c r="BS29" s="307"/>
      <c r="BT29" s="308"/>
      <c r="BU29" s="313"/>
      <c r="BV29" s="306"/>
      <c r="BW29" s="307"/>
      <c r="BX29" s="307"/>
      <c r="BY29" s="307"/>
      <c r="BZ29" s="307"/>
      <c r="CA29" s="307"/>
      <c r="CB29" s="307"/>
      <c r="CC29" s="305"/>
      <c r="CD29" s="320"/>
      <c r="CE29" s="321"/>
      <c r="CF29" s="322"/>
      <c r="CG29" s="323"/>
      <c r="CH29" s="324"/>
      <c r="CI29" s="325"/>
      <c r="CJ29" s="326"/>
      <c r="CK29" s="1188"/>
      <c r="CL29" s="335"/>
      <c r="CN29" s="1190"/>
    </row>
    <row r="30" s="245" customFormat="1" ht="183" customHeight="1" spans="1:92">
      <c r="A30" s="1122">
        <v>27</v>
      </c>
      <c r="B30" s="70" t="s">
        <v>190</v>
      </c>
      <c r="C30" s="1123" t="s">
        <v>191</v>
      </c>
      <c r="D30" s="1088" t="s">
        <v>138</v>
      </c>
      <c r="E30" s="1088" t="s">
        <v>139</v>
      </c>
      <c r="F30" s="1124" t="s">
        <v>145</v>
      </c>
      <c r="G30" s="686" t="s">
        <v>192</v>
      </c>
      <c r="H30" s="1125" t="e">
        <f>#REF!</f>
        <v>#REF!</v>
      </c>
      <c r="I30" s="1125">
        <v>3804852</v>
      </c>
      <c r="J30" s="1125">
        <v>317071</v>
      </c>
      <c r="K30" s="1125">
        <v>79267.75</v>
      </c>
      <c r="L30" s="1125">
        <v>30000</v>
      </c>
      <c r="M30" s="295">
        <v>464981</v>
      </c>
      <c r="N30" s="295">
        <f t="shared" ref="N30:N33" si="87">M30*0.35/3</f>
        <v>54247.7833333333</v>
      </c>
      <c r="O30" s="295">
        <v>5000</v>
      </c>
      <c r="P30" s="295">
        <v>41667</v>
      </c>
      <c r="Q30" s="295"/>
      <c r="R30" s="295">
        <v>2500</v>
      </c>
      <c r="S30" s="295"/>
      <c r="T30" s="295"/>
      <c r="U30" s="295"/>
      <c r="V30" s="295"/>
      <c r="W30" s="295"/>
      <c r="X30" s="295"/>
      <c r="Y30" s="295"/>
      <c r="Z30" s="295">
        <v>2500</v>
      </c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1140"/>
      <c r="AM30" s="295">
        <f t="shared" si="18"/>
        <v>9299.62</v>
      </c>
      <c r="AN30" s="295">
        <v>500</v>
      </c>
      <c r="AO30" s="295"/>
      <c r="AP30" s="295">
        <v>26667</v>
      </c>
      <c r="AQ30" s="1149"/>
      <c r="AR30" s="1149"/>
      <c r="AS30" s="1150">
        <v>1000</v>
      </c>
      <c r="AT30" s="1151"/>
      <c r="AU30" s="1149"/>
      <c r="AV30" s="1151">
        <v>5000</v>
      </c>
      <c r="AW30" s="1149"/>
      <c r="AX30" s="1149"/>
      <c r="AY30" s="1161"/>
      <c r="AZ30" s="1149"/>
      <c r="BA30" s="295">
        <v>119583.33</v>
      </c>
      <c r="BB30" s="295"/>
      <c r="BC30" s="295">
        <v>7500</v>
      </c>
      <c r="BD30" s="295">
        <v>15000</v>
      </c>
      <c r="BE30" s="724">
        <v>2000</v>
      </c>
      <c r="BF30" s="724"/>
      <c r="BG30" s="724"/>
      <c r="BH30" s="724">
        <f t="shared" si="21"/>
        <v>11417.9156666667</v>
      </c>
      <c r="BI30" s="1166"/>
      <c r="BJ30" s="1166"/>
      <c r="BK30" s="724">
        <v>88278.66</v>
      </c>
      <c r="BL30" s="1167">
        <f>Z30+R30+P30+O30+N30+M30</f>
        <v>570895.783333333</v>
      </c>
      <c r="BM30" s="724">
        <f t="shared" si="22"/>
        <v>286246.525666667</v>
      </c>
      <c r="BN30" s="724"/>
      <c r="BO30" s="724"/>
      <c r="BP30" s="724">
        <f t="shared" si="20"/>
        <v>284649.257666667</v>
      </c>
      <c r="BQ30" s="1174">
        <f t="shared" si="67"/>
        <v>6850749.4</v>
      </c>
      <c r="BR30" s="306">
        <f t="shared" si="3"/>
        <v>1570149.88</v>
      </c>
      <c r="BS30" s="307">
        <f t="shared" si="69"/>
        <v>0</v>
      </c>
      <c r="BT30" s="308">
        <f t="shared" si="5"/>
        <v>1570149.88</v>
      </c>
      <c r="BU30" s="313">
        <f t="shared" si="6"/>
        <v>5280599.52</v>
      </c>
      <c r="BV30" s="306"/>
      <c r="BW30" s="307">
        <f t="shared" si="7"/>
        <v>21000</v>
      </c>
      <c r="BX30" s="307">
        <f t="shared" si="8"/>
        <v>33000</v>
      </c>
      <c r="BY30" s="307">
        <f t="shared" si="9"/>
        <v>75000</v>
      </c>
      <c r="BZ30" s="307">
        <f t="shared" si="10"/>
        <v>95000</v>
      </c>
      <c r="CA30" s="307">
        <f t="shared" si="11"/>
        <v>336000</v>
      </c>
      <c r="CB30" s="307">
        <f t="shared" si="12"/>
        <v>499343.8848</v>
      </c>
      <c r="CC30" s="305">
        <f t="shared" si="13"/>
        <v>1059343.8848</v>
      </c>
      <c r="CD30" s="320">
        <f t="shared" si="14"/>
        <v>68507.494</v>
      </c>
      <c r="CE30" s="321">
        <f t="shared" si="15"/>
        <v>1059343.8848</v>
      </c>
      <c r="CF30" s="322">
        <f t="shared" si="83"/>
        <v>88278.6570666667</v>
      </c>
      <c r="CG30" s="323"/>
      <c r="CH30" s="324"/>
      <c r="CI30" s="325"/>
      <c r="CJ30" s="326"/>
      <c r="CK30" s="1188"/>
      <c r="CL30" s="335"/>
      <c r="CN30" s="1190"/>
    </row>
    <row r="31" s="245" customFormat="1" ht="183" customHeight="1" spans="1:92">
      <c r="A31" s="1122">
        <v>28</v>
      </c>
      <c r="B31" s="70" t="s">
        <v>193</v>
      </c>
      <c r="C31" s="1122" t="s">
        <v>194</v>
      </c>
      <c r="D31" s="1088" t="s">
        <v>195</v>
      </c>
      <c r="E31" s="1088" t="s">
        <v>196</v>
      </c>
      <c r="F31" s="1124" t="s">
        <v>165</v>
      </c>
      <c r="G31" s="686">
        <v>2007556061</v>
      </c>
      <c r="H31" s="1125">
        <v>1691938</v>
      </c>
      <c r="I31" s="1125">
        <v>1796468</v>
      </c>
      <c r="J31" s="1125">
        <v>149705.666666667</v>
      </c>
      <c r="K31" s="1125">
        <v>37426.4166666667</v>
      </c>
      <c r="L31" s="1125">
        <v>30000</v>
      </c>
      <c r="M31" s="295">
        <v>222376.83</v>
      </c>
      <c r="N31" s="295">
        <f t="shared" si="87"/>
        <v>25943.9635</v>
      </c>
      <c r="O31" s="295">
        <v>5000</v>
      </c>
      <c r="P31" s="295"/>
      <c r="Q31" s="295"/>
      <c r="R31" s="295">
        <v>2500</v>
      </c>
      <c r="S31" s="295"/>
      <c r="T31" s="295"/>
      <c r="U31" s="295"/>
      <c r="V31" s="295"/>
      <c r="W31" s="295"/>
      <c r="X31" s="295"/>
      <c r="Y31" s="295"/>
      <c r="Z31" s="295">
        <v>2500</v>
      </c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1140"/>
      <c r="AM31" s="295">
        <f t="shared" si="18"/>
        <v>4447.5366</v>
      </c>
      <c r="AN31" s="295">
        <v>500</v>
      </c>
      <c r="AO31" s="295"/>
      <c r="AP31" s="295"/>
      <c r="AQ31" s="1149"/>
      <c r="AR31" s="1149"/>
      <c r="AS31" s="1152"/>
      <c r="AT31" s="1149"/>
      <c r="AU31" s="1149"/>
      <c r="AV31" s="1151"/>
      <c r="AW31" s="1149"/>
      <c r="AX31" s="1149"/>
      <c r="AY31" s="1161"/>
      <c r="AZ31" s="1149"/>
      <c r="BA31" s="295">
        <v>0</v>
      </c>
      <c r="BB31" s="295"/>
      <c r="BC31" s="295">
        <v>7500</v>
      </c>
      <c r="BD31" s="295">
        <v>15000</v>
      </c>
      <c r="BE31" s="724">
        <v>1000</v>
      </c>
      <c r="BF31" s="724">
        <v>1000</v>
      </c>
      <c r="BG31" s="724"/>
      <c r="BH31" s="724">
        <f t="shared" si="21"/>
        <v>5166.41587</v>
      </c>
      <c r="BI31" s="1166"/>
      <c r="BJ31" s="1166"/>
      <c r="BK31" s="724">
        <v>30564.56</v>
      </c>
      <c r="BL31" s="1167">
        <f t="shared" ref="BL31:BL62" si="88">M31+N31+O31+P31+R31+S31+T31+U31+V31+W31+Y31+Z31+AA31</f>
        <v>258320.7935</v>
      </c>
      <c r="BM31" s="724">
        <v>65178.51</v>
      </c>
      <c r="BN31" s="724"/>
      <c r="BO31" s="724"/>
      <c r="BP31" s="724">
        <f t="shared" si="20"/>
        <v>193142.2835</v>
      </c>
      <c r="BQ31" s="1174">
        <f t="shared" si="67"/>
        <v>3099849.522</v>
      </c>
      <c r="BR31" s="306">
        <f t="shared" si="3"/>
        <v>819969.9044</v>
      </c>
      <c r="BS31" s="307">
        <f t="shared" si="69"/>
        <v>0</v>
      </c>
      <c r="BT31" s="308">
        <f t="shared" si="5"/>
        <v>819969.9044</v>
      </c>
      <c r="BU31" s="313">
        <f t="shared" si="6"/>
        <v>2279879.6176</v>
      </c>
      <c r="BV31" s="306"/>
      <c r="BW31" s="307">
        <f t="shared" si="7"/>
        <v>21000</v>
      </c>
      <c r="BX31" s="307">
        <f t="shared" si="8"/>
        <v>33000</v>
      </c>
      <c r="BY31" s="307">
        <f t="shared" si="9"/>
        <v>75000</v>
      </c>
      <c r="BZ31" s="307">
        <f t="shared" si="10"/>
        <v>95000</v>
      </c>
      <c r="CA31" s="307">
        <f t="shared" si="11"/>
        <v>142774.719696</v>
      </c>
      <c r="CB31" s="307" t="str">
        <f t="shared" si="12"/>
        <v/>
      </c>
      <c r="CC31" s="305">
        <f t="shared" si="13"/>
        <v>366774.719696</v>
      </c>
      <c r="CD31" s="320">
        <f t="shared" si="14"/>
        <v>30998.49522</v>
      </c>
      <c r="CE31" s="321">
        <f t="shared" si="15"/>
        <v>366774.719696</v>
      </c>
      <c r="CF31" s="322">
        <f t="shared" si="83"/>
        <v>30564.5599746667</v>
      </c>
      <c r="CG31" s="323"/>
      <c r="CH31" s="324"/>
      <c r="CI31" s="325"/>
      <c r="CJ31" s="326"/>
      <c r="CK31" s="1188"/>
      <c r="CL31" s="335"/>
      <c r="CN31" s="1189"/>
    </row>
    <row r="32" s="245" customFormat="1" ht="183" customHeight="1" spans="1:92">
      <c r="A32" s="1122">
        <v>29</v>
      </c>
      <c r="B32" s="70" t="s">
        <v>197</v>
      </c>
      <c r="C32" s="1123" t="s">
        <v>90</v>
      </c>
      <c r="D32" s="1088" t="s">
        <v>198</v>
      </c>
      <c r="E32" s="1088" t="s">
        <v>199</v>
      </c>
      <c r="F32" s="1124" t="s">
        <v>135</v>
      </c>
      <c r="G32" s="1127" t="s">
        <v>200</v>
      </c>
      <c r="H32" s="1125"/>
      <c r="I32" s="1125"/>
      <c r="J32" s="1125">
        <v>63367</v>
      </c>
      <c r="K32" s="1125">
        <v>15841.75</v>
      </c>
      <c r="L32" s="1125">
        <v>30000</v>
      </c>
      <c r="M32" s="295">
        <v>192875.25</v>
      </c>
      <c r="N32" s="295">
        <f t="shared" si="87"/>
        <v>22502.1125</v>
      </c>
      <c r="O32" s="295">
        <v>5000</v>
      </c>
      <c r="P32" s="295"/>
      <c r="Q32" s="295"/>
      <c r="R32" s="295">
        <v>2500</v>
      </c>
      <c r="S32" s="295"/>
      <c r="T32" s="295"/>
      <c r="U32" s="295"/>
      <c r="V32" s="295"/>
      <c r="W32" s="295"/>
      <c r="X32" s="295"/>
      <c r="Y32" s="295"/>
      <c r="Z32" s="295">
        <v>2500</v>
      </c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1140"/>
      <c r="AM32" s="295">
        <f t="shared" si="18"/>
        <v>3857.505</v>
      </c>
      <c r="AN32" s="295">
        <v>500</v>
      </c>
      <c r="AO32" s="295"/>
      <c r="AP32" s="295"/>
      <c r="AQ32" s="1149"/>
      <c r="AR32" s="1149"/>
      <c r="AS32" s="1152"/>
      <c r="AT32" s="1149"/>
      <c r="AU32" s="1149"/>
      <c r="AV32" s="1151"/>
      <c r="AW32" s="1153"/>
      <c r="AX32" s="1153"/>
      <c r="AY32" s="1161">
        <v>2000</v>
      </c>
      <c r="AZ32" s="1149"/>
      <c r="BA32" s="295">
        <v>0</v>
      </c>
      <c r="BB32" s="295"/>
      <c r="BC32" s="295"/>
      <c r="BD32" s="295"/>
      <c r="BE32" s="724">
        <v>1000</v>
      </c>
      <c r="BF32" s="724"/>
      <c r="BG32" s="724"/>
      <c r="BH32" s="724">
        <v>2580.09857666667</v>
      </c>
      <c r="BI32" s="1166"/>
      <c r="BJ32" s="1166"/>
      <c r="BK32" s="724">
        <v>25030.06</v>
      </c>
      <c r="BL32" s="1167">
        <f t="shared" si="88"/>
        <v>225377.3625</v>
      </c>
      <c r="BM32" s="724">
        <f t="shared" si="22"/>
        <v>34967.6635766667</v>
      </c>
      <c r="BN32" s="724"/>
      <c r="BO32" s="724"/>
      <c r="BP32" s="724">
        <f t="shared" si="20"/>
        <v>190409.698923333</v>
      </c>
      <c r="BQ32" s="1174">
        <f t="shared" si="67"/>
        <v>2704528.35</v>
      </c>
      <c r="BR32" s="306">
        <f t="shared" ref="BR32" si="89">200000+(0.2*BQ32)</f>
        <v>740905.67</v>
      </c>
      <c r="BS32" s="307">
        <f t="shared" si="69"/>
        <v>0</v>
      </c>
      <c r="BT32" s="308">
        <f t="shared" ref="BT32" si="90">SUM(BR32:BS32)</f>
        <v>740905.67</v>
      </c>
      <c r="BU32" s="313">
        <f t="shared" ref="BU32" si="91">+BQ32-BT32</f>
        <v>1963622.68</v>
      </c>
      <c r="BV32" s="306"/>
      <c r="BW32" s="307">
        <f t="shared" ref="BW32" si="92">IF((BU32&gt;0),(IF((BU32&gt;300000),(300000*7%),(BU32*7%))),(BQ32*1%))</f>
        <v>21000</v>
      </c>
      <c r="BX32" s="307">
        <f t="shared" ref="BX32" si="93">IF((BU32-300000)&gt;0,(IF((BU32&gt;600000),(300000*11%),((BU32-300000)*11%))),(""))</f>
        <v>33000</v>
      </c>
      <c r="BY32" s="307">
        <f t="shared" ref="BY32" si="94">IF(((BU32-600000)&gt;0),(IF((BU32&gt;1100000),(500000*15%),((BU32-600000)*15%))),(""))</f>
        <v>75000</v>
      </c>
      <c r="BZ32" s="307">
        <f t="shared" ref="BZ32" si="95">IF(((BU32-(1100000))&gt;0),(IF((BU32&gt;(1600000)),((500000)*19%),((BU32-(1100000))*19%))),(""))</f>
        <v>95000</v>
      </c>
      <c r="CA32" s="307">
        <f t="shared" ref="CA32" si="96">IF(((BU32-(1600000))&gt;0),(IF((BU32&gt;(3200000)),((1600000)*21%),((BU32-(1600000))*21%))),(""))</f>
        <v>76360.7627999999</v>
      </c>
      <c r="CB32" s="307" t="str">
        <f t="shared" ref="CB32" si="97">IF(((BU32-(3200000))&gt;0),(IF((BU32&gt;(3200000)),((BU32-(3200000))*24%),(0))),(""))</f>
        <v/>
      </c>
      <c r="CC32" s="305">
        <f t="shared" ref="CC32" si="98">SUM(BW32:CB32)</f>
        <v>300360.7628</v>
      </c>
      <c r="CD32" s="320">
        <f t="shared" ref="CD32" si="99">1%*BQ32</f>
        <v>27045.2835</v>
      </c>
      <c r="CE32" s="321">
        <f t="shared" ref="CE32" si="100">MAX(CC32:CD32)</f>
        <v>300360.7628</v>
      </c>
      <c r="CF32" s="322">
        <f t="shared" ref="CF32" si="101">+CE32/12</f>
        <v>25030.0635666667</v>
      </c>
      <c r="CG32" s="323"/>
      <c r="CH32" s="324"/>
      <c r="CI32" s="325"/>
      <c r="CJ32" s="326"/>
      <c r="CK32" s="1188"/>
      <c r="CL32" s="335"/>
      <c r="CN32" s="1190"/>
    </row>
    <row r="33" s="245" customFormat="1" ht="183" customHeight="1" spans="1:92">
      <c r="A33" s="1122">
        <v>30</v>
      </c>
      <c r="B33" s="70" t="s">
        <v>201</v>
      </c>
      <c r="C33" s="1123" t="s">
        <v>90</v>
      </c>
      <c r="D33" s="1088" t="s">
        <v>198</v>
      </c>
      <c r="E33" s="1088" t="s">
        <v>199</v>
      </c>
      <c r="F33" s="1124" t="s">
        <v>113</v>
      </c>
      <c r="G33" s="783">
        <v>2104479346</v>
      </c>
      <c r="H33" s="1125"/>
      <c r="I33" s="1125"/>
      <c r="J33" s="1125">
        <v>63367</v>
      </c>
      <c r="K33" s="1125">
        <v>15841.75</v>
      </c>
      <c r="L33" s="1125">
        <v>30000</v>
      </c>
      <c r="M33" s="295">
        <v>192875.25</v>
      </c>
      <c r="N33" s="295">
        <f t="shared" si="87"/>
        <v>22502.1125</v>
      </c>
      <c r="O33" s="295">
        <v>5000</v>
      </c>
      <c r="P33" s="295"/>
      <c r="Q33" s="295"/>
      <c r="R33" s="295">
        <v>2500</v>
      </c>
      <c r="S33" s="295"/>
      <c r="T33" s="295"/>
      <c r="U33" s="295"/>
      <c r="V33" s="295"/>
      <c r="W33" s="295"/>
      <c r="X33" s="295"/>
      <c r="Y33" s="295"/>
      <c r="Z33" s="295">
        <v>2500</v>
      </c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1140"/>
      <c r="AM33" s="295">
        <f t="shared" si="18"/>
        <v>3857.505</v>
      </c>
      <c r="AN33" s="295">
        <v>500</v>
      </c>
      <c r="AO33" s="295"/>
      <c r="AP33" s="295"/>
      <c r="AQ33" s="1149"/>
      <c r="AR33" s="1149"/>
      <c r="AS33" s="1152"/>
      <c r="AT33" s="1149"/>
      <c r="AU33" s="1149"/>
      <c r="AV33" s="1151"/>
      <c r="AW33" s="1149"/>
      <c r="AX33" s="1149"/>
      <c r="AY33" s="1161"/>
      <c r="AZ33" s="1149"/>
      <c r="BA33" s="295">
        <v>0</v>
      </c>
      <c r="BB33" s="295"/>
      <c r="BC33" s="295"/>
      <c r="BD33" s="295"/>
      <c r="BE33" s="724">
        <v>1000</v>
      </c>
      <c r="BF33" s="724"/>
      <c r="BG33" s="724"/>
      <c r="BH33" s="724">
        <v>2580.09857666667</v>
      </c>
      <c r="BI33" s="1166"/>
      <c r="BJ33" s="1166"/>
      <c r="BK33" s="724">
        <v>25030.06</v>
      </c>
      <c r="BL33" s="1167">
        <f t="shared" si="88"/>
        <v>225377.3625</v>
      </c>
      <c r="BM33" s="724">
        <f t="shared" si="22"/>
        <v>32967.6635766667</v>
      </c>
      <c r="BN33" s="724"/>
      <c r="BO33" s="724"/>
      <c r="BP33" s="724">
        <f t="shared" si="20"/>
        <v>192409.698923333</v>
      </c>
      <c r="BQ33" s="1174"/>
      <c r="BR33" s="306"/>
      <c r="BS33" s="307"/>
      <c r="BT33" s="308"/>
      <c r="BU33" s="313"/>
      <c r="BV33" s="306"/>
      <c r="BW33" s="307"/>
      <c r="BX33" s="307"/>
      <c r="BY33" s="307"/>
      <c r="BZ33" s="307"/>
      <c r="CA33" s="307"/>
      <c r="CB33" s="307"/>
      <c r="CC33" s="305"/>
      <c r="CD33" s="320"/>
      <c r="CE33" s="321"/>
      <c r="CF33" s="322">
        <f>CF32</f>
        <v>25030.0635666667</v>
      </c>
      <c r="CG33" s="323"/>
      <c r="CH33" s="324"/>
      <c r="CI33" s="325"/>
      <c r="CJ33" s="326"/>
      <c r="CK33" s="1188"/>
      <c r="CL33" s="335"/>
      <c r="CN33" s="1190"/>
    </row>
    <row r="34" s="245" customFormat="1" ht="186" customHeight="1" spans="1:92">
      <c r="A34" s="1122">
        <v>31</v>
      </c>
      <c r="B34" s="70" t="s">
        <v>202</v>
      </c>
      <c r="C34" s="1122" t="s">
        <v>203</v>
      </c>
      <c r="D34" s="1088" t="s">
        <v>204</v>
      </c>
      <c r="E34" s="1088" t="s">
        <v>205</v>
      </c>
      <c r="F34" s="1124" t="s">
        <v>165</v>
      </c>
      <c r="G34" s="686">
        <v>1002357668</v>
      </c>
      <c r="H34" s="1125">
        <v>1691939</v>
      </c>
      <c r="I34" s="1125">
        <v>2035373</v>
      </c>
      <c r="J34" s="1125">
        <v>169614.416666667</v>
      </c>
      <c r="K34" s="1125">
        <v>42403.6041666667</v>
      </c>
      <c r="L34" s="1125">
        <v>30000</v>
      </c>
      <c r="M34" s="295">
        <v>247716.75</v>
      </c>
      <c r="N34" s="295">
        <f t="shared" ref="N34" si="102">M34*0.35/3</f>
        <v>28900.2875</v>
      </c>
      <c r="O34" s="295">
        <v>5000</v>
      </c>
      <c r="P34" s="295"/>
      <c r="Q34" s="295"/>
      <c r="R34" s="295">
        <v>2500</v>
      </c>
      <c r="S34" s="295"/>
      <c r="T34" s="295"/>
      <c r="U34" s="295"/>
      <c r="V34" s="295"/>
      <c r="W34" s="295"/>
      <c r="X34" s="295"/>
      <c r="Y34" s="295"/>
      <c r="Z34" s="295">
        <v>2500</v>
      </c>
      <c r="AA34" s="295"/>
      <c r="AB34" s="295"/>
      <c r="AC34" s="295"/>
      <c r="AD34" s="295"/>
      <c r="AE34" s="295"/>
      <c r="AF34" s="295"/>
      <c r="AG34" s="295"/>
      <c r="AH34" s="295"/>
      <c r="AI34" s="295">
        <v>50000</v>
      </c>
      <c r="AJ34" s="295"/>
      <c r="AK34" s="295"/>
      <c r="AL34" s="1140"/>
      <c r="AM34" s="295">
        <f t="shared" si="18"/>
        <v>4954.335</v>
      </c>
      <c r="AN34" s="295">
        <v>500</v>
      </c>
      <c r="AO34" s="295"/>
      <c r="AP34" s="295">
        <v>61667</v>
      </c>
      <c r="AQ34" s="1149"/>
      <c r="AR34" s="1149"/>
      <c r="AS34" s="1150">
        <v>1000</v>
      </c>
      <c r="AT34" s="1151"/>
      <c r="AU34" s="1149"/>
      <c r="AV34" s="1151"/>
      <c r="AW34" s="1149"/>
      <c r="AX34" s="1149"/>
      <c r="AY34" s="1161"/>
      <c r="AZ34" s="1149"/>
      <c r="BA34" s="295">
        <v>0</v>
      </c>
      <c r="BB34" s="295"/>
      <c r="BC34" s="295"/>
      <c r="BD34" s="295"/>
      <c r="BE34" s="724">
        <v>1000</v>
      </c>
      <c r="BF34" s="724"/>
      <c r="BG34" s="724"/>
      <c r="BH34" s="724">
        <f t="shared" si="21"/>
        <v>5732.34075</v>
      </c>
      <c r="BI34" s="1166"/>
      <c r="BJ34" s="1166"/>
      <c r="BK34" s="724">
        <v>35318.33</v>
      </c>
      <c r="BL34" s="1167">
        <f t="shared" si="88"/>
        <v>286617.0375</v>
      </c>
      <c r="BM34" s="724">
        <f t="shared" si="22"/>
        <v>160172.00575</v>
      </c>
      <c r="BN34" s="724"/>
      <c r="BO34" s="724"/>
      <c r="BP34" s="724">
        <f t="shared" si="20"/>
        <v>126445.03175</v>
      </c>
      <c r="BQ34" s="1174">
        <f t="shared" ref="BQ34:BQ68" si="103">BL34*12</f>
        <v>3439404.45</v>
      </c>
      <c r="BR34" s="306">
        <f t="shared" ref="BR34" si="104">200000+(0.2*BQ34)</f>
        <v>887880.89</v>
      </c>
      <c r="BS34" s="307">
        <f t="shared" ref="BS34:BS68" si="105">BI34*12</f>
        <v>0</v>
      </c>
      <c r="BT34" s="308">
        <f t="shared" ref="BT34" si="106">SUM(BR34:BS34)</f>
        <v>887880.89</v>
      </c>
      <c r="BU34" s="313">
        <f t="shared" ref="BU34" si="107">+BQ34-BT34</f>
        <v>2551523.56</v>
      </c>
      <c r="BV34" s="306"/>
      <c r="BW34" s="307">
        <f t="shared" ref="BW34" si="108">IF((BU34&gt;0),(IF((BU34&gt;300000),(300000*7%),(BU34*7%))),(BQ34*1%))</f>
        <v>21000</v>
      </c>
      <c r="BX34" s="307">
        <f t="shared" ref="BX34" si="109">IF((BU34-300000)&gt;0,(IF((BU34&gt;600000),(300000*11%),((BU34-300000)*11%))),(""))</f>
        <v>33000</v>
      </c>
      <c r="BY34" s="307">
        <f t="shared" ref="BY34" si="110">IF(((BU34-600000)&gt;0),(IF((BU34&gt;1100000),(500000*15%),((BU34-600000)*15%))),(""))</f>
        <v>75000</v>
      </c>
      <c r="BZ34" s="307">
        <f t="shared" ref="BZ34" si="111">IF(((BU34-(1100000))&gt;0),(IF((BU34&gt;(1600000)),((500000)*19%),((BU34-(1100000))*19%))),(""))</f>
        <v>95000</v>
      </c>
      <c r="CA34" s="307">
        <f t="shared" ref="CA34" si="112">IF(((BU34-(1600000))&gt;0),(IF((BU34&gt;(3200000)),((1600000)*21%),((BU34-(1600000))*21%))),(""))</f>
        <v>199819.9476</v>
      </c>
      <c r="CB34" s="307" t="str">
        <f t="shared" ref="CB34" si="113">IF(((BU34-(3200000))&gt;0),(IF((BU34&gt;(3200000)),((BU34-(3200000))*24%),(0))),(""))</f>
        <v/>
      </c>
      <c r="CC34" s="305">
        <f t="shared" ref="CC34" si="114">SUM(BW34:CB34)</f>
        <v>423819.9476</v>
      </c>
      <c r="CD34" s="320">
        <f t="shared" ref="CD34" si="115">1%*BQ34</f>
        <v>34394.0445</v>
      </c>
      <c r="CE34" s="321">
        <f t="shared" ref="CE34" si="116">MAX(CC34:CD34)</f>
        <v>423819.9476</v>
      </c>
      <c r="CF34" s="322">
        <f t="shared" ref="CF34" si="117">+CE34/12</f>
        <v>35318.3289666667</v>
      </c>
      <c r="CG34" s="323"/>
      <c r="CH34" s="324"/>
      <c r="CI34" s="325"/>
      <c r="CJ34" s="326"/>
      <c r="CK34" s="1188"/>
      <c r="CL34" s="335"/>
      <c r="CN34" s="1189"/>
    </row>
    <row r="35" s="245" customFormat="1" ht="186" customHeight="1" spans="1:92">
      <c r="A35" s="1122">
        <v>32</v>
      </c>
      <c r="B35" s="70" t="s">
        <v>206</v>
      </c>
      <c r="C35" s="1123" t="s">
        <v>207</v>
      </c>
      <c r="D35" s="1088" t="s">
        <v>204</v>
      </c>
      <c r="E35" s="1088" t="s">
        <v>208</v>
      </c>
      <c r="F35" s="1124" t="s">
        <v>209</v>
      </c>
      <c r="G35" s="783" t="s">
        <v>210</v>
      </c>
      <c r="H35" s="1125"/>
      <c r="I35" s="1125">
        <v>1925958</v>
      </c>
      <c r="J35" s="1125">
        <v>160496.5</v>
      </c>
      <c r="K35" s="1125">
        <v>40124.125</v>
      </c>
      <c r="L35" s="1125">
        <v>30000</v>
      </c>
      <c r="M35" s="295">
        <v>242018.08</v>
      </c>
      <c r="N35" s="295">
        <f t="shared" ref="N35" si="118">M35*0.35/3</f>
        <v>28235.4426666667</v>
      </c>
      <c r="O35" s="295">
        <v>5000</v>
      </c>
      <c r="P35" s="295"/>
      <c r="Q35" s="295"/>
      <c r="R35" s="295">
        <v>2500</v>
      </c>
      <c r="S35" s="295"/>
      <c r="T35" s="295"/>
      <c r="U35" s="295"/>
      <c r="V35" s="295"/>
      <c r="W35" s="295"/>
      <c r="X35" s="295"/>
      <c r="Y35" s="295"/>
      <c r="Z35" s="295">
        <v>2500</v>
      </c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1140"/>
      <c r="AM35" s="295">
        <f t="shared" si="18"/>
        <v>4840.3616</v>
      </c>
      <c r="AN35" s="295">
        <v>500</v>
      </c>
      <c r="AO35" s="295"/>
      <c r="AP35" s="295"/>
      <c r="AQ35" s="1151">
        <v>1000</v>
      </c>
      <c r="AR35" s="1149"/>
      <c r="AS35" s="1150"/>
      <c r="AT35" s="1151"/>
      <c r="AU35" s="1149"/>
      <c r="AV35" s="1151">
        <v>10000</v>
      </c>
      <c r="AW35" s="1149"/>
      <c r="AX35" s="1149"/>
      <c r="AY35" s="1161"/>
      <c r="AZ35" s="1149"/>
      <c r="BA35" s="295">
        <v>0</v>
      </c>
      <c r="BB35" s="295"/>
      <c r="BC35" s="295"/>
      <c r="BD35" s="295"/>
      <c r="BE35" s="724">
        <v>1000</v>
      </c>
      <c r="BF35" s="724"/>
      <c r="BG35" s="724"/>
      <c r="BH35" s="724">
        <f t="shared" si="21"/>
        <v>5605.07045333333</v>
      </c>
      <c r="BI35" s="1166"/>
      <c r="BJ35" s="1166"/>
      <c r="BK35" s="724">
        <v>34249.26</v>
      </c>
      <c r="BL35" s="1167">
        <f t="shared" si="88"/>
        <v>280253.522666667</v>
      </c>
      <c r="BM35" s="724">
        <f t="shared" si="22"/>
        <v>57194.6920533333</v>
      </c>
      <c r="BN35" s="724"/>
      <c r="BO35" s="724"/>
      <c r="BP35" s="724">
        <f t="shared" si="20"/>
        <v>223058.830613333</v>
      </c>
      <c r="BQ35" s="1174">
        <f t="shared" si="103"/>
        <v>3363042.272</v>
      </c>
      <c r="BR35" s="306">
        <f t="shared" ref="BR35" si="119">200000+(0.2*BQ35)</f>
        <v>872608.4544</v>
      </c>
      <c r="BS35" s="307">
        <f t="shared" si="105"/>
        <v>0</v>
      </c>
      <c r="BT35" s="308">
        <f t="shared" ref="BT35" si="120">SUM(BR35:BS35)</f>
        <v>872608.4544</v>
      </c>
      <c r="BU35" s="313">
        <f t="shared" ref="BU35" si="121">+BQ35-BT35</f>
        <v>2490433.8176</v>
      </c>
      <c r="BV35" s="306"/>
      <c r="BW35" s="307">
        <f t="shared" ref="BW35" si="122">IF((BU35&gt;0),(IF((BU35&gt;300000),(300000*7%),(BU35*7%))),(BQ35*1%))</f>
        <v>21000</v>
      </c>
      <c r="BX35" s="307">
        <f t="shared" ref="BX35" si="123">IF((BU35-300000)&gt;0,(IF((BU35&gt;600000),(300000*11%),((BU35-300000)*11%))),(""))</f>
        <v>33000</v>
      </c>
      <c r="BY35" s="307">
        <f t="shared" ref="BY35" si="124">IF(((BU35-600000)&gt;0),(IF((BU35&gt;1100000),(500000*15%),((BU35-600000)*15%))),(""))</f>
        <v>75000</v>
      </c>
      <c r="BZ35" s="307">
        <f t="shared" ref="BZ35" si="125">IF(((BU35-(1100000))&gt;0),(IF((BU35&gt;(1600000)),((500000)*19%),((BU35-(1100000))*19%))),(""))</f>
        <v>95000</v>
      </c>
      <c r="CA35" s="307">
        <f t="shared" ref="CA35" si="126">IF(((BU35-(1600000))&gt;0),(IF((BU35&gt;(3200000)),((1600000)*21%),((BU35-(1600000))*21%))),(""))</f>
        <v>186991.101696</v>
      </c>
      <c r="CB35" s="307" t="str">
        <f t="shared" ref="CB35" si="127">IF(((BU35-(3200000))&gt;0),(IF((BU35&gt;(3200000)),((BU35-(3200000))*24%),(0))),(""))</f>
        <v/>
      </c>
      <c r="CC35" s="305">
        <f t="shared" ref="CC35" si="128">SUM(BW35:CB35)</f>
        <v>410991.101696</v>
      </c>
      <c r="CD35" s="320">
        <f t="shared" ref="CD35" si="129">1%*BQ35</f>
        <v>33630.42272</v>
      </c>
      <c r="CE35" s="321">
        <f t="shared" ref="CE35" si="130">MAX(CC35:CD35)</f>
        <v>410991.101696</v>
      </c>
      <c r="CF35" s="322">
        <f t="shared" ref="CF35" si="131">+CE35/12</f>
        <v>34249.2584746667</v>
      </c>
      <c r="CG35" s="323"/>
      <c r="CH35" s="324"/>
      <c r="CI35" s="325"/>
      <c r="CJ35" s="326"/>
      <c r="CK35" s="1188"/>
      <c r="CL35" s="335"/>
      <c r="CN35" s="1190"/>
    </row>
    <row r="36" s="245" customFormat="1" ht="172.5" customHeight="1" spans="1:92">
      <c r="A36" s="1122">
        <v>33</v>
      </c>
      <c r="B36" s="70" t="s">
        <v>211</v>
      </c>
      <c r="C36" s="1122" t="s">
        <v>194</v>
      </c>
      <c r="D36" s="1088" t="s">
        <v>212</v>
      </c>
      <c r="E36" s="1088" t="s">
        <v>213</v>
      </c>
      <c r="F36" s="1124" t="s">
        <v>135</v>
      </c>
      <c r="G36" s="783" t="s">
        <v>214</v>
      </c>
      <c r="H36" s="1125">
        <v>1796468</v>
      </c>
      <c r="I36" s="1125">
        <v>1846818</v>
      </c>
      <c r="J36" s="1125">
        <v>153901.5</v>
      </c>
      <c r="K36" s="1125">
        <v>38475.375</v>
      </c>
      <c r="L36" s="1125">
        <v>30000</v>
      </c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1140"/>
      <c r="AM36" s="295"/>
      <c r="AN36" s="295"/>
      <c r="AO36" s="295"/>
      <c r="AP36" s="295"/>
      <c r="AQ36" s="1149"/>
      <c r="AR36" s="1149"/>
      <c r="AS36" s="1152"/>
      <c r="AT36" s="1149"/>
      <c r="AU36" s="1149"/>
      <c r="AV36" s="1151"/>
      <c r="AW36" s="1149"/>
      <c r="AX36" s="1149"/>
      <c r="AY36" s="1161"/>
      <c r="AZ36" s="1149"/>
      <c r="BA36" s="295"/>
      <c r="BB36" s="295"/>
      <c r="BC36" s="295"/>
      <c r="BD36" s="295"/>
      <c r="BE36" s="724"/>
      <c r="BF36" s="724"/>
      <c r="BG36" s="724"/>
      <c r="BH36" s="724"/>
      <c r="BI36" s="1166"/>
      <c r="BJ36" s="1166"/>
      <c r="BK36" s="724"/>
      <c r="BL36" s="1167"/>
      <c r="BM36" s="724"/>
      <c r="BN36" s="724"/>
      <c r="BO36" s="724"/>
      <c r="BP36" s="724"/>
      <c r="BQ36" s="1174">
        <f t="shared" si="103"/>
        <v>0</v>
      </c>
      <c r="BR36" s="306">
        <f t="shared" si="3"/>
        <v>200000</v>
      </c>
      <c r="BS36" s="307">
        <f t="shared" si="105"/>
        <v>0</v>
      </c>
      <c r="BT36" s="308">
        <f t="shared" si="5"/>
        <v>200000</v>
      </c>
      <c r="BU36" s="313">
        <f t="shared" si="6"/>
        <v>-200000</v>
      </c>
      <c r="BV36" s="306"/>
      <c r="BW36" s="307">
        <f t="shared" si="7"/>
        <v>0</v>
      </c>
      <c r="BX36" s="307" t="str">
        <f t="shared" si="8"/>
        <v/>
      </c>
      <c r="BY36" s="307" t="str">
        <f t="shared" si="9"/>
        <v/>
      </c>
      <c r="BZ36" s="307" t="str">
        <f t="shared" si="10"/>
        <v/>
      </c>
      <c r="CA36" s="307" t="str">
        <f t="shared" si="11"/>
        <v/>
      </c>
      <c r="CB36" s="307" t="str">
        <f t="shared" si="12"/>
        <v/>
      </c>
      <c r="CC36" s="305">
        <f t="shared" si="13"/>
        <v>0</v>
      </c>
      <c r="CD36" s="320">
        <f t="shared" si="14"/>
        <v>0</v>
      </c>
      <c r="CE36" s="321">
        <f t="shared" si="15"/>
        <v>0</v>
      </c>
      <c r="CF36" s="322">
        <f t="shared" si="83"/>
        <v>0</v>
      </c>
      <c r="CG36" s="323"/>
      <c r="CH36" s="324"/>
      <c r="CI36" s="325"/>
      <c r="CJ36" s="326"/>
      <c r="CK36" s="1188"/>
      <c r="CL36" s="335"/>
      <c r="CN36" s="1189"/>
    </row>
    <row r="37" s="245" customFormat="1" ht="184" customHeight="1" spans="1:92">
      <c r="A37" s="1122">
        <v>34</v>
      </c>
      <c r="B37" s="70" t="s">
        <v>215</v>
      </c>
      <c r="C37" s="1122" t="s">
        <v>203</v>
      </c>
      <c r="D37" s="1088" t="s">
        <v>216</v>
      </c>
      <c r="E37" s="1088" t="s">
        <v>196</v>
      </c>
      <c r="F37" s="1124" t="s">
        <v>113</v>
      </c>
      <c r="G37" s="783">
        <v>1018108205</v>
      </c>
      <c r="H37" s="1125">
        <v>1796468</v>
      </c>
      <c r="I37" s="1125">
        <v>1796468</v>
      </c>
      <c r="J37" s="1125">
        <v>149705.666666667</v>
      </c>
      <c r="K37" s="1125">
        <v>37426.4166666667</v>
      </c>
      <c r="L37" s="1125">
        <v>30000</v>
      </c>
      <c r="M37" s="295">
        <v>222376.83</v>
      </c>
      <c r="N37" s="295">
        <f t="shared" ref="N37" si="132">M37*0.35/3</f>
        <v>25943.9635</v>
      </c>
      <c r="O37" s="295">
        <v>5000</v>
      </c>
      <c r="P37" s="295"/>
      <c r="Q37" s="295"/>
      <c r="R37" s="295">
        <v>2500</v>
      </c>
      <c r="S37" s="295"/>
      <c r="T37" s="295"/>
      <c r="U37" s="295"/>
      <c r="V37" s="295"/>
      <c r="W37" s="295"/>
      <c r="X37" s="295"/>
      <c r="Y37" s="295"/>
      <c r="Z37" s="295">
        <v>2500</v>
      </c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1140"/>
      <c r="AM37" s="295">
        <f t="shared" si="18"/>
        <v>4447.5366</v>
      </c>
      <c r="AN37" s="295">
        <v>500</v>
      </c>
      <c r="AO37" s="295"/>
      <c r="AP37" s="295"/>
      <c r="AQ37" s="1149"/>
      <c r="AR37" s="1149"/>
      <c r="AS37" s="1150">
        <v>1000</v>
      </c>
      <c r="AT37" s="1151"/>
      <c r="AU37" s="1149"/>
      <c r="AV37" s="1151"/>
      <c r="AW37" s="1149"/>
      <c r="AX37" s="1149"/>
      <c r="AY37" s="1161"/>
      <c r="AZ37" s="1149"/>
      <c r="BA37" s="295">
        <v>0</v>
      </c>
      <c r="BB37" s="295"/>
      <c r="BC37" s="295">
        <v>4166.67</v>
      </c>
      <c r="BD37" s="295">
        <v>8333.33</v>
      </c>
      <c r="BE37" s="724">
        <v>1000</v>
      </c>
      <c r="BF37" s="724"/>
      <c r="BG37" s="724"/>
      <c r="BH37" s="724">
        <f t="shared" si="21"/>
        <v>5166.41587</v>
      </c>
      <c r="BI37" s="1166"/>
      <c r="BJ37" s="1166"/>
      <c r="BK37" s="724">
        <v>30564.56</v>
      </c>
      <c r="BL37" s="1167">
        <f t="shared" si="88"/>
        <v>258320.7935</v>
      </c>
      <c r="BM37" s="724">
        <f>AI37+AJ37+AK37+AL37+AM37+AN37+AP37++AQ37+AR37+AS37+AT37+AU37+AV37+AW37+AX37+AY37+AZ37+BA37+BB37+BC37+BD37+BE37+BG37+BH37+BK37</f>
        <v>55178.51247</v>
      </c>
      <c r="BN37" s="724"/>
      <c r="BO37" s="724"/>
      <c r="BP37" s="724">
        <f t="shared" si="20"/>
        <v>203142.28103</v>
      </c>
      <c r="BQ37" s="1174">
        <f t="shared" si="103"/>
        <v>3099849.522</v>
      </c>
      <c r="BR37" s="306">
        <f t="shared" ref="BR37" si="133">200000+(0.2*BQ37)</f>
        <v>819969.9044</v>
      </c>
      <c r="BS37" s="307">
        <f t="shared" si="105"/>
        <v>0</v>
      </c>
      <c r="BT37" s="308">
        <f t="shared" ref="BT37" si="134">SUM(BR37:BS37)</f>
        <v>819969.9044</v>
      </c>
      <c r="BU37" s="313">
        <f t="shared" ref="BU37" si="135">+BQ37-BT37</f>
        <v>2279879.6176</v>
      </c>
      <c r="BV37" s="306"/>
      <c r="BW37" s="307">
        <f t="shared" ref="BW37" si="136">IF((BU37&gt;0),(IF((BU37&gt;300000),(300000*7%),(BU37*7%))),(BQ37*1%))</f>
        <v>21000</v>
      </c>
      <c r="BX37" s="307">
        <f t="shared" ref="BX37" si="137">IF((BU37-300000)&gt;0,(IF((BU37&gt;600000),(300000*11%),((BU37-300000)*11%))),(""))</f>
        <v>33000</v>
      </c>
      <c r="BY37" s="307">
        <f t="shared" ref="BY37" si="138">IF(((BU37-600000)&gt;0),(IF((BU37&gt;1100000),(500000*15%),((BU37-600000)*15%))),(""))</f>
        <v>75000</v>
      </c>
      <c r="BZ37" s="307">
        <f t="shared" ref="BZ37" si="139">IF(((BU37-(1100000))&gt;0),(IF((BU37&gt;(1600000)),((500000)*19%),((BU37-(1100000))*19%))),(""))</f>
        <v>95000</v>
      </c>
      <c r="CA37" s="307">
        <f t="shared" ref="CA37" si="140">IF(((BU37-(1600000))&gt;0),(IF((BU37&gt;(3200000)),((1600000)*21%),((BU37-(1600000))*21%))),(""))</f>
        <v>142774.719696</v>
      </c>
      <c r="CB37" s="307" t="str">
        <f t="shared" ref="CB37" si="141">IF(((BU37-(3200000))&gt;0),(IF((BU37&gt;(3200000)),((BU37-(3200000))*24%),(0))),(""))</f>
        <v/>
      </c>
      <c r="CC37" s="305">
        <f t="shared" ref="CC37" si="142">SUM(BW37:CB37)</f>
        <v>366774.719696</v>
      </c>
      <c r="CD37" s="320">
        <f t="shared" ref="CD37" si="143">1%*BQ37</f>
        <v>30998.49522</v>
      </c>
      <c r="CE37" s="321">
        <f t="shared" ref="CE37" si="144">MAX(CC37:CD37)</f>
        <v>366774.719696</v>
      </c>
      <c r="CF37" s="322">
        <f t="shared" si="83"/>
        <v>30564.5599746667</v>
      </c>
      <c r="CG37" s="323"/>
      <c r="CH37" s="324"/>
      <c r="CI37" s="325"/>
      <c r="CJ37" s="326"/>
      <c r="CK37" s="1188"/>
      <c r="CL37" s="335"/>
      <c r="CN37" s="1189"/>
    </row>
    <row r="38" s="245" customFormat="1" ht="172.5" customHeight="1" spans="1:92">
      <c r="A38" s="1122">
        <v>35</v>
      </c>
      <c r="B38" s="70" t="s">
        <v>217</v>
      </c>
      <c r="C38" s="1123" t="s">
        <v>90</v>
      </c>
      <c r="D38" s="1088" t="s">
        <v>130</v>
      </c>
      <c r="E38" s="1088" t="s">
        <v>218</v>
      </c>
      <c r="F38" s="1124" t="s">
        <v>135</v>
      </c>
      <c r="G38" s="783" t="s">
        <v>219</v>
      </c>
      <c r="H38" s="1125">
        <v>1980666</v>
      </c>
      <c r="I38" s="1125">
        <v>2035373</v>
      </c>
      <c r="J38" s="1125">
        <v>169614.416666667</v>
      </c>
      <c r="K38" s="1125">
        <v>42403.6041666667</v>
      </c>
      <c r="L38" s="1125">
        <v>30000</v>
      </c>
      <c r="M38" s="295">
        <v>291760.83</v>
      </c>
      <c r="N38" s="295">
        <f t="shared" ref="N38:N39" si="145">M38*0.35/3</f>
        <v>34038.7635</v>
      </c>
      <c r="O38" s="295">
        <v>5000</v>
      </c>
      <c r="P38" s="295"/>
      <c r="Q38" s="295"/>
      <c r="R38" s="295">
        <v>2500</v>
      </c>
      <c r="S38" s="295"/>
      <c r="T38" s="295"/>
      <c r="U38" s="295"/>
      <c r="V38" s="295"/>
      <c r="W38" s="295"/>
      <c r="X38" s="295"/>
      <c r="Y38" s="295"/>
      <c r="Z38" s="295">
        <v>2500</v>
      </c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1140"/>
      <c r="AM38" s="295">
        <f t="shared" ref="AM38:AM67" si="146">M38*0.02</f>
        <v>5835.2166</v>
      </c>
      <c r="AN38" s="295">
        <v>500</v>
      </c>
      <c r="AO38" s="295"/>
      <c r="AP38" s="295"/>
      <c r="AQ38" s="1149"/>
      <c r="AR38" s="1149"/>
      <c r="AS38" s="1150">
        <v>1000</v>
      </c>
      <c r="AT38" s="1151"/>
      <c r="AU38" s="1149"/>
      <c r="AV38" s="1151"/>
      <c r="AW38" s="1149"/>
      <c r="AX38" s="1149"/>
      <c r="AY38" s="1161"/>
      <c r="AZ38" s="1149"/>
      <c r="BA38" s="295">
        <v>90000</v>
      </c>
      <c r="BB38" s="295"/>
      <c r="BC38" s="295"/>
      <c r="BD38" s="295"/>
      <c r="BE38" s="724">
        <v>1000</v>
      </c>
      <c r="BF38" s="724">
        <v>1000</v>
      </c>
      <c r="BG38" s="724"/>
      <c r="BH38" s="724">
        <f t="shared" si="21"/>
        <v>6715.99187</v>
      </c>
      <c r="BI38" s="1166"/>
      <c r="BJ38" s="1166"/>
      <c r="BK38" s="724">
        <v>43580.9983746667</v>
      </c>
      <c r="BL38" s="1167">
        <f t="shared" si="88"/>
        <v>335799.5935</v>
      </c>
      <c r="BM38" s="724">
        <f>BK38+BH38+BE38+BA38+AS38+AN38+AM38</f>
        <v>148632.206844667</v>
      </c>
      <c r="BN38" s="724"/>
      <c r="BO38" s="724"/>
      <c r="BP38" s="724">
        <f t="shared" si="20"/>
        <v>187167.386655333</v>
      </c>
      <c r="BQ38" s="1174">
        <f t="shared" si="103"/>
        <v>4029595.122</v>
      </c>
      <c r="BR38" s="306">
        <f t="shared" ref="BR38" si="147">200000+(0.2*BQ38)</f>
        <v>1005919.0244</v>
      </c>
      <c r="BS38" s="307">
        <f t="shared" si="105"/>
        <v>0</v>
      </c>
      <c r="BT38" s="308">
        <f t="shared" ref="BT38" si="148">SUM(BR38:BS38)</f>
        <v>1005919.0244</v>
      </c>
      <c r="BU38" s="313">
        <f t="shared" ref="BU38" si="149">+BQ38-BT38</f>
        <v>3023676.0976</v>
      </c>
      <c r="BV38" s="306"/>
      <c r="BW38" s="307">
        <f t="shared" ref="BW38" si="150">IF((BU38&gt;0),(IF((BU38&gt;300000),(300000*7%),(BU38*7%))),(BQ38*1%))</f>
        <v>21000</v>
      </c>
      <c r="BX38" s="307">
        <f t="shared" ref="BX38" si="151">IF((BU38-300000)&gt;0,(IF((BU38&gt;600000),(300000*11%),((BU38-300000)*11%))),(""))</f>
        <v>33000</v>
      </c>
      <c r="BY38" s="307">
        <f t="shared" ref="BY38" si="152">IF(((BU38-600000)&gt;0),(IF((BU38&gt;1100000),(500000*15%),((BU38-600000)*15%))),(""))</f>
        <v>75000</v>
      </c>
      <c r="BZ38" s="307">
        <f t="shared" ref="BZ38" si="153">IF(((BU38-(1100000))&gt;0),(IF((BU38&gt;(1600000)),((500000)*19%),((BU38-(1100000))*19%))),(""))</f>
        <v>95000</v>
      </c>
      <c r="CA38" s="307">
        <f t="shared" ref="CA38" si="154">IF(((BU38-(1600000))&gt;0),(IF((BU38&gt;(3200000)),((1600000)*21%),((BU38-(1600000))*21%))),(""))</f>
        <v>298971.980496</v>
      </c>
      <c r="CB38" s="307" t="str">
        <f t="shared" ref="CB38" si="155">IF(((BU38-(3200000))&gt;0),(IF((BU38&gt;(3200000)),((BU38-(3200000))*24%),(0))),(""))</f>
        <v/>
      </c>
      <c r="CC38" s="305">
        <f t="shared" ref="CC38" si="156">SUM(BW38:CB38)</f>
        <v>522971.980496</v>
      </c>
      <c r="CD38" s="320">
        <f t="shared" ref="CD38" si="157">1%*BQ38</f>
        <v>40295.95122</v>
      </c>
      <c r="CE38" s="321">
        <f t="shared" ref="CE38" si="158">MAX(CC38:CD38)</f>
        <v>522971.980496</v>
      </c>
      <c r="CF38" s="322">
        <f t="shared" si="83"/>
        <v>43580.9983746667</v>
      </c>
      <c r="CG38" s="323"/>
      <c r="CH38" s="324"/>
      <c r="CI38" s="325"/>
      <c r="CJ38" s="326"/>
      <c r="CK38" s="1188"/>
      <c r="CL38" s="335"/>
      <c r="CN38" s="1190"/>
    </row>
    <row r="39" s="245" customFormat="1" ht="194" customHeight="1" spans="1:92">
      <c r="A39" s="1122">
        <v>36</v>
      </c>
      <c r="B39" s="70" t="s">
        <v>220</v>
      </c>
      <c r="C39" s="1123" t="s">
        <v>118</v>
      </c>
      <c r="D39" s="1088" t="s">
        <v>221</v>
      </c>
      <c r="E39" s="1088" t="s">
        <v>196</v>
      </c>
      <c r="F39" s="1124" t="s">
        <v>113</v>
      </c>
      <c r="G39" s="686">
        <v>2108025545</v>
      </c>
      <c r="H39" s="1125">
        <v>1746118</v>
      </c>
      <c r="I39" s="1125">
        <v>1796468</v>
      </c>
      <c r="J39" s="1125">
        <v>149705.666666667</v>
      </c>
      <c r="K39" s="1125">
        <v>37426.4166666667</v>
      </c>
      <c r="L39" s="1125">
        <v>30000</v>
      </c>
      <c r="M39" s="295">
        <v>222376.83</v>
      </c>
      <c r="N39" s="295">
        <f t="shared" si="145"/>
        <v>25943.9635</v>
      </c>
      <c r="O39" s="295">
        <v>5000</v>
      </c>
      <c r="P39" s="295"/>
      <c r="Q39" s="295"/>
      <c r="R39" s="295">
        <v>2500</v>
      </c>
      <c r="S39" s="295"/>
      <c r="T39" s="295"/>
      <c r="U39" s="295"/>
      <c r="V39" s="295"/>
      <c r="W39" s="295"/>
      <c r="X39" s="295"/>
      <c r="Y39" s="295"/>
      <c r="Z39" s="295">
        <v>2500</v>
      </c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1140"/>
      <c r="AM39" s="295">
        <f t="shared" si="146"/>
        <v>4447.5366</v>
      </c>
      <c r="AN39" s="295">
        <v>500</v>
      </c>
      <c r="AO39" s="295"/>
      <c r="AP39" s="295"/>
      <c r="AQ39" s="1149"/>
      <c r="AR39" s="1149"/>
      <c r="AS39" s="1152"/>
      <c r="AT39" s="1149"/>
      <c r="AU39" s="1149"/>
      <c r="AV39" s="1151"/>
      <c r="AW39" s="1149"/>
      <c r="AX39" s="1149"/>
      <c r="AY39" s="1161"/>
      <c r="AZ39" s="1149"/>
      <c r="BA39" s="295">
        <v>0</v>
      </c>
      <c r="BB39" s="295"/>
      <c r="BC39" s="295"/>
      <c r="BD39" s="295"/>
      <c r="BE39" s="724">
        <v>1000</v>
      </c>
      <c r="BF39" s="724"/>
      <c r="BG39" s="724"/>
      <c r="BH39" s="724">
        <f t="shared" si="21"/>
        <v>5166.41587</v>
      </c>
      <c r="BI39" s="1166"/>
      <c r="BJ39" s="1166"/>
      <c r="BK39" s="724">
        <v>30564.56</v>
      </c>
      <c r="BL39" s="1167">
        <f t="shared" si="88"/>
        <v>258320.7935</v>
      </c>
      <c r="BM39" s="724">
        <f t="shared" si="22"/>
        <v>41678.51247</v>
      </c>
      <c r="BN39" s="724"/>
      <c r="BO39" s="724"/>
      <c r="BP39" s="724">
        <f t="shared" si="20"/>
        <v>216642.28103</v>
      </c>
      <c r="BQ39" s="1174">
        <f t="shared" si="103"/>
        <v>3099849.522</v>
      </c>
      <c r="BR39" s="306">
        <f t="shared" ref="BR39" si="159">200000+(0.2*BQ39)</f>
        <v>819969.9044</v>
      </c>
      <c r="BS39" s="307">
        <f t="shared" si="105"/>
        <v>0</v>
      </c>
      <c r="BT39" s="308">
        <f t="shared" ref="BT39" si="160">SUM(BR39:BS39)</f>
        <v>819969.9044</v>
      </c>
      <c r="BU39" s="313">
        <f t="shared" ref="BU39" si="161">+BQ39-BT39</f>
        <v>2279879.6176</v>
      </c>
      <c r="BV39" s="306"/>
      <c r="BW39" s="307">
        <f t="shared" ref="BW39" si="162">IF((BU39&gt;0),(IF((BU39&gt;300000),(300000*7%),(BU39*7%))),(BQ39*1%))</f>
        <v>21000</v>
      </c>
      <c r="BX39" s="307">
        <f t="shared" ref="BX39" si="163">IF((BU39-300000)&gt;0,(IF((BU39&gt;600000),(300000*11%),((BU39-300000)*11%))),(""))</f>
        <v>33000</v>
      </c>
      <c r="BY39" s="307">
        <f t="shared" ref="BY39" si="164">IF(((BU39-600000)&gt;0),(IF((BU39&gt;1100000),(500000*15%),((BU39-600000)*15%))),(""))</f>
        <v>75000</v>
      </c>
      <c r="BZ39" s="307">
        <f t="shared" ref="BZ39" si="165">IF(((BU39-(1100000))&gt;0),(IF((BU39&gt;(1600000)),((500000)*19%),((BU39-(1100000))*19%))),(""))</f>
        <v>95000</v>
      </c>
      <c r="CA39" s="307">
        <f t="shared" ref="CA39" si="166">IF(((BU39-(1600000))&gt;0),(IF((BU39&gt;(3200000)),((1600000)*21%),((BU39-(1600000))*21%))),(""))</f>
        <v>142774.719696</v>
      </c>
      <c r="CB39" s="307" t="str">
        <f t="shared" ref="CB39" si="167">IF(((BU39-(3200000))&gt;0),(IF((BU39&gt;(3200000)),((BU39-(3200000))*24%),(0))),(""))</f>
        <v/>
      </c>
      <c r="CC39" s="305">
        <f t="shared" ref="CC39" si="168">SUM(BW39:CB39)</f>
        <v>366774.719696</v>
      </c>
      <c r="CD39" s="320">
        <f t="shared" ref="CD39" si="169">1%*BQ39</f>
        <v>30998.49522</v>
      </c>
      <c r="CE39" s="321">
        <f t="shared" ref="CE39" si="170">MAX(CC39:CD39)</f>
        <v>366774.719696</v>
      </c>
      <c r="CF39" s="322">
        <f t="shared" si="83"/>
        <v>30564.5599746667</v>
      </c>
      <c r="CG39" s="323"/>
      <c r="CH39" s="324"/>
      <c r="CI39" s="325"/>
      <c r="CJ39" s="326"/>
      <c r="CK39" s="1188"/>
      <c r="CL39" s="335"/>
      <c r="CN39" s="1190"/>
    </row>
    <row r="40" s="245" customFormat="1" ht="172.5" customHeight="1" spans="1:92">
      <c r="A40" s="1122">
        <v>37</v>
      </c>
      <c r="B40" s="70" t="s">
        <v>222</v>
      </c>
      <c r="C40" s="1123" t="s">
        <v>191</v>
      </c>
      <c r="D40" s="1088" t="s">
        <v>138</v>
      </c>
      <c r="E40" s="1088" t="s">
        <v>223</v>
      </c>
      <c r="F40" s="1124" t="s">
        <v>93</v>
      </c>
      <c r="G40" s="783">
        <v>3051864825</v>
      </c>
      <c r="H40" s="1125">
        <v>3930454</v>
      </c>
      <c r="I40" s="1125">
        <v>4175818</v>
      </c>
      <c r="J40" s="1125">
        <v>347984.833333333</v>
      </c>
      <c r="K40" s="1125">
        <v>86996.2083333333</v>
      </c>
      <c r="L40" s="1125">
        <v>30000</v>
      </c>
      <c r="M40" s="295">
        <v>512424.25</v>
      </c>
      <c r="N40" s="295">
        <f t="shared" ref="N40" si="171">M40*0.35/3</f>
        <v>59782.8291666667</v>
      </c>
      <c r="O40" s="295">
        <v>5000</v>
      </c>
      <c r="P40" s="295">
        <v>20833.33</v>
      </c>
      <c r="Q40" s="295"/>
      <c r="R40" s="295">
        <v>2500</v>
      </c>
      <c r="S40" s="295"/>
      <c r="T40" s="295"/>
      <c r="U40" s="295"/>
      <c r="V40" s="295"/>
      <c r="W40" s="295"/>
      <c r="X40" s="295"/>
      <c r="Y40" s="295"/>
      <c r="Z40" s="295">
        <v>2500</v>
      </c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1140"/>
      <c r="AM40" s="295">
        <f t="shared" si="146"/>
        <v>10248.485</v>
      </c>
      <c r="AN40" s="295">
        <v>500</v>
      </c>
      <c r="AO40" s="295"/>
      <c r="AP40" s="295">
        <v>45000</v>
      </c>
      <c r="AQ40" s="1149"/>
      <c r="AR40" s="1149"/>
      <c r="AS40" s="1150">
        <v>1000</v>
      </c>
      <c r="AT40" s="1151"/>
      <c r="AU40" s="1151"/>
      <c r="AV40" s="1151"/>
      <c r="AW40" s="1151"/>
      <c r="AX40" s="1151"/>
      <c r="AY40" s="1161">
        <v>2000</v>
      </c>
      <c r="AZ40" s="1151"/>
      <c r="BA40" s="1151">
        <v>97500</v>
      </c>
      <c r="BB40" s="1151"/>
      <c r="BC40" s="295">
        <v>4166.67</v>
      </c>
      <c r="BD40" s="295">
        <v>8333.33</v>
      </c>
      <c r="BE40" s="724">
        <v>2000</v>
      </c>
      <c r="BF40" s="724"/>
      <c r="BG40" s="724"/>
      <c r="BH40" s="724">
        <f t="shared" si="21"/>
        <v>12060.8081833333</v>
      </c>
      <c r="BI40" s="1166"/>
      <c r="BJ40" s="1166"/>
      <c r="BK40" s="724">
        <v>94450.43</v>
      </c>
      <c r="BL40" s="1167">
        <f t="shared" si="88"/>
        <v>603040.409166667</v>
      </c>
      <c r="BM40" s="724">
        <f t="shared" si="22"/>
        <v>277259.723183333</v>
      </c>
      <c r="BN40" s="724"/>
      <c r="BO40" s="724"/>
      <c r="BP40" s="724">
        <f t="shared" si="20"/>
        <v>325780.685983333</v>
      </c>
      <c r="BQ40" s="1174">
        <f t="shared" si="103"/>
        <v>7236484.91</v>
      </c>
      <c r="BR40" s="306">
        <f t="shared" ref="BR40" si="172">200000+(0.2*BQ40)</f>
        <v>1647296.982</v>
      </c>
      <c r="BS40" s="307">
        <f t="shared" si="105"/>
        <v>0</v>
      </c>
      <c r="BT40" s="308">
        <f t="shared" ref="BT40" si="173">SUM(BR40:BS40)</f>
        <v>1647296.982</v>
      </c>
      <c r="BU40" s="313">
        <f t="shared" ref="BU40" si="174">+BQ40-BT40</f>
        <v>5589187.928</v>
      </c>
      <c r="BV40" s="306"/>
      <c r="BW40" s="307">
        <f t="shared" ref="BW40" si="175">IF((BU40&gt;0),(IF((BU40&gt;300000),(300000*7%),(BU40*7%))),(BQ40*1%))</f>
        <v>21000</v>
      </c>
      <c r="BX40" s="307">
        <f t="shared" ref="BX40" si="176">IF((BU40-300000)&gt;0,(IF((BU40&gt;600000),(300000*11%),((BU40-300000)*11%))),(""))</f>
        <v>33000</v>
      </c>
      <c r="BY40" s="307">
        <f t="shared" ref="BY40" si="177">IF(((BU40-600000)&gt;0),(IF((BU40&gt;1100000),(500000*15%),((BU40-600000)*15%))),(""))</f>
        <v>75000</v>
      </c>
      <c r="BZ40" s="307">
        <f t="shared" ref="BZ40" si="178">IF(((BU40-(1100000))&gt;0),(IF((BU40&gt;(1600000)),((500000)*19%),((BU40-(1100000))*19%))),(""))</f>
        <v>95000</v>
      </c>
      <c r="CA40" s="307">
        <f t="shared" ref="CA40" si="179">IF(((BU40-(1600000))&gt;0),(IF((BU40&gt;(3200000)),((1600000)*21%),((BU40-(1600000))*21%))),(""))</f>
        <v>336000</v>
      </c>
      <c r="CB40" s="307">
        <f t="shared" ref="CB40" si="180">IF(((BU40-(3200000))&gt;0),(IF((BU40&gt;(3200000)),((BU40-(3200000))*24%),(0))),(""))</f>
        <v>573405.10272</v>
      </c>
      <c r="CC40" s="305">
        <f t="shared" ref="CC40" si="181">SUM(BW40:CB40)</f>
        <v>1133405.10272</v>
      </c>
      <c r="CD40" s="320">
        <f t="shared" ref="CD40" si="182">1%*BQ40</f>
        <v>72364.8491</v>
      </c>
      <c r="CE40" s="321">
        <f t="shared" ref="CE40" si="183">MAX(CC40:CD40)</f>
        <v>1133405.10272</v>
      </c>
      <c r="CF40" s="322">
        <f t="shared" si="83"/>
        <v>94450.4252266666</v>
      </c>
      <c r="CG40" s="323"/>
      <c r="CH40" s="324"/>
      <c r="CI40" s="325"/>
      <c r="CJ40" s="326"/>
      <c r="CK40" s="1188"/>
      <c r="CL40" s="335"/>
      <c r="CN40" s="1190"/>
    </row>
    <row r="41" s="245" customFormat="1" ht="172.5" customHeight="1" spans="1:92">
      <c r="A41" s="1122">
        <v>38</v>
      </c>
      <c r="B41" s="70" t="s">
        <v>224</v>
      </c>
      <c r="C41" s="1122" t="s">
        <v>51</v>
      </c>
      <c r="D41" s="1088" t="s">
        <v>138</v>
      </c>
      <c r="E41" s="1088" t="s">
        <v>225</v>
      </c>
      <c r="F41" s="1128" t="s">
        <v>165</v>
      </c>
      <c r="G41" s="783">
        <v>1005415103</v>
      </c>
      <c r="H41" s="1125">
        <v>4479454</v>
      </c>
      <c r="I41" s="1125">
        <v>4631272</v>
      </c>
      <c r="J41" s="1125">
        <v>385939.333333333</v>
      </c>
      <c r="K41" s="1125">
        <v>96484.8333333333</v>
      </c>
      <c r="L41" s="1125">
        <v>30000</v>
      </c>
      <c r="M41" s="295">
        <v>528238.58</v>
      </c>
      <c r="N41" s="295">
        <f t="shared" ref="N41:N42" si="184">M41*0.35/3</f>
        <v>61627.8343333333</v>
      </c>
      <c r="O41" s="295">
        <v>6666.67</v>
      </c>
      <c r="P41" s="295">
        <f>20833.33+20833.33</f>
        <v>41666.66</v>
      </c>
      <c r="Q41" s="295"/>
      <c r="R41" s="295">
        <v>2500</v>
      </c>
      <c r="S41" s="295"/>
      <c r="T41" s="295"/>
      <c r="U41" s="295"/>
      <c r="V41" s="295"/>
      <c r="W41" s="295"/>
      <c r="X41" s="295"/>
      <c r="Y41" s="295"/>
      <c r="Z41" s="295">
        <v>2500</v>
      </c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1140"/>
      <c r="AM41" s="295">
        <f t="shared" si="146"/>
        <v>10564.7716</v>
      </c>
      <c r="AN41" s="295">
        <v>500</v>
      </c>
      <c r="AO41" s="295"/>
      <c r="AP41" s="295">
        <v>75000</v>
      </c>
      <c r="AQ41" s="1149"/>
      <c r="AR41" s="1149"/>
      <c r="AS41" s="1152"/>
      <c r="AT41" s="1149"/>
      <c r="AU41" s="1153"/>
      <c r="AV41" s="1151"/>
      <c r="AW41" s="1165"/>
      <c r="AX41" s="1165">
        <v>1000</v>
      </c>
      <c r="AY41" s="1161"/>
      <c r="AZ41" s="1165">
        <v>1000</v>
      </c>
      <c r="BA41" s="1151">
        <v>119459</v>
      </c>
      <c r="BB41" s="1151"/>
      <c r="BC41" s="295">
        <v>12500</v>
      </c>
      <c r="BD41" s="295">
        <v>25000</v>
      </c>
      <c r="BE41" s="724">
        <v>2500</v>
      </c>
      <c r="BF41" s="724"/>
      <c r="BG41" s="724"/>
      <c r="BH41" s="724">
        <f t="shared" si="21"/>
        <v>12863.9948866667</v>
      </c>
      <c r="BI41" s="1166"/>
      <c r="BJ41" s="1166"/>
      <c r="BK41" s="724">
        <v>102161.02</v>
      </c>
      <c r="BL41" s="1167">
        <f t="shared" si="88"/>
        <v>643199.744333333</v>
      </c>
      <c r="BM41" s="724">
        <f t="shared" si="22"/>
        <v>362548.786486667</v>
      </c>
      <c r="BN41" s="724"/>
      <c r="BO41" s="724"/>
      <c r="BP41" s="724">
        <f t="shared" si="20"/>
        <v>280650.957846667</v>
      </c>
      <c r="BQ41" s="1174">
        <f t="shared" si="103"/>
        <v>7718396.932</v>
      </c>
      <c r="BR41" s="306">
        <f t="shared" ref="BR41:BR77" si="185">200000+(0.2*BQ41)</f>
        <v>1743679.3864</v>
      </c>
      <c r="BS41" s="307">
        <f t="shared" si="105"/>
        <v>0</v>
      </c>
      <c r="BT41" s="308">
        <f t="shared" ref="BT41:BT77" si="186">SUM(BR41:BS41)</f>
        <v>1743679.3864</v>
      </c>
      <c r="BU41" s="313">
        <f t="shared" ref="BU41:BU77" si="187">+BQ41-BT41</f>
        <v>5974717.5456</v>
      </c>
      <c r="BV41" s="306"/>
      <c r="BW41" s="307">
        <f t="shared" ref="BW41:BW77" si="188">IF((BU41&gt;0),(IF((BU41&gt;300000),(300000*7%),(BU41*7%))),(BQ41*1%))</f>
        <v>21000</v>
      </c>
      <c r="BX41" s="307">
        <f t="shared" ref="BX41:BX77" si="189">IF((BU41-300000)&gt;0,(IF((BU41&gt;600000),(300000*11%),((BU41-300000)*11%))),(""))</f>
        <v>33000</v>
      </c>
      <c r="BY41" s="307">
        <f t="shared" ref="BY41:BY77" si="190">IF(((BU41-600000)&gt;0),(IF((BU41&gt;1100000),(500000*15%),((BU41-600000)*15%))),(""))</f>
        <v>75000</v>
      </c>
      <c r="BZ41" s="307">
        <f t="shared" ref="BZ41:BZ77" si="191">IF(((BU41-(1100000))&gt;0),(IF((BU41&gt;(1600000)),((500000)*19%),((BU41-(1100000))*19%))),(""))</f>
        <v>95000</v>
      </c>
      <c r="CA41" s="307">
        <f t="shared" ref="CA41:CA77" si="192">IF(((BU41-(1600000))&gt;0),(IF((BU41&gt;(3200000)),((1600000)*21%),((BU41-(1600000))*21%))),(""))</f>
        <v>336000</v>
      </c>
      <c r="CB41" s="307">
        <f t="shared" ref="CB41:CB77" si="193">IF(((BU41-(3200000))&gt;0),(IF((BU41&gt;(3200000)),((BU41-(3200000))*24%),(0))),(""))</f>
        <v>665932.210944</v>
      </c>
      <c r="CC41" s="305">
        <f t="shared" ref="CC41:CC77" si="194">SUM(BW41:CB41)</f>
        <v>1225932.210944</v>
      </c>
      <c r="CD41" s="320">
        <f t="shared" ref="CD41:CD77" si="195">1%*BQ41</f>
        <v>77183.96932</v>
      </c>
      <c r="CE41" s="321">
        <f t="shared" ref="CE41:CE77" si="196">MAX(CC41:CD41)</f>
        <v>1225932.210944</v>
      </c>
      <c r="CF41" s="322">
        <f t="shared" si="83"/>
        <v>102161.017578667</v>
      </c>
      <c r="CG41" s="323"/>
      <c r="CH41" s="324"/>
      <c r="CI41" s="325"/>
      <c r="CJ41" s="326"/>
      <c r="CK41" s="1188"/>
      <c r="CL41" s="335"/>
      <c r="CN41" s="1189"/>
    </row>
    <row r="42" s="245" customFormat="1" ht="172.5" customHeight="1" spans="1:92">
      <c r="A42" s="1122">
        <v>39</v>
      </c>
      <c r="B42" s="70" t="s">
        <v>226</v>
      </c>
      <c r="C42" s="1123" t="s">
        <v>227</v>
      </c>
      <c r="D42" s="1088" t="s">
        <v>228</v>
      </c>
      <c r="E42" s="1088" t="s">
        <v>112</v>
      </c>
      <c r="F42" s="1124" t="s">
        <v>97</v>
      </c>
      <c r="G42" s="681" t="s">
        <v>229</v>
      </c>
      <c r="H42" s="1125">
        <f>M42*12/2</f>
        <v>3843072.48</v>
      </c>
      <c r="I42" s="1125"/>
      <c r="J42" s="1125">
        <v>207164.275</v>
      </c>
      <c r="K42" s="1125">
        <v>51791.06875</v>
      </c>
      <c r="L42" s="1125">
        <v>15000</v>
      </c>
      <c r="M42" s="295">
        <v>640512.08</v>
      </c>
      <c r="N42" s="295">
        <f t="shared" si="184"/>
        <v>74726.4093333333</v>
      </c>
      <c r="O42" s="295">
        <v>6666.67</v>
      </c>
      <c r="P42" s="295"/>
      <c r="Q42" s="295"/>
      <c r="R42" s="295">
        <v>2500</v>
      </c>
      <c r="S42" s="295"/>
      <c r="T42" s="295"/>
      <c r="U42" s="295"/>
      <c r="V42" s="295"/>
      <c r="W42" s="295"/>
      <c r="X42" s="295"/>
      <c r="Y42" s="295"/>
      <c r="Z42" s="295">
        <v>2500</v>
      </c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1140"/>
      <c r="AM42" s="295">
        <f t="shared" ref="AM42" si="197">M42*0.02</f>
        <v>12810.2416</v>
      </c>
      <c r="AN42" s="295">
        <v>500</v>
      </c>
      <c r="AO42" s="295"/>
      <c r="AP42" s="295"/>
      <c r="AQ42" s="1151"/>
      <c r="AR42" s="1151"/>
      <c r="AS42" s="1150"/>
      <c r="AT42" s="1151"/>
      <c r="AU42" s="1151"/>
      <c r="AV42" s="1151"/>
      <c r="AW42" s="1151"/>
      <c r="AX42" s="1151"/>
      <c r="AY42" s="1161"/>
      <c r="AZ42" s="1151"/>
      <c r="BA42" s="295">
        <v>0</v>
      </c>
      <c r="BB42" s="295"/>
      <c r="BC42" s="295"/>
      <c r="BD42" s="295"/>
      <c r="BE42" s="724">
        <v>3500</v>
      </c>
      <c r="BF42" s="724"/>
      <c r="BG42" s="724"/>
      <c r="BH42" s="724">
        <f t="shared" ref="BH42" si="198">BL42*0.02</f>
        <v>14538.1031866667</v>
      </c>
      <c r="BI42" s="1166"/>
      <c r="BJ42" s="1166"/>
      <c r="BK42" s="724">
        <v>118232.457258667</v>
      </c>
      <c r="BL42" s="1167">
        <f t="shared" si="88"/>
        <v>726905.159333333</v>
      </c>
      <c r="BM42" s="724">
        <f t="shared" si="22"/>
        <v>149580.802045333</v>
      </c>
      <c r="BN42" s="724"/>
      <c r="BO42" s="724"/>
      <c r="BP42" s="724">
        <f t="shared" si="20"/>
        <v>577324.357288</v>
      </c>
      <c r="BQ42" s="1174">
        <f t="shared" ref="BQ42" si="199">BL42*12</f>
        <v>8722861.912</v>
      </c>
      <c r="BR42" s="306">
        <f t="shared" si="185"/>
        <v>1944572.3824</v>
      </c>
      <c r="BS42" s="307">
        <f t="shared" ref="BS42" si="200">BI42*12</f>
        <v>0</v>
      </c>
      <c r="BT42" s="308">
        <f t="shared" si="186"/>
        <v>1944572.3824</v>
      </c>
      <c r="BU42" s="313">
        <f t="shared" si="187"/>
        <v>6778289.5296</v>
      </c>
      <c r="BV42" s="306"/>
      <c r="BW42" s="307">
        <f t="shared" si="188"/>
        <v>21000</v>
      </c>
      <c r="BX42" s="307">
        <f t="shared" si="189"/>
        <v>33000</v>
      </c>
      <c r="BY42" s="307">
        <f t="shared" si="190"/>
        <v>75000</v>
      </c>
      <c r="BZ42" s="307">
        <f t="shared" si="191"/>
        <v>95000</v>
      </c>
      <c r="CA42" s="307">
        <f t="shared" si="192"/>
        <v>336000</v>
      </c>
      <c r="CB42" s="307">
        <f t="shared" si="193"/>
        <v>858789.487104</v>
      </c>
      <c r="CC42" s="305">
        <f t="shared" si="194"/>
        <v>1418789.487104</v>
      </c>
      <c r="CD42" s="320">
        <f t="shared" si="195"/>
        <v>87228.61912</v>
      </c>
      <c r="CE42" s="321">
        <f t="shared" si="196"/>
        <v>1418789.487104</v>
      </c>
      <c r="CF42" s="322">
        <f t="shared" si="83"/>
        <v>118232.457258667</v>
      </c>
      <c r="CG42" s="323"/>
      <c r="CH42" s="324"/>
      <c r="CI42" s="325"/>
      <c r="CJ42" s="326"/>
      <c r="CK42" s="1188"/>
      <c r="CL42" s="335"/>
      <c r="CN42" s="1190"/>
    </row>
    <row r="43" s="245" customFormat="1" ht="183" customHeight="1" spans="1:92">
      <c r="A43" s="1122">
        <v>40</v>
      </c>
      <c r="B43" s="70" t="s">
        <v>230</v>
      </c>
      <c r="C43" s="1123" t="s">
        <v>104</v>
      </c>
      <c r="D43" s="1088" t="s">
        <v>228</v>
      </c>
      <c r="E43" s="1088" t="s">
        <v>231</v>
      </c>
      <c r="F43" s="1128" t="s">
        <v>135</v>
      </c>
      <c r="G43" s="1440" t="s">
        <v>232</v>
      </c>
      <c r="H43" s="1125"/>
      <c r="I43" s="1125"/>
      <c r="J43" s="1125"/>
      <c r="K43" s="1125"/>
      <c r="L43" s="1132"/>
      <c r="M43" s="295">
        <v>600738.25</v>
      </c>
      <c r="N43" s="295">
        <f t="shared" ref="N43:N46" si="201">M43*0.35/3</f>
        <v>70086.1291666667</v>
      </c>
      <c r="O43" s="295">
        <v>6666.67</v>
      </c>
      <c r="P43" s="295"/>
      <c r="Q43" s="295"/>
      <c r="R43" s="295">
        <v>2500</v>
      </c>
      <c r="S43" s="295"/>
      <c r="T43" s="295"/>
      <c r="U43" s="295"/>
      <c r="V43" s="295"/>
      <c r="W43" s="295"/>
      <c r="X43" s="295"/>
      <c r="Y43" s="295"/>
      <c r="Z43" s="295">
        <v>2500</v>
      </c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1140"/>
      <c r="AM43" s="295">
        <f t="shared" ref="AM43" si="202">M43*0.02</f>
        <v>12014.765</v>
      </c>
      <c r="AN43" s="295">
        <v>500</v>
      </c>
      <c r="AO43" s="295"/>
      <c r="AP43" s="295"/>
      <c r="AQ43" s="1151">
        <v>1000</v>
      </c>
      <c r="AR43" s="1151"/>
      <c r="AS43" s="1150"/>
      <c r="AT43" s="1151"/>
      <c r="AU43" s="1151"/>
      <c r="AV43" s="1151"/>
      <c r="AW43" s="1151"/>
      <c r="AX43" s="1151"/>
      <c r="AY43" s="1161"/>
      <c r="AZ43" s="1151"/>
      <c r="BA43" s="295">
        <v>100000</v>
      </c>
      <c r="BB43" s="295"/>
      <c r="BC43" s="295"/>
      <c r="BD43" s="295"/>
      <c r="BE43" s="724">
        <v>3500</v>
      </c>
      <c r="BF43" s="724"/>
      <c r="BG43" s="724"/>
      <c r="BH43" s="724">
        <f t="shared" ref="BH43" si="203">BL43*0.02</f>
        <v>13649.8209833333</v>
      </c>
      <c r="BI43" s="1166"/>
      <c r="BJ43" s="1166"/>
      <c r="BK43" s="724">
        <v>39401.69</v>
      </c>
      <c r="BL43" s="1167">
        <f t="shared" si="88"/>
        <v>682491.049166667</v>
      </c>
      <c r="BM43" s="724">
        <f t="shared" si="22"/>
        <v>170066.275983333</v>
      </c>
      <c r="BN43" s="724"/>
      <c r="BO43" s="724"/>
      <c r="BP43" s="724">
        <f t="shared" si="20"/>
        <v>512424.773183333</v>
      </c>
      <c r="BQ43" s="1174"/>
      <c r="BR43" s="306"/>
      <c r="BS43" s="307"/>
      <c r="BT43" s="308"/>
      <c r="BU43" s="313"/>
      <c r="BV43" s="306"/>
      <c r="BW43" s="307"/>
      <c r="BX43" s="307"/>
      <c r="BY43" s="307"/>
      <c r="BZ43" s="307"/>
      <c r="CA43" s="307"/>
      <c r="CB43" s="307"/>
      <c r="CC43" s="305"/>
      <c r="CD43" s="320"/>
      <c r="CE43" s="321"/>
      <c r="CF43" s="322"/>
      <c r="CG43" s="323"/>
      <c r="CH43" s="324"/>
      <c r="CI43" s="325"/>
      <c r="CJ43" s="326"/>
      <c r="CK43" s="1188"/>
      <c r="CL43" s="335"/>
      <c r="CN43" s="1190"/>
    </row>
    <row r="44" s="245" customFormat="1" ht="183" customHeight="1" spans="1:92">
      <c r="A44" s="1122">
        <v>41</v>
      </c>
      <c r="B44" s="70" t="s">
        <v>233</v>
      </c>
      <c r="C44" s="1123" t="s">
        <v>207</v>
      </c>
      <c r="D44" s="1088" t="s">
        <v>228</v>
      </c>
      <c r="E44" s="1088" t="s">
        <v>231</v>
      </c>
      <c r="F44" s="1128" t="s">
        <v>113</v>
      </c>
      <c r="G44" s="1126">
        <v>1003548777</v>
      </c>
      <c r="H44" s="1125"/>
      <c r="I44" s="1125"/>
      <c r="J44" s="1125"/>
      <c r="K44" s="1125"/>
      <c r="L44" s="1132"/>
      <c r="M44" s="295">
        <v>600739.25</v>
      </c>
      <c r="N44" s="295">
        <f t="shared" ref="N44" si="204">M44*0.35/3</f>
        <v>70086.2458333333</v>
      </c>
      <c r="O44" s="295">
        <v>6666.67</v>
      </c>
      <c r="P44" s="295"/>
      <c r="Q44" s="295"/>
      <c r="R44" s="295">
        <v>2500</v>
      </c>
      <c r="S44" s="295"/>
      <c r="T44" s="295"/>
      <c r="U44" s="295"/>
      <c r="V44" s="295"/>
      <c r="W44" s="295"/>
      <c r="X44" s="295"/>
      <c r="Y44" s="295"/>
      <c r="Z44" s="295">
        <v>2500</v>
      </c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1140"/>
      <c r="AM44" s="295">
        <f t="shared" ref="AM44" si="205">M44*0.02</f>
        <v>12014.785</v>
      </c>
      <c r="AN44" s="295">
        <v>500</v>
      </c>
      <c r="AO44" s="295"/>
      <c r="AP44" s="295"/>
      <c r="AQ44" s="1151">
        <v>1000</v>
      </c>
      <c r="AR44" s="1151"/>
      <c r="AS44" s="1150"/>
      <c r="AT44" s="1151"/>
      <c r="AU44" s="1151"/>
      <c r="AV44" s="1151"/>
      <c r="AW44" s="1151"/>
      <c r="AX44" s="1151"/>
      <c r="AY44" s="1161"/>
      <c r="AZ44" s="1151"/>
      <c r="BA44" s="295">
        <v>20000</v>
      </c>
      <c r="BB44" s="295"/>
      <c r="BC44" s="295"/>
      <c r="BD44" s="295"/>
      <c r="BE44" s="724">
        <v>3500</v>
      </c>
      <c r="BF44" s="724"/>
      <c r="BG44" s="724"/>
      <c r="BH44" s="724">
        <f t="shared" ref="BH44" si="206">BL44*0.02</f>
        <v>13649.8433166667</v>
      </c>
      <c r="BI44" s="1166"/>
      <c r="BJ44" s="1166"/>
      <c r="BK44" s="724">
        <v>39402.69</v>
      </c>
      <c r="BL44" s="1167">
        <f t="shared" ref="BL44" si="207">M44+N44+O44+P44+R44+S44+T44+U44+V44+W44+Y44+Z44+AA44</f>
        <v>682492.165833333</v>
      </c>
      <c r="BM44" s="724">
        <f t="shared" ref="BM44" si="208">AI44+AJ44+AK44+AL44+AM44+AN44+AP44++AQ44+AR44+AS44+AT44+AU44+AV44+AW44+AX44+AY44+AZ44+BA44+BB44+BC44+BD44+BE44+BG44+BH44+BK44</f>
        <v>90067.3183166667</v>
      </c>
      <c r="BN44" s="724"/>
      <c r="BO44" s="724"/>
      <c r="BP44" s="724">
        <f t="shared" ref="BP44" si="209">BL44-BM44</f>
        <v>592424.847516667</v>
      </c>
      <c r="BQ44" s="1174"/>
      <c r="BR44" s="306"/>
      <c r="BS44" s="307"/>
      <c r="BT44" s="308"/>
      <c r="BU44" s="313"/>
      <c r="BV44" s="306"/>
      <c r="BW44" s="307"/>
      <c r="BX44" s="307"/>
      <c r="BY44" s="307"/>
      <c r="BZ44" s="307"/>
      <c r="CA44" s="307"/>
      <c r="CB44" s="307"/>
      <c r="CC44" s="305"/>
      <c r="CD44" s="320"/>
      <c r="CE44" s="321"/>
      <c r="CF44" s="322"/>
      <c r="CG44" s="323"/>
      <c r="CH44" s="324"/>
      <c r="CI44" s="325"/>
      <c r="CJ44" s="326"/>
      <c r="CK44" s="1188"/>
      <c r="CL44" s="335"/>
      <c r="CN44" s="1190"/>
    </row>
    <row r="45" s="245" customFormat="1" ht="172.5" customHeight="1" spans="1:92">
      <c r="A45" s="1122">
        <v>42</v>
      </c>
      <c r="B45" s="70" t="s">
        <v>234</v>
      </c>
      <c r="C45" s="1123" t="s">
        <v>95</v>
      </c>
      <c r="D45" s="1088" t="s">
        <v>111</v>
      </c>
      <c r="E45" s="1088" t="s">
        <v>235</v>
      </c>
      <c r="F45" s="1128" t="s">
        <v>113</v>
      </c>
      <c r="G45" s="783">
        <v>1005008228</v>
      </c>
      <c r="H45" s="1125">
        <v>4479455</v>
      </c>
      <c r="I45" s="1125"/>
      <c r="J45" s="1125">
        <v>233481.96</v>
      </c>
      <c r="K45" s="1125">
        <v>81718.686</v>
      </c>
      <c r="L45" s="1132">
        <v>15000</v>
      </c>
      <c r="M45" s="295">
        <f t="shared" ref="M45" si="210">SUM(J45:L45)</f>
        <v>330200.646</v>
      </c>
      <c r="N45" s="295"/>
      <c r="O45" s="295"/>
      <c r="P45" s="295"/>
      <c r="Q45" s="295"/>
      <c r="R45" s="295">
        <v>2500</v>
      </c>
      <c r="S45" s="295"/>
      <c r="T45" s="295"/>
      <c r="U45" s="295"/>
      <c r="V45" s="295"/>
      <c r="W45" s="295"/>
      <c r="X45" s="295"/>
      <c r="Y45" s="295"/>
      <c r="Z45" s="295">
        <v>2500</v>
      </c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1140"/>
      <c r="AM45" s="295">
        <f t="shared" si="146"/>
        <v>6604.01292</v>
      </c>
      <c r="AN45" s="295">
        <v>500</v>
      </c>
      <c r="AO45" s="295"/>
      <c r="AP45" s="295"/>
      <c r="AQ45" s="1151">
        <v>1000</v>
      </c>
      <c r="AR45" s="1151"/>
      <c r="AS45" s="1150"/>
      <c r="AT45" s="1151"/>
      <c r="AU45" s="1153"/>
      <c r="AV45" s="1151"/>
      <c r="AW45" s="1165"/>
      <c r="AX45" s="1165"/>
      <c r="AY45" s="1161"/>
      <c r="AZ45" s="1165"/>
      <c r="BA45" s="295">
        <v>0</v>
      </c>
      <c r="BB45" s="295"/>
      <c r="BC45" s="295"/>
      <c r="BD45" s="295"/>
      <c r="BE45" s="724">
        <v>1750</v>
      </c>
      <c r="BF45" s="724"/>
      <c r="BG45" s="724"/>
      <c r="BH45" s="724">
        <f t="shared" si="21"/>
        <v>6704.01292</v>
      </c>
      <c r="BI45" s="1166"/>
      <c r="BJ45" s="1166"/>
      <c r="BK45" s="724">
        <v>43480.3751946667</v>
      </c>
      <c r="BL45" s="1167">
        <f t="shared" si="88"/>
        <v>335200.646</v>
      </c>
      <c r="BM45" s="724">
        <f t="shared" si="22"/>
        <v>60038.4010346666</v>
      </c>
      <c r="BN45" s="724"/>
      <c r="BO45" s="724"/>
      <c r="BP45" s="724">
        <f t="shared" si="20"/>
        <v>275162.244965333</v>
      </c>
      <c r="BQ45" s="1174">
        <f t="shared" si="103"/>
        <v>4022407.752</v>
      </c>
      <c r="BR45" s="306">
        <f t="shared" ref="BR45" si="211">200000+(0.2*BQ45)</f>
        <v>1004481.5504</v>
      </c>
      <c r="BS45" s="307">
        <f t="shared" si="105"/>
        <v>0</v>
      </c>
      <c r="BT45" s="308">
        <f t="shared" ref="BT45" si="212">SUM(BR45:BS45)</f>
        <v>1004481.5504</v>
      </c>
      <c r="BU45" s="313">
        <f t="shared" ref="BU45" si="213">+BQ45-BT45</f>
        <v>3017926.2016</v>
      </c>
      <c r="BV45" s="306"/>
      <c r="BW45" s="307">
        <f t="shared" ref="BW45" si="214">IF((BU45&gt;0),(IF((BU45&gt;300000),(300000*7%),(BU45*7%))),(BQ45*1%))</f>
        <v>21000</v>
      </c>
      <c r="BX45" s="307">
        <f t="shared" ref="BX45" si="215">IF((BU45-300000)&gt;0,(IF((BU45&gt;600000),(300000*11%),((BU45-300000)*11%))),(""))</f>
        <v>33000</v>
      </c>
      <c r="BY45" s="307">
        <f t="shared" ref="BY45" si="216">IF(((BU45-600000)&gt;0),(IF((BU45&gt;1100000),(500000*15%),((BU45-600000)*15%))),(""))</f>
        <v>75000</v>
      </c>
      <c r="BZ45" s="307">
        <f t="shared" ref="BZ45" si="217">IF(((BU45-(1100000))&gt;0),(IF((BU45&gt;(1600000)),((500000)*19%),((BU45-(1100000))*19%))),(""))</f>
        <v>95000</v>
      </c>
      <c r="CA45" s="307">
        <f t="shared" ref="CA45" si="218">IF(((BU45-(1600000))&gt;0),(IF((BU45&gt;(3200000)),((1600000)*21%),((BU45-(1600000))*21%))),(""))</f>
        <v>297764.502336</v>
      </c>
      <c r="CB45" s="307" t="str">
        <f t="shared" ref="CB45" si="219">IF(((BU45-(3200000))&gt;0),(IF((BU45&gt;(3200000)),((BU45-(3200000))*24%),(0))),(""))</f>
        <v/>
      </c>
      <c r="CC45" s="305">
        <f t="shared" ref="CC45" si="220">SUM(BW45:CB45)</f>
        <v>521764.502336</v>
      </c>
      <c r="CD45" s="320">
        <f t="shared" ref="CD45" si="221">1%*BQ45</f>
        <v>40224.07752</v>
      </c>
      <c r="CE45" s="321">
        <f t="shared" ref="CE45" si="222">MAX(CC45:CD45)</f>
        <v>521764.502336</v>
      </c>
      <c r="CF45" s="322">
        <f t="shared" ref="CF45" si="223">+CE45/12</f>
        <v>43480.3751946667</v>
      </c>
      <c r="CG45" s="323"/>
      <c r="CH45" s="324"/>
      <c r="CI45" s="325"/>
      <c r="CJ45" s="326"/>
      <c r="CK45" s="1188"/>
      <c r="CL45" s="335"/>
      <c r="CN45" s="1190" t="s">
        <v>236</v>
      </c>
    </row>
    <row r="46" s="245" customFormat="1" ht="135" customHeight="1" spans="1:92">
      <c r="A46" s="1122">
        <v>43</v>
      </c>
      <c r="B46" s="70" t="s">
        <v>237</v>
      </c>
      <c r="C46" s="1123" t="s">
        <v>133</v>
      </c>
      <c r="D46" s="1088" t="s">
        <v>238</v>
      </c>
      <c r="E46" s="1088" t="s">
        <v>112</v>
      </c>
      <c r="F46" s="1124" t="s">
        <v>127</v>
      </c>
      <c r="G46" s="686" t="s">
        <v>239</v>
      </c>
      <c r="H46" s="1125">
        <f>M46*12</f>
        <v>7686144.96</v>
      </c>
      <c r="I46" s="1125"/>
      <c r="J46" s="1125">
        <v>148068.705</v>
      </c>
      <c r="K46" s="1125">
        <v>37017.17625</v>
      </c>
      <c r="L46" s="1125">
        <v>15000</v>
      </c>
      <c r="M46" s="295">
        <v>640512.08</v>
      </c>
      <c r="N46" s="295">
        <f t="shared" si="201"/>
        <v>74726.4093333333</v>
      </c>
      <c r="O46" s="295">
        <f>O44</f>
        <v>6666.67</v>
      </c>
      <c r="P46" s="295"/>
      <c r="Q46" s="295"/>
      <c r="R46" s="295">
        <v>2500</v>
      </c>
      <c r="S46" s="295"/>
      <c r="T46" s="295"/>
      <c r="U46" s="295"/>
      <c r="V46" s="295"/>
      <c r="W46" s="295"/>
      <c r="X46" s="295"/>
      <c r="Y46" s="295"/>
      <c r="Z46" s="295">
        <v>2500</v>
      </c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1140"/>
      <c r="AM46" s="295">
        <f t="shared" si="146"/>
        <v>12810.2416</v>
      </c>
      <c r="AN46" s="295">
        <v>500</v>
      </c>
      <c r="AO46" s="295"/>
      <c r="AP46" s="295">
        <v>0</v>
      </c>
      <c r="AQ46" s="1151">
        <f>1000</f>
        <v>1000</v>
      </c>
      <c r="AR46" s="1151"/>
      <c r="AS46" s="1150"/>
      <c r="AT46" s="1151"/>
      <c r="AU46" s="1151"/>
      <c r="AV46" s="1151">
        <v>10000</v>
      </c>
      <c r="AW46" s="1151"/>
      <c r="AX46" s="1151"/>
      <c r="AY46" s="1161"/>
      <c r="AZ46" s="1151"/>
      <c r="BA46" s="295">
        <v>200000</v>
      </c>
      <c r="BB46" s="295"/>
      <c r="BC46" s="295"/>
      <c r="BD46" s="295"/>
      <c r="BE46" s="724">
        <v>2000</v>
      </c>
      <c r="BF46" s="724"/>
      <c r="BG46" s="724"/>
      <c r="BH46" s="724">
        <f t="shared" si="21"/>
        <v>14538.1031866667</v>
      </c>
      <c r="BI46" s="1166"/>
      <c r="BJ46" s="1166"/>
      <c r="BK46" s="724">
        <v>118552.455978667</v>
      </c>
      <c r="BL46" s="1167">
        <f t="shared" si="88"/>
        <v>726905.159333333</v>
      </c>
      <c r="BM46" s="724">
        <f t="shared" si="22"/>
        <v>359400.800765333</v>
      </c>
      <c r="BN46" s="724"/>
      <c r="BO46" s="724"/>
      <c r="BP46" s="724">
        <f t="shared" si="20"/>
        <v>367504.358568</v>
      </c>
      <c r="BQ46" s="1174">
        <f t="shared" si="103"/>
        <v>8722861.912</v>
      </c>
      <c r="BR46" s="306">
        <f t="shared" ref="BR46" si="224">200000+(0.2*BQ46)</f>
        <v>1944572.3824</v>
      </c>
      <c r="BS46" s="307">
        <f t="shared" si="105"/>
        <v>0</v>
      </c>
      <c r="BT46" s="308">
        <f t="shared" ref="BT46" si="225">SUM(BR46:BS46)</f>
        <v>1944572.3824</v>
      </c>
      <c r="BU46" s="313">
        <f t="shared" ref="BU46" si="226">+BQ46-BT46</f>
        <v>6778289.5296</v>
      </c>
      <c r="BV46" s="306"/>
      <c r="BW46" s="307">
        <f t="shared" ref="BW46" si="227">IF((BU46&gt;0),(IF((BU46&gt;300000),(300000*7%),(BU46*7%))),(BQ46*1%))</f>
        <v>21000</v>
      </c>
      <c r="BX46" s="307">
        <f t="shared" ref="BX46" si="228">IF((BU46-300000)&gt;0,(IF((BU46&gt;600000),(300000*11%),((BU46-300000)*11%))),(""))</f>
        <v>33000</v>
      </c>
      <c r="BY46" s="307">
        <f t="shared" ref="BY46" si="229">IF(((BU46-600000)&gt;0),(IF((BU46&gt;1100000),(500000*15%),((BU46-600000)*15%))),(""))</f>
        <v>75000</v>
      </c>
      <c r="BZ46" s="307">
        <f t="shared" ref="BZ46" si="230">IF(((BU46-(1100000))&gt;0),(IF((BU46&gt;(1600000)),((500000)*19%),((BU46-(1100000))*19%))),(""))</f>
        <v>95000</v>
      </c>
      <c r="CA46" s="307">
        <f t="shared" ref="CA46" si="231">IF(((BU46-(1600000))&gt;0),(IF((BU46&gt;(3200000)),((1600000)*21%),((BU46-(1600000))*21%))),(""))</f>
        <v>336000</v>
      </c>
      <c r="CB46" s="307">
        <f t="shared" ref="CB46" si="232">IF(((BU46-(3200000))&gt;0),(IF((BU46&gt;(3200000)),((BU46-(3200000))*24%),(0))),(""))</f>
        <v>858789.487104</v>
      </c>
      <c r="CC46" s="305">
        <f t="shared" ref="CC46" si="233">SUM(BW46:CB46)</f>
        <v>1418789.487104</v>
      </c>
      <c r="CD46" s="320">
        <f t="shared" ref="CD46" si="234">1%*BQ46</f>
        <v>87228.61912</v>
      </c>
      <c r="CE46" s="321">
        <f t="shared" ref="CE46" si="235">MAX(CC46:CD46)</f>
        <v>1418789.487104</v>
      </c>
      <c r="CF46" s="322">
        <f t="shared" ref="CF46" si="236">+CE46/12</f>
        <v>118232.457258667</v>
      </c>
      <c r="CG46" s="323"/>
      <c r="CH46" s="324"/>
      <c r="CI46" s="325"/>
      <c r="CJ46" s="326"/>
      <c r="CK46" s="1188"/>
      <c r="CL46" s="335"/>
      <c r="CN46" s="1189"/>
    </row>
    <row r="47" s="245" customFormat="1" ht="148" customHeight="1" spans="1:92">
      <c r="A47" s="1122">
        <v>44</v>
      </c>
      <c r="B47" s="70" t="s">
        <v>240</v>
      </c>
      <c r="C47" s="1122" t="s">
        <v>241</v>
      </c>
      <c r="D47" s="1088" t="s">
        <v>242</v>
      </c>
      <c r="E47" s="1088" t="s">
        <v>243</v>
      </c>
      <c r="F47" s="1129" t="s">
        <v>122</v>
      </c>
      <c r="G47" s="686">
        <v>9200480279</v>
      </c>
      <c r="H47" s="1125">
        <f>M47*12/2</f>
        <v>1632271.5</v>
      </c>
      <c r="I47" s="1125"/>
      <c r="J47" s="1125">
        <v>186262.75</v>
      </c>
      <c r="K47" s="1125">
        <v>70782.5</v>
      </c>
      <c r="L47" s="1125">
        <v>15000</v>
      </c>
      <c r="M47" s="295">
        <f t="shared" ref="M47:M68" si="237">SUM(J47:L47)</f>
        <v>272045.25</v>
      </c>
      <c r="N47" s="295"/>
      <c r="O47" s="295"/>
      <c r="P47" s="295"/>
      <c r="Q47" s="295"/>
      <c r="R47" s="295">
        <v>2500</v>
      </c>
      <c r="S47" s="295"/>
      <c r="T47" s="295"/>
      <c r="U47" s="295"/>
      <c r="V47" s="295"/>
      <c r="W47" s="295"/>
      <c r="X47" s="295"/>
      <c r="Y47" s="295"/>
      <c r="Z47" s="295">
        <v>2500</v>
      </c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1140"/>
      <c r="AM47" s="295">
        <f t="shared" si="146"/>
        <v>5440.905</v>
      </c>
      <c r="AN47" s="295">
        <v>500</v>
      </c>
      <c r="AO47" s="295"/>
      <c r="AP47" s="295"/>
      <c r="AQ47" s="1151"/>
      <c r="AR47" s="1151"/>
      <c r="AS47" s="1150"/>
      <c r="AT47" s="1151"/>
      <c r="AU47" s="1151"/>
      <c r="AV47" s="1151"/>
      <c r="AW47" s="1151"/>
      <c r="AX47" s="1151"/>
      <c r="AY47" s="1161"/>
      <c r="AZ47" s="1151"/>
      <c r="BA47" s="295">
        <v>0</v>
      </c>
      <c r="BB47" s="295"/>
      <c r="BC47" s="295"/>
      <c r="BD47" s="295"/>
      <c r="BE47" s="724">
        <v>2000</v>
      </c>
      <c r="BF47" s="724"/>
      <c r="BG47" s="724"/>
      <c r="BH47" s="724">
        <f t="shared" si="21"/>
        <v>5540.905</v>
      </c>
      <c r="BI47" s="1166"/>
      <c r="BJ47" s="1166"/>
      <c r="BK47" s="724">
        <v>33774.67</v>
      </c>
      <c r="BL47" s="1167">
        <f t="shared" si="88"/>
        <v>277045.25</v>
      </c>
      <c r="BM47" s="724">
        <f t="shared" si="22"/>
        <v>47256.48</v>
      </c>
      <c r="BN47" s="724"/>
      <c r="BO47" s="724"/>
      <c r="BP47" s="724">
        <f t="shared" si="20"/>
        <v>229788.77</v>
      </c>
      <c r="BQ47" s="1174">
        <f t="shared" si="103"/>
        <v>3324543</v>
      </c>
      <c r="BR47" s="306">
        <f t="shared" ref="BR47" si="238">200000+(0.2*BQ47)</f>
        <v>864908.6</v>
      </c>
      <c r="BS47" s="307">
        <f t="shared" si="105"/>
        <v>0</v>
      </c>
      <c r="BT47" s="308">
        <f t="shared" ref="BT47" si="239">SUM(BR47:BS47)</f>
        <v>864908.6</v>
      </c>
      <c r="BU47" s="313">
        <f t="shared" ref="BU47" si="240">+BQ47-BT47</f>
        <v>2459634.4</v>
      </c>
      <c r="BV47" s="306"/>
      <c r="BW47" s="307">
        <f t="shared" ref="BW47" si="241">IF((BU47&gt;0),(IF((BU47&gt;300000),(300000*7%),(BU47*7%))),(BQ47*1%))</f>
        <v>21000</v>
      </c>
      <c r="BX47" s="307">
        <f t="shared" ref="BX47" si="242">IF((BU47-300000)&gt;0,(IF((BU47&gt;600000),(300000*11%),((BU47-300000)*11%))),(""))</f>
        <v>33000</v>
      </c>
      <c r="BY47" s="307">
        <f t="shared" ref="BY47" si="243">IF(((BU47-600000)&gt;0),(IF((BU47&gt;1100000),(500000*15%),((BU47-600000)*15%))),(""))</f>
        <v>75000</v>
      </c>
      <c r="BZ47" s="307">
        <f t="shared" ref="BZ47" si="244">IF(((BU47-(1100000))&gt;0),(IF((BU47&gt;(1600000)),((500000)*19%),((BU47-(1100000))*19%))),(""))</f>
        <v>95000</v>
      </c>
      <c r="CA47" s="307">
        <f t="shared" ref="CA47" si="245">IF(((BU47-(1600000))&gt;0),(IF((BU47&gt;(3200000)),((1600000)*21%),((BU47-(1600000))*21%))),(""))</f>
        <v>180523.224</v>
      </c>
      <c r="CB47" s="307" t="str">
        <f t="shared" ref="CB47" si="246">IF(((BU47-(3200000))&gt;0),(IF((BU47&gt;(3200000)),((BU47-(3200000))*24%),(0))),(""))</f>
        <v/>
      </c>
      <c r="CC47" s="305">
        <f t="shared" ref="CC47" si="247">SUM(BW47:CB47)</f>
        <v>404523.224</v>
      </c>
      <c r="CD47" s="320">
        <f t="shared" ref="CD47" si="248">1%*BQ47</f>
        <v>33245.43</v>
      </c>
      <c r="CE47" s="321">
        <f t="shared" ref="CE47" si="249">MAX(CC47:CD47)</f>
        <v>404523.224</v>
      </c>
      <c r="CF47" s="322">
        <f t="shared" ref="CF47" si="250">+CE47/12</f>
        <v>33710.2686666667</v>
      </c>
      <c r="CG47" s="323"/>
      <c r="CH47" s="324"/>
      <c r="CI47" s="325"/>
      <c r="CJ47" s="326"/>
      <c r="CK47" s="1188"/>
      <c r="CL47" s="335"/>
      <c r="CN47" s="1190"/>
    </row>
    <row r="48" s="1097" customFormat="1" ht="135.75" customHeight="1" spans="1:92">
      <c r="A48" s="1122">
        <v>45</v>
      </c>
      <c r="B48" s="70" t="s">
        <v>244</v>
      </c>
      <c r="C48" s="1123" t="s">
        <v>133</v>
      </c>
      <c r="D48" s="1088" t="s">
        <v>245</v>
      </c>
      <c r="E48" s="1088" t="s">
        <v>246</v>
      </c>
      <c r="F48" s="1124" t="s">
        <v>127</v>
      </c>
      <c r="G48" s="686" t="s">
        <v>247</v>
      </c>
      <c r="H48" s="1130">
        <f>M48*12/2</f>
        <v>1442386.26</v>
      </c>
      <c r="I48" s="1130"/>
      <c r="J48" s="1130">
        <v>189402.24</v>
      </c>
      <c r="K48" s="1130">
        <v>47350.56</v>
      </c>
      <c r="L48" s="1130">
        <v>15000</v>
      </c>
      <c r="M48" s="1133">
        <v>240397.71</v>
      </c>
      <c r="N48" s="1134"/>
      <c r="O48" s="1134"/>
      <c r="P48" s="1134"/>
      <c r="Q48" s="1134"/>
      <c r="R48" s="1134">
        <v>2500</v>
      </c>
      <c r="S48" s="1134"/>
      <c r="T48" s="1134"/>
      <c r="U48" s="1134"/>
      <c r="V48" s="1134"/>
      <c r="W48" s="1134"/>
      <c r="X48" s="1134"/>
      <c r="Y48" s="1134"/>
      <c r="Z48" s="1134">
        <v>2500</v>
      </c>
      <c r="AA48" s="1134"/>
      <c r="AB48" s="1134"/>
      <c r="AC48" s="1134"/>
      <c r="AD48" s="1134"/>
      <c r="AE48" s="1134"/>
      <c r="AF48" s="1134"/>
      <c r="AG48" s="1134"/>
      <c r="AH48" s="1134"/>
      <c r="AI48" s="1134"/>
      <c r="AJ48" s="1134"/>
      <c r="AK48" s="1134"/>
      <c r="AL48" s="1142"/>
      <c r="AM48" s="1134">
        <f t="shared" si="146"/>
        <v>4807.9542</v>
      </c>
      <c r="AN48" s="1134">
        <v>500</v>
      </c>
      <c r="AO48" s="1134"/>
      <c r="AP48" s="1134"/>
      <c r="AQ48" s="1154">
        <v>1000</v>
      </c>
      <c r="AR48" s="1154"/>
      <c r="AS48" s="1155"/>
      <c r="AT48" s="1154"/>
      <c r="AU48" s="1154"/>
      <c r="AV48" s="1154"/>
      <c r="AW48" s="1154"/>
      <c r="AX48" s="1154"/>
      <c r="AY48" s="1130"/>
      <c r="AZ48" s="1154"/>
      <c r="BA48" s="1134">
        <v>0</v>
      </c>
      <c r="BB48" s="1134"/>
      <c r="BC48" s="1134"/>
      <c r="BD48" s="1134"/>
      <c r="BE48" s="895">
        <v>2000</v>
      </c>
      <c r="BF48" s="895"/>
      <c r="BG48" s="895"/>
      <c r="BH48" s="895">
        <f t="shared" si="21"/>
        <v>4907.9542</v>
      </c>
      <c r="BI48" s="1168"/>
      <c r="BJ48" s="1168"/>
      <c r="BK48" s="895">
        <v>28393.4819466667</v>
      </c>
      <c r="BL48" s="1169">
        <f t="shared" si="88"/>
        <v>245397.71</v>
      </c>
      <c r="BM48" s="724">
        <f t="shared" si="22"/>
        <v>41609.3903466667</v>
      </c>
      <c r="BN48" s="895"/>
      <c r="BO48" s="895"/>
      <c r="BP48" s="724">
        <f t="shared" si="20"/>
        <v>203788.319653333</v>
      </c>
      <c r="BQ48" s="1175">
        <f t="shared" si="103"/>
        <v>2944772.52</v>
      </c>
      <c r="BR48" s="402">
        <f t="shared" ref="BR48" si="251">200000+(0.2*BQ48)</f>
        <v>788954.504</v>
      </c>
      <c r="BS48" s="403">
        <f t="shared" si="105"/>
        <v>0</v>
      </c>
      <c r="BT48" s="404">
        <f t="shared" ref="BT48" si="252">SUM(BR48:BS48)</f>
        <v>788954.504</v>
      </c>
      <c r="BU48" s="410">
        <f t="shared" ref="BU48" si="253">+BQ48-BT48</f>
        <v>2155818.016</v>
      </c>
      <c r="BV48" s="402"/>
      <c r="BW48" s="403">
        <f t="shared" ref="BW48" si="254">IF((BU48&gt;0),(IF((BU48&gt;300000),(300000*7%),(BU48*7%))),(BQ48*1%))</f>
        <v>21000</v>
      </c>
      <c r="BX48" s="403">
        <f t="shared" ref="BX48" si="255">IF((BU48-300000)&gt;0,(IF((BU48&gt;600000),(300000*11%),((BU48-300000)*11%))),(""))</f>
        <v>33000</v>
      </c>
      <c r="BY48" s="403">
        <f t="shared" ref="BY48" si="256">IF(((BU48-600000)&gt;0),(IF((BU48&gt;1100000),(500000*15%),((BU48-600000)*15%))),(""))</f>
        <v>75000</v>
      </c>
      <c r="BZ48" s="403">
        <f t="shared" ref="BZ48" si="257">IF(((BU48-(1100000))&gt;0),(IF((BU48&gt;(1600000)),((500000)*19%),((BU48-(1100000))*19%))),(""))</f>
        <v>95000</v>
      </c>
      <c r="CA48" s="403">
        <f t="shared" ref="CA48" si="258">IF(((BU48-(1600000))&gt;0),(IF((BU48&gt;(3200000)),((1600000)*21%),((BU48-(1600000))*21%))),(""))</f>
        <v>116721.78336</v>
      </c>
      <c r="CB48" s="403" t="str">
        <f t="shared" ref="CB48" si="259">IF(((BU48-(3200000))&gt;0),(IF((BU48&gt;(3200000)),((BU48-(3200000))*24%),(0))),(""))</f>
        <v/>
      </c>
      <c r="CC48" s="401">
        <f t="shared" ref="CC48" si="260">SUM(BW48:CB48)</f>
        <v>340721.78336</v>
      </c>
      <c r="CD48" s="419">
        <f t="shared" ref="CD48" si="261">1%*BQ48</f>
        <v>29447.7252</v>
      </c>
      <c r="CE48" s="321">
        <f t="shared" ref="CE48" si="262">MAX(CC48:CD48)</f>
        <v>340721.78336</v>
      </c>
      <c r="CF48" s="322">
        <f t="shared" ref="CF48" si="263">+CE48/12</f>
        <v>28393.4819466667</v>
      </c>
      <c r="CG48" s="1182"/>
      <c r="CH48" s="1183"/>
      <c r="CI48" s="1184"/>
      <c r="CJ48" s="1185"/>
      <c r="CK48" s="1191"/>
      <c r="CL48" s="1192"/>
      <c r="CN48" s="1190"/>
    </row>
    <row r="49" s="245" customFormat="1" ht="141" customHeight="1" spans="1:92">
      <c r="A49" s="1122">
        <v>46</v>
      </c>
      <c r="B49" s="70" t="s">
        <v>248</v>
      </c>
      <c r="C49" s="1123" t="s">
        <v>249</v>
      </c>
      <c r="D49" s="1088" t="s">
        <v>250</v>
      </c>
      <c r="E49" s="1088" t="s">
        <v>251</v>
      </c>
      <c r="F49" s="1128" t="s">
        <v>127</v>
      </c>
      <c r="G49" s="783" t="s">
        <v>252</v>
      </c>
      <c r="H49" s="1125">
        <v>6310662</v>
      </c>
      <c r="I49" s="1125">
        <v>6487437</v>
      </c>
      <c r="J49" s="1125">
        <v>540619.75</v>
      </c>
      <c r="K49" s="1125">
        <v>189216.9125</v>
      </c>
      <c r="L49" s="1125">
        <v>30000</v>
      </c>
      <c r="M49" s="295">
        <v>779724.08</v>
      </c>
      <c r="N49" s="295">
        <f>M49*0.35/3</f>
        <v>90967.8093333333</v>
      </c>
      <c r="O49" s="295">
        <v>6666.67</v>
      </c>
      <c r="P49" s="295">
        <v>41667</v>
      </c>
      <c r="Q49" s="295"/>
      <c r="R49" s="295">
        <v>2500</v>
      </c>
      <c r="S49" s="295"/>
      <c r="T49" s="295"/>
      <c r="U49" s="295"/>
      <c r="V49" s="295"/>
      <c r="W49" s="295"/>
      <c r="X49" s="295"/>
      <c r="Y49" s="295"/>
      <c r="Z49" s="295">
        <v>2500</v>
      </c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1140"/>
      <c r="AM49" s="295">
        <f t="shared" si="146"/>
        <v>15594.4816</v>
      </c>
      <c r="AN49" s="295">
        <v>500</v>
      </c>
      <c r="AO49" s="295"/>
      <c r="AP49" s="295"/>
      <c r="AQ49" s="1149"/>
      <c r="AR49" s="1149"/>
      <c r="AS49" s="1152"/>
      <c r="AT49" s="1149"/>
      <c r="AU49" s="1149"/>
      <c r="AV49" s="1151"/>
      <c r="AW49" s="1149"/>
      <c r="AX49" s="1149"/>
      <c r="AY49" s="1161"/>
      <c r="AZ49" s="1149"/>
      <c r="BA49" s="295">
        <v>0</v>
      </c>
      <c r="BB49" s="295"/>
      <c r="BC49" s="295">
        <v>5000</v>
      </c>
      <c r="BD49" s="295">
        <v>10000</v>
      </c>
      <c r="BE49" s="724">
        <v>3500</v>
      </c>
      <c r="BF49" s="724"/>
      <c r="BG49" s="724"/>
      <c r="BH49" s="724">
        <f t="shared" si="21"/>
        <v>18480.5111866667</v>
      </c>
      <c r="BI49" s="1166"/>
      <c r="BJ49" s="1166"/>
      <c r="BK49" s="724">
        <v>156079.57</v>
      </c>
      <c r="BL49" s="1167">
        <f t="shared" si="88"/>
        <v>924025.559333333</v>
      </c>
      <c r="BM49" s="724">
        <f t="shared" si="22"/>
        <v>209154.562786667</v>
      </c>
      <c r="BN49" s="724"/>
      <c r="BO49" s="724"/>
      <c r="BP49" s="724">
        <f t="shared" si="20"/>
        <v>714870.996546667</v>
      </c>
      <c r="BQ49" s="1174">
        <f t="shared" si="103"/>
        <v>11088306.712</v>
      </c>
      <c r="BR49" s="306">
        <f t="shared" si="185"/>
        <v>2417661.3424</v>
      </c>
      <c r="BS49" s="307">
        <f t="shared" si="105"/>
        <v>0</v>
      </c>
      <c r="BT49" s="308">
        <f t="shared" si="186"/>
        <v>2417661.3424</v>
      </c>
      <c r="BU49" s="313">
        <f t="shared" si="187"/>
        <v>8670645.3696</v>
      </c>
      <c r="BV49" s="306"/>
      <c r="BW49" s="307">
        <f t="shared" si="188"/>
        <v>21000</v>
      </c>
      <c r="BX49" s="307">
        <f t="shared" si="189"/>
        <v>33000</v>
      </c>
      <c r="BY49" s="307">
        <f t="shared" si="190"/>
        <v>75000</v>
      </c>
      <c r="BZ49" s="307">
        <f t="shared" si="191"/>
        <v>95000</v>
      </c>
      <c r="CA49" s="307">
        <f t="shared" si="192"/>
        <v>336000</v>
      </c>
      <c r="CB49" s="307">
        <f t="shared" si="193"/>
        <v>1312954.888704</v>
      </c>
      <c r="CC49" s="305">
        <f t="shared" si="194"/>
        <v>1872954.888704</v>
      </c>
      <c r="CD49" s="320">
        <f t="shared" si="195"/>
        <v>110883.06712</v>
      </c>
      <c r="CE49" s="321">
        <f t="shared" si="196"/>
        <v>1872954.888704</v>
      </c>
      <c r="CF49" s="322">
        <f t="shared" si="83"/>
        <v>156079.574058667</v>
      </c>
      <c r="CG49" s="323"/>
      <c r="CH49" s="324"/>
      <c r="CI49" s="325"/>
      <c r="CJ49" s="326"/>
      <c r="CK49" s="1188"/>
      <c r="CL49" s="335"/>
      <c r="CN49" s="1189"/>
    </row>
    <row r="50" s="245" customFormat="1" ht="128" customHeight="1" spans="1:92">
      <c r="A50" s="1122">
        <v>47</v>
      </c>
      <c r="B50" s="70" t="s">
        <v>253</v>
      </c>
      <c r="C50" s="1123" t="s">
        <v>254</v>
      </c>
      <c r="D50" s="1088" t="s">
        <v>255</v>
      </c>
      <c r="E50" s="1088" t="s">
        <v>243</v>
      </c>
      <c r="F50" s="1128" t="s">
        <v>93</v>
      </c>
      <c r="G50" s="783">
        <v>2019013002</v>
      </c>
      <c r="H50" s="1125">
        <v>4935269</v>
      </c>
      <c r="I50" s="1125">
        <v>4935269</v>
      </c>
      <c r="J50" s="1125">
        <v>191627.63</v>
      </c>
      <c r="K50" s="1125"/>
      <c r="L50" s="1125">
        <v>15000</v>
      </c>
      <c r="M50" s="1135">
        <f>544090.5/2</f>
        <v>272045.25</v>
      </c>
      <c r="N50" s="295"/>
      <c r="O50" s="295"/>
      <c r="P50" s="295"/>
      <c r="Q50" s="295"/>
      <c r="R50" s="295">
        <v>2500</v>
      </c>
      <c r="S50" s="295"/>
      <c r="T50" s="295"/>
      <c r="U50" s="295"/>
      <c r="V50" s="295"/>
      <c r="W50" s="295"/>
      <c r="X50" s="295"/>
      <c r="Y50" s="295"/>
      <c r="Z50" s="295">
        <v>2500</v>
      </c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1140"/>
      <c r="AM50" s="295">
        <f t="shared" si="146"/>
        <v>5440.905</v>
      </c>
      <c r="AN50" s="295">
        <v>500</v>
      </c>
      <c r="AO50" s="295"/>
      <c r="AP50" s="295"/>
      <c r="AQ50" s="1149"/>
      <c r="AR50" s="1149"/>
      <c r="AS50" s="1156">
        <v>1000</v>
      </c>
      <c r="AT50" s="1157"/>
      <c r="AU50" s="1149"/>
      <c r="AV50" s="1151"/>
      <c r="AW50" s="1149"/>
      <c r="AX50" s="1149"/>
      <c r="AY50" s="1161"/>
      <c r="AZ50" s="1149"/>
      <c r="BA50" s="295">
        <v>0</v>
      </c>
      <c r="BB50" s="295"/>
      <c r="BC50" s="295"/>
      <c r="BD50" s="295"/>
      <c r="BE50" s="724">
        <v>3500</v>
      </c>
      <c r="BF50" s="724"/>
      <c r="BG50" s="724"/>
      <c r="BH50" s="724">
        <f t="shared" si="21"/>
        <v>5540.905</v>
      </c>
      <c r="BI50" s="1166"/>
      <c r="BJ50" s="1166"/>
      <c r="BK50" s="724">
        <v>33710.27</v>
      </c>
      <c r="BL50" s="1167">
        <f t="shared" si="88"/>
        <v>277045.25</v>
      </c>
      <c r="BM50" s="724">
        <f t="shared" si="22"/>
        <v>49692.08</v>
      </c>
      <c r="BN50" s="724"/>
      <c r="BO50" s="724"/>
      <c r="BP50" s="724">
        <f t="shared" si="20"/>
        <v>227353.17</v>
      </c>
      <c r="BQ50" s="1174">
        <f t="shared" si="103"/>
        <v>3324543</v>
      </c>
      <c r="BR50" s="306">
        <f t="shared" ref="BR50" si="264">200000+(0.2*BQ50)</f>
        <v>864908.6</v>
      </c>
      <c r="BS50" s="307">
        <f t="shared" si="105"/>
        <v>0</v>
      </c>
      <c r="BT50" s="308">
        <f t="shared" ref="BT50" si="265">SUM(BR50:BS50)</f>
        <v>864908.6</v>
      </c>
      <c r="BU50" s="313">
        <f t="shared" ref="BU50" si="266">+BQ50-BT50</f>
        <v>2459634.4</v>
      </c>
      <c r="BV50" s="306"/>
      <c r="BW50" s="307">
        <f t="shared" ref="BW50" si="267">IF((BU50&gt;0),(IF((BU50&gt;300000),(300000*7%),(BU50*7%))),(BQ50*1%))</f>
        <v>21000</v>
      </c>
      <c r="BX50" s="307">
        <f t="shared" ref="BX50" si="268">IF((BU50-300000)&gt;0,(IF((BU50&gt;600000),(300000*11%),((BU50-300000)*11%))),(""))</f>
        <v>33000</v>
      </c>
      <c r="BY50" s="307">
        <f t="shared" ref="BY50" si="269">IF(((BU50-600000)&gt;0),(IF((BU50&gt;1100000),(500000*15%),((BU50-600000)*15%))),(""))</f>
        <v>75000</v>
      </c>
      <c r="BZ50" s="307">
        <f t="shared" ref="BZ50" si="270">IF(((BU50-(1100000))&gt;0),(IF((BU50&gt;(1600000)),((500000)*19%),((BU50-(1100000))*19%))),(""))</f>
        <v>95000</v>
      </c>
      <c r="CA50" s="307">
        <f t="shared" ref="CA50" si="271">IF(((BU50-(1600000))&gt;0),(IF((BU50&gt;(3200000)),((1600000)*21%),((BU50-(1600000))*21%))),(""))</f>
        <v>180523.224</v>
      </c>
      <c r="CB50" s="307" t="str">
        <f t="shared" ref="CB50" si="272">IF(((BU50-(3200000))&gt;0),(IF((BU50&gt;(3200000)),((BU50-(3200000))*24%),(0))),(""))</f>
        <v/>
      </c>
      <c r="CC50" s="305">
        <f t="shared" ref="CC50" si="273">SUM(BW50:CB50)</f>
        <v>404523.224</v>
      </c>
      <c r="CD50" s="320">
        <f t="shared" ref="CD50" si="274">1%*BQ50</f>
        <v>33245.43</v>
      </c>
      <c r="CE50" s="321">
        <f t="shared" ref="CE50" si="275">MAX(CC50:CD50)</f>
        <v>404523.224</v>
      </c>
      <c r="CF50" s="322">
        <f t="shared" ref="CF50" si="276">+CE50/12</f>
        <v>33710.2686666667</v>
      </c>
      <c r="CG50" s="323"/>
      <c r="CH50" s="324"/>
      <c r="CI50" s="325"/>
      <c r="CJ50" s="326"/>
      <c r="CK50" s="1188"/>
      <c r="CL50" s="335"/>
      <c r="CN50" s="1189"/>
    </row>
    <row r="51" s="1097" customFormat="1" ht="117" customHeight="1" spans="1:92">
      <c r="A51" s="1122">
        <v>48</v>
      </c>
      <c r="B51" s="70" t="s">
        <v>256</v>
      </c>
      <c r="C51" s="1123" t="s">
        <v>191</v>
      </c>
      <c r="D51" s="1088" t="s">
        <v>257</v>
      </c>
      <c r="E51" s="1088" t="s">
        <v>258</v>
      </c>
      <c r="F51" s="1128" t="s">
        <v>259</v>
      </c>
      <c r="G51" s="1126">
        <v>4021365312</v>
      </c>
      <c r="H51" s="1130">
        <v>4935269</v>
      </c>
      <c r="I51" s="1130">
        <v>5086727</v>
      </c>
      <c r="J51" s="1130">
        <v>411242.42</v>
      </c>
      <c r="K51" s="1130">
        <v>102810.605</v>
      </c>
      <c r="L51" s="1130">
        <v>30000</v>
      </c>
      <c r="M51" s="1134">
        <v>575681.83</v>
      </c>
      <c r="N51" s="1134">
        <f>M51*0.35/3</f>
        <v>67162.8801666667</v>
      </c>
      <c r="O51" s="1134">
        <v>5000</v>
      </c>
      <c r="P51" s="1134">
        <f>P49</f>
        <v>41667</v>
      </c>
      <c r="Q51" s="1134"/>
      <c r="R51" s="1134">
        <v>2500</v>
      </c>
      <c r="S51" s="1134"/>
      <c r="T51" s="1134"/>
      <c r="U51" s="1134"/>
      <c r="V51" s="1134"/>
      <c r="W51" s="1134"/>
      <c r="X51" s="1134"/>
      <c r="Y51" s="1134"/>
      <c r="Z51" s="1134">
        <v>2500</v>
      </c>
      <c r="AA51" s="1134"/>
      <c r="AB51" s="1134"/>
      <c r="AC51" s="1134"/>
      <c r="AD51" s="1134"/>
      <c r="AE51" s="1134"/>
      <c r="AF51" s="1134"/>
      <c r="AG51" s="1134"/>
      <c r="AH51" s="1134"/>
      <c r="AI51" s="1134"/>
      <c r="AJ51" s="1134"/>
      <c r="AK51" s="1134"/>
      <c r="AL51" s="1142"/>
      <c r="AM51" s="1134">
        <f t="shared" si="146"/>
        <v>11513.6366</v>
      </c>
      <c r="AN51" s="1134">
        <v>500</v>
      </c>
      <c r="AO51" s="1134"/>
      <c r="AP51" s="1134"/>
      <c r="AQ51" s="1154"/>
      <c r="AR51" s="1154"/>
      <c r="AS51" s="1155">
        <v>1000</v>
      </c>
      <c r="AT51" s="1154"/>
      <c r="AU51" s="1154"/>
      <c r="AV51" s="1154"/>
      <c r="AW51" s="1154"/>
      <c r="AX51" s="1154"/>
      <c r="AY51" s="1130"/>
      <c r="AZ51" s="1154"/>
      <c r="BA51" s="1134">
        <v>75000</v>
      </c>
      <c r="BB51" s="1134"/>
      <c r="BC51" s="1134"/>
      <c r="BD51" s="1134"/>
      <c r="BE51" s="895">
        <v>2000</v>
      </c>
      <c r="BF51" s="895"/>
      <c r="BG51" s="895"/>
      <c r="BH51" s="895">
        <f t="shared" si="21"/>
        <v>13890.2342033333</v>
      </c>
      <c r="BI51" s="1168"/>
      <c r="BJ51" s="1168"/>
      <c r="BK51" s="895">
        <v>112012.92</v>
      </c>
      <c r="BL51" s="1169">
        <f t="shared" si="88"/>
        <v>694511.710166667</v>
      </c>
      <c r="BM51" s="724">
        <f t="shared" si="22"/>
        <v>215916.790803333</v>
      </c>
      <c r="BN51" s="895"/>
      <c r="BO51" s="895"/>
      <c r="BP51" s="724">
        <f t="shared" si="20"/>
        <v>478594.919363333</v>
      </c>
      <c r="BQ51" s="1175">
        <f t="shared" si="103"/>
        <v>8334140.522</v>
      </c>
      <c r="BR51" s="402">
        <f t="shared" si="185"/>
        <v>1866828.1044</v>
      </c>
      <c r="BS51" s="403">
        <f t="shared" si="105"/>
        <v>0</v>
      </c>
      <c r="BT51" s="404">
        <f t="shared" si="186"/>
        <v>1866828.1044</v>
      </c>
      <c r="BU51" s="410">
        <f t="shared" si="187"/>
        <v>6467312.4176</v>
      </c>
      <c r="BV51" s="402"/>
      <c r="BW51" s="403">
        <f t="shared" si="188"/>
        <v>21000</v>
      </c>
      <c r="BX51" s="403">
        <f t="shared" si="189"/>
        <v>33000</v>
      </c>
      <c r="BY51" s="403">
        <f t="shared" si="190"/>
        <v>75000</v>
      </c>
      <c r="BZ51" s="403">
        <f t="shared" si="191"/>
        <v>95000</v>
      </c>
      <c r="CA51" s="403">
        <f t="shared" si="192"/>
        <v>336000</v>
      </c>
      <c r="CB51" s="403">
        <f t="shared" si="193"/>
        <v>784154.980224</v>
      </c>
      <c r="CC51" s="401">
        <f t="shared" si="194"/>
        <v>1344154.980224</v>
      </c>
      <c r="CD51" s="419">
        <f t="shared" si="195"/>
        <v>83341.40522</v>
      </c>
      <c r="CE51" s="321">
        <f t="shared" si="196"/>
        <v>1344154.980224</v>
      </c>
      <c r="CF51" s="322">
        <f t="shared" si="83"/>
        <v>112012.915018667</v>
      </c>
      <c r="CG51" s="1182"/>
      <c r="CH51" s="1183"/>
      <c r="CI51" s="1184"/>
      <c r="CJ51" s="1185"/>
      <c r="CK51" s="1191"/>
      <c r="CL51" s="1192"/>
      <c r="CN51" s="1189"/>
    </row>
    <row r="52" s="245" customFormat="1" ht="136" customHeight="1" spans="1:92">
      <c r="A52" s="1122">
        <v>49</v>
      </c>
      <c r="B52" s="70" t="s">
        <v>260</v>
      </c>
      <c r="C52" s="1123" t="s">
        <v>95</v>
      </c>
      <c r="D52" s="1088" t="s">
        <v>138</v>
      </c>
      <c r="E52" s="1088" t="s">
        <v>225</v>
      </c>
      <c r="F52" s="1128" t="s">
        <v>93</v>
      </c>
      <c r="G52" s="783">
        <v>2003315491</v>
      </c>
      <c r="H52" s="1125">
        <v>4181658</v>
      </c>
      <c r="I52" s="1125">
        <v>4327636</v>
      </c>
      <c r="J52" s="1125">
        <v>360636.333333333</v>
      </c>
      <c r="K52" s="1125">
        <v>90159.0833333333</v>
      </c>
      <c r="L52" s="1125">
        <v>30000</v>
      </c>
      <c r="M52" s="295">
        <v>528238.58</v>
      </c>
      <c r="N52" s="295">
        <f>M52*0.35/3</f>
        <v>61627.8343333333</v>
      </c>
      <c r="O52" s="295">
        <v>5000</v>
      </c>
      <c r="P52" s="295"/>
      <c r="Q52" s="295"/>
      <c r="R52" s="295">
        <v>2500</v>
      </c>
      <c r="S52" s="295"/>
      <c r="T52" s="295"/>
      <c r="U52" s="295"/>
      <c r="V52" s="295"/>
      <c r="W52" s="295"/>
      <c r="X52" s="295"/>
      <c r="Y52" s="295"/>
      <c r="Z52" s="295">
        <v>2500</v>
      </c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1140"/>
      <c r="AM52" s="295">
        <f t="shared" si="146"/>
        <v>10564.7716</v>
      </c>
      <c r="AN52" s="295">
        <v>500</v>
      </c>
      <c r="AO52" s="295"/>
      <c r="AP52" s="295"/>
      <c r="AQ52" s="1151">
        <v>1000</v>
      </c>
      <c r="AR52" s="1151"/>
      <c r="AS52" s="1150"/>
      <c r="AT52" s="1151"/>
      <c r="AU52" s="1151"/>
      <c r="AV52" s="1151"/>
      <c r="AW52" s="1151"/>
      <c r="AX52" s="1151"/>
      <c r="AY52" s="1161"/>
      <c r="AZ52" s="1151"/>
      <c r="BA52" s="295">
        <v>197709</v>
      </c>
      <c r="BB52" s="295"/>
      <c r="BC52" s="295">
        <v>5000</v>
      </c>
      <c r="BD52" s="295">
        <v>10000</v>
      </c>
      <c r="BE52" s="724">
        <v>2000</v>
      </c>
      <c r="BF52" s="724"/>
      <c r="BG52" s="724"/>
      <c r="BH52" s="724">
        <f t="shared" si="21"/>
        <v>11997.3282866667</v>
      </c>
      <c r="BI52" s="1166"/>
      <c r="BJ52" s="1166"/>
      <c r="BK52" s="724">
        <v>93841.02</v>
      </c>
      <c r="BL52" s="1167">
        <f t="shared" si="88"/>
        <v>599866.414333333</v>
      </c>
      <c r="BM52" s="724">
        <f t="shared" si="22"/>
        <v>332612.119886667</v>
      </c>
      <c r="BN52" s="724"/>
      <c r="BO52" s="724"/>
      <c r="BP52" s="724">
        <f t="shared" si="20"/>
        <v>267254.294446667</v>
      </c>
      <c r="BQ52" s="1174">
        <f t="shared" si="103"/>
        <v>7198396.972</v>
      </c>
      <c r="BR52" s="306">
        <f t="shared" si="185"/>
        <v>1639679.3944</v>
      </c>
      <c r="BS52" s="307">
        <f t="shared" si="105"/>
        <v>0</v>
      </c>
      <c r="BT52" s="308">
        <f t="shared" si="186"/>
        <v>1639679.3944</v>
      </c>
      <c r="BU52" s="313">
        <f t="shared" si="187"/>
        <v>5558717.5776</v>
      </c>
      <c r="BV52" s="306"/>
      <c r="BW52" s="307">
        <f t="shared" si="188"/>
        <v>21000</v>
      </c>
      <c r="BX52" s="307">
        <f t="shared" si="189"/>
        <v>33000</v>
      </c>
      <c r="BY52" s="307">
        <f t="shared" si="190"/>
        <v>75000</v>
      </c>
      <c r="BZ52" s="307">
        <f t="shared" si="191"/>
        <v>95000</v>
      </c>
      <c r="CA52" s="307">
        <f t="shared" si="192"/>
        <v>336000</v>
      </c>
      <c r="CB52" s="307">
        <f t="shared" si="193"/>
        <v>566092.218624</v>
      </c>
      <c r="CC52" s="305">
        <f t="shared" si="194"/>
        <v>1126092.218624</v>
      </c>
      <c r="CD52" s="320">
        <f t="shared" si="195"/>
        <v>71983.96972</v>
      </c>
      <c r="CE52" s="321">
        <f t="shared" si="196"/>
        <v>1126092.218624</v>
      </c>
      <c r="CF52" s="322">
        <f t="shared" si="83"/>
        <v>93841.0182186667</v>
      </c>
      <c r="CG52" s="323"/>
      <c r="CH52" s="324"/>
      <c r="CI52" s="325"/>
      <c r="CJ52" s="326"/>
      <c r="CK52" s="1188"/>
      <c r="CL52" s="335"/>
      <c r="CN52" s="1189"/>
    </row>
    <row r="53" s="245" customFormat="1" ht="132" customHeight="1" spans="1:92">
      <c r="A53" s="1122">
        <v>50</v>
      </c>
      <c r="B53" s="70" t="s">
        <v>261</v>
      </c>
      <c r="C53" s="1122" t="s">
        <v>203</v>
      </c>
      <c r="D53" s="1088" t="s">
        <v>111</v>
      </c>
      <c r="E53" s="1088" t="s">
        <v>231</v>
      </c>
      <c r="F53" s="1128" t="s">
        <v>113</v>
      </c>
      <c r="G53" s="783">
        <v>2031755814</v>
      </c>
      <c r="H53" s="1125">
        <v>4783091</v>
      </c>
      <c r="I53" s="1125"/>
      <c r="J53" s="1125">
        <f>422768.33/2</f>
        <v>211384.165</v>
      </c>
      <c r="K53" s="1125">
        <v>73984.46</v>
      </c>
      <c r="L53" s="1125">
        <v>15000</v>
      </c>
      <c r="M53" s="295">
        <f t="shared" si="237"/>
        <v>300368.625</v>
      </c>
      <c r="N53" s="295"/>
      <c r="O53" s="295"/>
      <c r="P53" s="295"/>
      <c r="Q53" s="295"/>
      <c r="R53" s="295">
        <v>2500</v>
      </c>
      <c r="S53" s="295"/>
      <c r="T53" s="295"/>
      <c r="U53" s="295"/>
      <c r="V53" s="295"/>
      <c r="W53" s="295"/>
      <c r="X53" s="295"/>
      <c r="Y53" s="295"/>
      <c r="Z53" s="295">
        <v>2500</v>
      </c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L53" s="1140"/>
      <c r="AM53" s="295">
        <f t="shared" si="146"/>
        <v>6007.3725</v>
      </c>
      <c r="AN53" s="295">
        <v>500</v>
      </c>
      <c r="AO53" s="295"/>
      <c r="AP53" s="295"/>
      <c r="AQ53" s="1151"/>
      <c r="AR53" s="1151"/>
      <c r="AS53" s="1150">
        <v>1000</v>
      </c>
      <c r="AT53" s="1151"/>
      <c r="AU53" s="1151"/>
      <c r="AV53" s="1151"/>
      <c r="AW53" s="295"/>
      <c r="AX53" s="1151"/>
      <c r="AY53" s="1161"/>
      <c r="AZ53" s="1151"/>
      <c r="BA53" s="295">
        <v>0</v>
      </c>
      <c r="BB53" s="295"/>
      <c r="BC53" s="295"/>
      <c r="BD53" s="295"/>
      <c r="BE53" s="724">
        <v>1750</v>
      </c>
      <c r="BF53" s="724"/>
      <c r="BG53" s="724"/>
      <c r="BH53" s="724">
        <f t="shared" si="21"/>
        <v>6107.3725</v>
      </c>
      <c r="BI53" s="1166"/>
      <c r="BJ53" s="1166"/>
      <c r="BK53" s="724">
        <v>38533.5</v>
      </c>
      <c r="BL53" s="1167">
        <f t="shared" si="88"/>
        <v>305368.625</v>
      </c>
      <c r="BM53" s="724">
        <f t="shared" si="22"/>
        <v>53898.245</v>
      </c>
      <c r="BN53" s="724"/>
      <c r="BO53" s="724"/>
      <c r="BP53" s="724">
        <f t="shared" si="20"/>
        <v>251470.38</v>
      </c>
      <c r="BQ53" s="1174">
        <f t="shared" si="103"/>
        <v>3664423.5</v>
      </c>
      <c r="BR53" s="306">
        <f t="shared" ref="BR53" si="277">200000+(0.2*BQ53)</f>
        <v>932884.7</v>
      </c>
      <c r="BS53" s="307">
        <f t="shared" si="105"/>
        <v>0</v>
      </c>
      <c r="BT53" s="308">
        <f t="shared" ref="BT53" si="278">SUM(BR53:BS53)</f>
        <v>932884.7</v>
      </c>
      <c r="BU53" s="313">
        <f t="shared" ref="BU53" si="279">+BQ53-BT53</f>
        <v>2731538.8</v>
      </c>
      <c r="BV53" s="306"/>
      <c r="BW53" s="307">
        <f t="shared" ref="BW53" si="280">IF((BU53&gt;0),(IF((BU53&gt;300000),(300000*7%),(BU53*7%))),(BQ53*1%))</f>
        <v>21000</v>
      </c>
      <c r="BX53" s="307">
        <f t="shared" ref="BX53" si="281">IF((BU53-300000)&gt;0,(IF((BU53&gt;600000),(300000*11%),((BU53-300000)*11%))),(""))</f>
        <v>33000</v>
      </c>
      <c r="BY53" s="307">
        <f t="shared" ref="BY53" si="282">IF(((BU53-600000)&gt;0),(IF((BU53&gt;1100000),(500000*15%),((BU53-600000)*15%))),(""))</f>
        <v>75000</v>
      </c>
      <c r="BZ53" s="307">
        <f t="shared" ref="BZ53" si="283">IF(((BU53-(1100000))&gt;0),(IF((BU53&gt;(1600000)),((500000)*19%),((BU53-(1100000))*19%))),(""))</f>
        <v>95000</v>
      </c>
      <c r="CA53" s="307">
        <f t="shared" ref="CA53" si="284">IF(((BU53-(1600000))&gt;0),(IF((BU53&gt;(3200000)),((1600000)*21%),((BU53-(1600000))*21%))),(""))</f>
        <v>237623.148</v>
      </c>
      <c r="CB53" s="307" t="str">
        <f t="shared" ref="CB53" si="285">IF(((BU53-(3200000))&gt;0),(IF((BU53&gt;(3200000)),((BU53-(3200000))*24%),(0))),(""))</f>
        <v/>
      </c>
      <c r="CC53" s="305">
        <f t="shared" ref="CC53" si="286">SUM(BW53:CB53)</f>
        <v>461623.148</v>
      </c>
      <c r="CD53" s="320">
        <f t="shared" ref="CD53" si="287">1%*BQ53</f>
        <v>36644.235</v>
      </c>
      <c r="CE53" s="321">
        <f t="shared" ref="CE53" si="288">MAX(CC53:CD53)</f>
        <v>461623.148</v>
      </c>
      <c r="CF53" s="322">
        <f t="shared" ref="CF53" si="289">+CE53/12</f>
        <v>38468.5956666667</v>
      </c>
      <c r="CG53" s="323"/>
      <c r="CH53" s="324"/>
      <c r="CI53" s="325"/>
      <c r="CJ53" s="326"/>
      <c r="CK53" s="1188"/>
      <c r="CL53" s="335"/>
      <c r="CN53" s="1189"/>
    </row>
    <row r="54" s="245" customFormat="1" ht="125" customHeight="1" spans="1:92">
      <c r="A54" s="1122">
        <v>51</v>
      </c>
      <c r="B54" s="70" t="s">
        <v>262</v>
      </c>
      <c r="C54" s="1123" t="s">
        <v>177</v>
      </c>
      <c r="D54" s="1088" t="s">
        <v>138</v>
      </c>
      <c r="E54" s="1088" t="s">
        <v>263</v>
      </c>
      <c r="F54" s="1128" t="s">
        <v>127</v>
      </c>
      <c r="G54" s="783" t="s">
        <v>264</v>
      </c>
      <c r="H54" s="1125">
        <v>3950454</v>
      </c>
      <c r="I54" s="1125">
        <v>4327636</v>
      </c>
      <c r="J54" s="1125">
        <v>360636.333333333</v>
      </c>
      <c r="K54" s="1125">
        <v>90159.0833333333</v>
      </c>
      <c r="L54" s="1125">
        <v>30000</v>
      </c>
      <c r="M54" s="295">
        <v>496609.83</v>
      </c>
      <c r="N54" s="295">
        <f t="shared" ref="N54:N84" si="290">M54*0.35/3</f>
        <v>57937.8135</v>
      </c>
      <c r="O54" s="295">
        <v>5000</v>
      </c>
      <c r="P54" s="295">
        <f>P51</f>
        <v>41667</v>
      </c>
      <c r="Q54" s="295"/>
      <c r="R54" s="295">
        <v>2500</v>
      </c>
      <c r="S54" s="295"/>
      <c r="T54" s="295"/>
      <c r="U54" s="295"/>
      <c r="V54" s="295"/>
      <c r="W54" s="295"/>
      <c r="X54" s="295"/>
      <c r="Y54" s="295"/>
      <c r="Z54" s="295">
        <v>2500</v>
      </c>
      <c r="AA54" s="295">
        <v>30000</v>
      </c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1140"/>
      <c r="AM54" s="295">
        <f t="shared" si="146"/>
        <v>9932.1966</v>
      </c>
      <c r="AN54" s="295">
        <v>500</v>
      </c>
      <c r="AO54" s="295"/>
      <c r="AP54" s="295">
        <v>30000</v>
      </c>
      <c r="AQ54" s="1149"/>
      <c r="AR54" s="1149"/>
      <c r="AS54" s="1152"/>
      <c r="AT54" s="1149"/>
      <c r="AU54" s="1153"/>
      <c r="AV54" s="1151">
        <v>10000</v>
      </c>
      <c r="AW54" s="1151">
        <v>1000</v>
      </c>
      <c r="AX54" s="1151"/>
      <c r="AY54" s="1161"/>
      <c r="AZ54" s="1151"/>
      <c r="BA54" s="295">
        <v>40000</v>
      </c>
      <c r="BB54" s="295"/>
      <c r="BC54" s="295">
        <v>3750</v>
      </c>
      <c r="BD54" s="295">
        <v>7500</v>
      </c>
      <c r="BE54" s="724">
        <v>2000</v>
      </c>
      <c r="BF54" s="724"/>
      <c r="BG54" s="724"/>
      <c r="BH54" s="724">
        <f t="shared" si="21"/>
        <v>12724.29287</v>
      </c>
      <c r="BI54" s="1166"/>
      <c r="BJ54" s="1166"/>
      <c r="BK54" s="724">
        <v>100819.88</v>
      </c>
      <c r="BL54" s="1167">
        <f t="shared" si="88"/>
        <v>636214.6435</v>
      </c>
      <c r="BM54" s="724">
        <f t="shared" si="22"/>
        <v>218226.36947</v>
      </c>
      <c r="BN54" s="724"/>
      <c r="BO54" s="724"/>
      <c r="BP54" s="724">
        <f t="shared" si="20"/>
        <v>417988.27403</v>
      </c>
      <c r="BQ54" s="1174">
        <f t="shared" si="103"/>
        <v>7634575.722</v>
      </c>
      <c r="BR54" s="306">
        <f t="shared" si="185"/>
        <v>1726915.1444</v>
      </c>
      <c r="BS54" s="307">
        <f t="shared" si="105"/>
        <v>0</v>
      </c>
      <c r="BT54" s="308">
        <f t="shared" si="186"/>
        <v>1726915.1444</v>
      </c>
      <c r="BU54" s="313">
        <f t="shared" si="187"/>
        <v>5907660.5776</v>
      </c>
      <c r="BV54" s="306"/>
      <c r="BW54" s="307">
        <f t="shared" si="188"/>
        <v>21000</v>
      </c>
      <c r="BX54" s="307">
        <f t="shared" si="189"/>
        <v>33000</v>
      </c>
      <c r="BY54" s="307">
        <f t="shared" si="190"/>
        <v>75000</v>
      </c>
      <c r="BZ54" s="307">
        <f t="shared" si="191"/>
        <v>95000</v>
      </c>
      <c r="CA54" s="307">
        <f t="shared" si="192"/>
        <v>336000</v>
      </c>
      <c r="CB54" s="307">
        <f t="shared" si="193"/>
        <v>649838.538624</v>
      </c>
      <c r="CC54" s="305">
        <f t="shared" si="194"/>
        <v>1209838.538624</v>
      </c>
      <c r="CD54" s="320">
        <f t="shared" si="195"/>
        <v>76345.75722</v>
      </c>
      <c r="CE54" s="321">
        <f t="shared" si="196"/>
        <v>1209838.538624</v>
      </c>
      <c r="CF54" s="322">
        <f t="shared" si="83"/>
        <v>100819.878218667</v>
      </c>
      <c r="CG54" s="323"/>
      <c r="CH54" s="324"/>
      <c r="CI54" s="325"/>
      <c r="CJ54" s="326"/>
      <c r="CK54" s="1188"/>
      <c r="CL54" s="335"/>
      <c r="CN54" s="1189"/>
    </row>
    <row r="55" s="245" customFormat="1" ht="120" customHeight="1" spans="1:92">
      <c r="A55" s="1122">
        <v>52</v>
      </c>
      <c r="B55" s="70" t="s">
        <v>265</v>
      </c>
      <c r="C55" s="1123" t="s">
        <v>266</v>
      </c>
      <c r="D55" s="1088" t="s">
        <v>250</v>
      </c>
      <c r="E55" s="1088" t="s">
        <v>267</v>
      </c>
      <c r="F55" s="1128" t="s">
        <v>113</v>
      </c>
      <c r="G55" s="783">
        <v>2008477330</v>
      </c>
      <c r="H55" s="1125">
        <v>4432861</v>
      </c>
      <c r="I55" s="295">
        <v>5073220</v>
      </c>
      <c r="J55" s="295">
        <v>369405.08</v>
      </c>
      <c r="K55" s="295">
        <v>92351.27</v>
      </c>
      <c r="L55" s="295">
        <v>30000</v>
      </c>
      <c r="M55" s="295">
        <v>620624.58</v>
      </c>
      <c r="N55" s="295">
        <f t="shared" si="290"/>
        <v>72406.201</v>
      </c>
      <c r="O55" s="295">
        <v>8333.33</v>
      </c>
      <c r="P55" s="295">
        <v>41667</v>
      </c>
      <c r="Q55" s="295"/>
      <c r="R55" s="295">
        <v>2500</v>
      </c>
      <c r="S55" s="295"/>
      <c r="T55" s="295"/>
      <c r="U55" s="295"/>
      <c r="V55" s="295"/>
      <c r="W55" s="295"/>
      <c r="X55" s="295"/>
      <c r="Y55" s="295"/>
      <c r="Z55" s="295">
        <v>2500</v>
      </c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L55" s="1140"/>
      <c r="AM55" s="295">
        <f t="shared" si="146"/>
        <v>12412.4916</v>
      </c>
      <c r="AN55" s="295">
        <v>500</v>
      </c>
      <c r="AO55" s="295"/>
      <c r="AP55" s="295">
        <v>11000</v>
      </c>
      <c r="AQ55" s="1149"/>
      <c r="AR55" s="1149"/>
      <c r="AS55" s="1152"/>
      <c r="AT55" s="1149"/>
      <c r="AU55" s="1151"/>
      <c r="AV55" s="1151"/>
      <c r="AW55" s="1151">
        <v>1000</v>
      </c>
      <c r="AX55" s="1151"/>
      <c r="AY55" s="1161"/>
      <c r="AZ55" s="1151"/>
      <c r="BA55" s="295">
        <v>200303.363636364</v>
      </c>
      <c r="BB55" s="295"/>
      <c r="BC55" s="295"/>
      <c r="BD55" s="295"/>
      <c r="BE55" s="724">
        <v>2000</v>
      </c>
      <c r="BF55" s="724"/>
      <c r="BG55" s="724"/>
      <c r="BH55" s="724">
        <f t="shared" si="21"/>
        <v>14960.62222</v>
      </c>
      <c r="BI55" s="1166"/>
      <c r="BJ55" s="1166"/>
      <c r="BK55" s="724">
        <v>121648.64</v>
      </c>
      <c r="BL55" s="1167">
        <f t="shared" si="88"/>
        <v>748031.111</v>
      </c>
      <c r="BM55" s="724">
        <f t="shared" si="22"/>
        <v>363825.117456364</v>
      </c>
      <c r="BN55" s="724"/>
      <c r="BO55" s="724"/>
      <c r="BP55" s="724">
        <f t="shared" si="20"/>
        <v>384205.993543636</v>
      </c>
      <c r="BQ55" s="1174">
        <f t="shared" si="103"/>
        <v>8976373.332</v>
      </c>
      <c r="BR55" s="306">
        <f t="shared" si="185"/>
        <v>1995274.6664</v>
      </c>
      <c r="BS55" s="307">
        <f t="shared" si="105"/>
        <v>0</v>
      </c>
      <c r="BT55" s="308">
        <f t="shared" si="186"/>
        <v>1995274.6664</v>
      </c>
      <c r="BU55" s="313">
        <f t="shared" si="187"/>
        <v>6981098.6656</v>
      </c>
      <c r="BV55" s="306"/>
      <c r="BW55" s="307">
        <f t="shared" si="188"/>
        <v>21000</v>
      </c>
      <c r="BX55" s="307">
        <f t="shared" si="189"/>
        <v>33000</v>
      </c>
      <c r="BY55" s="307">
        <f t="shared" si="190"/>
        <v>75000</v>
      </c>
      <c r="BZ55" s="307">
        <f t="shared" si="191"/>
        <v>95000</v>
      </c>
      <c r="CA55" s="307">
        <f t="shared" si="192"/>
        <v>336000</v>
      </c>
      <c r="CB55" s="307">
        <f t="shared" si="193"/>
        <v>907463.679744</v>
      </c>
      <c r="CC55" s="305">
        <f t="shared" si="194"/>
        <v>1467463.679744</v>
      </c>
      <c r="CD55" s="320">
        <f t="shared" si="195"/>
        <v>89763.73332</v>
      </c>
      <c r="CE55" s="321">
        <f t="shared" si="196"/>
        <v>1467463.679744</v>
      </c>
      <c r="CF55" s="322">
        <f t="shared" si="83"/>
        <v>122288.639978667</v>
      </c>
      <c r="CG55" s="323"/>
      <c r="CH55" s="324"/>
      <c r="CI55" s="325"/>
      <c r="CJ55" s="326"/>
      <c r="CK55" s="1188"/>
      <c r="CL55" s="335"/>
      <c r="CN55" s="1193"/>
    </row>
    <row r="56" s="245" customFormat="1" ht="128" customHeight="1" spans="1:92">
      <c r="A56" s="1122">
        <v>53</v>
      </c>
      <c r="B56" s="70" t="s">
        <v>268</v>
      </c>
      <c r="C56" s="1123" t="s">
        <v>142</v>
      </c>
      <c r="D56" s="1088" t="s">
        <v>130</v>
      </c>
      <c r="E56" s="1088" t="s">
        <v>269</v>
      </c>
      <c r="F56" s="1124" t="s">
        <v>127</v>
      </c>
      <c r="G56" s="686" t="s">
        <v>270</v>
      </c>
      <c r="H56" s="1125">
        <v>2254203</v>
      </c>
      <c r="I56" s="295">
        <v>2688069</v>
      </c>
      <c r="J56" s="295">
        <v>224005.75</v>
      </c>
      <c r="K56" s="295">
        <v>56001.4375</v>
      </c>
      <c r="L56" s="295">
        <v>30000</v>
      </c>
      <c r="M56" s="295">
        <v>319130.33</v>
      </c>
      <c r="N56" s="295">
        <f t="shared" si="290"/>
        <v>37231.8718333333</v>
      </c>
      <c r="O56" s="295">
        <v>5000</v>
      </c>
      <c r="P56" s="295">
        <v>41667</v>
      </c>
      <c r="Q56" s="295"/>
      <c r="R56" s="295">
        <v>2500</v>
      </c>
      <c r="S56" s="295"/>
      <c r="T56" s="295"/>
      <c r="U56" s="295"/>
      <c r="V56" s="295"/>
      <c r="W56" s="295"/>
      <c r="X56" s="295"/>
      <c r="Y56" s="295"/>
      <c r="Z56" s="295">
        <v>2500</v>
      </c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1140"/>
      <c r="AM56" s="295">
        <f t="shared" si="146"/>
        <v>6382.6066</v>
      </c>
      <c r="AN56" s="295">
        <v>500</v>
      </c>
      <c r="AO56" s="295"/>
      <c r="AP56" s="295"/>
      <c r="AQ56" s="1149"/>
      <c r="AR56" s="1149"/>
      <c r="AS56" s="1150"/>
      <c r="AT56" s="1151"/>
      <c r="AU56" s="1149"/>
      <c r="AV56" s="1151"/>
      <c r="AW56" s="1151">
        <v>1000</v>
      </c>
      <c r="AX56" s="1151"/>
      <c r="AY56" s="1161"/>
      <c r="AZ56" s="1151"/>
      <c r="BA56" s="295">
        <v>0</v>
      </c>
      <c r="BB56" s="295"/>
      <c r="BC56" s="295"/>
      <c r="BD56" s="295"/>
      <c r="BE56" s="724">
        <v>1500</v>
      </c>
      <c r="BF56" s="724"/>
      <c r="BG56" s="724"/>
      <c r="BH56" s="724">
        <f t="shared" si="21"/>
        <v>8160.58403666667</v>
      </c>
      <c r="BI56" s="1166"/>
      <c r="BJ56" s="1166"/>
      <c r="BK56" s="724">
        <v>57008.27</v>
      </c>
      <c r="BL56" s="1167">
        <f t="shared" si="88"/>
        <v>408029.201833333</v>
      </c>
      <c r="BM56" s="724">
        <f t="shared" si="22"/>
        <v>74551.4606366667</v>
      </c>
      <c r="BN56" s="724"/>
      <c r="BO56" s="724"/>
      <c r="BP56" s="724">
        <f t="shared" si="20"/>
        <v>333477.741196667</v>
      </c>
      <c r="BQ56" s="1174">
        <f t="shared" si="103"/>
        <v>4896350.422</v>
      </c>
      <c r="BR56" s="306">
        <f t="shared" si="185"/>
        <v>1179270.0844</v>
      </c>
      <c r="BS56" s="307">
        <f t="shared" si="105"/>
        <v>0</v>
      </c>
      <c r="BT56" s="308">
        <f t="shared" si="186"/>
        <v>1179270.0844</v>
      </c>
      <c r="BU56" s="313">
        <f t="shared" si="187"/>
        <v>3717080.3376</v>
      </c>
      <c r="BV56" s="306"/>
      <c r="BW56" s="307">
        <f t="shared" si="188"/>
        <v>21000</v>
      </c>
      <c r="BX56" s="307">
        <f t="shared" si="189"/>
        <v>33000</v>
      </c>
      <c r="BY56" s="307">
        <f t="shared" si="190"/>
        <v>75000</v>
      </c>
      <c r="BZ56" s="307">
        <f t="shared" si="191"/>
        <v>95000</v>
      </c>
      <c r="CA56" s="307">
        <f t="shared" si="192"/>
        <v>336000</v>
      </c>
      <c r="CB56" s="307">
        <f t="shared" si="193"/>
        <v>124099.281024</v>
      </c>
      <c r="CC56" s="305">
        <f t="shared" si="194"/>
        <v>684099.281024</v>
      </c>
      <c r="CD56" s="320">
        <f t="shared" si="195"/>
        <v>48963.50422</v>
      </c>
      <c r="CE56" s="321">
        <f t="shared" si="196"/>
        <v>684099.281024</v>
      </c>
      <c r="CF56" s="322">
        <f t="shared" si="83"/>
        <v>57008.2734186667</v>
      </c>
      <c r="CG56" s="323"/>
      <c r="CH56" s="324"/>
      <c r="CI56" s="325"/>
      <c r="CJ56" s="326"/>
      <c r="CK56" s="1188"/>
      <c r="CL56" s="335"/>
      <c r="CN56" s="1193"/>
    </row>
    <row r="57" s="245" customFormat="1" ht="120" customHeight="1" spans="1:92">
      <c r="A57" s="1122">
        <v>54</v>
      </c>
      <c r="B57" s="70" t="s">
        <v>271</v>
      </c>
      <c r="C57" s="1123" t="s">
        <v>188</v>
      </c>
      <c r="D57" s="1088" t="s">
        <v>130</v>
      </c>
      <c r="E57" s="1088" t="s">
        <v>272</v>
      </c>
      <c r="F57" s="1124" t="s">
        <v>145</v>
      </c>
      <c r="G57" s="686" t="s">
        <v>273</v>
      </c>
      <c r="H57" s="1125">
        <f>M57*12</f>
        <v>3610607.04</v>
      </c>
      <c r="I57" s="295">
        <v>2688069</v>
      </c>
      <c r="J57" s="295">
        <v>224005.75</v>
      </c>
      <c r="K57" s="295">
        <v>56001.4375</v>
      </c>
      <c r="L57" s="295">
        <v>30000</v>
      </c>
      <c r="M57" s="295">
        <v>300883.92</v>
      </c>
      <c r="N57" s="295">
        <f t="shared" si="290"/>
        <v>35103.124</v>
      </c>
      <c r="O57" s="295">
        <v>5000</v>
      </c>
      <c r="P57" s="295"/>
      <c r="Q57" s="295"/>
      <c r="R57" s="295">
        <v>2500</v>
      </c>
      <c r="S57" s="295"/>
      <c r="T57" s="295"/>
      <c r="U57" s="295"/>
      <c r="V57" s="295"/>
      <c r="W57" s="295"/>
      <c r="X57" s="295"/>
      <c r="Y57" s="295"/>
      <c r="Z57" s="295">
        <v>2500</v>
      </c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1140"/>
      <c r="AM57" s="295">
        <f t="shared" si="146"/>
        <v>6017.6784</v>
      </c>
      <c r="AN57" s="295">
        <v>500</v>
      </c>
      <c r="AO57" s="295"/>
      <c r="AP57" s="295"/>
      <c r="AQ57" s="1149"/>
      <c r="AR57" s="1149"/>
      <c r="AS57" s="1152"/>
      <c r="AT57" s="1149"/>
      <c r="AU57" s="1149"/>
      <c r="AV57" s="1151"/>
      <c r="AW57" s="1151"/>
      <c r="AX57" s="1151">
        <v>1000</v>
      </c>
      <c r="AY57" s="1161"/>
      <c r="AZ57" s="1151"/>
      <c r="BA57" s="295">
        <v>75834</v>
      </c>
      <c r="BB57" s="295"/>
      <c r="BC57" s="295">
        <v>3750</v>
      </c>
      <c r="BD57" s="295">
        <v>7500</v>
      </c>
      <c r="BE57" s="724">
        <v>1500</v>
      </c>
      <c r="BF57" s="724"/>
      <c r="BG57" s="724"/>
      <c r="BH57" s="724">
        <f t="shared" si="21"/>
        <v>6919.74088</v>
      </c>
      <c r="BI57" s="1166"/>
      <c r="BJ57" s="1166"/>
      <c r="BK57" s="724">
        <v>45292.4900586667</v>
      </c>
      <c r="BL57" s="1167">
        <f t="shared" si="88"/>
        <v>345987.044</v>
      </c>
      <c r="BM57" s="724">
        <f t="shared" si="22"/>
        <v>148313.909338667</v>
      </c>
      <c r="BN57" s="724"/>
      <c r="BO57" s="724"/>
      <c r="BP57" s="724">
        <f t="shared" si="20"/>
        <v>197673.134661333</v>
      </c>
      <c r="BQ57" s="1174">
        <f t="shared" si="103"/>
        <v>4151844.528</v>
      </c>
      <c r="BR57" s="306">
        <f t="shared" si="185"/>
        <v>1030368.9056</v>
      </c>
      <c r="BS57" s="307">
        <f t="shared" si="105"/>
        <v>0</v>
      </c>
      <c r="BT57" s="308">
        <f t="shared" si="186"/>
        <v>1030368.9056</v>
      </c>
      <c r="BU57" s="313">
        <f t="shared" si="187"/>
        <v>3121475.6224</v>
      </c>
      <c r="BV57" s="306"/>
      <c r="BW57" s="307">
        <f t="shared" si="188"/>
        <v>21000</v>
      </c>
      <c r="BX57" s="307">
        <f t="shared" si="189"/>
        <v>33000</v>
      </c>
      <c r="BY57" s="307">
        <f t="shared" si="190"/>
        <v>75000</v>
      </c>
      <c r="BZ57" s="307">
        <f t="shared" si="191"/>
        <v>95000</v>
      </c>
      <c r="CA57" s="307">
        <f t="shared" si="192"/>
        <v>319509.880704</v>
      </c>
      <c r="CB57" s="307" t="str">
        <f t="shared" si="193"/>
        <v/>
      </c>
      <c r="CC57" s="305">
        <f t="shared" si="194"/>
        <v>543509.880704</v>
      </c>
      <c r="CD57" s="320">
        <f t="shared" si="195"/>
        <v>41518.44528</v>
      </c>
      <c r="CE57" s="321">
        <f t="shared" si="196"/>
        <v>543509.880704</v>
      </c>
      <c r="CF57" s="322">
        <f t="shared" si="83"/>
        <v>45292.4900586667</v>
      </c>
      <c r="CG57" s="323"/>
      <c r="CH57" s="324"/>
      <c r="CI57" s="325"/>
      <c r="CJ57" s="326"/>
      <c r="CK57" s="1188"/>
      <c r="CL57" s="335"/>
      <c r="CN57" s="1193"/>
    </row>
    <row r="58" s="245" customFormat="1" ht="131" customHeight="1" spans="1:92">
      <c r="A58" s="1122">
        <v>55</v>
      </c>
      <c r="B58" s="70" t="s">
        <v>274</v>
      </c>
      <c r="C58" s="1123" t="s">
        <v>275</v>
      </c>
      <c r="D58" s="1088" t="s">
        <v>120</v>
      </c>
      <c r="E58" s="1088" t="s">
        <v>276</v>
      </c>
      <c r="F58" s="1124" t="s">
        <v>127</v>
      </c>
      <c r="G58" s="686" t="s">
        <v>277</v>
      </c>
      <c r="H58" s="1125">
        <f>H80</f>
        <v>2600486</v>
      </c>
      <c r="I58" s="295">
        <v>2688069</v>
      </c>
      <c r="J58" s="295">
        <v>224005.75</v>
      </c>
      <c r="K58" s="295">
        <v>56001.4375</v>
      </c>
      <c r="L58" s="295">
        <v>30000</v>
      </c>
      <c r="M58" s="295">
        <v>413255.25</v>
      </c>
      <c r="N58" s="295">
        <f t="shared" si="290"/>
        <v>48213.1125</v>
      </c>
      <c r="O58" s="295">
        <v>5000</v>
      </c>
      <c r="P58" s="295"/>
      <c r="Q58" s="295"/>
      <c r="R58" s="295">
        <v>2500</v>
      </c>
      <c r="S58" s="295"/>
      <c r="T58" s="295"/>
      <c r="U58" s="295"/>
      <c r="V58" s="295"/>
      <c r="W58" s="295"/>
      <c r="X58" s="295"/>
      <c r="Y58" s="295"/>
      <c r="Z58" s="295">
        <v>2500</v>
      </c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1140"/>
      <c r="AM58" s="295">
        <f t="shared" si="146"/>
        <v>8265.105</v>
      </c>
      <c r="AN58" s="295">
        <v>500</v>
      </c>
      <c r="AO58" s="295"/>
      <c r="AP58" s="295"/>
      <c r="AQ58" s="1149"/>
      <c r="AR58" s="1149"/>
      <c r="AS58" s="1152"/>
      <c r="AT58" s="1149"/>
      <c r="AU58" s="1149"/>
      <c r="AV58" s="1151"/>
      <c r="AW58" s="1151"/>
      <c r="AX58" s="1151">
        <v>1000</v>
      </c>
      <c r="AY58" s="1161">
        <v>2000</v>
      </c>
      <c r="AZ58" s="1151"/>
      <c r="BA58" s="295">
        <v>350000</v>
      </c>
      <c r="BB58" s="295"/>
      <c r="BC58" s="295">
        <v>5000</v>
      </c>
      <c r="BD58" s="295">
        <v>10000</v>
      </c>
      <c r="BE58" s="724">
        <v>1500</v>
      </c>
      <c r="BF58" s="724"/>
      <c r="BG58" s="724"/>
      <c r="BH58" s="724">
        <f t="shared" si="21"/>
        <v>9429.36725</v>
      </c>
      <c r="BI58" s="1166"/>
      <c r="BJ58" s="1166"/>
      <c r="BK58" s="724">
        <v>69198.59</v>
      </c>
      <c r="BL58" s="1167">
        <f t="shared" si="88"/>
        <v>471468.3625</v>
      </c>
      <c r="BM58" s="724">
        <f t="shared" si="22"/>
        <v>456893.06225</v>
      </c>
      <c r="BN58" s="724"/>
      <c r="BO58" s="724"/>
      <c r="BP58" s="724">
        <f t="shared" si="20"/>
        <v>14575.30025</v>
      </c>
      <c r="BQ58" s="1174">
        <f t="shared" si="103"/>
        <v>5657620.35</v>
      </c>
      <c r="BR58" s="306">
        <f t="shared" si="185"/>
        <v>1331524.07</v>
      </c>
      <c r="BS58" s="307">
        <f t="shared" si="105"/>
        <v>0</v>
      </c>
      <c r="BT58" s="308">
        <f t="shared" si="186"/>
        <v>1331524.07</v>
      </c>
      <c r="BU58" s="313">
        <f t="shared" si="187"/>
        <v>4326096.28</v>
      </c>
      <c r="BV58" s="306"/>
      <c r="BW58" s="307">
        <f t="shared" si="188"/>
        <v>21000</v>
      </c>
      <c r="BX58" s="307">
        <f t="shared" si="189"/>
        <v>33000</v>
      </c>
      <c r="BY58" s="307">
        <f t="shared" si="190"/>
        <v>75000</v>
      </c>
      <c r="BZ58" s="307">
        <f t="shared" si="191"/>
        <v>95000</v>
      </c>
      <c r="CA58" s="307">
        <f t="shared" si="192"/>
        <v>336000</v>
      </c>
      <c r="CB58" s="307">
        <f t="shared" si="193"/>
        <v>270263.1072</v>
      </c>
      <c r="CC58" s="305">
        <f t="shared" si="194"/>
        <v>830263.1072</v>
      </c>
      <c r="CD58" s="320">
        <f t="shared" si="195"/>
        <v>56576.2035</v>
      </c>
      <c r="CE58" s="321">
        <f t="shared" si="196"/>
        <v>830263.1072</v>
      </c>
      <c r="CF58" s="322">
        <f t="shared" si="83"/>
        <v>69188.5922666667</v>
      </c>
      <c r="CG58" s="323"/>
      <c r="CH58" s="324"/>
      <c r="CI58" s="325"/>
      <c r="CJ58" s="326"/>
      <c r="CK58" s="1188"/>
      <c r="CL58" s="335"/>
      <c r="CN58" s="1193"/>
    </row>
    <row r="59" s="245" customFormat="1" ht="126" customHeight="1" spans="1:92">
      <c r="A59" s="1122">
        <v>56</v>
      </c>
      <c r="B59" s="70" t="s">
        <v>278</v>
      </c>
      <c r="C59" s="1123" t="s">
        <v>249</v>
      </c>
      <c r="D59" s="1088" t="s">
        <v>279</v>
      </c>
      <c r="E59" s="1088" t="s">
        <v>280</v>
      </c>
      <c r="F59" s="1124" t="s">
        <v>127</v>
      </c>
      <c r="G59" s="686" t="s">
        <v>281</v>
      </c>
      <c r="H59" s="1125">
        <v>2048214</v>
      </c>
      <c r="I59" s="295">
        <v>2144788</v>
      </c>
      <c r="J59" s="295">
        <v>174173.416666667</v>
      </c>
      <c r="K59" s="295">
        <v>43543.3541666667</v>
      </c>
      <c r="L59" s="295">
        <v>30000</v>
      </c>
      <c r="M59" s="295">
        <v>253415.5</v>
      </c>
      <c r="N59" s="295">
        <f t="shared" si="290"/>
        <v>29565.1416666667</v>
      </c>
      <c r="O59" s="295">
        <v>5000</v>
      </c>
      <c r="P59" s="295"/>
      <c r="Q59" s="295"/>
      <c r="R59" s="295">
        <v>2500</v>
      </c>
      <c r="S59" s="295"/>
      <c r="T59" s="295"/>
      <c r="U59" s="295"/>
      <c r="V59" s="295"/>
      <c r="W59" s="295"/>
      <c r="X59" s="295"/>
      <c r="Y59" s="295"/>
      <c r="Z59" s="295">
        <v>2500</v>
      </c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1140"/>
      <c r="AM59" s="295">
        <f t="shared" si="146"/>
        <v>5068.31</v>
      </c>
      <c r="AN59" s="295">
        <v>500</v>
      </c>
      <c r="AO59" s="295"/>
      <c r="AP59" s="295"/>
      <c r="AQ59" s="1149"/>
      <c r="AR59" s="1149"/>
      <c r="AS59" s="1152"/>
      <c r="AT59" s="1149"/>
      <c r="AU59" s="1153"/>
      <c r="AV59" s="1151"/>
      <c r="AW59" s="1149"/>
      <c r="AX59" s="1149"/>
      <c r="AY59" s="1161"/>
      <c r="AZ59" s="1149"/>
      <c r="BA59" s="295">
        <v>30834</v>
      </c>
      <c r="BB59" s="295"/>
      <c r="BC59" s="295"/>
      <c r="BD59" s="295"/>
      <c r="BE59" s="724">
        <v>1000</v>
      </c>
      <c r="BF59" s="724"/>
      <c r="BG59" s="724"/>
      <c r="BH59" s="724">
        <f t="shared" si="21"/>
        <v>5859.61283333333</v>
      </c>
      <c r="BI59" s="1166"/>
      <c r="BJ59" s="1166"/>
      <c r="BK59" s="724">
        <v>36387.41</v>
      </c>
      <c r="BL59" s="1167">
        <f t="shared" si="88"/>
        <v>292980.641666667</v>
      </c>
      <c r="BM59" s="724">
        <f t="shared" si="22"/>
        <v>79649.3328333333</v>
      </c>
      <c r="BN59" s="724"/>
      <c r="BO59" s="724"/>
      <c r="BP59" s="724">
        <f t="shared" si="20"/>
        <v>213331.308833333</v>
      </c>
      <c r="BQ59" s="1174">
        <f t="shared" si="103"/>
        <v>3515767.7</v>
      </c>
      <c r="BR59" s="306">
        <f t="shared" si="185"/>
        <v>903153.54</v>
      </c>
      <c r="BS59" s="307">
        <f t="shared" si="105"/>
        <v>0</v>
      </c>
      <c r="BT59" s="308">
        <f t="shared" si="186"/>
        <v>903153.54</v>
      </c>
      <c r="BU59" s="313">
        <f t="shared" si="187"/>
        <v>2612614.16</v>
      </c>
      <c r="BV59" s="306"/>
      <c r="BW59" s="307">
        <f t="shared" si="188"/>
        <v>21000</v>
      </c>
      <c r="BX59" s="307">
        <f t="shared" si="189"/>
        <v>33000</v>
      </c>
      <c r="BY59" s="307">
        <f t="shared" si="190"/>
        <v>75000</v>
      </c>
      <c r="BZ59" s="307">
        <f t="shared" si="191"/>
        <v>95000</v>
      </c>
      <c r="CA59" s="307">
        <f t="shared" si="192"/>
        <v>212648.9736</v>
      </c>
      <c r="CB59" s="307" t="str">
        <f t="shared" si="193"/>
        <v/>
      </c>
      <c r="CC59" s="305">
        <f t="shared" si="194"/>
        <v>436648.9736</v>
      </c>
      <c r="CD59" s="320">
        <f t="shared" si="195"/>
        <v>35157.677</v>
      </c>
      <c r="CE59" s="321">
        <f t="shared" si="196"/>
        <v>436648.9736</v>
      </c>
      <c r="CF59" s="322">
        <f t="shared" si="83"/>
        <v>36387.4144666667</v>
      </c>
      <c r="CG59" s="323"/>
      <c r="CH59" s="324"/>
      <c r="CI59" s="325"/>
      <c r="CJ59" s="326"/>
      <c r="CK59" s="1188"/>
      <c r="CL59" s="335"/>
      <c r="CN59" s="1193"/>
    </row>
    <row r="60" s="245" customFormat="1" ht="129" customHeight="1" spans="1:92">
      <c r="A60" s="1122">
        <v>57</v>
      </c>
      <c r="B60" s="70" t="s">
        <v>282</v>
      </c>
      <c r="C60" s="1123" t="s">
        <v>283</v>
      </c>
      <c r="D60" s="1088" t="s">
        <v>130</v>
      </c>
      <c r="E60" s="1088" t="s">
        <v>269</v>
      </c>
      <c r="F60" s="1124" t="s">
        <v>259</v>
      </c>
      <c r="G60" s="681" t="s">
        <v>284</v>
      </c>
      <c r="H60" s="1125">
        <f>H58</f>
        <v>2600486</v>
      </c>
      <c r="I60" s="295">
        <v>2688069</v>
      </c>
      <c r="J60" s="295">
        <v>224005.75</v>
      </c>
      <c r="K60" s="295">
        <v>56001.4375</v>
      </c>
      <c r="L60" s="295">
        <v>30000</v>
      </c>
      <c r="M60" s="295">
        <v>319130.33</v>
      </c>
      <c r="N60" s="295">
        <f t="shared" si="290"/>
        <v>37231.8718333333</v>
      </c>
      <c r="O60" s="295">
        <v>5000</v>
      </c>
      <c r="P60" s="295">
        <f>P40</f>
        <v>20833.33</v>
      </c>
      <c r="Q60" s="295"/>
      <c r="R60" s="295">
        <v>2500</v>
      </c>
      <c r="S60" s="295"/>
      <c r="T60" s="1136"/>
      <c r="U60" s="295"/>
      <c r="V60" s="295"/>
      <c r="W60" s="295"/>
      <c r="X60" s="295"/>
      <c r="Y60" s="1137"/>
      <c r="Z60" s="295">
        <v>2500</v>
      </c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1143"/>
      <c r="AM60" s="295">
        <f t="shared" si="146"/>
        <v>6382.6066</v>
      </c>
      <c r="AN60" s="295">
        <v>500</v>
      </c>
      <c r="AO60" s="295"/>
      <c r="AP60" s="295">
        <v>52250</v>
      </c>
      <c r="AQ60" s="1149"/>
      <c r="AR60" s="1149"/>
      <c r="AS60" s="1152"/>
      <c r="AT60" s="1149"/>
      <c r="AU60" s="1153"/>
      <c r="AV60" s="1151"/>
      <c r="AW60" s="1151">
        <v>1000</v>
      </c>
      <c r="AX60" s="1151"/>
      <c r="AY60" s="1161"/>
      <c r="AZ60" s="1151"/>
      <c r="BA60" s="295">
        <v>121875</v>
      </c>
      <c r="BB60" s="295"/>
      <c r="BC60" s="295">
        <v>3750</v>
      </c>
      <c r="BD60" s="295">
        <v>7500</v>
      </c>
      <c r="BE60" s="724">
        <v>1500</v>
      </c>
      <c r="BF60" s="724"/>
      <c r="BG60" s="724"/>
      <c r="BH60" s="724">
        <f t="shared" si="21"/>
        <v>7743.91063666667</v>
      </c>
      <c r="BI60" s="1166"/>
      <c r="BJ60" s="1166"/>
      <c r="BK60" s="724">
        <v>53008.21</v>
      </c>
      <c r="BL60" s="1167">
        <f t="shared" si="88"/>
        <v>387195.531833333</v>
      </c>
      <c r="BM60" s="724">
        <f t="shared" si="22"/>
        <v>255509.727236667</v>
      </c>
      <c r="BN60" s="724"/>
      <c r="BO60" s="724"/>
      <c r="BP60" s="724">
        <f t="shared" si="20"/>
        <v>131685.804596667</v>
      </c>
      <c r="BQ60" s="1174">
        <f t="shared" si="103"/>
        <v>4646346.382</v>
      </c>
      <c r="BR60" s="306">
        <f t="shared" si="185"/>
        <v>1129269.2764</v>
      </c>
      <c r="BS60" s="307">
        <f t="shared" si="105"/>
        <v>0</v>
      </c>
      <c r="BT60" s="308">
        <f t="shared" si="186"/>
        <v>1129269.2764</v>
      </c>
      <c r="BU60" s="313">
        <f t="shared" si="187"/>
        <v>3517077.1056</v>
      </c>
      <c r="BV60" s="306"/>
      <c r="BW60" s="307">
        <f t="shared" si="188"/>
        <v>21000</v>
      </c>
      <c r="BX60" s="307">
        <f t="shared" si="189"/>
        <v>33000</v>
      </c>
      <c r="BY60" s="307">
        <f t="shared" si="190"/>
        <v>75000</v>
      </c>
      <c r="BZ60" s="307">
        <f t="shared" si="191"/>
        <v>95000</v>
      </c>
      <c r="CA60" s="307">
        <f t="shared" si="192"/>
        <v>336000</v>
      </c>
      <c r="CB60" s="307">
        <f t="shared" si="193"/>
        <v>76098.5053440001</v>
      </c>
      <c r="CC60" s="305">
        <f t="shared" si="194"/>
        <v>636098.505344</v>
      </c>
      <c r="CD60" s="320">
        <f t="shared" si="195"/>
        <v>46463.46382</v>
      </c>
      <c r="CE60" s="321">
        <f t="shared" si="196"/>
        <v>636098.505344</v>
      </c>
      <c r="CF60" s="322">
        <f t="shared" ref="CF60:CF92" si="291">+CE60/12</f>
        <v>53008.2087786667</v>
      </c>
      <c r="CG60" s="323"/>
      <c r="CH60" s="324"/>
      <c r="CI60" s="325"/>
      <c r="CJ60" s="326"/>
      <c r="CK60" s="1188"/>
      <c r="CL60" s="335"/>
      <c r="CN60" s="1193"/>
    </row>
    <row r="61" s="245" customFormat="1" ht="132" customHeight="1" spans="1:92">
      <c r="A61" s="1122">
        <v>58</v>
      </c>
      <c r="B61" s="70" t="s">
        <v>285</v>
      </c>
      <c r="C61" s="1122" t="s">
        <v>160</v>
      </c>
      <c r="D61" s="1088" t="s">
        <v>286</v>
      </c>
      <c r="E61" s="1088" t="s">
        <v>287</v>
      </c>
      <c r="F61" s="1124" t="s">
        <v>135</v>
      </c>
      <c r="G61" s="686" t="s">
        <v>288</v>
      </c>
      <c r="H61" s="1125">
        <v>3125980</v>
      </c>
      <c r="I61" s="295">
        <v>3125980</v>
      </c>
      <c r="J61" s="295">
        <v>260498.333333333</v>
      </c>
      <c r="K61" s="295">
        <v>65124.5833333333</v>
      </c>
      <c r="L61" s="295">
        <v>30000</v>
      </c>
      <c r="M61" s="295">
        <v>465589.33</v>
      </c>
      <c r="N61" s="295">
        <f t="shared" si="290"/>
        <v>54318.7551666667</v>
      </c>
      <c r="O61" s="295">
        <v>5000</v>
      </c>
      <c r="P61" s="295">
        <v>20833.33</v>
      </c>
      <c r="Q61" s="295"/>
      <c r="R61" s="295">
        <v>2500</v>
      </c>
      <c r="S61" s="295"/>
      <c r="T61" s="295"/>
      <c r="U61" s="295"/>
      <c r="V61" s="295"/>
      <c r="W61" s="295"/>
      <c r="X61" s="295"/>
      <c r="Y61" s="295">
        <v>30000</v>
      </c>
      <c r="Z61" s="295">
        <v>2500</v>
      </c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1140"/>
      <c r="AM61" s="295">
        <f t="shared" si="146"/>
        <v>9311.7866</v>
      </c>
      <c r="AN61" s="295">
        <v>500</v>
      </c>
      <c r="AO61" s="295"/>
      <c r="AP61" s="295"/>
      <c r="AQ61" s="1149"/>
      <c r="AR61" s="1149"/>
      <c r="AS61" s="1152"/>
      <c r="AT61" s="1149"/>
      <c r="AU61" s="1154"/>
      <c r="AV61" s="1154"/>
      <c r="AW61" s="1151">
        <v>1000</v>
      </c>
      <c r="AX61" s="1151"/>
      <c r="AY61" s="1161"/>
      <c r="AZ61" s="1151"/>
      <c r="BA61" s="295">
        <v>12500</v>
      </c>
      <c r="BB61" s="295"/>
      <c r="BC61" s="295">
        <v>7500</v>
      </c>
      <c r="BD61" s="295">
        <v>15000</v>
      </c>
      <c r="BE61" s="724">
        <v>1500</v>
      </c>
      <c r="BF61" s="724"/>
      <c r="BG61" s="724"/>
      <c r="BH61" s="724">
        <v>10337.1690833333</v>
      </c>
      <c r="BI61" s="1166"/>
      <c r="BJ61" s="1166"/>
      <c r="BK61" s="724">
        <v>90169.0183786666</v>
      </c>
      <c r="BL61" s="1167">
        <f t="shared" si="88"/>
        <v>580741.415166667</v>
      </c>
      <c r="BM61" s="724">
        <f t="shared" si="22"/>
        <v>147817.974062</v>
      </c>
      <c r="BN61" s="724"/>
      <c r="BO61" s="724"/>
      <c r="BP61" s="724">
        <f t="shared" si="20"/>
        <v>432923.441104667</v>
      </c>
      <c r="BQ61" s="1174">
        <f t="shared" si="103"/>
        <v>6968896.982</v>
      </c>
      <c r="BR61" s="306">
        <f t="shared" si="185"/>
        <v>1593779.3964</v>
      </c>
      <c r="BS61" s="307">
        <f t="shared" si="105"/>
        <v>0</v>
      </c>
      <c r="BT61" s="308">
        <f t="shared" si="186"/>
        <v>1593779.3964</v>
      </c>
      <c r="BU61" s="313">
        <f t="shared" si="187"/>
        <v>5375117.5856</v>
      </c>
      <c r="BV61" s="306"/>
      <c r="BW61" s="307">
        <f t="shared" si="188"/>
        <v>21000</v>
      </c>
      <c r="BX61" s="307">
        <f t="shared" si="189"/>
        <v>33000</v>
      </c>
      <c r="BY61" s="307">
        <f t="shared" si="190"/>
        <v>75000</v>
      </c>
      <c r="BZ61" s="307">
        <f t="shared" si="191"/>
        <v>95000</v>
      </c>
      <c r="CA61" s="307">
        <f t="shared" si="192"/>
        <v>336000</v>
      </c>
      <c r="CB61" s="307">
        <f t="shared" si="193"/>
        <v>522028.220544</v>
      </c>
      <c r="CC61" s="305">
        <f t="shared" si="194"/>
        <v>1082028.220544</v>
      </c>
      <c r="CD61" s="320">
        <f t="shared" si="195"/>
        <v>69688.96982</v>
      </c>
      <c r="CE61" s="321">
        <f t="shared" si="196"/>
        <v>1082028.220544</v>
      </c>
      <c r="CF61" s="322">
        <f t="shared" si="291"/>
        <v>90169.0183786666</v>
      </c>
      <c r="CG61" s="323"/>
      <c r="CH61" s="324"/>
      <c r="CI61" s="325"/>
      <c r="CJ61" s="326"/>
      <c r="CK61" s="1188"/>
      <c r="CL61" s="335"/>
      <c r="CN61" s="1189"/>
    </row>
    <row r="62" s="245" customFormat="1" ht="123" customHeight="1" spans="1:92">
      <c r="A62" s="1122">
        <v>59</v>
      </c>
      <c r="B62" s="70" t="s">
        <v>289</v>
      </c>
      <c r="C62" s="1123" t="s">
        <v>95</v>
      </c>
      <c r="D62" s="1088" t="s">
        <v>130</v>
      </c>
      <c r="E62" s="1088" t="s">
        <v>269</v>
      </c>
      <c r="F62" s="1124" t="s">
        <v>113</v>
      </c>
      <c r="G62" s="686">
        <v>2022811512</v>
      </c>
      <c r="H62" s="1125">
        <v>2600486</v>
      </c>
      <c r="I62" s="295">
        <v>2688069</v>
      </c>
      <c r="J62" s="295">
        <v>224005.75</v>
      </c>
      <c r="K62" s="295">
        <v>56001.4375</v>
      </c>
      <c r="L62" s="295">
        <v>30000</v>
      </c>
      <c r="M62" s="295">
        <v>319130.33</v>
      </c>
      <c r="N62" s="295">
        <f t="shared" si="290"/>
        <v>37231.8718333333</v>
      </c>
      <c r="O62" s="295">
        <v>5000</v>
      </c>
      <c r="P62" s="295">
        <v>20833.33</v>
      </c>
      <c r="Q62" s="295"/>
      <c r="R62" s="295">
        <v>2500</v>
      </c>
      <c r="S62" s="295"/>
      <c r="T62" s="295"/>
      <c r="U62" s="295"/>
      <c r="V62" s="295"/>
      <c r="W62" s="295"/>
      <c r="X62" s="295"/>
      <c r="Y62" s="295"/>
      <c r="Z62" s="295">
        <v>2500</v>
      </c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1140"/>
      <c r="AM62" s="295">
        <f t="shared" si="146"/>
        <v>6382.6066</v>
      </c>
      <c r="AN62" s="295">
        <v>500</v>
      </c>
      <c r="AO62" s="295"/>
      <c r="AP62" s="295">
        <v>71667</v>
      </c>
      <c r="AQ62" s="1154">
        <v>1000</v>
      </c>
      <c r="AR62" s="1154"/>
      <c r="AS62" s="1155"/>
      <c r="AT62" s="1154"/>
      <c r="AU62" s="1154"/>
      <c r="AV62" s="1154"/>
      <c r="AW62" s="1154"/>
      <c r="AX62" s="1154"/>
      <c r="AY62" s="1130"/>
      <c r="AZ62" s="1154"/>
      <c r="BA62" s="295">
        <v>71667</v>
      </c>
      <c r="BB62" s="295"/>
      <c r="BC62" s="295"/>
      <c r="BD62" s="295"/>
      <c r="BE62" s="724">
        <v>1500</v>
      </c>
      <c r="BF62" s="724"/>
      <c r="BG62" s="724"/>
      <c r="BH62" s="724">
        <f t="shared" si="21"/>
        <v>7743.91063666667</v>
      </c>
      <c r="BI62" s="1166"/>
      <c r="BJ62" s="1166"/>
      <c r="BK62" s="724">
        <v>53008.21</v>
      </c>
      <c r="BL62" s="1167">
        <f t="shared" si="88"/>
        <v>387195.531833333</v>
      </c>
      <c r="BM62" s="724">
        <f t="shared" si="22"/>
        <v>213468.727236667</v>
      </c>
      <c r="BN62" s="724"/>
      <c r="BO62" s="724"/>
      <c r="BP62" s="724">
        <f t="shared" si="20"/>
        <v>173726.804596667</v>
      </c>
      <c r="BQ62" s="1174">
        <f t="shared" si="103"/>
        <v>4646346.382</v>
      </c>
      <c r="BR62" s="306">
        <f t="shared" si="185"/>
        <v>1129269.2764</v>
      </c>
      <c r="BS62" s="307">
        <f t="shared" si="105"/>
        <v>0</v>
      </c>
      <c r="BT62" s="308">
        <f t="shared" si="186"/>
        <v>1129269.2764</v>
      </c>
      <c r="BU62" s="313">
        <f t="shared" si="187"/>
        <v>3517077.1056</v>
      </c>
      <c r="BV62" s="306"/>
      <c r="BW62" s="307">
        <f t="shared" si="188"/>
        <v>21000</v>
      </c>
      <c r="BX62" s="307">
        <f t="shared" si="189"/>
        <v>33000</v>
      </c>
      <c r="BY62" s="307">
        <f t="shared" si="190"/>
        <v>75000</v>
      </c>
      <c r="BZ62" s="307">
        <f t="shared" si="191"/>
        <v>95000</v>
      </c>
      <c r="CA62" s="307">
        <f t="shared" si="192"/>
        <v>336000</v>
      </c>
      <c r="CB62" s="307">
        <f t="shared" si="193"/>
        <v>76098.5053440001</v>
      </c>
      <c r="CC62" s="305">
        <f t="shared" si="194"/>
        <v>636098.505344</v>
      </c>
      <c r="CD62" s="320">
        <f t="shared" si="195"/>
        <v>46463.46382</v>
      </c>
      <c r="CE62" s="321">
        <f t="shared" si="196"/>
        <v>636098.505344</v>
      </c>
      <c r="CF62" s="322">
        <f t="shared" si="291"/>
        <v>53008.2087786667</v>
      </c>
      <c r="CG62" s="323"/>
      <c r="CH62" s="324"/>
      <c r="CI62" s="325"/>
      <c r="CJ62" s="326"/>
      <c r="CK62" s="1188"/>
      <c r="CL62" s="335"/>
      <c r="CN62" s="1190"/>
    </row>
    <row r="63" s="245" customFormat="1" ht="127" customHeight="1" spans="1:92">
      <c r="A63" s="1122">
        <v>60</v>
      </c>
      <c r="B63" s="70" t="s">
        <v>290</v>
      </c>
      <c r="C63" s="1123" t="s">
        <v>167</v>
      </c>
      <c r="D63" s="1088" t="s">
        <v>143</v>
      </c>
      <c r="E63" s="1088" t="s">
        <v>291</v>
      </c>
      <c r="F63" s="1124" t="s">
        <v>145</v>
      </c>
      <c r="G63" s="686" t="s">
        <v>292</v>
      </c>
      <c r="H63" s="1125">
        <v>2254203</v>
      </c>
      <c r="I63" s="295">
        <v>2688069</v>
      </c>
      <c r="J63" s="295">
        <v>224005.75</v>
      </c>
      <c r="K63" s="295">
        <v>56001.4375</v>
      </c>
      <c r="L63" s="295">
        <v>30000</v>
      </c>
      <c r="M63" s="295">
        <v>387088.17</v>
      </c>
      <c r="N63" s="295">
        <f t="shared" si="290"/>
        <v>45160.2865</v>
      </c>
      <c r="O63" s="295">
        <v>5000</v>
      </c>
      <c r="P63" s="295"/>
      <c r="Q63" s="295"/>
      <c r="R63" s="295">
        <v>2500</v>
      </c>
      <c r="S63" s="295"/>
      <c r="T63" s="295"/>
      <c r="U63" s="295"/>
      <c r="V63" s="295"/>
      <c r="W63" s="295"/>
      <c r="X63" s="295"/>
      <c r="Y63" s="295"/>
      <c r="Z63" s="295">
        <v>2500</v>
      </c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1140"/>
      <c r="AM63" s="295">
        <f t="shared" si="146"/>
        <v>7741.7634</v>
      </c>
      <c r="AN63" s="295">
        <v>500</v>
      </c>
      <c r="AO63" s="295"/>
      <c r="AP63" s="295">
        <v>88334</v>
      </c>
      <c r="AQ63" s="1149"/>
      <c r="AR63" s="1149"/>
      <c r="AS63" s="1150"/>
      <c r="AT63" s="1151"/>
      <c r="AU63" s="1158"/>
      <c r="AV63" s="1151"/>
      <c r="AW63" s="1151">
        <v>1000</v>
      </c>
      <c r="AX63" s="1151"/>
      <c r="AY63" s="1161"/>
      <c r="AZ63" s="1151"/>
      <c r="BA63" s="295">
        <v>50000</v>
      </c>
      <c r="BB63" s="295"/>
      <c r="BC63" s="295">
        <v>3750</v>
      </c>
      <c r="BD63" s="295">
        <v>7500</v>
      </c>
      <c r="BE63" s="724">
        <v>1500</v>
      </c>
      <c r="BF63" s="724"/>
      <c r="BG63" s="724"/>
      <c r="BH63" s="724">
        <f t="shared" si="21"/>
        <v>8844.96913</v>
      </c>
      <c r="BI63" s="1166"/>
      <c r="BJ63" s="1166"/>
      <c r="BK63" s="724">
        <v>63578.37</v>
      </c>
      <c r="BL63" s="1167">
        <f t="shared" ref="BL63:BL94" si="292">M63+N63+O63+P63+R63+S63+T63+U63+V63+W63+Y63+Z63+AA63</f>
        <v>442248.4565</v>
      </c>
      <c r="BM63" s="724">
        <f t="shared" si="22"/>
        <v>232749.10253</v>
      </c>
      <c r="BN63" s="724"/>
      <c r="BO63" s="724"/>
      <c r="BP63" s="724">
        <f t="shared" si="20"/>
        <v>209499.35397</v>
      </c>
      <c r="BQ63" s="1174">
        <f t="shared" si="103"/>
        <v>5306981.478</v>
      </c>
      <c r="BR63" s="306">
        <f t="shared" si="185"/>
        <v>1261396.2956</v>
      </c>
      <c r="BS63" s="307">
        <f t="shared" si="105"/>
        <v>0</v>
      </c>
      <c r="BT63" s="308">
        <f t="shared" si="186"/>
        <v>1261396.2956</v>
      </c>
      <c r="BU63" s="313">
        <f t="shared" si="187"/>
        <v>4045585.1824</v>
      </c>
      <c r="BV63" s="306"/>
      <c r="BW63" s="307">
        <f t="shared" si="188"/>
        <v>21000</v>
      </c>
      <c r="BX63" s="307">
        <f t="shared" si="189"/>
        <v>33000</v>
      </c>
      <c r="BY63" s="307">
        <f t="shared" si="190"/>
        <v>75000</v>
      </c>
      <c r="BZ63" s="307">
        <f t="shared" si="191"/>
        <v>95000</v>
      </c>
      <c r="CA63" s="307">
        <f t="shared" si="192"/>
        <v>336000</v>
      </c>
      <c r="CB63" s="307">
        <f t="shared" si="193"/>
        <v>202940.443776</v>
      </c>
      <c r="CC63" s="305">
        <f t="shared" si="194"/>
        <v>762940.443776</v>
      </c>
      <c r="CD63" s="320">
        <f t="shared" si="195"/>
        <v>53069.81478</v>
      </c>
      <c r="CE63" s="321">
        <f t="shared" si="196"/>
        <v>762940.443776</v>
      </c>
      <c r="CF63" s="322">
        <f t="shared" si="291"/>
        <v>63578.3703146667</v>
      </c>
      <c r="CG63" s="323"/>
      <c r="CH63" s="324"/>
      <c r="CI63" s="325"/>
      <c r="CJ63" s="326"/>
      <c r="CK63" s="1188"/>
      <c r="CL63" s="335"/>
      <c r="CN63" s="1189"/>
    </row>
    <row r="64" s="1097" customFormat="1" ht="119" customHeight="1" spans="1:92">
      <c r="A64" s="1122">
        <v>61</v>
      </c>
      <c r="B64" s="70" t="s">
        <v>293</v>
      </c>
      <c r="C64" s="1123" t="s">
        <v>283</v>
      </c>
      <c r="D64" s="1088" t="s">
        <v>130</v>
      </c>
      <c r="E64" s="1088" t="s">
        <v>294</v>
      </c>
      <c r="F64" s="1124" t="s">
        <v>135</v>
      </c>
      <c r="G64" s="686" t="s">
        <v>295</v>
      </c>
      <c r="H64" s="1130">
        <v>2035373</v>
      </c>
      <c r="I64" s="1134">
        <v>2090081</v>
      </c>
      <c r="J64" s="1134">
        <v>174173.416666667</v>
      </c>
      <c r="K64" s="1134">
        <v>43543.3541666667</v>
      </c>
      <c r="L64" s="1134">
        <v>30000</v>
      </c>
      <c r="M64" s="1134">
        <v>282637.75</v>
      </c>
      <c r="N64" s="1134">
        <f t="shared" si="290"/>
        <v>32974.4041666667</v>
      </c>
      <c r="O64" s="1134">
        <v>5000</v>
      </c>
      <c r="P64" s="1134"/>
      <c r="Q64" s="1134"/>
      <c r="R64" s="1134">
        <v>2500</v>
      </c>
      <c r="S64" s="1134"/>
      <c r="T64" s="1134"/>
      <c r="U64" s="1134"/>
      <c r="V64" s="1134"/>
      <c r="W64" s="1134"/>
      <c r="X64" s="1134"/>
      <c r="Y64" s="1134"/>
      <c r="Z64" s="1134">
        <v>2500</v>
      </c>
      <c r="AA64" s="1134"/>
      <c r="AB64" s="1134"/>
      <c r="AC64" s="1134"/>
      <c r="AD64" s="1134"/>
      <c r="AE64" s="1134"/>
      <c r="AF64" s="1134"/>
      <c r="AG64" s="1134"/>
      <c r="AH64" s="1134"/>
      <c r="AI64" s="1134"/>
      <c r="AJ64" s="1134"/>
      <c r="AK64" s="1134"/>
      <c r="AL64" s="1142"/>
      <c r="AM64" s="1134">
        <f t="shared" si="146"/>
        <v>5652.755</v>
      </c>
      <c r="AN64" s="1134">
        <v>500</v>
      </c>
      <c r="AO64" s="1134"/>
      <c r="AP64" s="1134"/>
      <c r="AQ64" s="1159"/>
      <c r="AR64" s="1159"/>
      <c r="AS64" s="1160"/>
      <c r="AT64" s="1159"/>
      <c r="AU64" s="1159"/>
      <c r="AV64" s="1154"/>
      <c r="AW64" s="1154">
        <v>1000</v>
      </c>
      <c r="AX64" s="1154"/>
      <c r="AY64" s="1130"/>
      <c r="AZ64" s="1154"/>
      <c r="BA64" s="1134">
        <v>12500</v>
      </c>
      <c r="BB64" s="1134"/>
      <c r="BC64" s="1134"/>
      <c r="BD64" s="1134"/>
      <c r="BE64" s="895">
        <v>1500</v>
      </c>
      <c r="BF64" s="895"/>
      <c r="BG64" s="895"/>
      <c r="BH64" s="895">
        <f t="shared" si="21"/>
        <v>6512.24308333333</v>
      </c>
      <c r="BI64" s="1168"/>
      <c r="BJ64" s="1168"/>
      <c r="BK64" s="895">
        <v>41869.51</v>
      </c>
      <c r="BL64" s="1169">
        <f t="shared" si="292"/>
        <v>325612.154166667</v>
      </c>
      <c r="BM64" s="724">
        <f t="shared" si="22"/>
        <v>69534.5080833333</v>
      </c>
      <c r="BN64" s="895"/>
      <c r="BO64" s="895"/>
      <c r="BP64" s="724">
        <f t="shared" si="20"/>
        <v>256077.646083333</v>
      </c>
      <c r="BQ64" s="1175">
        <f t="shared" si="103"/>
        <v>3907345.85</v>
      </c>
      <c r="BR64" s="402">
        <f t="shared" si="185"/>
        <v>981469.17</v>
      </c>
      <c r="BS64" s="403">
        <f t="shared" si="105"/>
        <v>0</v>
      </c>
      <c r="BT64" s="404">
        <f t="shared" si="186"/>
        <v>981469.17</v>
      </c>
      <c r="BU64" s="410">
        <f t="shared" si="187"/>
        <v>2925876.68</v>
      </c>
      <c r="BV64" s="402"/>
      <c r="BW64" s="403">
        <f t="shared" si="188"/>
        <v>21000</v>
      </c>
      <c r="BX64" s="403">
        <f t="shared" si="189"/>
        <v>33000</v>
      </c>
      <c r="BY64" s="403">
        <f t="shared" si="190"/>
        <v>75000</v>
      </c>
      <c r="BZ64" s="403">
        <f t="shared" si="191"/>
        <v>95000</v>
      </c>
      <c r="CA64" s="403">
        <f t="shared" si="192"/>
        <v>278434.1028</v>
      </c>
      <c r="CB64" s="403" t="str">
        <f t="shared" si="193"/>
        <v/>
      </c>
      <c r="CC64" s="401">
        <f t="shared" si="194"/>
        <v>502434.1028</v>
      </c>
      <c r="CD64" s="419">
        <f t="shared" si="195"/>
        <v>39073.4585</v>
      </c>
      <c r="CE64" s="321">
        <f t="shared" si="196"/>
        <v>502434.1028</v>
      </c>
      <c r="CF64" s="322">
        <f t="shared" si="291"/>
        <v>41869.5085666667</v>
      </c>
      <c r="CG64" s="1182"/>
      <c r="CH64" s="1183"/>
      <c r="CI64" s="1184"/>
      <c r="CJ64" s="1185"/>
      <c r="CK64" s="1191"/>
      <c r="CL64" s="1192"/>
      <c r="CN64" s="1189"/>
    </row>
    <row r="65" s="245" customFormat="1" ht="133.5" customHeight="1" spans="1:92">
      <c r="A65" s="1122">
        <v>62</v>
      </c>
      <c r="B65" s="70" t="s">
        <v>296</v>
      </c>
      <c r="C65" s="1123" t="s">
        <v>95</v>
      </c>
      <c r="D65" s="1088" t="s">
        <v>130</v>
      </c>
      <c r="E65" s="1088" t="s">
        <v>297</v>
      </c>
      <c r="F65" s="1124" t="s">
        <v>127</v>
      </c>
      <c r="G65" s="686" t="s">
        <v>298</v>
      </c>
      <c r="H65" s="1125">
        <v>2254203</v>
      </c>
      <c r="I65" s="295">
        <v>2308911</v>
      </c>
      <c r="J65" s="295">
        <v>192409.25</v>
      </c>
      <c r="K65" s="295">
        <v>48102.3125</v>
      </c>
      <c r="L65" s="295">
        <v>30000</v>
      </c>
      <c r="M65" s="295">
        <v>310007.17</v>
      </c>
      <c r="N65" s="295">
        <f t="shared" si="290"/>
        <v>36167.5031666667</v>
      </c>
      <c r="O65" s="295">
        <v>5000</v>
      </c>
      <c r="P65" s="295"/>
      <c r="Q65" s="295"/>
      <c r="R65" s="295">
        <v>2500</v>
      </c>
      <c r="S65" s="295"/>
      <c r="T65" s="295"/>
      <c r="U65" s="295"/>
      <c r="V65" s="295"/>
      <c r="W65" s="295"/>
      <c r="X65" s="295"/>
      <c r="Y65" s="295"/>
      <c r="Z65" s="295">
        <v>2500</v>
      </c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1140"/>
      <c r="AM65" s="295">
        <f t="shared" si="146"/>
        <v>6200.1434</v>
      </c>
      <c r="AN65" s="295">
        <v>500</v>
      </c>
      <c r="AO65" s="295"/>
      <c r="AP65" s="295"/>
      <c r="AQ65" s="1151">
        <v>1000</v>
      </c>
      <c r="AR65" s="1151"/>
      <c r="AS65" s="1150"/>
      <c r="AT65" s="1151"/>
      <c r="AU65" s="1151"/>
      <c r="AV65" s="1151"/>
      <c r="AW65" s="1151"/>
      <c r="AX65" s="1151"/>
      <c r="AY65" s="1161">
        <v>2000</v>
      </c>
      <c r="AZ65" s="1151"/>
      <c r="BA65" s="295">
        <v>0</v>
      </c>
      <c r="BB65" s="295"/>
      <c r="BC65" s="295"/>
      <c r="BD65" s="295"/>
      <c r="BE65" s="724">
        <v>1500</v>
      </c>
      <c r="BF65" s="724"/>
      <c r="BG65" s="724"/>
      <c r="BH65" s="724">
        <f t="shared" si="21"/>
        <v>7123.49346333333</v>
      </c>
      <c r="BI65" s="1166"/>
      <c r="BJ65" s="1166"/>
      <c r="BK65" s="724">
        <v>47052.2</v>
      </c>
      <c r="BL65" s="1167">
        <f t="shared" si="292"/>
        <v>356174.673166667</v>
      </c>
      <c r="BM65" s="724">
        <f t="shared" si="22"/>
        <v>65375.8368633333</v>
      </c>
      <c r="BN65" s="724"/>
      <c r="BO65" s="724"/>
      <c r="BP65" s="724">
        <f t="shared" si="20"/>
        <v>290798.836303333</v>
      </c>
      <c r="BQ65" s="1174">
        <f t="shared" si="103"/>
        <v>4274096.078</v>
      </c>
      <c r="BR65" s="306">
        <f t="shared" si="185"/>
        <v>1054819.2156</v>
      </c>
      <c r="BS65" s="307">
        <f t="shared" si="105"/>
        <v>0</v>
      </c>
      <c r="BT65" s="308">
        <f t="shared" si="186"/>
        <v>1054819.2156</v>
      </c>
      <c r="BU65" s="313">
        <f t="shared" si="187"/>
        <v>3219276.8624</v>
      </c>
      <c r="BV65" s="306"/>
      <c r="BW65" s="307">
        <f t="shared" si="188"/>
        <v>21000</v>
      </c>
      <c r="BX65" s="307">
        <f t="shared" si="189"/>
        <v>33000</v>
      </c>
      <c r="BY65" s="307">
        <f t="shared" si="190"/>
        <v>75000</v>
      </c>
      <c r="BZ65" s="307">
        <f t="shared" si="191"/>
        <v>95000</v>
      </c>
      <c r="CA65" s="307">
        <f t="shared" si="192"/>
        <v>336000</v>
      </c>
      <c r="CB65" s="307">
        <f t="shared" si="193"/>
        <v>4626.446976</v>
      </c>
      <c r="CC65" s="305">
        <f t="shared" si="194"/>
        <v>564626.446976</v>
      </c>
      <c r="CD65" s="320">
        <f t="shared" si="195"/>
        <v>42740.96078</v>
      </c>
      <c r="CE65" s="321">
        <f t="shared" si="196"/>
        <v>564626.446976</v>
      </c>
      <c r="CF65" s="322">
        <f t="shared" si="291"/>
        <v>47052.2039146667</v>
      </c>
      <c r="CG65" s="323"/>
      <c r="CH65" s="324"/>
      <c r="CI65" s="325"/>
      <c r="CJ65" s="326"/>
      <c r="CK65" s="1188"/>
      <c r="CL65" s="335"/>
      <c r="CN65" s="1189"/>
    </row>
    <row r="66" s="245" customFormat="1" ht="119" customHeight="1" spans="1:92">
      <c r="A66" s="1122">
        <v>63</v>
      </c>
      <c r="B66" s="70" t="s">
        <v>299</v>
      </c>
      <c r="C66" s="1123" t="s">
        <v>188</v>
      </c>
      <c r="D66" s="1088" t="s">
        <v>130</v>
      </c>
      <c r="E66" s="1088" t="s">
        <v>297</v>
      </c>
      <c r="F66" s="1124" t="s">
        <v>93</v>
      </c>
      <c r="G66" s="686">
        <v>3050764643</v>
      </c>
      <c r="H66" s="1125">
        <v>2199106</v>
      </c>
      <c r="I66" s="295">
        <v>2254203</v>
      </c>
      <c r="J66" s="295">
        <v>187850.25</v>
      </c>
      <c r="K66" s="295">
        <v>46962.5625</v>
      </c>
      <c r="L66" s="295">
        <v>30000</v>
      </c>
      <c r="M66" s="295">
        <v>310007.17</v>
      </c>
      <c r="N66" s="295">
        <f t="shared" si="290"/>
        <v>36167.5031666667</v>
      </c>
      <c r="O66" s="295">
        <v>5000</v>
      </c>
      <c r="P66" s="295"/>
      <c r="Q66" s="295"/>
      <c r="R66" s="295">
        <v>2500</v>
      </c>
      <c r="S66" s="295"/>
      <c r="T66" s="295"/>
      <c r="U66" s="295"/>
      <c r="V66" s="295"/>
      <c r="W66" s="295"/>
      <c r="X66" s="295"/>
      <c r="Y66" s="295"/>
      <c r="Z66" s="295">
        <v>2500</v>
      </c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1140"/>
      <c r="AM66" s="295">
        <f t="shared" si="146"/>
        <v>6200.1434</v>
      </c>
      <c r="AN66" s="295">
        <v>500</v>
      </c>
      <c r="AO66" s="295"/>
      <c r="AP66" s="295"/>
      <c r="AQ66" s="1149"/>
      <c r="AR66" s="1149"/>
      <c r="AS66" s="1150"/>
      <c r="AT66" s="1151"/>
      <c r="AU66" s="1149"/>
      <c r="AV66" s="1151"/>
      <c r="AW66" s="1151"/>
      <c r="AX66" s="1151">
        <v>1000</v>
      </c>
      <c r="AY66" s="1161"/>
      <c r="AZ66" s="1151"/>
      <c r="BA66" s="295">
        <v>0</v>
      </c>
      <c r="BB66" s="295"/>
      <c r="BC66" s="295"/>
      <c r="BD66" s="295"/>
      <c r="BE66" s="724">
        <v>1500</v>
      </c>
      <c r="BF66" s="724"/>
      <c r="BG66" s="724"/>
      <c r="BH66" s="724">
        <f t="shared" ref="BH66:BH125" si="293">BL66*0.02</f>
        <v>7123.49346333333</v>
      </c>
      <c r="BI66" s="1166"/>
      <c r="BJ66" s="1166"/>
      <c r="BK66" s="724">
        <v>47052.2</v>
      </c>
      <c r="BL66" s="1167">
        <f t="shared" si="292"/>
        <v>356174.673166667</v>
      </c>
      <c r="BM66" s="724">
        <f t="shared" si="22"/>
        <v>63375.8368633333</v>
      </c>
      <c r="BN66" s="724"/>
      <c r="BO66" s="724"/>
      <c r="BP66" s="724">
        <f t="shared" si="20"/>
        <v>292798.836303333</v>
      </c>
      <c r="BQ66" s="1174">
        <f t="shared" si="103"/>
        <v>4274096.078</v>
      </c>
      <c r="BR66" s="306">
        <f t="shared" si="185"/>
        <v>1054819.2156</v>
      </c>
      <c r="BS66" s="307">
        <f t="shared" si="105"/>
        <v>0</v>
      </c>
      <c r="BT66" s="308">
        <f t="shared" si="186"/>
        <v>1054819.2156</v>
      </c>
      <c r="BU66" s="313">
        <f t="shared" si="187"/>
        <v>3219276.8624</v>
      </c>
      <c r="BV66" s="306"/>
      <c r="BW66" s="307">
        <f t="shared" si="188"/>
        <v>21000</v>
      </c>
      <c r="BX66" s="307">
        <f t="shared" si="189"/>
        <v>33000</v>
      </c>
      <c r="BY66" s="307">
        <f t="shared" si="190"/>
        <v>75000</v>
      </c>
      <c r="BZ66" s="307">
        <f t="shared" si="191"/>
        <v>95000</v>
      </c>
      <c r="CA66" s="307">
        <f t="shared" si="192"/>
        <v>336000</v>
      </c>
      <c r="CB66" s="307">
        <f t="shared" si="193"/>
        <v>4626.446976</v>
      </c>
      <c r="CC66" s="305">
        <f t="shared" si="194"/>
        <v>564626.446976</v>
      </c>
      <c r="CD66" s="320">
        <f t="shared" si="195"/>
        <v>42740.96078</v>
      </c>
      <c r="CE66" s="321">
        <f t="shared" si="196"/>
        <v>564626.446976</v>
      </c>
      <c r="CF66" s="322">
        <f t="shared" si="291"/>
        <v>47052.2039146667</v>
      </c>
      <c r="CG66" s="323"/>
      <c r="CH66" s="324"/>
      <c r="CI66" s="325"/>
      <c r="CJ66" s="326"/>
      <c r="CK66" s="1188"/>
      <c r="CL66" s="335"/>
      <c r="CN66" s="1189"/>
    </row>
    <row r="67" s="245" customFormat="1" ht="145" customHeight="1" spans="1:92">
      <c r="A67" s="1122">
        <v>64</v>
      </c>
      <c r="B67" s="70" t="s">
        <v>300</v>
      </c>
      <c r="C67" s="1123" t="s">
        <v>254</v>
      </c>
      <c r="D67" s="1088" t="s">
        <v>120</v>
      </c>
      <c r="E67" s="1088" t="s">
        <v>287</v>
      </c>
      <c r="F67" s="1124" t="s">
        <v>127</v>
      </c>
      <c r="G67" s="686" t="s">
        <v>301</v>
      </c>
      <c r="H67" s="1125">
        <v>3125980</v>
      </c>
      <c r="I67" s="295">
        <v>3125980</v>
      </c>
      <c r="J67" s="295">
        <v>260498.333333333</v>
      </c>
      <c r="K67" s="295">
        <v>65124.5833333333</v>
      </c>
      <c r="L67" s="295">
        <v>30000</v>
      </c>
      <c r="M67" s="295">
        <v>465589.33</v>
      </c>
      <c r="N67" s="295">
        <f t="shared" si="290"/>
        <v>54318.7551666667</v>
      </c>
      <c r="O67" s="295">
        <v>5000</v>
      </c>
      <c r="P67" s="295">
        <v>41667</v>
      </c>
      <c r="Q67" s="295"/>
      <c r="R67" s="295">
        <v>2500</v>
      </c>
      <c r="S67" s="295"/>
      <c r="T67" s="295"/>
      <c r="U67" s="295"/>
      <c r="V67" s="295"/>
      <c r="W67" s="295"/>
      <c r="X67" s="295"/>
      <c r="Y67" s="295"/>
      <c r="Z67" s="295">
        <v>2500</v>
      </c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1140"/>
      <c r="AM67" s="295">
        <f t="shared" si="146"/>
        <v>9311.7866</v>
      </c>
      <c r="AN67" s="295">
        <v>500</v>
      </c>
      <c r="AO67" s="295"/>
      <c r="AP67" s="295">
        <v>100000</v>
      </c>
      <c r="AQ67" s="1149"/>
      <c r="AR67" s="1149"/>
      <c r="AS67" s="1150">
        <v>1000</v>
      </c>
      <c r="AT67" s="1151"/>
      <c r="AU67" s="1149"/>
      <c r="AV67" s="1151"/>
      <c r="AW67" s="1149"/>
      <c r="AX67" s="1149"/>
      <c r="AY67" s="1161">
        <v>2000</v>
      </c>
      <c r="AZ67" s="1149"/>
      <c r="BA67" s="295">
        <v>70000</v>
      </c>
      <c r="BB67" s="295"/>
      <c r="BC67" s="295">
        <v>12500</v>
      </c>
      <c r="BD67" s="295">
        <v>25000</v>
      </c>
      <c r="BE67" s="724">
        <v>1500</v>
      </c>
      <c r="BF67" s="724"/>
      <c r="BG67" s="724"/>
      <c r="BH67" s="724">
        <f t="shared" si="293"/>
        <v>11431.5017033333</v>
      </c>
      <c r="BI67" s="1166"/>
      <c r="BJ67" s="1166"/>
      <c r="BK67" s="724">
        <v>88409.08</v>
      </c>
      <c r="BL67" s="1167">
        <f t="shared" si="292"/>
        <v>571575.085166667</v>
      </c>
      <c r="BM67" s="724">
        <f t="shared" si="22"/>
        <v>321652.368303333</v>
      </c>
      <c r="BN67" s="724"/>
      <c r="BO67" s="724"/>
      <c r="BP67" s="724">
        <f t="shared" si="20"/>
        <v>249922.716863333</v>
      </c>
      <c r="BQ67" s="1174">
        <f t="shared" si="103"/>
        <v>6858901.022</v>
      </c>
      <c r="BR67" s="306">
        <f t="shared" si="185"/>
        <v>1571780.2044</v>
      </c>
      <c r="BS67" s="307">
        <f t="shared" si="105"/>
        <v>0</v>
      </c>
      <c r="BT67" s="308">
        <f t="shared" si="186"/>
        <v>1571780.2044</v>
      </c>
      <c r="BU67" s="313">
        <f t="shared" si="187"/>
        <v>5287120.8176</v>
      </c>
      <c r="BV67" s="306"/>
      <c r="BW67" s="307">
        <f t="shared" si="188"/>
        <v>21000</v>
      </c>
      <c r="BX67" s="307">
        <f t="shared" si="189"/>
        <v>33000</v>
      </c>
      <c r="BY67" s="307">
        <f t="shared" si="190"/>
        <v>75000</v>
      </c>
      <c r="BZ67" s="307">
        <f t="shared" si="191"/>
        <v>95000</v>
      </c>
      <c r="CA67" s="307">
        <f t="shared" si="192"/>
        <v>336000</v>
      </c>
      <c r="CB67" s="307">
        <f t="shared" si="193"/>
        <v>500908.996224</v>
      </c>
      <c r="CC67" s="305">
        <f t="shared" si="194"/>
        <v>1060908.996224</v>
      </c>
      <c r="CD67" s="320">
        <f t="shared" si="195"/>
        <v>68589.01022</v>
      </c>
      <c r="CE67" s="321">
        <f t="shared" si="196"/>
        <v>1060908.996224</v>
      </c>
      <c r="CF67" s="322">
        <f t="shared" si="291"/>
        <v>88409.0830186667</v>
      </c>
      <c r="CG67" s="323"/>
      <c r="CH67" s="324"/>
      <c r="CI67" s="325"/>
      <c r="CJ67" s="326"/>
      <c r="CK67" s="1188"/>
      <c r="CL67" s="335"/>
      <c r="CN67" s="1190" t="s">
        <v>302</v>
      </c>
    </row>
    <row r="68" s="245" customFormat="1" ht="140" customHeight="1" spans="1:92">
      <c r="A68" s="1122">
        <v>65</v>
      </c>
      <c r="B68" s="70" t="s">
        <v>303</v>
      </c>
      <c r="C68" s="1123" t="s">
        <v>191</v>
      </c>
      <c r="D68" s="1088" t="s">
        <v>228</v>
      </c>
      <c r="E68" s="1088" t="s">
        <v>304</v>
      </c>
      <c r="F68" s="1124" t="s">
        <v>127</v>
      </c>
      <c r="G68" s="686" t="s">
        <v>305</v>
      </c>
      <c r="H68" s="1125"/>
      <c r="I68" s="1125"/>
      <c r="J68" s="1125">
        <v>555351.17</v>
      </c>
      <c r="K68" s="1125">
        <v>194372.9095</v>
      </c>
      <c r="L68" s="1125">
        <v>30000</v>
      </c>
      <c r="M68" s="295">
        <f t="shared" si="237"/>
        <v>779724.0795</v>
      </c>
      <c r="N68" s="295">
        <f t="shared" si="290"/>
        <v>90967.809275</v>
      </c>
      <c r="O68" s="295">
        <f>8333.33</f>
        <v>8333.33</v>
      </c>
      <c r="P68" s="295">
        <v>41667</v>
      </c>
      <c r="Q68" s="295"/>
      <c r="R68" s="295">
        <v>2500</v>
      </c>
      <c r="S68" s="295"/>
      <c r="T68" s="295"/>
      <c r="U68" s="295"/>
      <c r="V68" s="295"/>
      <c r="W68" s="295"/>
      <c r="X68" s="295"/>
      <c r="Y68" s="295"/>
      <c r="Z68" s="295">
        <v>2500</v>
      </c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1140"/>
      <c r="AM68" s="295">
        <f t="shared" ref="AM68:AM99" si="294">M68*0.02</f>
        <v>15594.48159</v>
      </c>
      <c r="AN68" s="295">
        <v>500</v>
      </c>
      <c r="AO68" s="295"/>
      <c r="AP68" s="295"/>
      <c r="AQ68" s="1149"/>
      <c r="AR68" s="1149"/>
      <c r="AS68" s="1150">
        <v>1000</v>
      </c>
      <c r="AT68" s="1209"/>
      <c r="AU68" s="299"/>
      <c r="AV68" s="1210"/>
      <c r="AW68" s="1149"/>
      <c r="AX68" s="1149"/>
      <c r="AY68" s="1161">
        <v>2000</v>
      </c>
      <c r="AZ68" s="1149"/>
      <c r="BA68" s="295">
        <v>10000</v>
      </c>
      <c r="BB68" s="295"/>
      <c r="BC68" s="295">
        <v>7500</v>
      </c>
      <c r="BD68" s="295">
        <v>15000</v>
      </c>
      <c r="BE68" s="724">
        <v>3500</v>
      </c>
      <c r="BF68" s="724"/>
      <c r="BG68" s="724"/>
      <c r="BH68" s="724">
        <f t="shared" si="293"/>
        <v>18513.8443755</v>
      </c>
      <c r="BI68" s="1166"/>
      <c r="BJ68" s="1166"/>
      <c r="BK68" s="724">
        <v>156399.572671467</v>
      </c>
      <c r="BL68" s="1167">
        <f t="shared" si="292"/>
        <v>925692.218775</v>
      </c>
      <c r="BM68" s="724">
        <f t="shared" si="22"/>
        <v>230007.898636967</v>
      </c>
      <c r="BN68" s="724"/>
      <c r="BO68" s="724"/>
      <c r="BP68" s="724">
        <f t="shared" si="20"/>
        <v>695684.320138033</v>
      </c>
      <c r="BQ68" s="1174">
        <f t="shared" si="103"/>
        <v>11108306.6253</v>
      </c>
      <c r="BR68" s="306">
        <f t="shared" ref="BR68" si="295">200000+(0.2*BQ68)</f>
        <v>2421661.32506</v>
      </c>
      <c r="BS68" s="307">
        <f t="shared" si="105"/>
        <v>0</v>
      </c>
      <c r="BT68" s="308">
        <f t="shared" ref="BT68" si="296">SUM(BR68:BS68)</f>
        <v>2421661.32506</v>
      </c>
      <c r="BU68" s="313">
        <f t="shared" ref="BU68" si="297">+BQ68-BT68</f>
        <v>8686645.30024</v>
      </c>
      <c r="BV68" s="306"/>
      <c r="BW68" s="307">
        <f t="shared" ref="BW68" si="298">IF((BU68&gt;0),(IF((BU68&gt;300000),(300000*7%),(BU68*7%))),(BQ68*1%))</f>
        <v>21000</v>
      </c>
      <c r="BX68" s="307">
        <f t="shared" ref="BX68" si="299">IF((BU68-300000)&gt;0,(IF((BU68&gt;600000),(300000*11%),((BU68-300000)*11%))),(""))</f>
        <v>33000</v>
      </c>
      <c r="BY68" s="307">
        <f t="shared" ref="BY68" si="300">IF(((BU68-600000)&gt;0),(IF((BU68&gt;1100000),(500000*15%),((BU68-600000)*15%))),(""))</f>
        <v>75000</v>
      </c>
      <c r="BZ68" s="307">
        <f t="shared" ref="BZ68" si="301">IF(((BU68-(1100000))&gt;0),(IF((BU68&gt;(1600000)),((500000)*19%),((BU68-(1100000))*19%))),(""))</f>
        <v>95000</v>
      </c>
      <c r="CA68" s="307">
        <f t="shared" ref="CA68" si="302">IF(((BU68-(1600000))&gt;0),(IF((BU68&gt;(3200000)),((1600000)*21%),((BU68-(1600000))*21%))),(""))</f>
        <v>336000</v>
      </c>
      <c r="CB68" s="307">
        <f t="shared" ref="CB68" si="303">IF(((BU68-(3200000))&gt;0),(IF((BU68&gt;(3200000)),((BU68-(3200000))*24%),(0))),(""))</f>
        <v>1316794.8720576</v>
      </c>
      <c r="CC68" s="305">
        <f t="shared" ref="CC68" si="304">SUM(BW68:CB68)</f>
        <v>1876794.8720576</v>
      </c>
      <c r="CD68" s="320">
        <f t="shared" ref="CD68" si="305">1%*BQ68</f>
        <v>111083.066253</v>
      </c>
      <c r="CE68" s="321">
        <f t="shared" ref="CE68" si="306">MAX(CC68:CD68)</f>
        <v>1876794.8720576</v>
      </c>
      <c r="CF68" s="322">
        <f t="shared" ref="CF68" si="307">+CE68/12</f>
        <v>156399.572671467</v>
      </c>
      <c r="CG68" s="323"/>
      <c r="CH68" s="324"/>
      <c r="CI68" s="325"/>
      <c r="CJ68" s="326"/>
      <c r="CK68" s="1188"/>
      <c r="CL68" s="335"/>
      <c r="CN68" s="1189"/>
    </row>
    <row r="69" s="245" customFormat="1" ht="129" customHeight="1" spans="1:92">
      <c r="A69" s="1122">
        <v>66</v>
      </c>
      <c r="B69" s="70" t="s">
        <v>306</v>
      </c>
      <c r="C69" s="1088" t="s">
        <v>307</v>
      </c>
      <c r="D69" s="1088" t="s">
        <v>307</v>
      </c>
      <c r="E69" s="1088" t="s">
        <v>308</v>
      </c>
      <c r="F69" s="1124" t="s">
        <v>127</v>
      </c>
      <c r="G69" s="686" t="s">
        <v>309</v>
      </c>
      <c r="H69" s="1125"/>
      <c r="I69" s="1125"/>
      <c r="J69" s="1125"/>
      <c r="K69" s="1125"/>
      <c r="L69" s="1125"/>
      <c r="M69" s="295">
        <v>1000000</v>
      </c>
      <c r="N69" s="295">
        <f>M69*0.35</f>
        <v>350000</v>
      </c>
      <c r="O69" s="295"/>
      <c r="P69" s="295"/>
      <c r="Q69" s="295"/>
      <c r="R69" s="295">
        <v>2500</v>
      </c>
      <c r="S69" s="295"/>
      <c r="T69" s="295"/>
      <c r="U69" s="295">
        <v>250000</v>
      </c>
      <c r="V69" s="295"/>
      <c r="W69" s="295"/>
      <c r="X69" s="295"/>
      <c r="Y69" s="295"/>
      <c r="Z69" s="295">
        <v>2500</v>
      </c>
      <c r="AA69" s="295">
        <v>62500</v>
      </c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1140"/>
      <c r="AM69" s="295">
        <f t="shared" si="294"/>
        <v>20000</v>
      </c>
      <c r="AN69" s="295">
        <v>500</v>
      </c>
      <c r="AO69" s="295"/>
      <c r="AP69" s="295"/>
      <c r="AQ69" s="1149"/>
      <c r="AR69" s="1149"/>
      <c r="AS69" s="1150"/>
      <c r="AT69" s="1151"/>
      <c r="AU69" s="1151"/>
      <c r="AV69" s="1151">
        <v>5000</v>
      </c>
      <c r="AW69" s="1149"/>
      <c r="AX69" s="1149"/>
      <c r="AY69" s="1161"/>
      <c r="AZ69" s="1149"/>
      <c r="BA69" s="295">
        <v>100000</v>
      </c>
      <c r="BB69" s="295"/>
      <c r="BC69" s="295">
        <f>M69*0.04</f>
        <v>40000</v>
      </c>
      <c r="BD69" s="295"/>
      <c r="BE69" s="724">
        <v>3500</v>
      </c>
      <c r="BF69" s="724"/>
      <c r="BG69" s="724"/>
      <c r="BH69" s="724">
        <f t="shared" si="293"/>
        <v>33350</v>
      </c>
      <c r="BI69" s="1166"/>
      <c r="BJ69" s="1166"/>
      <c r="BK69" s="724">
        <f>'[2]TEACHING STAFF'!$BA$74</f>
        <v>298420.27</v>
      </c>
      <c r="BL69" s="1167">
        <f t="shared" si="292"/>
        <v>1667500</v>
      </c>
      <c r="BM69" s="724">
        <f t="shared" si="22"/>
        <v>500770.27</v>
      </c>
      <c r="BN69" s="724"/>
      <c r="BO69" s="724"/>
      <c r="BP69" s="724">
        <f t="shared" si="20"/>
        <v>1166729.73</v>
      </c>
      <c r="BQ69" s="1174"/>
      <c r="BR69" s="306"/>
      <c r="BS69" s="307"/>
      <c r="BT69" s="308"/>
      <c r="BU69" s="313"/>
      <c r="BV69" s="306"/>
      <c r="BW69" s="307"/>
      <c r="BX69" s="307"/>
      <c r="BY69" s="307"/>
      <c r="BZ69" s="307"/>
      <c r="CA69" s="307"/>
      <c r="CB69" s="307"/>
      <c r="CC69" s="305"/>
      <c r="CD69" s="320"/>
      <c r="CE69" s="321"/>
      <c r="CF69" s="322"/>
      <c r="CG69" s="323"/>
      <c r="CH69" s="324"/>
      <c r="CI69" s="325"/>
      <c r="CJ69" s="326"/>
      <c r="CK69" s="1188"/>
      <c r="CL69" s="335"/>
      <c r="CN69" s="1189"/>
    </row>
    <row r="70" s="245" customFormat="1" ht="118" customHeight="1" spans="1:92">
      <c r="A70" s="1122">
        <v>67</v>
      </c>
      <c r="B70" s="70" t="s">
        <v>310</v>
      </c>
      <c r="C70" s="1123" t="s">
        <v>227</v>
      </c>
      <c r="D70" s="1088" t="s">
        <v>130</v>
      </c>
      <c r="E70" s="1088" t="s">
        <v>272</v>
      </c>
      <c r="F70" s="1124" t="s">
        <v>127</v>
      </c>
      <c r="G70" s="686" t="s">
        <v>311</v>
      </c>
      <c r="H70" s="1125">
        <v>2425322</v>
      </c>
      <c r="I70" s="1125">
        <v>2512904</v>
      </c>
      <c r="J70" s="1125">
        <v>209408.666666667</v>
      </c>
      <c r="K70" s="1125">
        <v>52352.1666666667</v>
      </c>
      <c r="L70" s="1125">
        <v>30000</v>
      </c>
      <c r="M70" s="295">
        <v>300883.92</v>
      </c>
      <c r="N70" s="295">
        <f>M70*0.35/3</f>
        <v>35103.124</v>
      </c>
      <c r="O70" s="295">
        <v>5000</v>
      </c>
      <c r="P70" s="295"/>
      <c r="Q70" s="295"/>
      <c r="R70" s="295">
        <v>2500</v>
      </c>
      <c r="S70" s="295">
        <v>145880.41</v>
      </c>
      <c r="T70" s="295"/>
      <c r="U70" s="295"/>
      <c r="V70" s="295"/>
      <c r="W70" s="295"/>
      <c r="X70" s="295"/>
      <c r="Y70" s="295"/>
      <c r="Z70" s="295">
        <v>2500</v>
      </c>
      <c r="AA70" s="295"/>
      <c r="AB70" s="295"/>
      <c r="AC70" s="295"/>
      <c r="AD70" s="295"/>
      <c r="AE70" s="295"/>
      <c r="AF70" s="295"/>
      <c r="AG70" s="295"/>
      <c r="AH70" s="295"/>
      <c r="AI70" s="295">
        <v>25000</v>
      </c>
      <c r="AJ70" s="295"/>
      <c r="AK70" s="295"/>
      <c r="AL70" s="1140"/>
      <c r="AM70" s="295">
        <f t="shared" si="294"/>
        <v>6017.6784</v>
      </c>
      <c r="AN70" s="295">
        <v>500</v>
      </c>
      <c r="AO70" s="295"/>
      <c r="AP70" s="295"/>
      <c r="AQ70" s="1149"/>
      <c r="AR70" s="1149"/>
      <c r="AS70" s="1152"/>
      <c r="AT70" s="1149"/>
      <c r="AU70" s="1149"/>
      <c r="AV70" s="1151">
        <v>5000</v>
      </c>
      <c r="AW70" s="1149"/>
      <c r="AX70" s="1149"/>
      <c r="AY70" s="1153"/>
      <c r="BA70" s="295">
        <v>76848.955</v>
      </c>
      <c r="BB70" s="295"/>
      <c r="BC70" s="295">
        <v>7500</v>
      </c>
      <c r="BD70" s="295">
        <v>15000</v>
      </c>
      <c r="BE70" s="724">
        <v>1500</v>
      </c>
      <c r="BF70" s="724"/>
      <c r="BG70" s="724"/>
      <c r="BH70" s="724">
        <f t="shared" si="293"/>
        <v>9837.34908</v>
      </c>
      <c r="BI70" s="1166"/>
      <c r="BJ70" s="1166"/>
      <c r="BK70" s="724">
        <v>73105.22</v>
      </c>
      <c r="BL70" s="1167">
        <f t="shared" si="292"/>
        <v>491867.454</v>
      </c>
      <c r="BM70" s="724">
        <f t="shared" si="22"/>
        <v>220309.20248</v>
      </c>
      <c r="BN70" s="724"/>
      <c r="BO70" s="724"/>
      <c r="BP70" s="724">
        <f t="shared" si="20"/>
        <v>271558.25152</v>
      </c>
      <c r="BQ70" s="1174">
        <f t="shared" ref="BQ70:BQ106" si="308">BL70*12</f>
        <v>5902409.448</v>
      </c>
      <c r="BR70" s="306">
        <f t="shared" si="185"/>
        <v>1380481.8896</v>
      </c>
      <c r="BS70" s="307">
        <f t="shared" ref="BS70:BS106" si="309">BI70*12</f>
        <v>0</v>
      </c>
      <c r="BT70" s="308">
        <f t="shared" si="186"/>
        <v>1380481.8896</v>
      </c>
      <c r="BU70" s="313">
        <f t="shared" si="187"/>
        <v>4521927.5584</v>
      </c>
      <c r="BV70" s="306"/>
      <c r="BW70" s="307">
        <f t="shared" si="188"/>
        <v>21000</v>
      </c>
      <c r="BX70" s="307">
        <f t="shared" si="189"/>
        <v>33000</v>
      </c>
      <c r="BY70" s="307">
        <f t="shared" si="190"/>
        <v>75000</v>
      </c>
      <c r="BZ70" s="307">
        <f t="shared" si="191"/>
        <v>95000</v>
      </c>
      <c r="CA70" s="307">
        <f t="shared" si="192"/>
        <v>336000</v>
      </c>
      <c r="CB70" s="307">
        <f t="shared" si="193"/>
        <v>317262.614016</v>
      </c>
      <c r="CC70" s="305">
        <f t="shared" si="194"/>
        <v>877262.614016</v>
      </c>
      <c r="CD70" s="320">
        <f t="shared" si="195"/>
        <v>59024.09448</v>
      </c>
      <c r="CE70" s="321">
        <f t="shared" si="196"/>
        <v>877262.614016</v>
      </c>
      <c r="CF70" s="322">
        <f t="shared" si="291"/>
        <v>73105.2178346667</v>
      </c>
      <c r="CG70" s="323"/>
      <c r="CH70" s="324"/>
      <c r="CI70" s="325"/>
      <c r="CJ70" s="326"/>
      <c r="CK70" s="1188"/>
      <c r="CL70" s="335"/>
      <c r="CN70" s="1257"/>
    </row>
    <row r="71" s="245" customFormat="1" ht="119" customHeight="1" spans="1:92">
      <c r="A71" s="1122">
        <v>68</v>
      </c>
      <c r="B71" s="70" t="s">
        <v>312</v>
      </c>
      <c r="C71" s="1123" t="s">
        <v>185</v>
      </c>
      <c r="D71" s="1088" t="s">
        <v>130</v>
      </c>
      <c r="E71" s="1088" t="s">
        <v>272</v>
      </c>
      <c r="F71" s="1124" t="s">
        <v>313</v>
      </c>
      <c r="G71" s="681">
        <v>2908285016</v>
      </c>
      <c r="H71" s="1125"/>
      <c r="I71" s="1125"/>
      <c r="J71" s="1125">
        <v>209408.67</v>
      </c>
      <c r="K71" s="1125">
        <v>52352.1675</v>
      </c>
      <c r="L71" s="1125">
        <v>30000</v>
      </c>
      <c r="M71" s="295">
        <v>300883.92</v>
      </c>
      <c r="N71" s="295">
        <f>M71*0.35/3</f>
        <v>35103.124</v>
      </c>
      <c r="O71" s="295">
        <v>5000</v>
      </c>
      <c r="P71" s="295"/>
      <c r="Q71" s="295"/>
      <c r="R71" s="295">
        <v>2500</v>
      </c>
      <c r="S71" s="295"/>
      <c r="T71" s="295"/>
      <c r="U71" s="295"/>
      <c r="V71" s="295"/>
      <c r="W71" s="295"/>
      <c r="X71" s="295"/>
      <c r="Y71" s="295"/>
      <c r="Z71" s="295">
        <v>2500</v>
      </c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1140"/>
      <c r="AM71" s="295">
        <f t="shared" si="294"/>
        <v>6017.6784</v>
      </c>
      <c r="AN71" s="295">
        <v>500</v>
      </c>
      <c r="AO71" s="295"/>
      <c r="AP71" s="295">
        <v>21667</v>
      </c>
      <c r="AQ71" s="1149"/>
      <c r="AR71" s="1149"/>
      <c r="AS71" s="1211">
        <v>1000</v>
      </c>
      <c r="AT71" s="1165"/>
      <c r="AU71" s="1149"/>
      <c r="AV71" s="1151">
        <v>5000</v>
      </c>
      <c r="AW71" s="1149"/>
      <c r="AX71" s="1149"/>
      <c r="AY71" s="1161"/>
      <c r="AZ71" s="1149"/>
      <c r="BA71" s="295">
        <v>45000</v>
      </c>
      <c r="BB71" s="295"/>
      <c r="BC71" s="295">
        <v>3750</v>
      </c>
      <c r="BD71" s="295">
        <v>7500</v>
      </c>
      <c r="BE71" s="724">
        <v>1500</v>
      </c>
      <c r="BF71" s="724"/>
      <c r="BG71" s="724"/>
      <c r="BH71" s="724">
        <f t="shared" si="293"/>
        <v>6919.74088</v>
      </c>
      <c r="BI71" s="1166"/>
      <c r="BJ71" s="1166"/>
      <c r="BK71" s="724">
        <v>45292.49</v>
      </c>
      <c r="BL71" s="1167">
        <f t="shared" si="292"/>
        <v>345987.044</v>
      </c>
      <c r="BM71" s="724">
        <f t="shared" si="22"/>
        <v>144146.90928</v>
      </c>
      <c r="BN71" s="724"/>
      <c r="BO71" s="724"/>
      <c r="BP71" s="724">
        <f t="shared" ref="BP71:BP133" si="310">BL71-BM71</f>
        <v>201840.13472</v>
      </c>
      <c r="BQ71" s="1174"/>
      <c r="BR71" s="306"/>
      <c r="BS71" s="307"/>
      <c r="BT71" s="308"/>
      <c r="BU71" s="313"/>
      <c r="BV71" s="306"/>
      <c r="BW71" s="307"/>
      <c r="BX71" s="307"/>
      <c r="BY71" s="307"/>
      <c r="BZ71" s="307"/>
      <c r="CA71" s="307"/>
      <c r="CB71" s="307"/>
      <c r="CC71" s="305"/>
      <c r="CD71" s="320"/>
      <c r="CE71" s="321"/>
      <c r="CF71" s="322"/>
      <c r="CG71" s="323"/>
      <c r="CH71" s="324"/>
      <c r="CI71" s="325"/>
      <c r="CJ71" s="326"/>
      <c r="CK71" s="1188"/>
      <c r="CL71" s="335"/>
      <c r="CN71" s="1190"/>
    </row>
    <row r="72" s="245" customFormat="1" ht="120" customHeight="1" spans="1:92">
      <c r="A72" s="1122">
        <v>69</v>
      </c>
      <c r="B72" s="70" t="s">
        <v>314</v>
      </c>
      <c r="C72" s="1123" t="s">
        <v>133</v>
      </c>
      <c r="D72" s="1088" t="s">
        <v>130</v>
      </c>
      <c r="E72" s="1088" t="s">
        <v>297</v>
      </c>
      <c r="F72" s="1124" t="s">
        <v>97</v>
      </c>
      <c r="G72" s="681" t="s">
        <v>315</v>
      </c>
      <c r="H72" s="1125">
        <v>2254203</v>
      </c>
      <c r="I72" s="1125"/>
      <c r="J72" s="1125">
        <v>187850.25</v>
      </c>
      <c r="K72" s="1125">
        <v>46962.5625</v>
      </c>
      <c r="L72" s="1125">
        <v>30000</v>
      </c>
      <c r="M72" s="295">
        <v>310007.17</v>
      </c>
      <c r="N72" s="295">
        <f t="shared" si="290"/>
        <v>36167.5031666667</v>
      </c>
      <c r="O72" s="295">
        <v>5000</v>
      </c>
      <c r="P72" s="295"/>
      <c r="Q72" s="295"/>
      <c r="R72" s="295">
        <v>2500</v>
      </c>
      <c r="S72" s="295"/>
      <c r="T72" s="295"/>
      <c r="U72" s="295"/>
      <c r="V72" s="295"/>
      <c r="W72" s="295"/>
      <c r="X72" s="295"/>
      <c r="Y72" s="295"/>
      <c r="Z72" s="295">
        <v>2500</v>
      </c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1140"/>
      <c r="AM72" s="295">
        <f t="shared" si="294"/>
        <v>6200.1434</v>
      </c>
      <c r="AN72" s="295">
        <v>500</v>
      </c>
      <c r="AO72" s="295"/>
      <c r="AP72" s="295"/>
      <c r="AQ72" s="1151">
        <v>1000</v>
      </c>
      <c r="AR72" s="1151"/>
      <c r="AS72" s="1150"/>
      <c r="AT72" s="1151"/>
      <c r="AU72" s="1151"/>
      <c r="AV72" s="1151"/>
      <c r="AW72" s="1151"/>
      <c r="AX72" s="1151"/>
      <c r="AY72" s="1161"/>
      <c r="AZ72" s="1151"/>
      <c r="BA72" s="295">
        <v>0</v>
      </c>
      <c r="BB72" s="295"/>
      <c r="BC72" s="295"/>
      <c r="BD72" s="295"/>
      <c r="BE72" s="724">
        <v>1500</v>
      </c>
      <c r="BF72" s="724"/>
      <c r="BG72" s="724"/>
      <c r="BH72" s="724">
        <f t="shared" si="293"/>
        <v>7123.49346333333</v>
      </c>
      <c r="BI72" s="1166"/>
      <c r="BJ72" s="1166"/>
      <c r="BK72" s="724">
        <v>47052.2</v>
      </c>
      <c r="BL72" s="1167">
        <f t="shared" si="292"/>
        <v>356174.673166667</v>
      </c>
      <c r="BM72" s="724">
        <f t="shared" ref="BM72:BM136" si="311">AI72+AJ72+AK72+AL72+AM72+AN72+AP72++AQ72+AR72+AS72+AT72+AU72+AV72+AW72+AX72+AY72+AZ72+BA72+BB72+BC72+BD72+BE72+BG72+BH72+BK72</f>
        <v>63375.8368633333</v>
      </c>
      <c r="BN72" s="724"/>
      <c r="BO72" s="724"/>
      <c r="BP72" s="724">
        <f t="shared" si="310"/>
        <v>292798.836303333</v>
      </c>
      <c r="BQ72" s="1174">
        <f t="shared" si="308"/>
        <v>4274096.078</v>
      </c>
      <c r="BR72" s="306">
        <f t="shared" si="185"/>
        <v>1054819.2156</v>
      </c>
      <c r="BS72" s="307">
        <f t="shared" si="309"/>
        <v>0</v>
      </c>
      <c r="BT72" s="308">
        <f t="shared" si="186"/>
        <v>1054819.2156</v>
      </c>
      <c r="BU72" s="313">
        <f t="shared" si="187"/>
        <v>3219276.8624</v>
      </c>
      <c r="BV72" s="306"/>
      <c r="BW72" s="307">
        <f t="shared" si="188"/>
        <v>21000</v>
      </c>
      <c r="BX72" s="307">
        <f t="shared" si="189"/>
        <v>33000</v>
      </c>
      <c r="BY72" s="307">
        <f t="shared" si="190"/>
        <v>75000</v>
      </c>
      <c r="BZ72" s="307">
        <f t="shared" si="191"/>
        <v>95000</v>
      </c>
      <c r="CA72" s="307">
        <f t="shared" si="192"/>
        <v>336000</v>
      </c>
      <c r="CB72" s="307">
        <f t="shared" si="193"/>
        <v>4626.446976</v>
      </c>
      <c r="CC72" s="305">
        <f t="shared" si="194"/>
        <v>564626.446976</v>
      </c>
      <c r="CD72" s="320">
        <f t="shared" si="195"/>
        <v>42740.96078</v>
      </c>
      <c r="CE72" s="321">
        <f t="shared" si="196"/>
        <v>564626.446976</v>
      </c>
      <c r="CF72" s="322">
        <f t="shared" si="291"/>
        <v>47052.2039146667</v>
      </c>
      <c r="CG72" s="323"/>
      <c r="CH72" s="324"/>
      <c r="CI72" s="325"/>
      <c r="CJ72" s="326"/>
      <c r="CK72" s="1188"/>
      <c r="CL72" s="335"/>
      <c r="CN72" s="1189"/>
    </row>
    <row r="73" s="245" customFormat="1" ht="130" customHeight="1" spans="1:93">
      <c r="A73" s="1122">
        <v>70</v>
      </c>
      <c r="B73" s="70" t="s">
        <v>316</v>
      </c>
      <c r="C73" s="1123" t="s">
        <v>177</v>
      </c>
      <c r="D73" s="1088" t="s">
        <v>130</v>
      </c>
      <c r="E73" s="1088" t="s">
        <v>269</v>
      </c>
      <c r="F73" s="1124" t="s">
        <v>93</v>
      </c>
      <c r="G73" s="686" t="s">
        <v>317</v>
      </c>
      <c r="H73" s="1125">
        <f>M73*12</f>
        <v>3829563.96</v>
      </c>
      <c r="I73" s="1125">
        <v>2688069</v>
      </c>
      <c r="J73" s="1125">
        <v>224005.75</v>
      </c>
      <c r="K73" s="1125">
        <v>56001.4375</v>
      </c>
      <c r="L73" s="1125">
        <v>30000</v>
      </c>
      <c r="M73" s="295">
        <v>319130.33</v>
      </c>
      <c r="N73" s="295">
        <f t="shared" si="290"/>
        <v>37231.8718333333</v>
      </c>
      <c r="O73" s="295">
        <v>5000</v>
      </c>
      <c r="P73" s="295"/>
      <c r="Q73" s="295"/>
      <c r="R73" s="295">
        <v>2500</v>
      </c>
      <c r="S73" s="295"/>
      <c r="T73" s="295"/>
      <c r="U73" s="295"/>
      <c r="V73" s="295"/>
      <c r="W73" s="295"/>
      <c r="X73" s="295"/>
      <c r="Y73" s="295"/>
      <c r="Z73" s="295">
        <v>2500</v>
      </c>
      <c r="AA73" s="295"/>
      <c r="AB73" s="295"/>
      <c r="AC73" s="295"/>
      <c r="AD73" s="295"/>
      <c r="AE73" s="295"/>
      <c r="AF73" s="295"/>
      <c r="AG73" s="295"/>
      <c r="AH73" s="295"/>
      <c r="AI73" s="295">
        <v>25000</v>
      </c>
      <c r="AJ73" s="295"/>
      <c r="AK73" s="295"/>
      <c r="AL73" s="1140"/>
      <c r="AM73" s="295">
        <f t="shared" si="294"/>
        <v>6382.6066</v>
      </c>
      <c r="AN73" s="295">
        <v>500</v>
      </c>
      <c r="AO73" s="295"/>
      <c r="AP73" s="295"/>
      <c r="AQ73" s="1149"/>
      <c r="AR73" s="1149"/>
      <c r="AS73" s="1152"/>
      <c r="AT73" s="1149"/>
      <c r="AU73" s="1149"/>
      <c r="AV73" s="1151"/>
      <c r="AW73" s="1151">
        <v>1000</v>
      </c>
      <c r="AX73" s="1151"/>
      <c r="AY73" s="1161"/>
      <c r="AZ73" s="1151"/>
      <c r="BA73" s="295">
        <v>214999.996666667</v>
      </c>
      <c r="BB73" s="295"/>
      <c r="BC73" s="295">
        <v>7500</v>
      </c>
      <c r="BD73" s="295">
        <v>15000</v>
      </c>
      <c r="BE73" s="724">
        <v>1500</v>
      </c>
      <c r="BF73" s="724"/>
      <c r="BG73" s="724"/>
      <c r="BH73" s="724">
        <f t="shared" si="293"/>
        <v>7327.24403666667</v>
      </c>
      <c r="BI73" s="1166"/>
      <c r="BJ73" s="1166"/>
      <c r="BK73" s="724">
        <v>49008.21</v>
      </c>
      <c r="BL73" s="1167">
        <f t="shared" si="292"/>
        <v>366362.201833333</v>
      </c>
      <c r="BM73" s="724">
        <f t="shared" si="311"/>
        <v>328218.057303333</v>
      </c>
      <c r="BN73" s="724"/>
      <c r="BO73" s="724"/>
      <c r="BP73" s="724">
        <f t="shared" si="310"/>
        <v>38144.14453</v>
      </c>
      <c r="BQ73" s="1174">
        <f t="shared" si="308"/>
        <v>4396346.422</v>
      </c>
      <c r="BR73" s="306">
        <f t="shared" si="185"/>
        <v>1079269.2844</v>
      </c>
      <c r="BS73" s="307">
        <f t="shared" si="309"/>
        <v>0</v>
      </c>
      <c r="BT73" s="308">
        <f t="shared" si="186"/>
        <v>1079269.2844</v>
      </c>
      <c r="BU73" s="313">
        <f t="shared" si="187"/>
        <v>3317077.1376</v>
      </c>
      <c r="BV73" s="306"/>
      <c r="BW73" s="307">
        <f t="shared" si="188"/>
        <v>21000</v>
      </c>
      <c r="BX73" s="307">
        <f t="shared" si="189"/>
        <v>33000</v>
      </c>
      <c r="BY73" s="307">
        <f t="shared" si="190"/>
        <v>75000</v>
      </c>
      <c r="BZ73" s="307">
        <f t="shared" si="191"/>
        <v>95000</v>
      </c>
      <c r="CA73" s="307">
        <f t="shared" si="192"/>
        <v>336000</v>
      </c>
      <c r="CB73" s="307">
        <f t="shared" si="193"/>
        <v>28098.513024</v>
      </c>
      <c r="CC73" s="305">
        <f t="shared" si="194"/>
        <v>588098.513024</v>
      </c>
      <c r="CD73" s="320">
        <f t="shared" si="195"/>
        <v>43963.46422</v>
      </c>
      <c r="CE73" s="321">
        <f t="shared" si="196"/>
        <v>588098.513024</v>
      </c>
      <c r="CF73" s="322">
        <f t="shared" si="291"/>
        <v>49008.2094186667</v>
      </c>
      <c r="CG73" s="323"/>
      <c r="CH73" s="324"/>
      <c r="CI73" s="325"/>
      <c r="CJ73" s="326"/>
      <c r="CK73" s="1188"/>
      <c r="CL73" s="335"/>
      <c r="CN73" s="1189"/>
      <c r="CO73" s="1258"/>
    </row>
    <row r="74" s="245" customFormat="1" ht="119" customHeight="1" spans="1:92">
      <c r="A74" s="1122">
        <v>71</v>
      </c>
      <c r="B74" s="70" t="s">
        <v>318</v>
      </c>
      <c r="C74" s="1122" t="s">
        <v>110</v>
      </c>
      <c r="D74" s="1088" t="s">
        <v>130</v>
      </c>
      <c r="E74" s="1088" t="s">
        <v>269</v>
      </c>
      <c r="F74" s="1124" t="s">
        <v>127</v>
      </c>
      <c r="G74" s="686" t="s">
        <v>319</v>
      </c>
      <c r="H74" s="1125">
        <v>2600486</v>
      </c>
      <c r="I74" s="1125">
        <v>2688069</v>
      </c>
      <c r="J74" s="1125">
        <v>224005.75</v>
      </c>
      <c r="K74" s="1125">
        <v>56001.4375</v>
      </c>
      <c r="L74" s="1125">
        <v>30000</v>
      </c>
      <c r="M74" s="295">
        <v>319130.33</v>
      </c>
      <c r="N74" s="295">
        <f t="shared" si="290"/>
        <v>37231.8718333333</v>
      </c>
      <c r="O74" s="295">
        <v>5000</v>
      </c>
      <c r="P74" s="295"/>
      <c r="Q74" s="295"/>
      <c r="R74" s="295">
        <v>2500</v>
      </c>
      <c r="S74" s="295"/>
      <c r="T74" s="295"/>
      <c r="U74" s="295"/>
      <c r="V74" s="295"/>
      <c r="W74" s="295"/>
      <c r="X74" s="295"/>
      <c r="Y74" s="295"/>
      <c r="Z74" s="295">
        <v>2500</v>
      </c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1140"/>
      <c r="AM74" s="295">
        <f t="shared" si="294"/>
        <v>6382.6066</v>
      </c>
      <c r="AN74" s="295">
        <v>500</v>
      </c>
      <c r="AO74" s="295"/>
      <c r="AP74" s="295"/>
      <c r="AQ74" s="1151">
        <v>1000</v>
      </c>
      <c r="AR74" s="1151"/>
      <c r="AS74" s="1150"/>
      <c r="AT74" s="1151"/>
      <c r="AU74" s="1151"/>
      <c r="AV74" s="1151"/>
      <c r="AW74" s="1151"/>
      <c r="AX74" s="1151"/>
      <c r="AY74" s="1161"/>
      <c r="AZ74" s="1151"/>
      <c r="BA74" s="295">
        <v>0</v>
      </c>
      <c r="BB74" s="295"/>
      <c r="BC74" s="295"/>
      <c r="BD74" s="295"/>
      <c r="BE74" s="724">
        <v>1500</v>
      </c>
      <c r="BF74" s="724"/>
      <c r="BG74" s="724"/>
      <c r="BH74" s="724">
        <f t="shared" si="293"/>
        <v>7327.24403666667</v>
      </c>
      <c r="BI74" s="1166"/>
      <c r="BJ74" s="1166"/>
      <c r="BK74" s="724">
        <v>49008.21</v>
      </c>
      <c r="BL74" s="1167">
        <f t="shared" si="292"/>
        <v>366362.201833333</v>
      </c>
      <c r="BM74" s="724">
        <f t="shared" si="311"/>
        <v>65718.0606366667</v>
      </c>
      <c r="BN74" s="724"/>
      <c r="BO74" s="724"/>
      <c r="BP74" s="724">
        <f t="shared" si="310"/>
        <v>300644.141196667</v>
      </c>
      <c r="BQ74" s="1174">
        <f t="shared" si="308"/>
        <v>4396346.422</v>
      </c>
      <c r="BR74" s="306">
        <f t="shared" si="185"/>
        <v>1079269.2844</v>
      </c>
      <c r="BS74" s="307">
        <f t="shared" si="309"/>
        <v>0</v>
      </c>
      <c r="BT74" s="308">
        <f t="shared" si="186"/>
        <v>1079269.2844</v>
      </c>
      <c r="BU74" s="313">
        <f t="shared" si="187"/>
        <v>3317077.1376</v>
      </c>
      <c r="BV74" s="306"/>
      <c r="BW74" s="307">
        <f t="shared" si="188"/>
        <v>21000</v>
      </c>
      <c r="BX74" s="307">
        <f t="shared" si="189"/>
        <v>33000</v>
      </c>
      <c r="BY74" s="307">
        <f t="shared" si="190"/>
        <v>75000</v>
      </c>
      <c r="BZ74" s="307">
        <f t="shared" si="191"/>
        <v>95000</v>
      </c>
      <c r="CA74" s="307">
        <f t="shared" si="192"/>
        <v>336000</v>
      </c>
      <c r="CB74" s="307">
        <f t="shared" si="193"/>
        <v>28098.513024</v>
      </c>
      <c r="CC74" s="305">
        <f t="shared" si="194"/>
        <v>588098.513024</v>
      </c>
      <c r="CD74" s="320">
        <f t="shared" si="195"/>
        <v>43963.46422</v>
      </c>
      <c r="CE74" s="321">
        <f t="shared" si="196"/>
        <v>588098.513024</v>
      </c>
      <c r="CF74" s="322">
        <f t="shared" si="291"/>
        <v>49008.2094186667</v>
      </c>
      <c r="CG74" s="323"/>
      <c r="CH74" s="324"/>
      <c r="CI74" s="325"/>
      <c r="CJ74" s="326"/>
      <c r="CK74" s="1188"/>
      <c r="CL74" s="335"/>
      <c r="CN74" s="1189"/>
    </row>
    <row r="75" s="245" customFormat="1" ht="163" customHeight="1" spans="1:92">
      <c r="A75" s="1122">
        <v>72</v>
      </c>
      <c r="B75" s="70" t="s">
        <v>320</v>
      </c>
      <c r="C75" s="1123" t="s">
        <v>241</v>
      </c>
      <c r="D75" s="1088" t="s">
        <v>130</v>
      </c>
      <c r="E75" s="1088" t="s">
        <v>269</v>
      </c>
      <c r="F75" s="1124" t="s">
        <v>93</v>
      </c>
      <c r="G75" s="686">
        <v>3053511556</v>
      </c>
      <c r="H75" s="1125">
        <v>2254203</v>
      </c>
      <c r="I75" s="1125">
        <v>2425322</v>
      </c>
      <c r="J75" s="1125">
        <v>202110.166666667</v>
      </c>
      <c r="K75" s="1125">
        <v>50527.5416666667</v>
      </c>
      <c r="L75" s="1125">
        <v>30000</v>
      </c>
      <c r="M75" s="295">
        <v>319130.33</v>
      </c>
      <c r="N75" s="295">
        <f t="shared" si="290"/>
        <v>37231.8718333333</v>
      </c>
      <c r="O75" s="295">
        <v>5000</v>
      </c>
      <c r="P75" s="295"/>
      <c r="Q75" s="295"/>
      <c r="R75" s="295">
        <v>2500</v>
      </c>
      <c r="S75" s="295"/>
      <c r="T75" s="295"/>
      <c r="U75" s="295"/>
      <c r="V75" s="295"/>
      <c r="W75" s="295"/>
      <c r="X75" s="295"/>
      <c r="Y75" s="295"/>
      <c r="Z75" s="295">
        <v>2500</v>
      </c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1140"/>
      <c r="AM75" s="295">
        <f t="shared" si="294"/>
        <v>6382.6066</v>
      </c>
      <c r="AN75" s="295">
        <v>500</v>
      </c>
      <c r="AO75" s="295"/>
      <c r="AP75" s="295">
        <v>50000</v>
      </c>
      <c r="AQ75" s="1149"/>
      <c r="AR75" s="1149"/>
      <c r="AS75" s="1152"/>
      <c r="AT75" s="1149"/>
      <c r="AU75" s="1153"/>
      <c r="AV75" s="1151"/>
      <c r="AW75" s="1149"/>
      <c r="AX75" s="1149"/>
      <c r="AY75" s="1161">
        <v>2000</v>
      </c>
      <c r="AZ75" s="1149"/>
      <c r="BA75" s="295">
        <v>116818.18</v>
      </c>
      <c r="BB75" s="295"/>
      <c r="BC75" s="295">
        <v>7500</v>
      </c>
      <c r="BD75" s="295">
        <v>15000</v>
      </c>
      <c r="BE75" s="724">
        <v>1500</v>
      </c>
      <c r="BF75" s="724"/>
      <c r="BG75" s="724"/>
      <c r="BH75" s="724">
        <f t="shared" si="293"/>
        <v>7327.24403666667</v>
      </c>
      <c r="BI75" s="1166"/>
      <c r="BJ75" s="1166"/>
      <c r="BK75" s="724">
        <v>49008.21</v>
      </c>
      <c r="BL75" s="1167">
        <f t="shared" si="292"/>
        <v>366362.201833333</v>
      </c>
      <c r="BM75" s="724">
        <f t="shared" si="311"/>
        <v>256036.240636667</v>
      </c>
      <c r="BN75" s="724"/>
      <c r="BO75" s="724"/>
      <c r="BP75" s="724">
        <f t="shared" si="310"/>
        <v>110325.961196667</v>
      </c>
      <c r="BQ75" s="1174">
        <f t="shared" si="308"/>
        <v>4396346.422</v>
      </c>
      <c r="BR75" s="306">
        <f t="shared" si="185"/>
        <v>1079269.2844</v>
      </c>
      <c r="BS75" s="307">
        <f t="shared" si="309"/>
        <v>0</v>
      </c>
      <c r="BT75" s="308">
        <f t="shared" si="186"/>
        <v>1079269.2844</v>
      </c>
      <c r="BU75" s="313">
        <f t="shared" si="187"/>
        <v>3317077.1376</v>
      </c>
      <c r="BV75" s="306"/>
      <c r="BW75" s="307">
        <f t="shared" si="188"/>
        <v>21000</v>
      </c>
      <c r="BX75" s="307">
        <f t="shared" si="189"/>
        <v>33000</v>
      </c>
      <c r="BY75" s="307">
        <f t="shared" si="190"/>
        <v>75000</v>
      </c>
      <c r="BZ75" s="307">
        <f t="shared" si="191"/>
        <v>95000</v>
      </c>
      <c r="CA75" s="307">
        <f t="shared" si="192"/>
        <v>336000</v>
      </c>
      <c r="CB75" s="307">
        <f t="shared" si="193"/>
        <v>28098.513024</v>
      </c>
      <c r="CC75" s="305">
        <f t="shared" si="194"/>
        <v>588098.513024</v>
      </c>
      <c r="CD75" s="320">
        <f t="shared" si="195"/>
        <v>43963.46422</v>
      </c>
      <c r="CE75" s="321">
        <f t="shared" si="196"/>
        <v>588098.513024</v>
      </c>
      <c r="CF75" s="322">
        <f t="shared" si="291"/>
        <v>49008.2094186667</v>
      </c>
      <c r="CG75" s="323"/>
      <c r="CH75" s="324"/>
      <c r="CI75" s="325"/>
      <c r="CJ75" s="326"/>
      <c r="CK75" s="1188"/>
      <c r="CL75" s="335"/>
      <c r="CN75" s="1190"/>
    </row>
    <row r="76" s="245" customFormat="1" ht="116" customHeight="1" spans="1:93">
      <c r="A76" s="1122">
        <v>73</v>
      </c>
      <c r="B76" s="70" t="s">
        <v>321</v>
      </c>
      <c r="C76" s="1123" t="s">
        <v>104</v>
      </c>
      <c r="D76" s="1088" t="s">
        <v>286</v>
      </c>
      <c r="E76" s="1088" t="s">
        <v>276</v>
      </c>
      <c r="F76" s="1124" t="s">
        <v>127</v>
      </c>
      <c r="G76" s="686" t="s">
        <v>322</v>
      </c>
      <c r="H76" s="1125">
        <f t="shared" ref="H76" si="312">H75</f>
        <v>2254203</v>
      </c>
      <c r="I76" s="1125">
        <v>2688069</v>
      </c>
      <c r="J76" s="1125">
        <v>224005.75</v>
      </c>
      <c r="K76" s="1125">
        <v>56001.4375</v>
      </c>
      <c r="L76" s="1125">
        <v>30000</v>
      </c>
      <c r="M76" s="295">
        <v>413255.25</v>
      </c>
      <c r="N76" s="295">
        <f t="shared" si="290"/>
        <v>48213.1125</v>
      </c>
      <c r="O76" s="295">
        <v>5000</v>
      </c>
      <c r="P76" s="295">
        <v>20833.33</v>
      </c>
      <c r="Q76" s="295"/>
      <c r="R76" s="295">
        <v>2500</v>
      </c>
      <c r="S76" s="295"/>
      <c r="T76" s="295"/>
      <c r="U76" s="295"/>
      <c r="V76" s="295"/>
      <c r="W76" s="295"/>
      <c r="X76" s="295"/>
      <c r="Y76" s="295"/>
      <c r="Z76" s="295">
        <v>2500</v>
      </c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1140"/>
      <c r="AM76" s="295">
        <f t="shared" si="294"/>
        <v>8265.105</v>
      </c>
      <c r="AN76" s="295">
        <v>500</v>
      </c>
      <c r="AO76" s="295"/>
      <c r="AP76" s="295"/>
      <c r="AQ76" s="1151">
        <v>1000</v>
      </c>
      <c r="AR76" s="1151"/>
      <c r="AS76" s="1150"/>
      <c r="AT76" s="1151"/>
      <c r="AU76" s="1151"/>
      <c r="AV76" s="1151"/>
      <c r="AW76" s="1151"/>
      <c r="AX76" s="1151"/>
      <c r="AY76" s="1161">
        <v>2000</v>
      </c>
      <c r="AZ76" s="1151"/>
      <c r="BA76" s="295">
        <v>0</v>
      </c>
      <c r="BB76" s="295"/>
      <c r="BC76" s="295">
        <v>5000</v>
      </c>
      <c r="BD76" s="295">
        <v>10000</v>
      </c>
      <c r="BE76" s="724">
        <v>1500</v>
      </c>
      <c r="BF76" s="724"/>
      <c r="BG76" s="724"/>
      <c r="BH76" s="724">
        <f t="shared" si="293"/>
        <v>9846.03385</v>
      </c>
      <c r="BI76" s="1166"/>
      <c r="BJ76" s="1166"/>
      <c r="BK76" s="724">
        <v>73188.59</v>
      </c>
      <c r="BL76" s="1167">
        <f t="shared" si="292"/>
        <v>492301.6925</v>
      </c>
      <c r="BM76" s="724">
        <f t="shared" si="311"/>
        <v>111299.72885</v>
      </c>
      <c r="BN76" s="724"/>
      <c r="BO76" s="724"/>
      <c r="BP76" s="724">
        <f t="shared" si="310"/>
        <v>381001.96365</v>
      </c>
      <c r="BQ76" s="1174">
        <f t="shared" si="308"/>
        <v>5907620.31</v>
      </c>
      <c r="BR76" s="306">
        <f t="shared" si="185"/>
        <v>1381524.062</v>
      </c>
      <c r="BS76" s="307">
        <f t="shared" si="309"/>
        <v>0</v>
      </c>
      <c r="BT76" s="308">
        <f t="shared" si="186"/>
        <v>1381524.062</v>
      </c>
      <c r="BU76" s="313">
        <f t="shared" si="187"/>
        <v>4526096.248</v>
      </c>
      <c r="BV76" s="306"/>
      <c r="BW76" s="307">
        <f t="shared" si="188"/>
        <v>21000</v>
      </c>
      <c r="BX76" s="307">
        <f t="shared" si="189"/>
        <v>33000</v>
      </c>
      <c r="BY76" s="307">
        <f t="shared" si="190"/>
        <v>75000</v>
      </c>
      <c r="BZ76" s="307">
        <f t="shared" si="191"/>
        <v>95000</v>
      </c>
      <c r="CA76" s="307">
        <f t="shared" si="192"/>
        <v>336000</v>
      </c>
      <c r="CB76" s="307">
        <f t="shared" si="193"/>
        <v>318263.09952</v>
      </c>
      <c r="CC76" s="305">
        <f t="shared" si="194"/>
        <v>878263.09952</v>
      </c>
      <c r="CD76" s="320">
        <f t="shared" si="195"/>
        <v>59076.2031</v>
      </c>
      <c r="CE76" s="321">
        <f t="shared" si="196"/>
        <v>878263.09952</v>
      </c>
      <c r="CF76" s="322">
        <f t="shared" si="291"/>
        <v>73188.5916266667</v>
      </c>
      <c r="CG76" s="323"/>
      <c r="CH76" s="324"/>
      <c r="CI76" s="325"/>
      <c r="CJ76" s="326"/>
      <c r="CK76" s="1188"/>
      <c r="CL76" s="335"/>
      <c r="CN76" s="1190"/>
      <c r="CO76" s="1258"/>
    </row>
    <row r="77" s="245" customFormat="1" ht="125" customHeight="1" spans="1:92">
      <c r="A77" s="1122">
        <v>74</v>
      </c>
      <c r="B77" s="70" t="s">
        <v>323</v>
      </c>
      <c r="C77" s="1123" t="s">
        <v>118</v>
      </c>
      <c r="D77" s="1088" t="s">
        <v>286</v>
      </c>
      <c r="E77" s="1088" t="s">
        <v>276</v>
      </c>
      <c r="F77" s="1124" t="s">
        <v>93</v>
      </c>
      <c r="G77" s="686">
        <v>3068164624</v>
      </c>
      <c r="H77" s="1125">
        <v>2600486</v>
      </c>
      <c r="I77" s="1125">
        <v>2600486</v>
      </c>
      <c r="J77" s="1125">
        <v>224005.75</v>
      </c>
      <c r="K77" s="1125">
        <v>56001.4375</v>
      </c>
      <c r="L77" s="1125">
        <v>30000</v>
      </c>
      <c r="M77" s="295">
        <v>413255.25</v>
      </c>
      <c r="N77" s="295">
        <f t="shared" si="290"/>
        <v>48213.1125</v>
      </c>
      <c r="O77" s="295">
        <v>5000</v>
      </c>
      <c r="P77" s="295">
        <v>20833.33</v>
      </c>
      <c r="Q77" s="295"/>
      <c r="R77" s="295">
        <v>2500</v>
      </c>
      <c r="S77" s="295"/>
      <c r="T77" s="295"/>
      <c r="U77" s="295"/>
      <c r="V77" s="295"/>
      <c r="W77" s="295"/>
      <c r="X77" s="295"/>
      <c r="Y77" s="295"/>
      <c r="Z77" s="295">
        <v>2500</v>
      </c>
      <c r="AA77" s="295"/>
      <c r="AB77" s="295"/>
      <c r="AC77" s="295"/>
      <c r="AD77" s="295"/>
      <c r="AE77" s="295"/>
      <c r="AF77" s="295"/>
      <c r="AG77" s="295"/>
      <c r="AH77" s="295"/>
      <c r="AI77" s="295">
        <v>18333.33</v>
      </c>
      <c r="AJ77" s="295"/>
      <c r="AK77" s="295"/>
      <c r="AL77" s="1140"/>
      <c r="AM77" s="295">
        <f t="shared" si="294"/>
        <v>8265.105</v>
      </c>
      <c r="AN77" s="295">
        <v>500</v>
      </c>
      <c r="AO77" s="295"/>
      <c r="AP77" s="295"/>
      <c r="AQ77" s="1149"/>
      <c r="AR77" s="1149"/>
      <c r="AS77" s="1150">
        <v>1000</v>
      </c>
      <c r="AT77" s="1163">
        <v>42000</v>
      </c>
      <c r="AU77" s="1149"/>
      <c r="AV77" s="1151"/>
      <c r="AW77" s="1149"/>
      <c r="AX77" s="1149"/>
      <c r="AY77" s="1161"/>
      <c r="AZ77" s="1149"/>
      <c r="BA77" s="295">
        <v>141250.33</v>
      </c>
      <c r="BB77" s="295"/>
      <c r="BC77" s="295">
        <v>7500</v>
      </c>
      <c r="BD77" s="295">
        <v>15000</v>
      </c>
      <c r="BE77" s="724">
        <v>1500</v>
      </c>
      <c r="BF77" s="724"/>
      <c r="BG77" s="724"/>
      <c r="BH77" s="724">
        <f t="shared" si="293"/>
        <v>9846.03385</v>
      </c>
      <c r="BI77" s="1166"/>
      <c r="BJ77" s="1166"/>
      <c r="BK77" s="724">
        <v>73188.59</v>
      </c>
      <c r="BL77" s="1167">
        <f t="shared" si="292"/>
        <v>492301.6925</v>
      </c>
      <c r="BM77" s="724">
        <f t="shared" si="311"/>
        <v>318383.38885</v>
      </c>
      <c r="BN77" s="724"/>
      <c r="BO77" s="724"/>
      <c r="BP77" s="724">
        <f t="shared" si="310"/>
        <v>173918.30365</v>
      </c>
      <c r="BQ77" s="1174">
        <f t="shared" si="308"/>
        <v>5907620.31</v>
      </c>
      <c r="BR77" s="306">
        <f t="shared" si="185"/>
        <v>1381524.062</v>
      </c>
      <c r="BS77" s="307">
        <f t="shared" si="309"/>
        <v>0</v>
      </c>
      <c r="BT77" s="308">
        <f t="shared" si="186"/>
        <v>1381524.062</v>
      </c>
      <c r="BU77" s="313">
        <f t="shared" si="187"/>
        <v>4526096.248</v>
      </c>
      <c r="BV77" s="306"/>
      <c r="BW77" s="307">
        <f t="shared" si="188"/>
        <v>21000</v>
      </c>
      <c r="BX77" s="307">
        <f t="shared" si="189"/>
        <v>33000</v>
      </c>
      <c r="BY77" s="307">
        <f t="shared" si="190"/>
        <v>75000</v>
      </c>
      <c r="BZ77" s="307">
        <f t="shared" si="191"/>
        <v>95000</v>
      </c>
      <c r="CA77" s="307">
        <f t="shared" si="192"/>
        <v>336000</v>
      </c>
      <c r="CB77" s="307">
        <f t="shared" si="193"/>
        <v>318263.09952</v>
      </c>
      <c r="CC77" s="305">
        <f t="shared" si="194"/>
        <v>878263.09952</v>
      </c>
      <c r="CD77" s="320">
        <f t="shared" si="195"/>
        <v>59076.2031</v>
      </c>
      <c r="CE77" s="321">
        <f t="shared" si="196"/>
        <v>878263.09952</v>
      </c>
      <c r="CF77" s="322">
        <f t="shared" si="291"/>
        <v>73188.5916266667</v>
      </c>
      <c r="CG77" s="323"/>
      <c r="CH77" s="324"/>
      <c r="CI77" s="325"/>
      <c r="CJ77" s="326"/>
      <c r="CK77" s="1188"/>
      <c r="CL77" s="335"/>
      <c r="CN77" s="1190"/>
    </row>
    <row r="78" s="245" customFormat="1" ht="116" customHeight="1" spans="1:92">
      <c r="A78" s="1122">
        <v>75</v>
      </c>
      <c r="B78" s="70" t="s">
        <v>324</v>
      </c>
      <c r="C78" s="1122" t="s">
        <v>203</v>
      </c>
      <c r="D78" s="1088" t="s">
        <v>286</v>
      </c>
      <c r="E78" s="1088" t="s">
        <v>276</v>
      </c>
      <c r="F78" s="1124" t="s">
        <v>113</v>
      </c>
      <c r="G78" s="686" t="s">
        <v>325</v>
      </c>
      <c r="H78" s="1125">
        <v>2775651</v>
      </c>
      <c r="I78" s="1125">
        <v>2863233</v>
      </c>
      <c r="J78" s="1125">
        <v>238602.75</v>
      </c>
      <c r="K78" s="1125">
        <v>59650.6875</v>
      </c>
      <c r="L78" s="1125">
        <v>30000</v>
      </c>
      <c r="M78" s="295">
        <v>413255.25</v>
      </c>
      <c r="N78" s="295">
        <f t="shared" si="290"/>
        <v>48213.1125</v>
      </c>
      <c r="O78" s="295">
        <v>5000</v>
      </c>
      <c r="P78" s="295"/>
      <c r="Q78" s="295"/>
      <c r="R78" s="295">
        <v>2500</v>
      </c>
      <c r="S78" s="295"/>
      <c r="T78" s="295"/>
      <c r="U78" s="295"/>
      <c r="V78" s="295"/>
      <c r="W78" s="295"/>
      <c r="X78" s="295"/>
      <c r="Y78" s="295"/>
      <c r="Z78" s="295">
        <v>2500</v>
      </c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1140"/>
      <c r="AM78" s="295">
        <f t="shared" si="294"/>
        <v>8265.105</v>
      </c>
      <c r="AN78" s="295">
        <v>500</v>
      </c>
      <c r="AO78" s="295"/>
      <c r="AP78" s="295">
        <v>61667</v>
      </c>
      <c r="AQ78" s="1149"/>
      <c r="AR78" s="1149"/>
      <c r="AS78" s="1150">
        <v>1000</v>
      </c>
      <c r="AT78" s="1151"/>
      <c r="AU78" s="1149"/>
      <c r="AV78" s="1151"/>
      <c r="AW78" s="1153"/>
      <c r="AX78" s="1153"/>
      <c r="AY78" s="1161">
        <v>2000</v>
      </c>
      <c r="AZ78" s="1149"/>
      <c r="BA78" s="295">
        <v>103333.33</v>
      </c>
      <c r="BB78" s="295"/>
      <c r="BC78" s="295"/>
      <c r="BD78" s="295"/>
      <c r="BE78" s="724">
        <v>1500</v>
      </c>
      <c r="BF78" s="724"/>
      <c r="BG78" s="724"/>
      <c r="BH78" s="724">
        <f t="shared" si="293"/>
        <v>9429.36725</v>
      </c>
      <c r="BI78" s="1166"/>
      <c r="BJ78" s="1166"/>
      <c r="BK78" s="724">
        <v>69188.59</v>
      </c>
      <c r="BL78" s="1167">
        <f t="shared" si="292"/>
        <v>471468.3625</v>
      </c>
      <c r="BM78" s="724">
        <f t="shared" si="311"/>
        <v>256883.39225</v>
      </c>
      <c r="BN78" s="724"/>
      <c r="BO78" s="724"/>
      <c r="BP78" s="724">
        <f t="shared" si="310"/>
        <v>214584.97025</v>
      </c>
      <c r="BQ78" s="1174">
        <f t="shared" si="308"/>
        <v>5657620.35</v>
      </c>
      <c r="BR78" s="306">
        <f t="shared" ref="BR78:BR114" si="313">200000+(0.2*BQ78)</f>
        <v>1331524.07</v>
      </c>
      <c r="BS78" s="307">
        <f t="shared" si="309"/>
        <v>0</v>
      </c>
      <c r="BT78" s="308">
        <f t="shared" ref="BT78:BT114" si="314">SUM(BR78:BS78)</f>
        <v>1331524.07</v>
      </c>
      <c r="BU78" s="313">
        <f t="shared" ref="BU78:BU114" si="315">+BQ78-BT78</f>
        <v>4326096.28</v>
      </c>
      <c r="BV78" s="306"/>
      <c r="BW78" s="307">
        <f t="shared" ref="BW78:BW114" si="316">IF((BU78&gt;0),(IF((BU78&gt;300000),(300000*7%),(BU78*7%))),(BQ78*1%))</f>
        <v>21000</v>
      </c>
      <c r="BX78" s="307">
        <f t="shared" ref="BX78:BX114" si="317">IF((BU78-300000)&gt;0,(IF((BU78&gt;600000),(300000*11%),((BU78-300000)*11%))),(""))</f>
        <v>33000</v>
      </c>
      <c r="BY78" s="307">
        <f t="shared" ref="BY78:BY114" si="318">IF(((BU78-600000)&gt;0),(IF((BU78&gt;1100000),(500000*15%),((BU78-600000)*15%))),(""))</f>
        <v>75000</v>
      </c>
      <c r="BZ78" s="307">
        <f t="shared" ref="BZ78:BZ114" si="319">IF(((BU78-(1100000))&gt;0),(IF((BU78&gt;(1600000)),((500000)*19%),((BU78-(1100000))*19%))),(""))</f>
        <v>95000</v>
      </c>
      <c r="CA78" s="307">
        <f t="shared" ref="CA78:CA114" si="320">IF(((BU78-(1600000))&gt;0),(IF((BU78&gt;(3200000)),((1600000)*21%),((BU78-(1600000))*21%))),(""))</f>
        <v>336000</v>
      </c>
      <c r="CB78" s="307">
        <f t="shared" ref="CB78:CB114" si="321">IF(((BU78-(3200000))&gt;0),(IF((BU78&gt;(3200000)),((BU78-(3200000))*24%),(0))),(""))</f>
        <v>270263.1072</v>
      </c>
      <c r="CC78" s="305">
        <f t="shared" ref="CC78:CC114" si="322">SUM(BW78:CB78)</f>
        <v>830263.1072</v>
      </c>
      <c r="CD78" s="320">
        <f t="shared" ref="CD78:CD114" si="323">1%*BQ78</f>
        <v>56576.2035</v>
      </c>
      <c r="CE78" s="321">
        <f t="shared" ref="CE78:CE114" si="324">MAX(CC78:CD78)</f>
        <v>830263.1072</v>
      </c>
      <c r="CF78" s="322">
        <f t="shared" si="291"/>
        <v>69188.5922666667</v>
      </c>
      <c r="CG78" s="323"/>
      <c r="CH78" s="324"/>
      <c r="CI78" s="325"/>
      <c r="CJ78" s="326"/>
      <c r="CK78" s="1188"/>
      <c r="CL78" s="335"/>
      <c r="CN78" s="1190"/>
    </row>
    <row r="79" s="245" customFormat="1" ht="124" customHeight="1" spans="1:92">
      <c r="A79" s="1122">
        <v>76</v>
      </c>
      <c r="B79" s="70" t="s">
        <v>326</v>
      </c>
      <c r="C79" s="1122" t="s">
        <v>203</v>
      </c>
      <c r="D79" s="1088" t="s">
        <v>120</v>
      </c>
      <c r="E79" s="1088" t="s">
        <v>287</v>
      </c>
      <c r="F79" s="1124" t="s">
        <v>165</v>
      </c>
      <c r="G79" s="686">
        <v>2048397326</v>
      </c>
      <c r="H79" s="1125">
        <v>3125980</v>
      </c>
      <c r="I79" s="1125">
        <v>3125980</v>
      </c>
      <c r="J79" s="1125">
        <v>260498.333333333</v>
      </c>
      <c r="K79" s="1125">
        <v>65124.5833333333</v>
      </c>
      <c r="L79" s="1125">
        <v>30000</v>
      </c>
      <c r="M79" s="295">
        <f>M67</f>
        <v>465589.33</v>
      </c>
      <c r="N79" s="295">
        <f t="shared" si="290"/>
        <v>54318.7551666667</v>
      </c>
      <c r="O79" s="295">
        <v>5000</v>
      </c>
      <c r="P79" s="295"/>
      <c r="Q79" s="295"/>
      <c r="R79" s="295">
        <v>2500</v>
      </c>
      <c r="S79" s="295"/>
      <c r="T79" s="295"/>
      <c r="U79" s="295"/>
      <c r="V79" s="295"/>
      <c r="W79" s="295"/>
      <c r="X79" s="295"/>
      <c r="Y79" s="295"/>
      <c r="Z79" s="295">
        <v>2500</v>
      </c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1140"/>
      <c r="AM79" s="295">
        <f t="shared" si="294"/>
        <v>9311.7866</v>
      </c>
      <c r="AN79" s="295">
        <v>500</v>
      </c>
      <c r="AO79" s="295"/>
      <c r="AP79" s="295">
        <v>10000</v>
      </c>
      <c r="AQ79" s="1149"/>
      <c r="AR79" s="1149"/>
      <c r="AS79" s="1150">
        <v>1000</v>
      </c>
      <c r="AT79" s="1151"/>
      <c r="AU79" s="1212"/>
      <c r="AV79" s="1165"/>
      <c r="AW79" s="1149"/>
      <c r="AX79" s="1149"/>
      <c r="AY79" s="1161"/>
      <c r="AZ79" s="1149"/>
      <c r="BA79" s="295">
        <v>5000</v>
      </c>
      <c r="BB79" s="295"/>
      <c r="BC79" s="295">
        <v>5000</v>
      </c>
      <c r="BD79" s="295">
        <v>10000</v>
      </c>
      <c r="BE79" s="724">
        <v>1500</v>
      </c>
      <c r="BF79" s="724"/>
      <c r="BG79" s="724"/>
      <c r="BH79" s="724">
        <f t="shared" si="293"/>
        <v>10598.1617033333</v>
      </c>
      <c r="BI79" s="1166"/>
      <c r="BJ79" s="1166"/>
      <c r="BK79" s="724">
        <v>80409.02</v>
      </c>
      <c r="BL79" s="1167">
        <f t="shared" si="292"/>
        <v>529908.085166667</v>
      </c>
      <c r="BM79" s="724">
        <f t="shared" si="311"/>
        <v>133318.968303333</v>
      </c>
      <c r="BN79" s="724"/>
      <c r="BO79" s="724"/>
      <c r="BP79" s="724">
        <f t="shared" si="310"/>
        <v>396589.116863333</v>
      </c>
      <c r="BQ79" s="1174">
        <f t="shared" si="308"/>
        <v>6358897.022</v>
      </c>
      <c r="BR79" s="306">
        <f t="shared" si="313"/>
        <v>1471779.4044</v>
      </c>
      <c r="BS79" s="307">
        <f t="shared" si="309"/>
        <v>0</v>
      </c>
      <c r="BT79" s="308">
        <f t="shared" si="314"/>
        <v>1471779.4044</v>
      </c>
      <c r="BU79" s="313">
        <f t="shared" si="315"/>
        <v>4887117.6176</v>
      </c>
      <c r="BV79" s="306"/>
      <c r="BW79" s="307">
        <f t="shared" si="316"/>
        <v>21000</v>
      </c>
      <c r="BX79" s="307">
        <f t="shared" si="317"/>
        <v>33000</v>
      </c>
      <c r="BY79" s="307">
        <f t="shared" si="318"/>
        <v>75000</v>
      </c>
      <c r="BZ79" s="307">
        <f t="shared" si="319"/>
        <v>95000</v>
      </c>
      <c r="CA79" s="307">
        <f t="shared" si="320"/>
        <v>336000</v>
      </c>
      <c r="CB79" s="307">
        <f t="shared" si="321"/>
        <v>404908.228224</v>
      </c>
      <c r="CC79" s="305">
        <f t="shared" si="322"/>
        <v>964908.228224</v>
      </c>
      <c r="CD79" s="320">
        <f t="shared" si="323"/>
        <v>63588.97022</v>
      </c>
      <c r="CE79" s="321">
        <f t="shared" si="324"/>
        <v>964908.228224</v>
      </c>
      <c r="CF79" s="322">
        <f t="shared" si="291"/>
        <v>80409.0190186667</v>
      </c>
      <c r="CG79" s="323"/>
      <c r="CH79" s="324"/>
      <c r="CI79" s="325"/>
      <c r="CJ79" s="326"/>
      <c r="CK79" s="1188"/>
      <c r="CL79" s="335"/>
      <c r="CN79" s="1190"/>
    </row>
    <row r="80" s="245" customFormat="1" ht="134" customHeight="1" spans="1:92">
      <c r="A80" s="1122">
        <v>77</v>
      </c>
      <c r="B80" s="70" t="s">
        <v>327</v>
      </c>
      <c r="C80" s="1123" t="s">
        <v>275</v>
      </c>
      <c r="D80" s="1088" t="s">
        <v>120</v>
      </c>
      <c r="E80" s="1088" t="s">
        <v>276</v>
      </c>
      <c r="F80" s="1124" t="s">
        <v>135</v>
      </c>
      <c r="G80" s="686" t="s">
        <v>328</v>
      </c>
      <c r="H80" s="1125">
        <v>2600486</v>
      </c>
      <c r="I80" s="1125">
        <v>2688069</v>
      </c>
      <c r="J80" s="1125">
        <v>224005.75</v>
      </c>
      <c r="K80" s="1125">
        <v>56001.4375</v>
      </c>
      <c r="L80" s="1125">
        <v>30000</v>
      </c>
      <c r="M80" s="295">
        <v>413255.25</v>
      </c>
      <c r="N80" s="295">
        <f t="shared" si="290"/>
        <v>48213.1125</v>
      </c>
      <c r="O80" s="295">
        <v>5000</v>
      </c>
      <c r="P80" s="295">
        <v>20833.33</v>
      </c>
      <c r="Q80" s="295"/>
      <c r="R80" s="295">
        <v>2500</v>
      </c>
      <c r="S80" s="295">
        <v>192999.01</v>
      </c>
      <c r="T80" s="295"/>
      <c r="U80" s="295"/>
      <c r="V80" s="295"/>
      <c r="W80" s="295"/>
      <c r="X80" s="295"/>
      <c r="Y80" s="295"/>
      <c r="Z80" s="295">
        <v>2500</v>
      </c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1140"/>
      <c r="AM80" s="295">
        <f t="shared" si="294"/>
        <v>8265.105</v>
      </c>
      <c r="AN80" s="295">
        <v>500</v>
      </c>
      <c r="AO80" s="295"/>
      <c r="AP80" s="295">
        <v>5000</v>
      </c>
      <c r="AQ80" s="1149"/>
      <c r="AR80" s="1149"/>
      <c r="AS80" s="1152"/>
      <c r="AT80" s="1149"/>
      <c r="AU80" s="1165">
        <v>10000</v>
      </c>
      <c r="AV80" s="1165">
        <v>5000</v>
      </c>
      <c r="AW80" s="1165"/>
      <c r="AX80" s="1165">
        <v>1000</v>
      </c>
      <c r="AY80" s="1161"/>
      <c r="AZ80" s="1165"/>
      <c r="BA80" s="295">
        <v>60000</v>
      </c>
      <c r="BB80" s="295"/>
      <c r="BC80" s="295">
        <v>3750</v>
      </c>
      <c r="BD80" s="295">
        <v>7500</v>
      </c>
      <c r="BE80" s="724">
        <v>1500</v>
      </c>
      <c r="BF80" s="724"/>
      <c r="BG80" s="724"/>
      <c r="BH80" s="724">
        <f t="shared" si="293"/>
        <v>13706.01405</v>
      </c>
      <c r="BI80" s="1166"/>
      <c r="BJ80" s="1166"/>
      <c r="BK80" s="724">
        <v>77188.46</v>
      </c>
      <c r="BL80" s="1167">
        <f t="shared" si="292"/>
        <v>685300.7025</v>
      </c>
      <c r="BM80" s="724">
        <f t="shared" si="311"/>
        <v>193409.57905</v>
      </c>
      <c r="BN80" s="724"/>
      <c r="BO80" s="724"/>
      <c r="BP80" s="724">
        <f t="shared" si="310"/>
        <v>491891.12345</v>
      </c>
      <c r="BQ80" s="1174">
        <f t="shared" si="308"/>
        <v>8223608.43</v>
      </c>
      <c r="BR80" s="306">
        <f t="shared" si="313"/>
        <v>1844721.686</v>
      </c>
      <c r="BS80" s="307">
        <f t="shared" si="309"/>
        <v>0</v>
      </c>
      <c r="BT80" s="308">
        <f t="shared" si="314"/>
        <v>1844721.686</v>
      </c>
      <c r="BU80" s="313">
        <f t="shared" si="315"/>
        <v>6378886.744</v>
      </c>
      <c r="BV80" s="306"/>
      <c r="BW80" s="307">
        <f t="shared" si="316"/>
        <v>21000</v>
      </c>
      <c r="BX80" s="307">
        <f t="shared" si="317"/>
        <v>33000</v>
      </c>
      <c r="BY80" s="307">
        <f t="shared" si="318"/>
        <v>75000</v>
      </c>
      <c r="BZ80" s="307">
        <f t="shared" si="319"/>
        <v>95000</v>
      </c>
      <c r="CA80" s="307">
        <f t="shared" si="320"/>
        <v>336000</v>
      </c>
      <c r="CB80" s="307">
        <f t="shared" si="321"/>
        <v>762932.81856</v>
      </c>
      <c r="CC80" s="305">
        <f t="shared" si="322"/>
        <v>1322932.81856</v>
      </c>
      <c r="CD80" s="320">
        <f t="shared" si="323"/>
        <v>82236.0843</v>
      </c>
      <c r="CE80" s="321">
        <f t="shared" si="324"/>
        <v>1322932.81856</v>
      </c>
      <c r="CF80" s="322">
        <f t="shared" si="291"/>
        <v>110244.401546667</v>
      </c>
      <c r="CG80" s="323"/>
      <c r="CH80" s="324"/>
      <c r="CI80" s="325"/>
      <c r="CJ80" s="326"/>
      <c r="CK80" s="1188"/>
      <c r="CL80" s="335"/>
      <c r="CN80" s="1190" t="s">
        <v>329</v>
      </c>
    </row>
    <row r="81" s="245" customFormat="1" ht="127" customHeight="1" spans="1:92">
      <c r="A81" s="1122">
        <v>78</v>
      </c>
      <c r="B81" s="70" t="s">
        <v>330</v>
      </c>
      <c r="C81" s="1123" t="s">
        <v>254</v>
      </c>
      <c r="D81" s="1088" t="s">
        <v>238</v>
      </c>
      <c r="E81" s="1088" t="s">
        <v>231</v>
      </c>
      <c r="F81" s="1124" t="s">
        <v>135</v>
      </c>
      <c r="G81" s="686" t="s">
        <v>331</v>
      </c>
      <c r="H81" s="1125">
        <v>4783091</v>
      </c>
      <c r="I81" s="1125">
        <v>4934909</v>
      </c>
      <c r="J81" s="1125">
        <v>411242.416666667</v>
      </c>
      <c r="K81" s="1125">
        <v>102810.604166667</v>
      </c>
      <c r="L81" s="1125">
        <v>30000</v>
      </c>
      <c r="M81" s="295">
        <v>600737.25</v>
      </c>
      <c r="N81" s="295">
        <f t="shared" si="290"/>
        <v>70086.0125</v>
      </c>
      <c r="O81" s="295">
        <v>6666.67</v>
      </c>
      <c r="P81" s="295">
        <v>41666</v>
      </c>
      <c r="Q81" s="295"/>
      <c r="R81" s="295">
        <v>2500</v>
      </c>
      <c r="S81" s="295"/>
      <c r="T81" s="295"/>
      <c r="U81" s="295"/>
      <c r="V81" s="295"/>
      <c r="W81" s="295"/>
      <c r="X81" s="295"/>
      <c r="Y81" s="295"/>
      <c r="Z81" s="295">
        <v>2500</v>
      </c>
      <c r="AA81" s="295"/>
      <c r="AB81" s="295"/>
      <c r="AC81" s="295"/>
      <c r="AD81" s="295"/>
      <c r="AE81" s="295"/>
      <c r="AF81" s="295"/>
      <c r="AG81" s="295"/>
      <c r="AH81" s="295"/>
      <c r="AI81" s="295">
        <v>25000</v>
      </c>
      <c r="AJ81" s="295"/>
      <c r="AK81" s="295"/>
      <c r="AL81" s="1140"/>
      <c r="AM81" s="295">
        <f t="shared" si="294"/>
        <v>12014.745</v>
      </c>
      <c r="AN81" s="295">
        <v>500</v>
      </c>
      <c r="AO81" s="295"/>
      <c r="AP81" s="295">
        <v>130625</v>
      </c>
      <c r="AQ81" s="1149"/>
      <c r="AR81" s="1149"/>
      <c r="AS81" s="1150">
        <v>1000</v>
      </c>
      <c r="AT81" s="1151"/>
      <c r="AU81" s="1163"/>
      <c r="AV81" s="1163"/>
      <c r="AW81" s="1213"/>
      <c r="AX81" s="1213"/>
      <c r="AY81" s="1161"/>
      <c r="AZ81" s="1213"/>
      <c r="BA81" s="295">
        <v>190000</v>
      </c>
      <c r="BB81" s="295"/>
      <c r="BC81" s="295">
        <v>12500</v>
      </c>
      <c r="BD81" s="295">
        <v>25000</v>
      </c>
      <c r="BE81" s="724">
        <v>2500</v>
      </c>
      <c r="BF81" s="724"/>
      <c r="BG81" s="724"/>
      <c r="BH81" s="724">
        <f t="shared" si="293"/>
        <v>14483.11865</v>
      </c>
      <c r="BI81" s="1166"/>
      <c r="BJ81" s="1166"/>
      <c r="BK81" s="724">
        <v>117704.61</v>
      </c>
      <c r="BL81" s="1167">
        <f t="shared" si="292"/>
        <v>724155.9325</v>
      </c>
      <c r="BM81" s="724">
        <f t="shared" si="311"/>
        <v>531327.47365</v>
      </c>
      <c r="BN81" s="724"/>
      <c r="BO81" s="724"/>
      <c r="BP81" s="724">
        <f t="shared" si="310"/>
        <v>192828.45885</v>
      </c>
      <c r="BQ81" s="1174">
        <f t="shared" si="308"/>
        <v>8689871.19</v>
      </c>
      <c r="BR81" s="306">
        <f t="shared" si="313"/>
        <v>1937974.238</v>
      </c>
      <c r="BS81" s="307">
        <f t="shared" si="309"/>
        <v>0</v>
      </c>
      <c r="BT81" s="308">
        <f t="shared" si="314"/>
        <v>1937974.238</v>
      </c>
      <c r="BU81" s="313">
        <f t="shared" si="315"/>
        <v>6751896.952</v>
      </c>
      <c r="BV81" s="306"/>
      <c r="BW81" s="307">
        <f t="shared" si="316"/>
        <v>21000</v>
      </c>
      <c r="BX81" s="307">
        <f t="shared" si="317"/>
        <v>33000</v>
      </c>
      <c r="BY81" s="307">
        <f t="shared" si="318"/>
        <v>75000</v>
      </c>
      <c r="BZ81" s="307">
        <f t="shared" si="319"/>
        <v>95000</v>
      </c>
      <c r="CA81" s="307">
        <f t="shared" si="320"/>
        <v>336000</v>
      </c>
      <c r="CB81" s="307">
        <f t="shared" si="321"/>
        <v>852455.26848</v>
      </c>
      <c r="CC81" s="305">
        <f t="shared" si="322"/>
        <v>1412455.26848</v>
      </c>
      <c r="CD81" s="320">
        <f t="shared" si="323"/>
        <v>86898.7119</v>
      </c>
      <c r="CE81" s="321">
        <f t="shared" si="324"/>
        <v>1412455.26848</v>
      </c>
      <c r="CF81" s="322">
        <f t="shared" si="291"/>
        <v>117704.605706667</v>
      </c>
      <c r="CG81" s="323"/>
      <c r="CH81" s="324"/>
      <c r="CI81" s="325"/>
      <c r="CJ81" s="326"/>
      <c r="CK81" s="1188"/>
      <c r="CL81" s="335"/>
      <c r="CN81" s="1190"/>
    </row>
    <row r="82" s="245" customFormat="1" ht="134" customHeight="1" spans="1:92">
      <c r="A82" s="1122">
        <v>79</v>
      </c>
      <c r="B82" s="1194" t="s">
        <v>332</v>
      </c>
      <c r="C82" s="1194" t="s">
        <v>142</v>
      </c>
      <c r="D82" s="1088" t="s">
        <v>120</v>
      </c>
      <c r="E82" s="1195" t="s">
        <v>333</v>
      </c>
      <c r="F82" s="1196" t="s">
        <v>259</v>
      </c>
      <c r="G82" s="1197">
        <v>6230686439</v>
      </c>
      <c r="H82" s="1198">
        <v>3804852</v>
      </c>
      <c r="I82" s="1198">
        <v>3804852</v>
      </c>
      <c r="J82" s="1198">
        <v>317071</v>
      </c>
      <c r="K82" s="1198">
        <v>79267.75</v>
      </c>
      <c r="L82" s="1198">
        <v>30000</v>
      </c>
      <c r="M82" s="1206">
        <f t="shared" ref="M82:M93" si="325">SUM(J82:L82)</f>
        <v>426338.75</v>
      </c>
      <c r="N82" s="1206">
        <f t="shared" ref="N82" si="326">M82*0.35/3</f>
        <v>49739.5208333333</v>
      </c>
      <c r="O82" s="1206">
        <v>5000</v>
      </c>
      <c r="P82" s="1206"/>
      <c r="Q82" s="1206"/>
      <c r="R82" s="1206">
        <v>2500</v>
      </c>
      <c r="S82" s="1206"/>
      <c r="T82" s="1206"/>
      <c r="U82" s="1206"/>
      <c r="V82" s="1206"/>
      <c r="W82" s="1206"/>
      <c r="X82" s="1206"/>
      <c r="Y82" s="1206"/>
      <c r="Z82" s="1206">
        <v>2500</v>
      </c>
      <c r="AA82" s="1206"/>
      <c r="AB82" s="1206"/>
      <c r="AC82" s="1206"/>
      <c r="AD82" s="1206"/>
      <c r="AE82" s="1206"/>
      <c r="AF82" s="1206"/>
      <c r="AG82" s="1206"/>
      <c r="AH82" s="1206"/>
      <c r="AI82" s="1206"/>
      <c r="AJ82" s="1206"/>
      <c r="AK82" s="1206"/>
      <c r="AL82" s="1208"/>
      <c r="AM82" s="1206">
        <f t="shared" si="294"/>
        <v>8526.775</v>
      </c>
      <c r="AN82" s="1206">
        <v>500</v>
      </c>
      <c r="AO82" s="1206"/>
      <c r="AP82" s="1206"/>
      <c r="AQ82" s="1149"/>
      <c r="AR82" s="1149"/>
      <c r="AS82" s="1152"/>
      <c r="AT82" s="1149"/>
      <c r="AU82" s="1149"/>
      <c r="AV82" s="1151"/>
      <c r="AW82" s="1149"/>
      <c r="AX82" s="1149"/>
      <c r="AY82" s="1165"/>
      <c r="AZ82" s="1153"/>
      <c r="BA82" s="1206">
        <v>0</v>
      </c>
      <c r="BB82" s="1206"/>
      <c r="BC82" s="1206"/>
      <c r="BD82" s="1206"/>
      <c r="BE82" s="1221">
        <v>2000</v>
      </c>
      <c r="BF82" s="1221"/>
      <c r="BG82" s="1221"/>
      <c r="BH82" s="1221">
        <f t="shared" si="293"/>
        <v>9721.56541666667</v>
      </c>
      <c r="BI82" s="1222"/>
      <c r="BJ82" s="1222"/>
      <c r="BK82" s="1221">
        <v>71993.6946666667</v>
      </c>
      <c r="BL82" s="1223">
        <f t="shared" si="292"/>
        <v>486078.270833333</v>
      </c>
      <c r="BM82" s="724">
        <f t="shared" si="311"/>
        <v>92742.0350833334</v>
      </c>
      <c r="BN82" s="1221"/>
      <c r="BO82" s="1221"/>
      <c r="BP82" s="724">
        <f t="shared" si="310"/>
        <v>393336.23575</v>
      </c>
      <c r="BQ82" s="1227">
        <f t="shared" si="308"/>
        <v>5832939.25</v>
      </c>
      <c r="BR82" s="430">
        <f t="shared" ref="BR82" si="327">200000+(0.2*BQ82)</f>
        <v>1366587.85</v>
      </c>
      <c r="BS82" s="307">
        <f t="shared" si="309"/>
        <v>0</v>
      </c>
      <c r="BT82" s="308">
        <f t="shared" ref="BT82" si="328">SUM(BR82:BS82)</f>
        <v>1366587.85</v>
      </c>
      <c r="BU82" s="313">
        <f t="shared" ref="BU82" si="329">+BQ82-BT82</f>
        <v>4466351.4</v>
      </c>
      <c r="BV82" s="430"/>
      <c r="BW82" s="307">
        <f t="shared" ref="BW82" si="330">IF((BU82&gt;0),(IF((BU82&gt;300000),(300000*7%),(BU82*7%))),(BQ82*1%))</f>
        <v>21000</v>
      </c>
      <c r="BX82" s="307">
        <f t="shared" ref="BX82" si="331">IF((BU82-300000)&gt;0,(IF((BU82&gt;600000),(300000*11%),((BU82-300000)*11%))),(""))</f>
        <v>33000</v>
      </c>
      <c r="BY82" s="307">
        <f t="shared" ref="BY82" si="332">IF(((BU82-600000)&gt;0),(IF((BU82&gt;1100000),(500000*15%),((BU82-600000)*15%))),(""))</f>
        <v>75000</v>
      </c>
      <c r="BZ82" s="307">
        <f t="shared" ref="BZ82" si="333">IF(((BU82-(1100000))&gt;0),(IF((BU82&gt;(1600000)),((500000)*19%),((BU82-(1100000))*19%))),(""))</f>
        <v>95000</v>
      </c>
      <c r="CA82" s="307">
        <f t="shared" ref="CA82" si="334">IF(((BU82-(1600000))&gt;0),(IF((BU82&gt;(3200000)),((1600000)*21%),((BU82-(1600000))*21%))),(""))</f>
        <v>336000</v>
      </c>
      <c r="CB82" s="307">
        <f t="shared" ref="CB82" si="335">IF(((BU82-(3200000))&gt;0),(IF((BU82&gt;(3200000)),((BU82-(3200000))*24%),(0))),(""))</f>
        <v>303924.336</v>
      </c>
      <c r="CC82" s="429">
        <f t="shared" ref="CC82" si="336">SUM(BW82:CB82)</f>
        <v>863924.336</v>
      </c>
      <c r="CD82" s="320">
        <f t="shared" ref="CD82" si="337">1%*BQ82</f>
        <v>58329.3925</v>
      </c>
      <c r="CE82" s="321">
        <f t="shared" ref="CE82" si="338">MAX(CC82:CD82)</f>
        <v>863924.336</v>
      </c>
      <c r="CF82" s="322">
        <f t="shared" ref="CF82" si="339">+CE82/12</f>
        <v>71993.6946666667</v>
      </c>
      <c r="CG82" s="1240"/>
      <c r="CH82" s="1241"/>
      <c r="CI82" s="325"/>
      <c r="CJ82" s="326"/>
      <c r="CK82" s="1188"/>
      <c r="CL82" s="335"/>
      <c r="CN82" s="1189"/>
    </row>
    <row r="83" s="1098" customFormat="1" ht="127" customHeight="1" spans="1:92">
      <c r="A83" s="1122">
        <v>80</v>
      </c>
      <c r="B83" s="70" t="s">
        <v>334</v>
      </c>
      <c r="C83" s="1123" t="s">
        <v>177</v>
      </c>
      <c r="D83" s="1088" t="s">
        <v>335</v>
      </c>
      <c r="E83" s="1088" t="s">
        <v>231</v>
      </c>
      <c r="F83" s="1124" t="s">
        <v>135</v>
      </c>
      <c r="G83" s="686" t="s">
        <v>336</v>
      </c>
      <c r="H83" s="1125">
        <v>4327636</v>
      </c>
      <c r="I83" s="1125">
        <v>4327636</v>
      </c>
      <c r="J83" s="1125">
        <v>360636.333333333</v>
      </c>
      <c r="K83" s="1125">
        <v>90159.0833333333</v>
      </c>
      <c r="L83" s="1125">
        <v>30000</v>
      </c>
      <c r="M83" s="295">
        <v>600737.25</v>
      </c>
      <c r="N83" s="295">
        <f t="shared" si="290"/>
        <v>70086.0125</v>
      </c>
      <c r="O83" s="295">
        <v>6666.67</v>
      </c>
      <c r="P83" s="295">
        <v>41667</v>
      </c>
      <c r="Q83" s="295"/>
      <c r="R83" s="295">
        <v>2500</v>
      </c>
      <c r="T83" s="295"/>
      <c r="U83" s="295"/>
      <c r="V83" s="295"/>
      <c r="W83" s="295"/>
      <c r="X83" s="295"/>
      <c r="Y83" s="295"/>
      <c r="Z83" s="295">
        <v>2500</v>
      </c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1140"/>
      <c r="AM83" s="295">
        <f t="shared" si="294"/>
        <v>12014.745</v>
      </c>
      <c r="AN83" s="295">
        <v>500</v>
      </c>
      <c r="AO83" s="295"/>
      <c r="AP83" s="295"/>
      <c r="AQ83" s="1213"/>
      <c r="AR83" s="1213"/>
      <c r="AS83" s="1214"/>
      <c r="AT83" s="1213"/>
      <c r="AU83" s="1213"/>
      <c r="AV83" s="1163"/>
      <c r="AW83" s="1163">
        <v>1000</v>
      </c>
      <c r="AX83" s="1163"/>
      <c r="AY83" s="1161"/>
      <c r="AZ83" s="1163"/>
      <c r="BA83" s="295">
        <v>0</v>
      </c>
      <c r="BB83" s="295"/>
      <c r="BC83" s="295">
        <v>7500</v>
      </c>
      <c r="BD83" s="295">
        <v>15000</v>
      </c>
      <c r="BE83" s="724">
        <v>2500</v>
      </c>
      <c r="BF83" s="724"/>
      <c r="BG83" s="724"/>
      <c r="BH83" s="724">
        <f t="shared" si="293"/>
        <v>18343.11885</v>
      </c>
      <c r="BI83" s="1166"/>
      <c r="BJ83" s="1166"/>
      <c r="BK83" s="724">
        <v>117704.8</v>
      </c>
      <c r="BL83" s="1167">
        <f>M83+N83+O83+P83+R83+S80+T83+U83+V83+W83+Y83+Z83+AA83</f>
        <v>917155.9425</v>
      </c>
      <c r="BM83" s="724">
        <f t="shared" si="311"/>
        <v>174562.66385</v>
      </c>
      <c r="BN83" s="724"/>
      <c r="BO83" s="724"/>
      <c r="BP83" s="724">
        <f t="shared" si="310"/>
        <v>742593.27865</v>
      </c>
      <c r="BQ83" s="1228">
        <f t="shared" si="308"/>
        <v>11005871.31</v>
      </c>
      <c r="BR83" s="1229">
        <f t="shared" si="313"/>
        <v>2401174.262</v>
      </c>
      <c r="BS83" s="1230">
        <f t="shared" si="309"/>
        <v>0</v>
      </c>
      <c r="BT83" s="1231">
        <f t="shared" si="314"/>
        <v>2401174.262</v>
      </c>
      <c r="BU83" s="1238">
        <f t="shared" si="315"/>
        <v>8604697.048</v>
      </c>
      <c r="BV83" s="1229"/>
      <c r="BW83" s="1230">
        <f t="shared" si="316"/>
        <v>21000</v>
      </c>
      <c r="BX83" s="1230">
        <f t="shared" si="317"/>
        <v>33000</v>
      </c>
      <c r="BY83" s="1230">
        <f t="shared" si="318"/>
        <v>75000</v>
      </c>
      <c r="BZ83" s="1230">
        <f t="shared" si="319"/>
        <v>95000</v>
      </c>
      <c r="CA83" s="1230">
        <f t="shared" si="320"/>
        <v>336000</v>
      </c>
      <c r="CB83" s="1230">
        <f t="shared" si="321"/>
        <v>1297127.29152</v>
      </c>
      <c r="CC83" s="1242">
        <f t="shared" si="322"/>
        <v>1857127.29152</v>
      </c>
      <c r="CD83" s="1243">
        <f t="shared" si="323"/>
        <v>110058.7131</v>
      </c>
      <c r="CE83" s="1244">
        <f t="shared" si="324"/>
        <v>1857127.29152</v>
      </c>
      <c r="CF83" s="1245">
        <f t="shared" si="291"/>
        <v>154760.607626667</v>
      </c>
      <c r="CG83" s="1246"/>
      <c r="CH83" s="324"/>
      <c r="CI83" s="1247"/>
      <c r="CJ83" s="1248"/>
      <c r="CK83" s="1259"/>
      <c r="CL83" s="1260"/>
      <c r="CN83" s="1190"/>
    </row>
    <row r="84" s="245" customFormat="1" ht="135" customHeight="1" spans="1:92">
      <c r="A84" s="1122">
        <v>81</v>
      </c>
      <c r="B84" s="70" t="s">
        <v>337</v>
      </c>
      <c r="C84" s="1123" t="s">
        <v>133</v>
      </c>
      <c r="D84" s="1088" t="s">
        <v>143</v>
      </c>
      <c r="E84" s="1088" t="s">
        <v>338</v>
      </c>
      <c r="F84" s="1124" t="s">
        <v>93</v>
      </c>
      <c r="G84" s="686">
        <v>2022988252</v>
      </c>
      <c r="H84" s="1125">
        <v>3679250</v>
      </c>
      <c r="I84" s="1125">
        <v>3804852</v>
      </c>
      <c r="J84" s="1125">
        <v>317071</v>
      </c>
      <c r="K84" s="1125">
        <v>79267.75</v>
      </c>
      <c r="L84" s="1125">
        <v>30000</v>
      </c>
      <c r="M84" s="295">
        <v>439422.33</v>
      </c>
      <c r="N84" s="295">
        <f t="shared" si="290"/>
        <v>51265.9385</v>
      </c>
      <c r="O84" s="295">
        <v>5000</v>
      </c>
      <c r="P84" s="295">
        <v>20833.33</v>
      </c>
      <c r="Q84" s="295"/>
      <c r="R84" s="295">
        <f>2500</f>
        <v>2500</v>
      </c>
      <c r="S84" s="295"/>
      <c r="T84" s="295"/>
      <c r="U84" s="295"/>
      <c r="V84" s="295"/>
      <c r="W84" s="295"/>
      <c r="X84" s="295"/>
      <c r="Y84" s="295"/>
      <c r="Z84" s="295">
        <v>2500</v>
      </c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1140"/>
      <c r="AM84" s="295">
        <f t="shared" si="294"/>
        <v>8788.4466</v>
      </c>
      <c r="AN84" s="295">
        <v>500</v>
      </c>
      <c r="AO84" s="295"/>
      <c r="AP84" s="295"/>
      <c r="AQ84" s="1151">
        <v>1000</v>
      </c>
      <c r="AR84" s="1151"/>
      <c r="AS84" s="1150"/>
      <c r="AT84" s="1151"/>
      <c r="AU84" s="1151"/>
      <c r="AV84" s="1151"/>
      <c r="AW84" s="1151"/>
      <c r="AX84" s="1151"/>
      <c r="AY84" s="1161"/>
      <c r="AZ84" s="1151"/>
      <c r="BA84" s="295">
        <v>20000</v>
      </c>
      <c r="BB84" s="295"/>
      <c r="BC84" s="295">
        <f>BD84/2</f>
        <v>4166.665</v>
      </c>
      <c r="BD84" s="295">
        <v>8333.33</v>
      </c>
      <c r="BE84" s="724">
        <v>2000</v>
      </c>
      <c r="BF84" s="724"/>
      <c r="BG84" s="724"/>
      <c r="BH84" s="724">
        <f t="shared" si="293"/>
        <v>10430.43197</v>
      </c>
      <c r="BI84" s="1166"/>
      <c r="BJ84" s="1166"/>
      <c r="BK84" s="724">
        <v>78798.81</v>
      </c>
      <c r="BL84" s="1167">
        <f t="shared" si="292"/>
        <v>521521.5985</v>
      </c>
      <c r="BM84" s="724">
        <f t="shared" si="311"/>
        <v>134017.68357</v>
      </c>
      <c r="BN84" s="724"/>
      <c r="BO84" s="724"/>
      <c r="BP84" s="724">
        <f t="shared" si="310"/>
        <v>387503.91493</v>
      </c>
      <c r="BQ84" s="1174">
        <f t="shared" si="308"/>
        <v>6258259.182</v>
      </c>
      <c r="BR84" s="306">
        <f t="shared" si="313"/>
        <v>1451651.8364</v>
      </c>
      <c r="BS84" s="307">
        <f t="shared" si="309"/>
        <v>0</v>
      </c>
      <c r="BT84" s="308">
        <f t="shared" si="314"/>
        <v>1451651.8364</v>
      </c>
      <c r="BU84" s="313">
        <f t="shared" si="315"/>
        <v>4806607.3456</v>
      </c>
      <c r="BV84" s="306"/>
      <c r="BW84" s="307">
        <f t="shared" si="316"/>
        <v>21000</v>
      </c>
      <c r="BX84" s="307">
        <f t="shared" si="317"/>
        <v>33000</v>
      </c>
      <c r="BY84" s="307">
        <f t="shared" si="318"/>
        <v>75000</v>
      </c>
      <c r="BZ84" s="307">
        <f t="shared" si="319"/>
        <v>95000</v>
      </c>
      <c r="CA84" s="307">
        <f t="shared" si="320"/>
        <v>336000</v>
      </c>
      <c r="CB84" s="307">
        <f t="shared" si="321"/>
        <v>385585.762944</v>
      </c>
      <c r="CC84" s="305">
        <f t="shared" si="322"/>
        <v>945585.762944</v>
      </c>
      <c r="CD84" s="320">
        <f t="shared" si="323"/>
        <v>62582.59182</v>
      </c>
      <c r="CE84" s="321">
        <f t="shared" si="324"/>
        <v>945585.762944</v>
      </c>
      <c r="CF84" s="322">
        <f t="shared" si="291"/>
        <v>78798.8135786667</v>
      </c>
      <c r="CG84" s="323"/>
      <c r="CH84" s="324"/>
      <c r="CI84" s="325"/>
      <c r="CJ84" s="326"/>
      <c r="CK84" s="1188"/>
      <c r="CL84" s="335"/>
      <c r="CN84" s="1189"/>
    </row>
    <row r="85" s="245" customFormat="1" ht="131" customHeight="1" spans="1:92">
      <c r="A85" s="1122">
        <v>82</v>
      </c>
      <c r="B85" s="70" t="s">
        <v>339</v>
      </c>
      <c r="C85" s="1123" t="s">
        <v>133</v>
      </c>
      <c r="D85" s="1088" t="s">
        <v>340</v>
      </c>
      <c r="E85" s="1088" t="s">
        <v>251</v>
      </c>
      <c r="F85" s="1124" t="s">
        <v>135</v>
      </c>
      <c r="G85" s="686" t="s">
        <v>341</v>
      </c>
      <c r="H85" s="1125">
        <f>M85*12</f>
        <v>9356702.4</v>
      </c>
      <c r="I85" s="1125"/>
      <c r="J85" s="1125">
        <v>555352</v>
      </c>
      <c r="K85" s="1125">
        <v>194373.2</v>
      </c>
      <c r="L85" s="1125">
        <v>30000</v>
      </c>
      <c r="M85" s="295">
        <f t="shared" si="325"/>
        <v>779725.2</v>
      </c>
      <c r="N85" s="295">
        <f t="shared" ref="N85:N99" si="340">M85*0.35/3</f>
        <v>90967.94</v>
      </c>
      <c r="O85" s="295">
        <f>O4</f>
        <v>8333.33</v>
      </c>
      <c r="P85" s="295"/>
      <c r="Q85" s="295"/>
      <c r="R85" s="295">
        <v>2500</v>
      </c>
      <c r="S85" s="295"/>
      <c r="T85" s="295"/>
      <c r="U85" s="295"/>
      <c r="V85" s="295"/>
      <c r="W85" s="295"/>
      <c r="X85" s="295"/>
      <c r="Y85" s="295"/>
      <c r="Z85" s="295">
        <v>2500</v>
      </c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1140"/>
      <c r="AM85" s="295">
        <f t="shared" si="294"/>
        <v>15594.504</v>
      </c>
      <c r="AN85" s="295">
        <v>500</v>
      </c>
      <c r="AO85" s="295"/>
      <c r="AP85" s="295">
        <v>135000</v>
      </c>
      <c r="AQ85" s="1151">
        <v>1000</v>
      </c>
      <c r="AR85" s="1151"/>
      <c r="AS85" s="1150"/>
      <c r="AT85" s="1151"/>
      <c r="AU85" s="1151"/>
      <c r="AV85" s="1151"/>
      <c r="AW85" s="1151"/>
      <c r="AX85" s="1151"/>
      <c r="AY85" s="1161"/>
      <c r="AZ85" s="1151"/>
      <c r="BA85" s="295">
        <v>522222.196666667</v>
      </c>
      <c r="BB85" s="295"/>
      <c r="BC85" s="295">
        <v>12500</v>
      </c>
      <c r="BD85" s="295">
        <v>25000</v>
      </c>
      <c r="BE85" s="724">
        <v>3500</v>
      </c>
      <c r="BF85" s="724"/>
      <c r="BG85" s="724"/>
      <c r="BH85" s="724">
        <f t="shared" si="293"/>
        <v>17680.5294</v>
      </c>
      <c r="BI85" s="1166"/>
      <c r="BJ85" s="1166"/>
      <c r="BK85" s="724">
        <v>148399.75</v>
      </c>
      <c r="BL85" s="1167">
        <f t="shared" si="292"/>
        <v>884026.47</v>
      </c>
      <c r="BM85" s="724">
        <f t="shared" si="311"/>
        <v>881396.980066667</v>
      </c>
      <c r="BN85" s="724"/>
      <c r="BO85" s="724"/>
      <c r="BP85" s="724">
        <f t="shared" si="310"/>
        <v>2629.48993333324</v>
      </c>
      <c r="BQ85" s="1174">
        <f t="shared" si="308"/>
        <v>10608317.64</v>
      </c>
      <c r="BR85" s="306">
        <f t="shared" si="313"/>
        <v>2321663.528</v>
      </c>
      <c r="BS85" s="307">
        <f t="shared" si="309"/>
        <v>0</v>
      </c>
      <c r="BT85" s="308">
        <f t="shared" si="314"/>
        <v>2321663.528</v>
      </c>
      <c r="BU85" s="313">
        <f t="shared" si="315"/>
        <v>8286654.112</v>
      </c>
      <c r="BV85" s="306"/>
      <c r="BW85" s="307">
        <f t="shared" si="316"/>
        <v>21000</v>
      </c>
      <c r="BX85" s="307">
        <f t="shared" si="317"/>
        <v>33000</v>
      </c>
      <c r="BY85" s="307">
        <f t="shared" si="318"/>
        <v>75000</v>
      </c>
      <c r="BZ85" s="307">
        <f t="shared" si="319"/>
        <v>95000</v>
      </c>
      <c r="CA85" s="307">
        <f t="shared" si="320"/>
        <v>336000</v>
      </c>
      <c r="CB85" s="307">
        <f t="shared" si="321"/>
        <v>1220796.98688</v>
      </c>
      <c r="CC85" s="305">
        <f t="shared" si="322"/>
        <v>1780796.98688</v>
      </c>
      <c r="CD85" s="320">
        <f t="shared" si="323"/>
        <v>106083.1764</v>
      </c>
      <c r="CE85" s="321">
        <f t="shared" si="324"/>
        <v>1780796.98688</v>
      </c>
      <c r="CF85" s="322">
        <f t="shared" si="291"/>
        <v>148399.748906667</v>
      </c>
      <c r="CG85" s="323"/>
      <c r="CH85" s="324"/>
      <c r="CI85" s="325"/>
      <c r="CJ85" s="326"/>
      <c r="CK85" s="1188"/>
      <c r="CL85" s="335"/>
      <c r="CN85" s="1189"/>
    </row>
    <row r="86" s="245" customFormat="1" ht="135" customHeight="1" spans="1:92">
      <c r="A86" s="1122">
        <v>83</v>
      </c>
      <c r="B86" s="70" t="s">
        <v>342</v>
      </c>
      <c r="C86" s="1123" t="s">
        <v>185</v>
      </c>
      <c r="D86" s="1088" t="s">
        <v>340</v>
      </c>
      <c r="E86" s="1088" t="s">
        <v>343</v>
      </c>
      <c r="F86" s="1124" t="s">
        <v>113</v>
      </c>
      <c r="G86" s="686" t="s">
        <v>344</v>
      </c>
      <c r="H86" s="1125">
        <f>M86*12</f>
        <v>8640741.96</v>
      </c>
      <c r="I86" s="1125"/>
      <c r="J86" s="1125">
        <v>555352</v>
      </c>
      <c r="K86" s="1125">
        <v>194373.2</v>
      </c>
      <c r="L86" s="1125">
        <v>30000</v>
      </c>
      <c r="M86" s="295">
        <v>720061.83</v>
      </c>
      <c r="N86" s="295">
        <f t="shared" ref="N86:N87" si="341">M86*0.35/3</f>
        <v>84007.2135</v>
      </c>
      <c r="O86" s="295">
        <v>8333.33</v>
      </c>
      <c r="P86" s="295">
        <v>20833.33</v>
      </c>
      <c r="Q86" s="295"/>
      <c r="R86" s="295">
        <v>2500</v>
      </c>
      <c r="S86" s="295"/>
      <c r="T86" s="295"/>
      <c r="U86" s="295"/>
      <c r="V86" s="295"/>
      <c r="W86" s="295"/>
      <c r="X86" s="295"/>
      <c r="Y86" s="295"/>
      <c r="Z86" s="295">
        <v>2500</v>
      </c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1140"/>
      <c r="AM86" s="295">
        <f t="shared" ref="AM86" si="342">M86*0.02</f>
        <v>14401.2366</v>
      </c>
      <c r="AN86" s="295">
        <v>500</v>
      </c>
      <c r="AO86" s="295"/>
      <c r="AP86" s="295"/>
      <c r="AQ86" s="1151"/>
      <c r="AR86" s="1151"/>
      <c r="AS86" s="1150"/>
      <c r="AT86" s="1151"/>
      <c r="AU86" s="1151"/>
      <c r="AV86" s="1151"/>
      <c r="AW86" s="1151"/>
      <c r="AX86" s="1151"/>
      <c r="AY86" s="1161"/>
      <c r="AZ86" s="1151"/>
      <c r="BA86" s="295">
        <v>50000</v>
      </c>
      <c r="BB86" s="295"/>
      <c r="BC86" s="295">
        <v>12500</v>
      </c>
      <c r="BD86" s="295">
        <v>25000</v>
      </c>
      <c r="BE86" s="724">
        <v>3500</v>
      </c>
      <c r="BF86" s="724"/>
      <c r="BG86" s="724"/>
      <c r="BH86" s="724">
        <f t="shared" ref="BH86" si="343">BL86*0.02</f>
        <v>16764.71407</v>
      </c>
      <c r="BI86" s="1166"/>
      <c r="BJ86" s="1166"/>
      <c r="BK86" s="724">
        <v>139607.92</v>
      </c>
      <c r="BL86" s="1167">
        <f t="shared" si="292"/>
        <v>838235.7035</v>
      </c>
      <c r="BM86" s="724">
        <f t="shared" si="311"/>
        <v>262273.87067</v>
      </c>
      <c r="BN86" s="724"/>
      <c r="BO86" s="724"/>
      <c r="BP86" s="724">
        <f t="shared" si="310"/>
        <v>575961.83283</v>
      </c>
      <c r="BQ86" s="1174"/>
      <c r="BR86" s="306"/>
      <c r="BS86" s="307"/>
      <c r="BT86" s="308"/>
      <c r="BU86" s="313"/>
      <c r="BV86" s="306"/>
      <c r="BW86" s="307"/>
      <c r="BX86" s="307"/>
      <c r="BY86" s="307"/>
      <c r="BZ86" s="307"/>
      <c r="CA86" s="307"/>
      <c r="CB86" s="307"/>
      <c r="CC86" s="305"/>
      <c r="CD86" s="320"/>
      <c r="CE86" s="321"/>
      <c r="CF86" s="322"/>
      <c r="CG86" s="323"/>
      <c r="CH86" s="324"/>
      <c r="CI86" s="325"/>
      <c r="CJ86" s="326"/>
      <c r="CK86" s="1188"/>
      <c r="CL86" s="335"/>
      <c r="CN86" s="1189"/>
    </row>
    <row r="87" s="245" customFormat="1" ht="126" customHeight="1" spans="1:92">
      <c r="A87" s="1122">
        <v>84</v>
      </c>
      <c r="B87" s="70" t="s">
        <v>345</v>
      </c>
      <c r="C87" s="1123" t="s">
        <v>346</v>
      </c>
      <c r="D87" s="1088" t="s">
        <v>138</v>
      </c>
      <c r="E87" s="1088" t="s">
        <v>347</v>
      </c>
      <c r="F87" s="1124" t="s">
        <v>127</v>
      </c>
      <c r="G87" s="686" t="s">
        <v>348</v>
      </c>
      <c r="H87" s="1125">
        <v>4631272</v>
      </c>
      <c r="I87" s="1125">
        <v>4783091</v>
      </c>
      <c r="J87" s="1125">
        <v>398590.916666667</v>
      </c>
      <c r="K87" s="1125">
        <v>99647.7291666667</v>
      </c>
      <c r="L87" s="1125">
        <v>30000</v>
      </c>
      <c r="M87" s="295">
        <v>544053</v>
      </c>
      <c r="N87" s="295">
        <f t="shared" si="341"/>
        <v>63472.85</v>
      </c>
      <c r="O87" s="295">
        <v>6666.67</v>
      </c>
      <c r="P87" s="295">
        <v>41667</v>
      </c>
      <c r="Q87" s="295"/>
      <c r="R87" s="295">
        <v>2500</v>
      </c>
      <c r="S87" s="295"/>
      <c r="T87" s="295"/>
      <c r="U87" s="295"/>
      <c r="V87" s="295"/>
      <c r="W87" s="295"/>
      <c r="X87" s="295"/>
      <c r="Y87" s="295"/>
      <c r="Z87" s="295">
        <v>2500</v>
      </c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1140"/>
      <c r="AM87" s="295">
        <f t="shared" si="294"/>
        <v>10881.06</v>
      </c>
      <c r="AN87" s="295">
        <v>500</v>
      </c>
      <c r="AO87" s="295"/>
      <c r="AP87" s="295"/>
      <c r="AQ87" s="1149"/>
      <c r="AR87" s="1149"/>
      <c r="AS87" s="1152"/>
      <c r="AT87" s="1149"/>
      <c r="AU87" s="1153"/>
      <c r="AV87" s="1151"/>
      <c r="AW87" s="1151"/>
      <c r="AX87" s="1151">
        <v>1000</v>
      </c>
      <c r="AY87" s="1161"/>
      <c r="AZ87" s="1151"/>
      <c r="BA87" s="295">
        <v>201960</v>
      </c>
      <c r="BB87" s="295"/>
      <c r="BC87" s="295">
        <v>12500</v>
      </c>
      <c r="BD87" s="295">
        <v>25000</v>
      </c>
      <c r="BE87" s="724">
        <v>2500</v>
      </c>
      <c r="BF87" s="724"/>
      <c r="BG87" s="724"/>
      <c r="BH87" s="724">
        <f t="shared" si="293"/>
        <v>13217.1904</v>
      </c>
      <c r="BI87" s="1166"/>
      <c r="BJ87" s="1166"/>
      <c r="BK87" s="724">
        <v>105551.69</v>
      </c>
      <c r="BL87" s="1167">
        <f t="shared" si="292"/>
        <v>660859.52</v>
      </c>
      <c r="BM87" s="724">
        <f t="shared" si="311"/>
        <v>373109.9404</v>
      </c>
      <c r="BN87" s="724"/>
      <c r="BO87" s="724"/>
      <c r="BP87" s="724">
        <f t="shared" si="310"/>
        <v>287749.5796</v>
      </c>
      <c r="BQ87" s="1174">
        <f t="shared" si="308"/>
        <v>7930314.24</v>
      </c>
      <c r="BR87" s="306">
        <f t="shared" si="313"/>
        <v>1786062.848</v>
      </c>
      <c r="BS87" s="307">
        <f t="shared" si="309"/>
        <v>0</v>
      </c>
      <c r="BT87" s="308">
        <f t="shared" si="314"/>
        <v>1786062.848</v>
      </c>
      <c r="BU87" s="313">
        <f t="shared" si="315"/>
        <v>6144251.392</v>
      </c>
      <c r="BV87" s="306"/>
      <c r="BW87" s="307">
        <f t="shared" si="316"/>
        <v>21000</v>
      </c>
      <c r="BX87" s="307">
        <f t="shared" si="317"/>
        <v>33000</v>
      </c>
      <c r="BY87" s="307">
        <f t="shared" si="318"/>
        <v>75000</v>
      </c>
      <c r="BZ87" s="307">
        <f t="shared" si="319"/>
        <v>95000</v>
      </c>
      <c r="CA87" s="307">
        <f t="shared" si="320"/>
        <v>336000</v>
      </c>
      <c r="CB87" s="307">
        <f t="shared" si="321"/>
        <v>706620.33408</v>
      </c>
      <c r="CC87" s="305">
        <f t="shared" si="322"/>
        <v>1266620.33408</v>
      </c>
      <c r="CD87" s="320">
        <f t="shared" si="323"/>
        <v>79303.1424</v>
      </c>
      <c r="CE87" s="321">
        <f t="shared" si="324"/>
        <v>1266620.33408</v>
      </c>
      <c r="CF87" s="322">
        <f t="shared" si="291"/>
        <v>105551.694506667</v>
      </c>
      <c r="CG87" s="323"/>
      <c r="CH87" s="324"/>
      <c r="CI87" s="325"/>
      <c r="CJ87" s="326"/>
      <c r="CK87" s="1188"/>
      <c r="CL87" s="335"/>
      <c r="CN87" s="1189"/>
    </row>
    <row r="88" s="245" customFormat="1" ht="135" customHeight="1" spans="1:92">
      <c r="A88" s="1122">
        <v>85</v>
      </c>
      <c r="B88" s="70" t="s">
        <v>349</v>
      </c>
      <c r="C88" s="1123" t="s">
        <v>90</v>
      </c>
      <c r="D88" s="1088" t="s">
        <v>130</v>
      </c>
      <c r="E88" s="1088" t="s">
        <v>269</v>
      </c>
      <c r="F88" s="1124" t="s">
        <v>135</v>
      </c>
      <c r="G88" s="686" t="s">
        <v>350</v>
      </c>
      <c r="H88" s="1125">
        <f>M88*12</f>
        <v>3829563.96</v>
      </c>
      <c r="I88" s="1125">
        <v>2600486</v>
      </c>
      <c r="J88" s="1125">
        <v>224005.75</v>
      </c>
      <c r="K88" s="1125">
        <v>56001.4375</v>
      </c>
      <c r="L88" s="1125">
        <v>30000</v>
      </c>
      <c r="M88" s="295">
        <v>319130.33</v>
      </c>
      <c r="N88" s="295">
        <f t="shared" si="340"/>
        <v>37231.8718333333</v>
      </c>
      <c r="O88" s="295">
        <v>5000</v>
      </c>
      <c r="P88" s="295"/>
      <c r="Q88" s="295"/>
      <c r="R88" s="295">
        <v>2500</v>
      </c>
      <c r="S88" s="295"/>
      <c r="T88" s="295"/>
      <c r="U88" s="295"/>
      <c r="V88" s="295"/>
      <c r="W88" s="295"/>
      <c r="X88" s="295"/>
      <c r="Y88" s="295"/>
      <c r="Z88" s="295">
        <v>2500</v>
      </c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1140"/>
      <c r="AM88" s="295">
        <f t="shared" si="294"/>
        <v>6382.6066</v>
      </c>
      <c r="AN88" s="295">
        <v>500</v>
      </c>
      <c r="AO88" s="295"/>
      <c r="AP88" s="295"/>
      <c r="AQ88" s="1149"/>
      <c r="AR88" s="1149"/>
      <c r="AS88" s="1150">
        <v>1000</v>
      </c>
      <c r="AT88" s="1151"/>
      <c r="AU88" s="1149"/>
      <c r="AV88" s="1151"/>
      <c r="AW88" s="1149"/>
      <c r="AX88" s="1149"/>
      <c r="AY88" s="1161"/>
      <c r="AZ88" s="1149"/>
      <c r="BA88" s="295">
        <v>35000</v>
      </c>
      <c r="BB88" s="295"/>
      <c r="BC88" s="295"/>
      <c r="BD88" s="295"/>
      <c r="BE88" s="724">
        <v>1500</v>
      </c>
      <c r="BF88" s="724"/>
      <c r="BG88" s="724"/>
      <c r="BH88" s="724">
        <f t="shared" si="293"/>
        <v>7327.24403666667</v>
      </c>
      <c r="BI88" s="1166"/>
      <c r="BJ88" s="1166"/>
      <c r="BK88" s="724">
        <v>49008.21</v>
      </c>
      <c r="BL88" s="1167">
        <f t="shared" si="292"/>
        <v>366362.201833333</v>
      </c>
      <c r="BM88" s="724">
        <f t="shared" si="311"/>
        <v>100718.060636667</v>
      </c>
      <c r="BN88" s="724"/>
      <c r="BO88" s="724"/>
      <c r="BP88" s="724">
        <f t="shared" si="310"/>
        <v>265644.141196667</v>
      </c>
      <c r="BQ88" s="1174">
        <f t="shared" si="308"/>
        <v>4396346.422</v>
      </c>
      <c r="BR88" s="306">
        <f t="shared" si="313"/>
        <v>1079269.2844</v>
      </c>
      <c r="BS88" s="307">
        <f t="shared" si="309"/>
        <v>0</v>
      </c>
      <c r="BT88" s="308">
        <f t="shared" si="314"/>
        <v>1079269.2844</v>
      </c>
      <c r="BU88" s="313">
        <f t="shared" si="315"/>
        <v>3317077.1376</v>
      </c>
      <c r="BV88" s="306"/>
      <c r="BW88" s="307">
        <f t="shared" si="316"/>
        <v>21000</v>
      </c>
      <c r="BX88" s="307">
        <f t="shared" si="317"/>
        <v>33000</v>
      </c>
      <c r="BY88" s="307">
        <f t="shared" si="318"/>
        <v>75000</v>
      </c>
      <c r="BZ88" s="307">
        <f t="shared" si="319"/>
        <v>95000</v>
      </c>
      <c r="CA88" s="307">
        <f t="shared" si="320"/>
        <v>336000</v>
      </c>
      <c r="CB88" s="307">
        <f t="shared" si="321"/>
        <v>28098.513024</v>
      </c>
      <c r="CC88" s="305">
        <f t="shared" si="322"/>
        <v>588098.513024</v>
      </c>
      <c r="CD88" s="320">
        <f t="shared" si="323"/>
        <v>43963.46422</v>
      </c>
      <c r="CE88" s="321">
        <f t="shared" si="324"/>
        <v>588098.513024</v>
      </c>
      <c r="CF88" s="322">
        <f t="shared" si="291"/>
        <v>49008.2094186667</v>
      </c>
      <c r="CG88" s="323"/>
      <c r="CH88" s="324"/>
      <c r="CI88" s="325"/>
      <c r="CJ88" s="326"/>
      <c r="CK88" s="1188"/>
      <c r="CL88" s="335"/>
      <c r="CN88" s="1189"/>
    </row>
    <row r="89" s="245" customFormat="1" ht="172.5" customHeight="1" spans="1:92">
      <c r="A89" s="1122">
        <v>86</v>
      </c>
      <c r="B89" s="70" t="s">
        <v>351</v>
      </c>
      <c r="C89" s="1122" t="s">
        <v>194</v>
      </c>
      <c r="D89" s="1088" t="s">
        <v>352</v>
      </c>
      <c r="E89" s="1088" t="s">
        <v>353</v>
      </c>
      <c r="F89" s="1124" t="s">
        <v>354</v>
      </c>
      <c r="G89" s="700">
        <v>6016293250</v>
      </c>
      <c r="H89" s="1125">
        <v>1691938</v>
      </c>
      <c r="I89" s="1125"/>
      <c r="J89" s="1125">
        <v>140994.833333333</v>
      </c>
      <c r="K89" s="1125">
        <v>35248.7083333333</v>
      </c>
      <c r="L89" s="1125">
        <v>30000</v>
      </c>
      <c r="M89" s="295">
        <f t="shared" si="325"/>
        <v>206243.541666667</v>
      </c>
      <c r="N89" s="295">
        <f t="shared" si="340"/>
        <v>24061.7465277778</v>
      </c>
      <c r="O89" s="295">
        <v>5000</v>
      </c>
      <c r="P89" s="295"/>
      <c r="Q89" s="295"/>
      <c r="R89" s="295">
        <v>2500</v>
      </c>
      <c r="S89" s="295"/>
      <c r="T89" s="295"/>
      <c r="U89" s="295"/>
      <c r="V89" s="295"/>
      <c r="W89" s="295"/>
      <c r="X89" s="295"/>
      <c r="Y89" s="295"/>
      <c r="Z89" s="295">
        <v>2500</v>
      </c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1140"/>
      <c r="AM89" s="295">
        <f t="shared" si="294"/>
        <v>4124.87083333333</v>
      </c>
      <c r="AN89" s="295">
        <v>500</v>
      </c>
      <c r="AO89" s="295"/>
      <c r="AP89" s="295"/>
      <c r="AQ89" s="1149"/>
      <c r="AR89" s="1149"/>
      <c r="AS89" s="1152"/>
      <c r="AT89" s="1149"/>
      <c r="AU89" s="1149"/>
      <c r="AV89" s="1151"/>
      <c r="AW89" s="1149"/>
      <c r="AX89" s="1149"/>
      <c r="AY89" s="1161">
        <v>2000</v>
      </c>
      <c r="AZ89" s="1149"/>
      <c r="BA89" s="295">
        <v>88333.33</v>
      </c>
      <c r="BB89" s="295"/>
      <c r="BC89" s="295">
        <v>5000</v>
      </c>
      <c r="BD89" s="295">
        <v>10000</v>
      </c>
      <c r="BE89" s="724">
        <v>1000</v>
      </c>
      <c r="BF89" s="724"/>
      <c r="BG89" s="724"/>
      <c r="BH89" s="724">
        <f t="shared" si="293"/>
        <v>4806.10576388889</v>
      </c>
      <c r="BI89" s="1166"/>
      <c r="BJ89" s="1166"/>
      <c r="BK89" s="724">
        <v>27537.9550833333</v>
      </c>
      <c r="BL89" s="1167">
        <f t="shared" si="292"/>
        <v>240305.288194444</v>
      </c>
      <c r="BM89" s="724">
        <f t="shared" si="311"/>
        <v>143302.261680556</v>
      </c>
      <c r="BN89" s="724"/>
      <c r="BO89" s="724"/>
      <c r="BP89" s="724">
        <f t="shared" si="310"/>
        <v>97003.0265138889</v>
      </c>
      <c r="BQ89" s="1174">
        <f t="shared" si="308"/>
        <v>2883663.45833333</v>
      </c>
      <c r="BR89" s="306">
        <f t="shared" si="313"/>
        <v>776732.691666667</v>
      </c>
      <c r="BS89" s="307">
        <f t="shared" si="309"/>
        <v>0</v>
      </c>
      <c r="BT89" s="308">
        <f t="shared" si="314"/>
        <v>776732.691666667</v>
      </c>
      <c r="BU89" s="313">
        <f t="shared" si="315"/>
        <v>2106930.76666667</v>
      </c>
      <c r="BV89" s="306"/>
      <c r="BW89" s="307">
        <f t="shared" si="316"/>
        <v>21000</v>
      </c>
      <c r="BX89" s="307">
        <f t="shared" si="317"/>
        <v>33000</v>
      </c>
      <c r="BY89" s="307">
        <f t="shared" si="318"/>
        <v>75000</v>
      </c>
      <c r="BZ89" s="307">
        <f t="shared" si="319"/>
        <v>95000</v>
      </c>
      <c r="CA89" s="307">
        <f t="shared" si="320"/>
        <v>106455.461</v>
      </c>
      <c r="CB89" s="307" t="str">
        <f t="shared" si="321"/>
        <v/>
      </c>
      <c r="CC89" s="305">
        <f t="shared" si="322"/>
        <v>330455.461</v>
      </c>
      <c r="CD89" s="320">
        <f t="shared" si="323"/>
        <v>28836.6345833333</v>
      </c>
      <c r="CE89" s="321">
        <f t="shared" si="324"/>
        <v>330455.461</v>
      </c>
      <c r="CF89" s="322">
        <f t="shared" si="291"/>
        <v>27537.9550833333</v>
      </c>
      <c r="CG89" s="323"/>
      <c r="CH89" s="324"/>
      <c r="CI89" s="325"/>
      <c r="CJ89" s="326"/>
      <c r="CK89" s="1188"/>
      <c r="CL89" s="335"/>
      <c r="CN89" s="1189"/>
    </row>
    <row r="90" s="245" customFormat="1" ht="192" customHeight="1" spans="1:92">
      <c r="A90" s="1122">
        <v>87</v>
      </c>
      <c r="B90" s="70" t="s">
        <v>355</v>
      </c>
      <c r="C90" s="1122" t="s">
        <v>51</v>
      </c>
      <c r="D90" s="1088" t="s">
        <v>120</v>
      </c>
      <c r="E90" s="1088" t="s">
        <v>276</v>
      </c>
      <c r="F90" s="1124" t="s">
        <v>135</v>
      </c>
      <c r="G90" s="686" t="s">
        <v>356</v>
      </c>
      <c r="H90" s="1125">
        <v>2600486</v>
      </c>
      <c r="I90" s="1125">
        <v>2688069</v>
      </c>
      <c r="J90" s="1125">
        <v>224005.75</v>
      </c>
      <c r="K90" s="1125">
        <v>56001.4375</v>
      </c>
      <c r="L90" s="1125">
        <v>30000</v>
      </c>
      <c r="M90" s="295">
        <v>413255.25</v>
      </c>
      <c r="N90" s="295">
        <f t="shared" si="340"/>
        <v>48213.1125</v>
      </c>
      <c r="O90" s="295">
        <v>5000</v>
      </c>
      <c r="P90" s="295">
        <v>20833.33</v>
      </c>
      <c r="Q90" s="295"/>
      <c r="R90" s="295">
        <v>2500</v>
      </c>
      <c r="S90" s="295"/>
      <c r="T90" s="295"/>
      <c r="U90" s="295"/>
      <c r="V90" s="295"/>
      <c r="W90" s="295"/>
      <c r="X90" s="295"/>
      <c r="Y90" s="295"/>
      <c r="Z90" s="295">
        <v>2500</v>
      </c>
      <c r="AA90" s="295"/>
      <c r="AB90" s="295"/>
      <c r="AC90" s="295"/>
      <c r="AD90" s="295"/>
      <c r="AE90" s="295"/>
      <c r="AF90" s="295"/>
      <c r="AG90" s="295"/>
      <c r="AH90" s="295"/>
      <c r="AI90" s="295">
        <v>83500</v>
      </c>
      <c r="AJ90" s="295"/>
      <c r="AK90" s="295"/>
      <c r="AL90" s="1140"/>
      <c r="AM90" s="295">
        <f t="shared" si="294"/>
        <v>8265.105</v>
      </c>
      <c r="AN90" s="295">
        <v>500</v>
      </c>
      <c r="AO90" s="295"/>
      <c r="AP90" s="295">
        <v>106250</v>
      </c>
      <c r="AQ90" s="1149"/>
      <c r="AR90" s="1149"/>
      <c r="AS90" s="1152"/>
      <c r="AT90" s="1149"/>
      <c r="AU90" s="1149"/>
      <c r="AV90" s="1151"/>
      <c r="AW90" s="1151"/>
      <c r="AX90" s="1151">
        <v>1000</v>
      </c>
      <c r="AY90" s="1161"/>
      <c r="AZ90" s="1151">
        <v>1000</v>
      </c>
      <c r="BA90" s="295">
        <v>174803</v>
      </c>
      <c r="BB90" s="295"/>
      <c r="BC90" s="295">
        <v>3750</v>
      </c>
      <c r="BD90" s="295">
        <v>7500</v>
      </c>
      <c r="BE90" s="724">
        <v>1500</v>
      </c>
      <c r="BF90" s="724"/>
      <c r="BG90" s="724"/>
      <c r="BH90" s="724">
        <f t="shared" si="293"/>
        <v>9846.03385</v>
      </c>
      <c r="BI90" s="1166"/>
      <c r="BJ90" s="1166"/>
      <c r="BK90" s="724">
        <v>73188.59</v>
      </c>
      <c r="BL90" s="1167">
        <f t="shared" si="292"/>
        <v>492301.6925</v>
      </c>
      <c r="BM90" s="724">
        <f t="shared" si="311"/>
        <v>471102.72885</v>
      </c>
      <c r="BN90" s="724"/>
      <c r="BO90" s="724"/>
      <c r="BP90" s="724">
        <f t="shared" si="310"/>
        <v>21198.96365</v>
      </c>
      <c r="BQ90" s="1174">
        <f t="shared" si="308"/>
        <v>5907620.31</v>
      </c>
      <c r="BR90" s="306">
        <f t="shared" si="313"/>
        <v>1381524.062</v>
      </c>
      <c r="BS90" s="307">
        <f t="shared" si="309"/>
        <v>0</v>
      </c>
      <c r="BT90" s="308">
        <f t="shared" si="314"/>
        <v>1381524.062</v>
      </c>
      <c r="BU90" s="313">
        <f t="shared" si="315"/>
        <v>4526096.248</v>
      </c>
      <c r="BV90" s="306"/>
      <c r="BW90" s="307">
        <f t="shared" si="316"/>
        <v>21000</v>
      </c>
      <c r="BX90" s="307">
        <f t="shared" si="317"/>
        <v>33000</v>
      </c>
      <c r="BY90" s="307">
        <f t="shared" si="318"/>
        <v>75000</v>
      </c>
      <c r="BZ90" s="307">
        <f t="shared" si="319"/>
        <v>95000</v>
      </c>
      <c r="CA90" s="307">
        <f t="shared" si="320"/>
        <v>336000</v>
      </c>
      <c r="CB90" s="307">
        <f t="shared" si="321"/>
        <v>318263.09952</v>
      </c>
      <c r="CC90" s="305">
        <f t="shared" si="322"/>
        <v>878263.09952</v>
      </c>
      <c r="CD90" s="320">
        <f t="shared" si="323"/>
        <v>59076.2031</v>
      </c>
      <c r="CE90" s="321">
        <f t="shared" si="324"/>
        <v>878263.09952</v>
      </c>
      <c r="CF90" s="322">
        <f t="shared" si="291"/>
        <v>73188.5916266667</v>
      </c>
      <c r="CG90" s="323"/>
      <c r="CH90" s="324"/>
      <c r="CI90" s="325"/>
      <c r="CJ90" s="326"/>
      <c r="CK90" s="1188"/>
      <c r="CL90" s="335"/>
      <c r="CN90" s="1261"/>
    </row>
    <row r="91" s="245" customFormat="1" ht="190" customHeight="1" spans="1:92">
      <c r="A91" s="1122">
        <v>88</v>
      </c>
      <c r="B91" s="70" t="s">
        <v>357</v>
      </c>
      <c r="C91" s="1122" t="s">
        <v>110</v>
      </c>
      <c r="D91" s="1088" t="s">
        <v>130</v>
      </c>
      <c r="E91" s="1088" t="s">
        <v>297</v>
      </c>
      <c r="F91" s="1124" t="s">
        <v>127</v>
      </c>
      <c r="G91" s="686" t="s">
        <v>358</v>
      </c>
      <c r="H91" s="1125">
        <v>2254203</v>
      </c>
      <c r="I91" s="1125">
        <v>2308911</v>
      </c>
      <c r="J91" s="1125">
        <v>192409.25</v>
      </c>
      <c r="K91" s="1125">
        <v>48102.3125</v>
      </c>
      <c r="L91" s="1125">
        <v>30000</v>
      </c>
      <c r="M91" s="295">
        <v>310007.17</v>
      </c>
      <c r="N91" s="295">
        <f t="shared" si="340"/>
        <v>36167.5031666667</v>
      </c>
      <c r="O91" s="295">
        <v>5000</v>
      </c>
      <c r="P91" s="295">
        <v>20833.33</v>
      </c>
      <c r="Q91" s="295"/>
      <c r="R91" s="295">
        <v>2500</v>
      </c>
      <c r="S91" s="295"/>
      <c r="T91" s="295"/>
      <c r="U91" s="295"/>
      <c r="V91" s="295"/>
      <c r="W91" s="295"/>
      <c r="X91" s="295"/>
      <c r="Y91" s="295"/>
      <c r="Z91" s="295">
        <v>2500</v>
      </c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1140"/>
      <c r="AM91" s="295">
        <f t="shared" si="294"/>
        <v>6200.1434</v>
      </c>
      <c r="AN91" s="295">
        <v>500</v>
      </c>
      <c r="AO91" s="295"/>
      <c r="AP91" s="295"/>
      <c r="AQ91" s="1151">
        <v>1000</v>
      </c>
      <c r="AR91" s="1151"/>
      <c r="AS91" s="1150"/>
      <c r="AT91" s="1151"/>
      <c r="AU91" s="1151"/>
      <c r="AV91" s="1151"/>
      <c r="AW91" s="1151"/>
      <c r="AX91" s="1151"/>
      <c r="AY91" s="1161"/>
      <c r="AZ91" s="1151"/>
      <c r="BA91" s="295">
        <v>32917</v>
      </c>
      <c r="BB91" s="295"/>
      <c r="BC91" s="295"/>
      <c r="BD91" s="295"/>
      <c r="BE91" s="724">
        <v>1500</v>
      </c>
      <c r="BF91" s="724"/>
      <c r="BG91" s="724"/>
      <c r="BH91" s="724">
        <f t="shared" si="293"/>
        <v>7540.16006333333</v>
      </c>
      <c r="BI91" s="1166"/>
      <c r="BJ91" s="1166"/>
      <c r="BK91" s="724">
        <v>51052.2</v>
      </c>
      <c r="BL91" s="1167">
        <f t="shared" si="292"/>
        <v>377008.003166667</v>
      </c>
      <c r="BM91" s="724">
        <f t="shared" si="311"/>
        <v>100709.503463333</v>
      </c>
      <c r="BN91" s="724"/>
      <c r="BO91" s="724"/>
      <c r="BP91" s="724">
        <f t="shared" si="310"/>
        <v>276298.499703333</v>
      </c>
      <c r="BQ91" s="1174">
        <f t="shared" si="308"/>
        <v>4524096.038</v>
      </c>
      <c r="BR91" s="306">
        <f t="shared" si="313"/>
        <v>1104819.2076</v>
      </c>
      <c r="BS91" s="307">
        <f t="shared" si="309"/>
        <v>0</v>
      </c>
      <c r="BT91" s="308">
        <f t="shared" si="314"/>
        <v>1104819.2076</v>
      </c>
      <c r="BU91" s="313">
        <f t="shared" si="315"/>
        <v>3419276.8304</v>
      </c>
      <c r="BV91" s="306"/>
      <c r="BW91" s="307">
        <f t="shared" si="316"/>
        <v>21000</v>
      </c>
      <c r="BX91" s="307">
        <f t="shared" si="317"/>
        <v>33000</v>
      </c>
      <c r="BY91" s="307">
        <f t="shared" si="318"/>
        <v>75000</v>
      </c>
      <c r="BZ91" s="307">
        <f t="shared" si="319"/>
        <v>95000</v>
      </c>
      <c r="CA91" s="307">
        <f t="shared" si="320"/>
        <v>336000</v>
      </c>
      <c r="CB91" s="307">
        <f t="shared" si="321"/>
        <v>52626.439296</v>
      </c>
      <c r="CC91" s="305">
        <f t="shared" si="322"/>
        <v>612626.439296</v>
      </c>
      <c r="CD91" s="320">
        <f t="shared" si="323"/>
        <v>45240.96038</v>
      </c>
      <c r="CE91" s="321">
        <f t="shared" si="324"/>
        <v>612626.439296</v>
      </c>
      <c r="CF91" s="322">
        <f t="shared" si="291"/>
        <v>51052.2032746667</v>
      </c>
      <c r="CG91" s="323"/>
      <c r="CH91" s="324"/>
      <c r="CI91" s="325"/>
      <c r="CJ91" s="326"/>
      <c r="CK91" s="1188"/>
      <c r="CL91" s="335"/>
      <c r="CN91" s="1189"/>
    </row>
    <row r="92" s="247" customFormat="1" ht="172.5" customHeight="1" spans="1:93">
      <c r="A92" s="1122">
        <v>89</v>
      </c>
      <c r="B92" s="70" t="s">
        <v>359</v>
      </c>
      <c r="C92" s="1123" t="s">
        <v>142</v>
      </c>
      <c r="D92" s="1088" t="s">
        <v>204</v>
      </c>
      <c r="E92" s="1088" t="s">
        <v>360</v>
      </c>
      <c r="F92" s="1124" t="s">
        <v>361</v>
      </c>
      <c r="G92" s="686">
        <v>2008091891</v>
      </c>
      <c r="H92" s="1125">
        <v>2308911</v>
      </c>
      <c r="I92" s="1125">
        <v>2308911</v>
      </c>
      <c r="J92" s="1125">
        <v>192409.25</v>
      </c>
      <c r="K92" s="1125">
        <v>48102.3125</v>
      </c>
      <c r="L92" s="1125">
        <v>30000</v>
      </c>
      <c r="M92" s="295">
        <f t="shared" si="325"/>
        <v>270511.5625</v>
      </c>
      <c r="N92" s="295">
        <f t="shared" si="340"/>
        <v>31559.6822916667</v>
      </c>
      <c r="O92" s="295">
        <v>5000</v>
      </c>
      <c r="P92" s="295"/>
      <c r="Q92" s="295"/>
      <c r="R92" s="295">
        <v>2500</v>
      </c>
      <c r="S92" s="295"/>
      <c r="T92" s="295"/>
      <c r="U92" s="295"/>
      <c r="V92" s="295"/>
      <c r="W92" s="295"/>
      <c r="X92" s="295"/>
      <c r="Y92" s="295"/>
      <c r="Z92" s="295">
        <v>2500</v>
      </c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1140"/>
      <c r="AM92" s="295">
        <f t="shared" si="294"/>
        <v>5410.23125</v>
      </c>
      <c r="AN92" s="295">
        <v>500</v>
      </c>
      <c r="AO92" s="295"/>
      <c r="AP92" s="295"/>
      <c r="AQ92" s="1149"/>
      <c r="AR92" s="1149"/>
      <c r="AS92" s="1152"/>
      <c r="AT92" s="1149"/>
      <c r="AU92" s="1149"/>
      <c r="AV92" s="1151"/>
      <c r="AW92" s="1151">
        <v>1000</v>
      </c>
      <c r="AX92" s="1151"/>
      <c r="AY92" s="1161">
        <v>2000</v>
      </c>
      <c r="AZ92" s="1151"/>
      <c r="BA92" s="295">
        <v>70000</v>
      </c>
      <c r="BB92" s="295"/>
      <c r="BC92" s="295"/>
      <c r="BD92" s="295"/>
      <c r="BE92" s="724">
        <v>1500</v>
      </c>
      <c r="BF92" s="724"/>
      <c r="BG92" s="724"/>
      <c r="BH92" s="724">
        <f t="shared" si="293"/>
        <v>6241.42489583333</v>
      </c>
      <c r="BI92" s="1166"/>
      <c r="BJ92" s="1166"/>
      <c r="BK92" s="724">
        <v>39594.6357916667</v>
      </c>
      <c r="BL92" s="1167">
        <f t="shared" si="292"/>
        <v>312071.244791667</v>
      </c>
      <c r="BM92" s="724">
        <f t="shared" si="311"/>
        <v>126246.2919375</v>
      </c>
      <c r="BN92" s="724"/>
      <c r="BO92" s="724"/>
      <c r="BP92" s="724">
        <f t="shared" si="310"/>
        <v>185824.952854167</v>
      </c>
      <c r="BQ92" s="1174">
        <f t="shared" si="308"/>
        <v>3744854.9375</v>
      </c>
      <c r="BR92" s="306">
        <f t="shared" si="313"/>
        <v>948970.9875</v>
      </c>
      <c r="BS92" s="307">
        <f t="shared" si="309"/>
        <v>0</v>
      </c>
      <c r="BT92" s="308">
        <f t="shared" si="314"/>
        <v>948970.9875</v>
      </c>
      <c r="BU92" s="313">
        <f t="shared" si="315"/>
        <v>2795883.95</v>
      </c>
      <c r="BV92" s="306"/>
      <c r="BW92" s="307">
        <f t="shared" si="316"/>
        <v>21000</v>
      </c>
      <c r="BX92" s="307">
        <f t="shared" si="317"/>
        <v>33000</v>
      </c>
      <c r="BY92" s="307">
        <f t="shared" si="318"/>
        <v>75000</v>
      </c>
      <c r="BZ92" s="307">
        <f t="shared" si="319"/>
        <v>95000</v>
      </c>
      <c r="CA92" s="307">
        <f t="shared" si="320"/>
        <v>251135.6295</v>
      </c>
      <c r="CB92" s="307" t="str">
        <f t="shared" si="321"/>
        <v/>
      </c>
      <c r="CC92" s="305">
        <f t="shared" si="322"/>
        <v>475135.6295</v>
      </c>
      <c r="CD92" s="320">
        <f t="shared" si="323"/>
        <v>37448.549375</v>
      </c>
      <c r="CE92" s="321">
        <f t="shared" si="324"/>
        <v>475135.6295</v>
      </c>
      <c r="CF92" s="322">
        <f t="shared" si="291"/>
        <v>39594.6357916667</v>
      </c>
      <c r="CG92" s="323"/>
      <c r="CH92" s="324"/>
      <c r="CI92" s="325"/>
      <c r="CJ92" s="326"/>
      <c r="CK92" s="1188"/>
      <c r="CL92" s="335"/>
      <c r="CM92" s="245"/>
      <c r="CN92" s="1189"/>
      <c r="CO92" s="245"/>
    </row>
    <row r="93" s="245" customFormat="1" ht="174" customHeight="1" spans="1:93">
      <c r="A93" s="1122">
        <v>90</v>
      </c>
      <c r="B93" s="70" t="s">
        <v>362</v>
      </c>
      <c r="C93" s="1123" t="s">
        <v>148</v>
      </c>
      <c r="D93" s="1088" t="s">
        <v>363</v>
      </c>
      <c r="E93" s="1088" t="s">
        <v>208</v>
      </c>
      <c r="F93" s="1124" t="s">
        <v>97</v>
      </c>
      <c r="G93" s="681" t="s">
        <v>364</v>
      </c>
      <c r="H93" s="1125">
        <f>M93*12</f>
        <v>1632111.3</v>
      </c>
      <c r="I93" s="1125"/>
      <c r="J93" s="1125">
        <v>84807.42</v>
      </c>
      <c r="K93" s="1125">
        <v>21201.855</v>
      </c>
      <c r="L93" s="1125">
        <v>30000</v>
      </c>
      <c r="M93" s="295">
        <f t="shared" si="325"/>
        <v>136009.275</v>
      </c>
      <c r="N93" s="295"/>
      <c r="O93" s="295"/>
      <c r="P93" s="295"/>
      <c r="Q93" s="295"/>
      <c r="R93" s="295">
        <v>2500</v>
      </c>
      <c r="S93" s="295"/>
      <c r="T93" s="295"/>
      <c r="U93" s="295"/>
      <c r="V93" s="295"/>
      <c r="W93" s="295"/>
      <c r="X93" s="295"/>
      <c r="Y93" s="295"/>
      <c r="Z93" s="295">
        <v>2500</v>
      </c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1140"/>
      <c r="AM93" s="295">
        <f t="shared" si="294"/>
        <v>2720.1855</v>
      </c>
      <c r="AN93" s="295">
        <v>500</v>
      </c>
      <c r="AO93" s="295"/>
      <c r="AP93" s="295"/>
      <c r="AQ93" s="1149"/>
      <c r="AR93" s="1149"/>
      <c r="AS93" s="1150"/>
      <c r="AT93" s="1151"/>
      <c r="AU93" s="1149"/>
      <c r="AV93" s="1151"/>
      <c r="AW93" s="1149"/>
      <c r="AX93" s="1149"/>
      <c r="AY93" s="1161">
        <v>2000</v>
      </c>
      <c r="AZ93" s="1149"/>
      <c r="BA93" s="295">
        <v>0</v>
      </c>
      <c r="BB93" s="295"/>
      <c r="BC93" s="295"/>
      <c r="BD93" s="295"/>
      <c r="BE93" s="724">
        <v>500</v>
      </c>
      <c r="BF93" s="724"/>
      <c r="BG93" s="724"/>
      <c r="BH93" s="724">
        <f t="shared" si="293"/>
        <v>2820.1855</v>
      </c>
      <c r="BI93" s="1166"/>
      <c r="BJ93" s="1166"/>
      <c r="BK93" s="724">
        <v>11600.0764666667</v>
      </c>
      <c r="BL93" s="1167">
        <f t="shared" si="292"/>
        <v>141009.275</v>
      </c>
      <c r="BM93" s="724">
        <f t="shared" si="311"/>
        <v>20140.4474666667</v>
      </c>
      <c r="BN93" s="724"/>
      <c r="BO93" s="724"/>
      <c r="BP93" s="724">
        <f t="shared" si="310"/>
        <v>120868.827533333</v>
      </c>
      <c r="BQ93" s="1174">
        <f t="shared" si="308"/>
        <v>1692111.3</v>
      </c>
      <c r="BR93" s="306">
        <f t="shared" ref="BR93" si="344">200000+(0.2*BQ93)</f>
        <v>538422.26</v>
      </c>
      <c r="BS93" s="307">
        <f t="shared" si="309"/>
        <v>0</v>
      </c>
      <c r="BT93" s="308">
        <f t="shared" ref="BT93" si="345">SUM(BR93:BS93)</f>
        <v>538422.26</v>
      </c>
      <c r="BU93" s="313">
        <f t="shared" ref="BU93" si="346">+BQ93-BT93</f>
        <v>1153689.04</v>
      </c>
      <c r="BV93" s="306"/>
      <c r="BW93" s="307">
        <f t="shared" ref="BW93" si="347">IF((BU93&gt;0),(IF((BU93&gt;300000),(300000*7%),(BU93*7%))),(BQ93*1%))</f>
        <v>21000</v>
      </c>
      <c r="BX93" s="307">
        <f t="shared" ref="BX93" si="348">IF((BU93-300000)&gt;0,(IF((BU93&gt;600000),(300000*11%),((BU93-300000)*11%))),(""))</f>
        <v>33000</v>
      </c>
      <c r="BY93" s="307">
        <f t="shared" ref="BY93" si="349">IF(((BU93-600000)&gt;0),(IF((BU93&gt;1100000),(500000*15%),((BU93-600000)*15%))),(""))</f>
        <v>75000</v>
      </c>
      <c r="BZ93" s="307">
        <f t="shared" ref="BZ93" si="350">IF(((BU93-(1100000))&gt;0),(IF((BU93&gt;(1600000)),((500000)*19%),((BU93-(1100000))*19%))),(""))</f>
        <v>10200.9176</v>
      </c>
      <c r="CA93" s="307" t="str">
        <f t="shared" ref="CA93" si="351">IF(((BU93-(1600000))&gt;0),(IF((BU93&gt;(3200000)),((1600000)*21%),((BU93-(1600000))*21%))),(""))</f>
        <v/>
      </c>
      <c r="CB93" s="307" t="str">
        <f t="shared" ref="CB93" si="352">IF(((BU93-(3200000))&gt;0),(IF((BU93&gt;(3200000)),((BU93-(3200000))*24%),(0))),(""))</f>
        <v/>
      </c>
      <c r="CC93" s="305">
        <f t="shared" ref="CC93" si="353">SUM(BW93:CB93)</f>
        <v>139200.9176</v>
      </c>
      <c r="CD93" s="320">
        <f t="shared" ref="CD93" si="354">1%*BQ93</f>
        <v>16921.113</v>
      </c>
      <c r="CE93" s="321">
        <f t="shared" ref="CE93" si="355">MAX(CC93:CD93)</f>
        <v>139200.9176</v>
      </c>
      <c r="CF93" s="322">
        <f t="shared" ref="CF93" si="356">+CE93/12</f>
        <v>11600.0764666667</v>
      </c>
      <c r="CG93" s="323"/>
      <c r="CH93" s="324"/>
      <c r="CI93" s="325"/>
      <c r="CJ93" s="326"/>
      <c r="CK93" s="1188"/>
      <c r="CL93" s="335"/>
      <c r="CN93" s="1189"/>
      <c r="CO93" s="247"/>
    </row>
    <row r="94" s="245" customFormat="1" ht="172.5" customHeight="1" spans="1:92">
      <c r="A94" s="1122">
        <v>91</v>
      </c>
      <c r="B94" s="70" t="s">
        <v>365</v>
      </c>
      <c r="C94" s="1123" t="s">
        <v>133</v>
      </c>
      <c r="D94" s="1088" t="s">
        <v>130</v>
      </c>
      <c r="E94" s="1088" t="s">
        <v>269</v>
      </c>
      <c r="F94" s="1124" t="s">
        <v>135</v>
      </c>
      <c r="G94" s="686" t="s">
        <v>366</v>
      </c>
      <c r="H94" s="1125">
        <v>2199196</v>
      </c>
      <c r="I94" s="1125">
        <v>2688069</v>
      </c>
      <c r="J94" s="1125">
        <v>224005.75</v>
      </c>
      <c r="K94" s="1125">
        <v>56001.4375</v>
      </c>
      <c r="L94" s="1125">
        <v>30000</v>
      </c>
      <c r="M94" s="295">
        <v>319130.33</v>
      </c>
      <c r="N94" s="295">
        <f t="shared" si="340"/>
        <v>37231.8718333333</v>
      </c>
      <c r="O94" s="295">
        <v>5000</v>
      </c>
      <c r="P94" s="295"/>
      <c r="Q94" s="295"/>
      <c r="R94" s="295">
        <v>2500</v>
      </c>
      <c r="S94" s="295"/>
      <c r="T94" s="295"/>
      <c r="U94" s="295"/>
      <c r="V94" s="295"/>
      <c r="W94" s="295"/>
      <c r="X94" s="295"/>
      <c r="Y94" s="295"/>
      <c r="Z94" s="295">
        <v>2500</v>
      </c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1140"/>
      <c r="AM94" s="295">
        <f t="shared" si="294"/>
        <v>6382.6066</v>
      </c>
      <c r="AN94" s="295">
        <v>500</v>
      </c>
      <c r="AO94" s="295"/>
      <c r="AP94" s="295"/>
      <c r="AQ94" s="1151">
        <v>1000</v>
      </c>
      <c r="AR94" s="1151"/>
      <c r="AS94" s="1150"/>
      <c r="AT94" s="1151"/>
      <c r="AU94" s="1151"/>
      <c r="AV94" s="1151"/>
      <c r="AW94" s="1151"/>
      <c r="AX94" s="1151"/>
      <c r="AY94" s="1161">
        <v>2000</v>
      </c>
      <c r="AZ94" s="1151"/>
      <c r="BA94" s="295">
        <v>0</v>
      </c>
      <c r="BB94" s="295"/>
      <c r="BC94" s="295">
        <v>3750</v>
      </c>
      <c r="BD94" s="295">
        <v>7500</v>
      </c>
      <c r="BE94" s="724">
        <v>1500</v>
      </c>
      <c r="BF94" s="724"/>
      <c r="BG94" s="724"/>
      <c r="BH94" s="724">
        <f t="shared" si="293"/>
        <v>7327.24403666667</v>
      </c>
      <c r="BI94" s="1166"/>
      <c r="BJ94" s="1166"/>
      <c r="BK94" s="724">
        <v>49008.21</v>
      </c>
      <c r="BL94" s="1167">
        <f t="shared" si="292"/>
        <v>366362.201833333</v>
      </c>
      <c r="BM94" s="724">
        <f t="shared" si="311"/>
        <v>78968.0606366667</v>
      </c>
      <c r="BN94" s="724"/>
      <c r="BO94" s="724"/>
      <c r="BP94" s="724">
        <f t="shared" si="310"/>
        <v>287394.141196667</v>
      </c>
      <c r="BQ94" s="1174">
        <f t="shared" si="308"/>
        <v>4396346.422</v>
      </c>
      <c r="BR94" s="306">
        <f t="shared" si="313"/>
        <v>1079269.2844</v>
      </c>
      <c r="BS94" s="307">
        <f t="shared" si="309"/>
        <v>0</v>
      </c>
      <c r="BT94" s="308">
        <f t="shared" si="314"/>
        <v>1079269.2844</v>
      </c>
      <c r="BU94" s="313">
        <f t="shared" si="315"/>
        <v>3317077.1376</v>
      </c>
      <c r="BV94" s="306"/>
      <c r="BW94" s="307">
        <f t="shared" si="316"/>
        <v>21000</v>
      </c>
      <c r="BX94" s="307">
        <f t="shared" si="317"/>
        <v>33000</v>
      </c>
      <c r="BY94" s="307">
        <f t="shared" si="318"/>
        <v>75000</v>
      </c>
      <c r="BZ94" s="307">
        <f t="shared" si="319"/>
        <v>95000</v>
      </c>
      <c r="CA94" s="307">
        <f t="shared" si="320"/>
        <v>336000</v>
      </c>
      <c r="CB94" s="307">
        <f t="shared" si="321"/>
        <v>28098.513024</v>
      </c>
      <c r="CC94" s="305">
        <f t="shared" si="322"/>
        <v>588098.513024</v>
      </c>
      <c r="CD94" s="320">
        <f t="shared" si="323"/>
        <v>43963.46422</v>
      </c>
      <c r="CE94" s="321">
        <f t="shared" si="324"/>
        <v>588098.513024</v>
      </c>
      <c r="CF94" s="322">
        <f t="shared" ref="CF94:CF133" si="357">+CE94/12</f>
        <v>49008.2094186667</v>
      </c>
      <c r="CG94" s="323"/>
      <c r="CH94" s="324"/>
      <c r="CI94" s="325"/>
      <c r="CJ94" s="326"/>
      <c r="CK94" s="1188"/>
      <c r="CL94" s="358"/>
      <c r="CM94" s="247"/>
      <c r="CN94" s="1122"/>
    </row>
    <row r="95" s="245" customFormat="1" ht="118" customHeight="1" spans="1:92">
      <c r="A95" s="1122">
        <v>92</v>
      </c>
      <c r="B95" s="70" t="s">
        <v>367</v>
      </c>
      <c r="C95" s="1123" t="s">
        <v>142</v>
      </c>
      <c r="D95" s="1088" t="s">
        <v>130</v>
      </c>
      <c r="E95" s="1088" t="s">
        <v>294</v>
      </c>
      <c r="F95" s="1124" t="s">
        <v>135</v>
      </c>
      <c r="G95" s="686" t="s">
        <v>368</v>
      </c>
      <c r="H95" s="1125">
        <v>2090081</v>
      </c>
      <c r="I95" s="1125">
        <v>2144788</v>
      </c>
      <c r="J95" s="1125">
        <v>178732.333333333</v>
      </c>
      <c r="K95" s="1125">
        <v>44683.0833333333</v>
      </c>
      <c r="L95" s="1125">
        <v>30000</v>
      </c>
      <c r="M95" s="295">
        <v>259114.17</v>
      </c>
      <c r="N95" s="295">
        <f t="shared" si="340"/>
        <v>30229.9865</v>
      </c>
      <c r="O95" s="295">
        <v>5000</v>
      </c>
      <c r="P95" s="295">
        <f>P91</f>
        <v>20833.33</v>
      </c>
      <c r="Q95" s="295"/>
      <c r="R95" s="295">
        <v>2500</v>
      </c>
      <c r="S95" s="295"/>
      <c r="T95" s="295"/>
      <c r="U95" s="295"/>
      <c r="V95" s="295"/>
      <c r="W95" s="295"/>
      <c r="X95" s="295"/>
      <c r="Y95" s="295"/>
      <c r="Z95" s="295">
        <v>2500</v>
      </c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1140"/>
      <c r="AM95" s="295">
        <f t="shared" si="294"/>
        <v>5182.2834</v>
      </c>
      <c r="AN95" s="295">
        <v>500</v>
      </c>
      <c r="AO95" s="295"/>
      <c r="AP95" s="295">
        <v>70000</v>
      </c>
      <c r="AQ95" s="1149"/>
      <c r="AR95" s="1149"/>
      <c r="AS95" s="1215"/>
      <c r="AT95" s="1216"/>
      <c r="AU95" s="1149"/>
      <c r="AV95" s="1151"/>
      <c r="AW95" s="1151">
        <v>1000</v>
      </c>
      <c r="AX95" s="1151"/>
      <c r="AY95" s="1161"/>
      <c r="AZ95" s="1151"/>
      <c r="BA95" s="295">
        <v>105499.861111111</v>
      </c>
      <c r="BB95" s="295"/>
      <c r="BC95" s="295"/>
      <c r="BD95" s="295"/>
      <c r="BE95" s="724">
        <v>1500</v>
      </c>
      <c r="BF95" s="724"/>
      <c r="BG95" s="724"/>
      <c r="BH95" s="724">
        <f t="shared" si="293"/>
        <v>6403.54973</v>
      </c>
      <c r="BI95" s="1166"/>
      <c r="BJ95" s="1166"/>
      <c r="BK95" s="724">
        <v>40956.48</v>
      </c>
      <c r="BL95" s="1167">
        <f t="shared" ref="BL95:BL100" si="358">M95+N95+O95+P95+R95+S95+T95+U95+V95+W95+Y95+Z95+AA95</f>
        <v>320177.4865</v>
      </c>
      <c r="BM95" s="724">
        <f t="shared" si="311"/>
        <v>231042.174241111</v>
      </c>
      <c r="BN95" s="724"/>
      <c r="BO95" s="724"/>
      <c r="BP95" s="724">
        <f t="shared" si="310"/>
        <v>89135.312258889</v>
      </c>
      <c r="BQ95" s="1174">
        <f t="shared" si="308"/>
        <v>3842129.838</v>
      </c>
      <c r="BR95" s="306">
        <f t="shared" si="313"/>
        <v>968425.9676</v>
      </c>
      <c r="BS95" s="307">
        <f t="shared" si="309"/>
        <v>0</v>
      </c>
      <c r="BT95" s="308">
        <f t="shared" si="314"/>
        <v>968425.9676</v>
      </c>
      <c r="BU95" s="313">
        <f t="shared" si="315"/>
        <v>2873703.8704</v>
      </c>
      <c r="BV95" s="306"/>
      <c r="BW95" s="307">
        <f t="shared" si="316"/>
        <v>21000</v>
      </c>
      <c r="BX95" s="307">
        <f t="shared" si="317"/>
        <v>33000</v>
      </c>
      <c r="BY95" s="307">
        <f t="shared" si="318"/>
        <v>75000</v>
      </c>
      <c r="BZ95" s="307">
        <f t="shared" si="319"/>
        <v>95000</v>
      </c>
      <c r="CA95" s="307">
        <f t="shared" si="320"/>
        <v>267477.812784</v>
      </c>
      <c r="CB95" s="307" t="str">
        <f t="shared" si="321"/>
        <v/>
      </c>
      <c r="CC95" s="305">
        <f t="shared" si="322"/>
        <v>491477.812784</v>
      </c>
      <c r="CD95" s="320">
        <f t="shared" si="323"/>
        <v>38421.29838</v>
      </c>
      <c r="CE95" s="321">
        <f t="shared" si="324"/>
        <v>491477.812784</v>
      </c>
      <c r="CF95" s="322">
        <f t="shared" si="357"/>
        <v>40956.4843986667</v>
      </c>
      <c r="CG95" s="323"/>
      <c r="CH95" s="324"/>
      <c r="CI95" s="325"/>
      <c r="CJ95" s="326"/>
      <c r="CK95" s="1188"/>
      <c r="CL95" s="335"/>
      <c r="CN95" s="1122"/>
    </row>
    <row r="96" s="245" customFormat="1" ht="172.5" customHeight="1" spans="1:92">
      <c r="A96" s="1122">
        <v>93</v>
      </c>
      <c r="B96" s="70" t="s">
        <v>369</v>
      </c>
      <c r="C96" s="1123" t="s">
        <v>133</v>
      </c>
      <c r="D96" s="1088" t="s">
        <v>130</v>
      </c>
      <c r="E96" s="1088" t="s">
        <v>297</v>
      </c>
      <c r="F96" s="1124" t="s">
        <v>135</v>
      </c>
      <c r="G96" s="686" t="s">
        <v>370</v>
      </c>
      <c r="H96" s="1125">
        <v>2308911</v>
      </c>
      <c r="I96" s="1125">
        <v>2308911</v>
      </c>
      <c r="J96" s="1125">
        <v>192409.25</v>
      </c>
      <c r="K96" s="1125">
        <v>48102.3125</v>
      </c>
      <c r="L96" s="1125">
        <v>30000</v>
      </c>
      <c r="M96" s="295">
        <v>310007.17</v>
      </c>
      <c r="N96" s="295">
        <f t="shared" si="340"/>
        <v>36167.5031666667</v>
      </c>
      <c r="O96" s="295">
        <v>5000</v>
      </c>
      <c r="P96" s="295"/>
      <c r="Q96" s="295"/>
      <c r="R96" s="295">
        <v>2500</v>
      </c>
      <c r="S96" s="295"/>
      <c r="T96" s="295"/>
      <c r="U96" s="295"/>
      <c r="V96" s="295"/>
      <c r="W96" s="295"/>
      <c r="X96" s="295"/>
      <c r="Y96" s="295"/>
      <c r="Z96" s="295">
        <v>2500</v>
      </c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1140"/>
      <c r="AM96" s="295">
        <f t="shared" si="294"/>
        <v>6200.1434</v>
      </c>
      <c r="AN96" s="295">
        <v>500</v>
      </c>
      <c r="AO96" s="295"/>
      <c r="AP96" s="295"/>
      <c r="AQ96" s="1151">
        <v>1000</v>
      </c>
      <c r="AR96" s="1151"/>
      <c r="AS96" s="1150"/>
      <c r="AT96" s="1151"/>
      <c r="AU96" s="1151"/>
      <c r="AV96" s="1151"/>
      <c r="AW96" s="1151"/>
      <c r="AX96" s="1151"/>
      <c r="AY96" s="1161"/>
      <c r="AZ96" s="1151"/>
      <c r="BA96" s="295">
        <v>5000</v>
      </c>
      <c r="BB96" s="295"/>
      <c r="BC96" s="295"/>
      <c r="BD96" s="295"/>
      <c r="BE96" s="724">
        <v>1500</v>
      </c>
      <c r="BF96" s="724"/>
      <c r="BG96" s="724"/>
      <c r="BH96" s="724">
        <f t="shared" si="293"/>
        <v>7123.49346333333</v>
      </c>
      <c r="BI96" s="1166"/>
      <c r="BJ96" s="1166"/>
      <c r="BK96" s="724">
        <v>47052.2</v>
      </c>
      <c r="BL96" s="1167">
        <f t="shared" si="358"/>
        <v>356174.673166667</v>
      </c>
      <c r="BM96" s="724">
        <f t="shared" si="311"/>
        <v>68375.8368633333</v>
      </c>
      <c r="BN96" s="724"/>
      <c r="BO96" s="724"/>
      <c r="BP96" s="724">
        <f t="shared" si="310"/>
        <v>287798.836303333</v>
      </c>
      <c r="BQ96" s="1174">
        <f t="shared" si="308"/>
        <v>4274096.078</v>
      </c>
      <c r="BR96" s="306">
        <f t="shared" si="313"/>
        <v>1054819.2156</v>
      </c>
      <c r="BS96" s="307">
        <f t="shared" si="309"/>
        <v>0</v>
      </c>
      <c r="BT96" s="308">
        <f t="shared" si="314"/>
        <v>1054819.2156</v>
      </c>
      <c r="BU96" s="313">
        <f t="shared" si="315"/>
        <v>3219276.8624</v>
      </c>
      <c r="BV96" s="306"/>
      <c r="BW96" s="307">
        <f t="shared" si="316"/>
        <v>21000</v>
      </c>
      <c r="BX96" s="307">
        <f t="shared" si="317"/>
        <v>33000</v>
      </c>
      <c r="BY96" s="307">
        <f t="shared" si="318"/>
        <v>75000</v>
      </c>
      <c r="BZ96" s="307">
        <f t="shared" si="319"/>
        <v>95000</v>
      </c>
      <c r="CA96" s="307">
        <f t="shared" si="320"/>
        <v>336000</v>
      </c>
      <c r="CB96" s="307">
        <f t="shared" si="321"/>
        <v>4626.446976</v>
      </c>
      <c r="CC96" s="305">
        <f t="shared" si="322"/>
        <v>564626.446976</v>
      </c>
      <c r="CD96" s="320">
        <f t="shared" si="323"/>
        <v>42740.96078</v>
      </c>
      <c r="CE96" s="321">
        <f t="shared" si="324"/>
        <v>564626.446976</v>
      </c>
      <c r="CF96" s="322">
        <f t="shared" si="357"/>
        <v>47052.2039146667</v>
      </c>
      <c r="CG96" s="323"/>
      <c r="CH96" s="324"/>
      <c r="CI96" s="325"/>
      <c r="CJ96" s="326"/>
      <c r="CK96" s="1188"/>
      <c r="CL96" s="335"/>
      <c r="CN96" s="1262"/>
    </row>
    <row r="97" s="245" customFormat="1" ht="139" customHeight="1" spans="1:92">
      <c r="A97" s="1122">
        <v>94</v>
      </c>
      <c r="B97" s="70" t="s">
        <v>371</v>
      </c>
      <c r="C97" s="1123" t="s">
        <v>164</v>
      </c>
      <c r="D97" s="1088" t="s">
        <v>372</v>
      </c>
      <c r="E97" s="1088" t="s">
        <v>231</v>
      </c>
      <c r="F97" s="1124" t="s">
        <v>165</v>
      </c>
      <c r="G97" s="686">
        <v>2005960363</v>
      </c>
      <c r="H97" s="1125">
        <v>4479454</v>
      </c>
      <c r="I97" s="1125">
        <v>4631272</v>
      </c>
      <c r="J97" s="1125">
        <v>385939.333333333</v>
      </c>
      <c r="K97" s="1125">
        <v>96484.8333333333</v>
      </c>
      <c r="L97" s="1125">
        <v>30000</v>
      </c>
      <c r="M97" s="295">
        <v>600737.25</v>
      </c>
      <c r="N97" s="295">
        <f t="shared" si="340"/>
        <v>70086.0125</v>
      </c>
      <c r="O97" s="295">
        <v>6666.67</v>
      </c>
      <c r="P97" s="295">
        <v>20833.33</v>
      </c>
      <c r="Q97" s="295"/>
      <c r="R97" s="295">
        <v>2500</v>
      </c>
      <c r="S97" s="295"/>
      <c r="T97" s="295"/>
      <c r="U97" s="295"/>
      <c r="V97" s="295"/>
      <c r="W97" s="295"/>
      <c r="X97" s="295"/>
      <c r="Y97" s="295"/>
      <c r="Z97" s="295">
        <v>2500</v>
      </c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1140"/>
      <c r="AM97" s="295">
        <f t="shared" si="294"/>
        <v>12014.745</v>
      </c>
      <c r="AN97" s="295">
        <v>500</v>
      </c>
      <c r="AO97" s="295"/>
      <c r="AP97" s="295">
        <v>71667</v>
      </c>
      <c r="AQ97" s="1149"/>
      <c r="AR97" s="1149"/>
      <c r="AS97" s="1217"/>
      <c r="AT97" s="1153"/>
      <c r="AU97" s="1218"/>
      <c r="AV97" s="1218"/>
      <c r="AW97" s="1149"/>
      <c r="AX97" s="1149"/>
      <c r="AY97" s="1161"/>
      <c r="AZ97" s="1149"/>
      <c r="BA97" s="295">
        <v>55000</v>
      </c>
      <c r="BB97" s="295"/>
      <c r="BC97" s="295">
        <v>5000</v>
      </c>
      <c r="BD97" s="295">
        <v>10000</v>
      </c>
      <c r="BE97" s="724">
        <v>2500</v>
      </c>
      <c r="BF97" s="724"/>
      <c r="BG97" s="724"/>
      <c r="BH97" s="724">
        <f t="shared" si="293"/>
        <v>14066.46525</v>
      </c>
      <c r="BI97" s="1166"/>
      <c r="BJ97" s="1166"/>
      <c r="BK97" s="724">
        <v>113704.73</v>
      </c>
      <c r="BL97" s="1167">
        <f t="shared" si="358"/>
        <v>703323.2625</v>
      </c>
      <c r="BM97" s="724">
        <f t="shared" si="311"/>
        <v>284452.94025</v>
      </c>
      <c r="BN97" s="724"/>
      <c r="BO97" s="724"/>
      <c r="BP97" s="724">
        <f t="shared" si="310"/>
        <v>418870.32225</v>
      </c>
      <c r="BQ97" s="1174">
        <f t="shared" si="308"/>
        <v>8439879.15</v>
      </c>
      <c r="BR97" s="306">
        <f t="shared" si="313"/>
        <v>1887975.83</v>
      </c>
      <c r="BS97" s="307">
        <f t="shared" si="309"/>
        <v>0</v>
      </c>
      <c r="BT97" s="308">
        <f t="shared" si="314"/>
        <v>1887975.83</v>
      </c>
      <c r="BU97" s="313">
        <f t="shared" si="315"/>
        <v>6551903.32</v>
      </c>
      <c r="BV97" s="306"/>
      <c r="BW97" s="307">
        <f t="shared" si="316"/>
        <v>21000</v>
      </c>
      <c r="BX97" s="307">
        <f t="shared" si="317"/>
        <v>33000</v>
      </c>
      <c r="BY97" s="307">
        <f t="shared" si="318"/>
        <v>75000</v>
      </c>
      <c r="BZ97" s="307">
        <f t="shared" si="319"/>
        <v>95000</v>
      </c>
      <c r="CA97" s="307">
        <f t="shared" si="320"/>
        <v>336000</v>
      </c>
      <c r="CB97" s="307">
        <f t="shared" si="321"/>
        <v>804456.7968</v>
      </c>
      <c r="CC97" s="305">
        <f t="shared" si="322"/>
        <v>1364456.7968</v>
      </c>
      <c r="CD97" s="320">
        <f t="shared" si="323"/>
        <v>84398.7915</v>
      </c>
      <c r="CE97" s="321">
        <f t="shared" si="324"/>
        <v>1364456.7968</v>
      </c>
      <c r="CF97" s="322">
        <f t="shared" si="357"/>
        <v>113704.733066667</v>
      </c>
      <c r="CG97" s="323"/>
      <c r="CH97" s="324"/>
      <c r="CI97" s="325"/>
      <c r="CJ97" s="326"/>
      <c r="CK97" s="1188"/>
      <c r="CL97" s="335"/>
      <c r="CN97" s="1263"/>
    </row>
    <row r="98" s="245" customFormat="1" ht="172.5" customHeight="1" spans="1:92">
      <c r="A98" s="1122">
        <v>95</v>
      </c>
      <c r="B98" s="70" t="s">
        <v>373</v>
      </c>
      <c r="C98" s="1123" t="s">
        <v>188</v>
      </c>
      <c r="D98" s="1088" t="s">
        <v>130</v>
      </c>
      <c r="E98" s="1088" t="s">
        <v>218</v>
      </c>
      <c r="F98" s="1124" t="s">
        <v>135</v>
      </c>
      <c r="G98" s="686" t="s">
        <v>374</v>
      </c>
      <c r="H98" s="1125">
        <v>2090081</v>
      </c>
      <c r="I98" s="1125">
        <v>2144788</v>
      </c>
      <c r="J98" s="1125">
        <v>178732.333333333</v>
      </c>
      <c r="K98" s="1125">
        <v>44683.0833333333</v>
      </c>
      <c r="L98" s="1125">
        <v>30000</v>
      </c>
      <c r="M98" s="295">
        <v>291760.83</v>
      </c>
      <c r="N98" s="295">
        <f t="shared" si="340"/>
        <v>34038.7635</v>
      </c>
      <c r="O98" s="295">
        <v>5000</v>
      </c>
      <c r="P98" s="295">
        <v>41667</v>
      </c>
      <c r="Q98" s="295"/>
      <c r="R98" s="295">
        <v>2500</v>
      </c>
      <c r="S98" s="295"/>
      <c r="T98" s="295"/>
      <c r="U98" s="295"/>
      <c r="V98" s="295"/>
      <c r="W98" s="295"/>
      <c r="X98" s="295"/>
      <c r="Y98" s="295"/>
      <c r="Z98" s="295">
        <v>2500</v>
      </c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1140"/>
      <c r="AM98" s="295">
        <f t="shared" si="294"/>
        <v>5835.2166</v>
      </c>
      <c r="AN98" s="295">
        <v>500</v>
      </c>
      <c r="AO98" s="295"/>
      <c r="AP98" s="295">
        <v>35000</v>
      </c>
      <c r="AQ98" s="1149"/>
      <c r="AR98" s="1149"/>
      <c r="AS98" s="1152"/>
      <c r="AT98" s="1149"/>
      <c r="AU98" s="1149"/>
      <c r="AV98" s="1151">
        <v>5000</v>
      </c>
      <c r="AW98" s="1151">
        <v>1000</v>
      </c>
      <c r="AX98" s="1151"/>
      <c r="AY98" s="1161"/>
      <c r="AZ98" s="1151"/>
      <c r="BA98" s="295">
        <v>60000</v>
      </c>
      <c r="BB98" s="295"/>
      <c r="BC98" s="295">
        <v>3750</v>
      </c>
      <c r="BD98" s="295">
        <v>7500</v>
      </c>
      <c r="BE98" s="724">
        <v>1500</v>
      </c>
      <c r="BF98" s="724"/>
      <c r="BG98" s="724"/>
      <c r="BH98" s="724">
        <f t="shared" si="293"/>
        <v>7549.33187</v>
      </c>
      <c r="BI98" s="1166"/>
      <c r="BJ98" s="1166"/>
      <c r="BK98" s="724">
        <v>51140.2526186667</v>
      </c>
      <c r="BL98" s="1167">
        <f t="shared" si="358"/>
        <v>377466.5935</v>
      </c>
      <c r="BM98" s="724">
        <f t="shared" si="311"/>
        <v>178774.801088667</v>
      </c>
      <c r="BN98" s="724"/>
      <c r="BO98" s="724"/>
      <c r="BP98" s="724">
        <f t="shared" si="310"/>
        <v>198691.792411333</v>
      </c>
      <c r="BQ98" s="1174">
        <f t="shared" si="308"/>
        <v>4529599.122</v>
      </c>
      <c r="BR98" s="306">
        <f t="shared" si="313"/>
        <v>1105919.8244</v>
      </c>
      <c r="BS98" s="307">
        <f t="shared" si="309"/>
        <v>0</v>
      </c>
      <c r="BT98" s="308">
        <f t="shared" si="314"/>
        <v>1105919.8244</v>
      </c>
      <c r="BU98" s="313">
        <f t="shared" si="315"/>
        <v>3423679.2976</v>
      </c>
      <c r="BV98" s="306"/>
      <c r="BW98" s="307">
        <f t="shared" si="316"/>
        <v>21000</v>
      </c>
      <c r="BX98" s="307">
        <f t="shared" si="317"/>
        <v>33000</v>
      </c>
      <c r="BY98" s="307">
        <f t="shared" si="318"/>
        <v>75000</v>
      </c>
      <c r="BZ98" s="307">
        <f t="shared" si="319"/>
        <v>95000</v>
      </c>
      <c r="CA98" s="307">
        <f t="shared" si="320"/>
        <v>336000</v>
      </c>
      <c r="CB98" s="307">
        <f t="shared" si="321"/>
        <v>53683.031424</v>
      </c>
      <c r="CC98" s="305">
        <f t="shared" si="322"/>
        <v>613683.031424</v>
      </c>
      <c r="CD98" s="320">
        <f t="shared" si="323"/>
        <v>45295.99122</v>
      </c>
      <c r="CE98" s="321">
        <f t="shared" si="324"/>
        <v>613683.031424</v>
      </c>
      <c r="CF98" s="322">
        <f t="shared" si="357"/>
        <v>51140.2526186667</v>
      </c>
      <c r="CG98" s="323"/>
      <c r="CH98" s="324"/>
      <c r="CI98" s="325"/>
      <c r="CJ98" s="326"/>
      <c r="CK98" s="1188"/>
      <c r="CL98" s="335"/>
      <c r="CN98" s="1190"/>
    </row>
    <row r="99" s="245" customFormat="1" ht="172.5" customHeight="1" spans="1:92">
      <c r="A99" s="1122">
        <v>96</v>
      </c>
      <c r="B99" s="70" t="s">
        <v>375</v>
      </c>
      <c r="C99" s="1123" t="s">
        <v>133</v>
      </c>
      <c r="D99" s="1088" t="s">
        <v>204</v>
      </c>
      <c r="E99" s="1088" t="s">
        <v>213</v>
      </c>
      <c r="F99" s="1199" t="s">
        <v>376</v>
      </c>
      <c r="G99" s="1127" t="s">
        <v>377</v>
      </c>
      <c r="H99" s="1125">
        <v>1796468</v>
      </c>
      <c r="I99" s="1125">
        <v>1846818</v>
      </c>
      <c r="J99" s="1125">
        <v>153901.5</v>
      </c>
      <c r="K99" s="1125">
        <v>38475.375</v>
      </c>
      <c r="L99" s="1125">
        <v>30000</v>
      </c>
      <c r="M99" s="295">
        <v>230620.67</v>
      </c>
      <c r="N99" s="295">
        <f t="shared" si="340"/>
        <v>26905.7448333333</v>
      </c>
      <c r="O99" s="295">
        <v>5000</v>
      </c>
      <c r="P99" s="295"/>
      <c r="Q99" s="295"/>
      <c r="R99" s="295">
        <v>2500</v>
      </c>
      <c r="S99" s="295"/>
      <c r="T99" s="295"/>
      <c r="U99" s="295"/>
      <c r="V99" s="295"/>
      <c r="W99" s="295"/>
      <c r="X99" s="295"/>
      <c r="Y99" s="295"/>
      <c r="Z99" s="295">
        <v>2500</v>
      </c>
      <c r="AA99" s="295"/>
      <c r="AB99" s="295"/>
      <c r="AC99" s="295"/>
      <c r="AD99" s="295"/>
      <c r="AE99" s="295"/>
      <c r="AF99" s="295"/>
      <c r="AG99" s="295"/>
      <c r="AH99" s="295"/>
      <c r="AI99" s="295">
        <v>20833.33</v>
      </c>
      <c r="AJ99" s="295"/>
      <c r="AK99" s="295"/>
      <c r="AL99" s="1140"/>
      <c r="AM99" s="295">
        <f t="shared" si="294"/>
        <v>4612.4134</v>
      </c>
      <c r="AN99" s="295">
        <v>500</v>
      </c>
      <c r="AO99" s="295"/>
      <c r="AP99" s="295">
        <v>74167</v>
      </c>
      <c r="AQ99" s="1151">
        <v>1000</v>
      </c>
      <c r="AR99" s="1151"/>
      <c r="AS99" s="1150"/>
      <c r="AT99" s="1151"/>
      <c r="AU99" s="1151"/>
      <c r="AV99" s="1151"/>
      <c r="AW99" s="1151"/>
      <c r="AX99" s="1151"/>
      <c r="AY99" s="1161"/>
      <c r="AZ99" s="1151"/>
      <c r="BA99" s="295">
        <v>85000</v>
      </c>
      <c r="BB99" s="295"/>
      <c r="BC99" s="295"/>
      <c r="BD99" s="295"/>
      <c r="BE99" s="724">
        <v>1000</v>
      </c>
      <c r="BF99" s="724"/>
      <c r="BG99" s="724"/>
      <c r="BH99" s="724">
        <f t="shared" si="293"/>
        <v>5350.52829666667</v>
      </c>
      <c r="BI99" s="1166"/>
      <c r="BJ99" s="1166"/>
      <c r="BK99" s="724">
        <v>32111.1</v>
      </c>
      <c r="BL99" s="1167">
        <f t="shared" si="358"/>
        <v>267526.414833333</v>
      </c>
      <c r="BM99" s="724">
        <f t="shared" si="311"/>
        <v>224574.371696667</v>
      </c>
      <c r="BN99" s="724"/>
      <c r="BO99" s="724"/>
      <c r="BP99" s="724">
        <f t="shared" si="310"/>
        <v>42952.0431366667</v>
      </c>
      <c r="BQ99" s="1174">
        <f t="shared" si="308"/>
        <v>3210316.978</v>
      </c>
      <c r="BR99" s="306">
        <f t="shared" si="313"/>
        <v>842063.3956</v>
      </c>
      <c r="BS99" s="307">
        <f t="shared" si="309"/>
        <v>0</v>
      </c>
      <c r="BT99" s="308">
        <f t="shared" si="314"/>
        <v>842063.3956</v>
      </c>
      <c r="BU99" s="313">
        <f t="shared" si="315"/>
        <v>2368253.5824</v>
      </c>
      <c r="BV99" s="306"/>
      <c r="BW99" s="307">
        <f t="shared" si="316"/>
        <v>21000</v>
      </c>
      <c r="BX99" s="307">
        <f t="shared" si="317"/>
        <v>33000</v>
      </c>
      <c r="BY99" s="307">
        <f t="shared" si="318"/>
        <v>75000</v>
      </c>
      <c r="BZ99" s="307">
        <f t="shared" si="319"/>
        <v>95000</v>
      </c>
      <c r="CA99" s="307">
        <f t="shared" si="320"/>
        <v>161333.252304</v>
      </c>
      <c r="CB99" s="307" t="str">
        <f t="shared" si="321"/>
        <v/>
      </c>
      <c r="CC99" s="305">
        <f t="shared" si="322"/>
        <v>385333.252304</v>
      </c>
      <c r="CD99" s="320">
        <f t="shared" si="323"/>
        <v>32103.16978</v>
      </c>
      <c r="CE99" s="321">
        <f t="shared" si="324"/>
        <v>385333.252304</v>
      </c>
      <c r="CF99" s="322">
        <f t="shared" si="357"/>
        <v>32111.1043586667</v>
      </c>
      <c r="CG99" s="323"/>
      <c r="CH99" s="324"/>
      <c r="CI99" s="325"/>
      <c r="CJ99" s="326"/>
      <c r="CK99" s="1188"/>
      <c r="CL99" s="335"/>
      <c r="CN99" s="1189"/>
    </row>
    <row r="100" s="245" customFormat="1" ht="172.5" customHeight="1" spans="1:92">
      <c r="A100" s="1122">
        <v>97</v>
      </c>
      <c r="B100" s="70" t="s">
        <v>378</v>
      </c>
      <c r="C100" s="1122" t="s">
        <v>203</v>
      </c>
      <c r="D100" s="1088" t="s">
        <v>379</v>
      </c>
      <c r="E100" s="1088" t="s">
        <v>251</v>
      </c>
      <c r="F100" s="1124" t="s">
        <v>165</v>
      </c>
      <c r="G100" s="686">
        <v>1005655901</v>
      </c>
      <c r="H100" s="1125">
        <f>M100*12</f>
        <v>7200000</v>
      </c>
      <c r="I100" s="1125"/>
      <c r="J100" s="1125">
        <v>600000</v>
      </c>
      <c r="K100" s="1125">
        <v>0</v>
      </c>
      <c r="L100" s="1125">
        <v>0</v>
      </c>
      <c r="M100" s="295">
        <f t="shared" ref="M100:M101" si="359">SUM(J100:L100)</f>
        <v>600000</v>
      </c>
      <c r="N100" s="295"/>
      <c r="O100" s="295"/>
      <c r="P100" s="295"/>
      <c r="Q100" s="295"/>
      <c r="R100" s="295">
        <v>2500</v>
      </c>
      <c r="S100" s="295"/>
      <c r="T100" s="295"/>
      <c r="U100" s="295"/>
      <c r="V100" s="295"/>
      <c r="W100" s="295"/>
      <c r="X100" s="295"/>
      <c r="Y100" s="295"/>
      <c r="Z100" s="295">
        <v>2500</v>
      </c>
      <c r="AA100" s="295"/>
      <c r="AB100" s="295"/>
      <c r="AC100" s="295"/>
      <c r="AD100" s="295">
        <v>62500</v>
      </c>
      <c r="AE100" s="295"/>
      <c r="AF100" s="295"/>
      <c r="AG100" s="295"/>
      <c r="AH100" s="295"/>
      <c r="AI100" s="295"/>
      <c r="AJ100" s="295"/>
      <c r="AK100" s="295"/>
      <c r="AL100" s="1140"/>
      <c r="AM100" s="295">
        <f t="shared" ref="AM100:AM115" si="360">M100*0.02</f>
        <v>12000</v>
      </c>
      <c r="AN100" s="295">
        <v>500</v>
      </c>
      <c r="AO100" s="295"/>
      <c r="AP100" s="295"/>
      <c r="AQ100" s="1149"/>
      <c r="AR100" s="1149"/>
      <c r="AS100" s="1150">
        <v>1000</v>
      </c>
      <c r="AT100" s="1151"/>
      <c r="AU100" s="1149"/>
      <c r="AV100" s="1151">
        <v>5000</v>
      </c>
      <c r="AW100" s="1149"/>
      <c r="AX100" s="1176"/>
      <c r="AY100" s="299"/>
      <c r="AZ100" s="1149"/>
      <c r="BA100" s="295">
        <v>207334</v>
      </c>
      <c r="BB100" s="295"/>
      <c r="BC100" s="295">
        <f>M100*0.04</f>
        <v>24000</v>
      </c>
      <c r="BD100" s="295"/>
      <c r="BE100" s="724">
        <v>3500</v>
      </c>
      <c r="BF100" s="724"/>
      <c r="BG100" s="724"/>
      <c r="BH100" s="724">
        <f t="shared" si="293"/>
        <v>12100</v>
      </c>
      <c r="BI100" s="1166"/>
      <c r="BJ100" s="1166"/>
      <c r="BK100" s="724">
        <v>99434.67</v>
      </c>
      <c r="BL100" s="1167">
        <f t="shared" si="358"/>
        <v>605000</v>
      </c>
      <c r="BM100" s="724">
        <f t="shared" si="311"/>
        <v>364868.67</v>
      </c>
      <c r="BN100" s="724"/>
      <c r="BO100" s="724"/>
      <c r="BP100" s="724">
        <f t="shared" si="310"/>
        <v>240131.33</v>
      </c>
      <c r="BQ100" s="1174">
        <f t="shared" si="308"/>
        <v>7260000</v>
      </c>
      <c r="BR100" s="306">
        <f t="shared" si="313"/>
        <v>1652000</v>
      </c>
      <c r="BS100" s="307">
        <f t="shared" si="309"/>
        <v>0</v>
      </c>
      <c r="BT100" s="308">
        <f t="shared" si="314"/>
        <v>1652000</v>
      </c>
      <c r="BU100" s="313">
        <f t="shared" si="315"/>
        <v>5608000</v>
      </c>
      <c r="BV100" s="306"/>
      <c r="BW100" s="307">
        <f t="shared" si="316"/>
        <v>21000</v>
      </c>
      <c r="BX100" s="307">
        <f t="shared" si="317"/>
        <v>33000</v>
      </c>
      <c r="BY100" s="307">
        <f t="shared" si="318"/>
        <v>75000</v>
      </c>
      <c r="BZ100" s="307">
        <f t="shared" si="319"/>
        <v>95000</v>
      </c>
      <c r="CA100" s="307">
        <f t="shared" si="320"/>
        <v>336000</v>
      </c>
      <c r="CB100" s="307">
        <f t="shared" si="321"/>
        <v>577920</v>
      </c>
      <c r="CC100" s="305">
        <f t="shared" si="322"/>
        <v>1137920</v>
      </c>
      <c r="CD100" s="320">
        <f t="shared" si="323"/>
        <v>72600</v>
      </c>
      <c r="CE100" s="321">
        <f t="shared" si="324"/>
        <v>1137920</v>
      </c>
      <c r="CF100" s="322">
        <f t="shared" si="357"/>
        <v>94826.6666666667</v>
      </c>
      <c r="CG100" s="323"/>
      <c r="CH100" s="324"/>
      <c r="CI100" s="325"/>
      <c r="CJ100" s="326"/>
      <c r="CK100" s="1188"/>
      <c r="CL100" s="335"/>
      <c r="CN100" s="1189"/>
    </row>
    <row r="101" s="245" customFormat="1" ht="172.5" customHeight="1" spans="1:92">
      <c r="A101" s="1122">
        <v>98</v>
      </c>
      <c r="B101" s="70" t="s">
        <v>380</v>
      </c>
      <c r="C101" s="1122" t="s">
        <v>194</v>
      </c>
      <c r="D101" s="1088" t="s">
        <v>381</v>
      </c>
      <c r="E101" s="1088" t="s">
        <v>308</v>
      </c>
      <c r="F101" s="1124" t="s">
        <v>93</v>
      </c>
      <c r="G101" s="686">
        <v>2014998139</v>
      </c>
      <c r="H101" s="1125"/>
      <c r="I101" s="1125"/>
      <c r="J101" s="1125">
        <v>555351.17</v>
      </c>
      <c r="K101" s="1125">
        <v>0</v>
      </c>
      <c r="L101" s="1125">
        <v>0</v>
      </c>
      <c r="M101" s="295">
        <f t="shared" si="359"/>
        <v>555351.17</v>
      </c>
      <c r="N101" s="295"/>
      <c r="O101" s="295"/>
      <c r="P101" s="295"/>
      <c r="Q101" s="295"/>
      <c r="R101" s="295">
        <v>2500</v>
      </c>
      <c r="S101" s="295"/>
      <c r="T101" s="295"/>
      <c r="U101" s="295"/>
      <c r="V101" s="295"/>
      <c r="W101" s="295">
        <f>'NON TEACHING STAFF'!Z19</f>
        <v>83302.68</v>
      </c>
      <c r="X101" s="295"/>
      <c r="Y101" s="295">
        <v>52500</v>
      </c>
      <c r="Z101" s="295">
        <v>2500</v>
      </c>
      <c r="AA101" s="295">
        <v>62500</v>
      </c>
      <c r="AB101" s="295">
        <v>60000</v>
      </c>
      <c r="AC101" s="295"/>
      <c r="AD101" s="295">
        <v>62501</v>
      </c>
      <c r="AE101" s="295"/>
      <c r="AF101" s="295"/>
      <c r="AG101" s="295"/>
      <c r="AH101" s="295"/>
      <c r="AI101" s="295"/>
      <c r="AJ101" s="295"/>
      <c r="AK101" s="295"/>
      <c r="AL101" s="1140"/>
      <c r="AM101" s="295">
        <f t="shared" si="360"/>
        <v>11107.0234</v>
      </c>
      <c r="AN101" s="295">
        <v>500</v>
      </c>
      <c r="AO101" s="295"/>
      <c r="AP101" s="295"/>
      <c r="AQ101" s="1149"/>
      <c r="AR101" s="1149"/>
      <c r="AS101" s="1150"/>
      <c r="AT101" s="1151"/>
      <c r="AU101" s="1149"/>
      <c r="AV101" s="1151">
        <v>5000</v>
      </c>
      <c r="AW101" s="1149"/>
      <c r="AX101" s="1149"/>
      <c r="AY101" s="1161"/>
      <c r="AZ101" s="1149"/>
      <c r="BA101" s="295">
        <v>100000</v>
      </c>
      <c r="BB101" s="295"/>
      <c r="BC101" s="295">
        <f>M101*0.04</f>
        <v>22214.0468</v>
      </c>
      <c r="BD101" s="295"/>
      <c r="BE101" s="724">
        <v>3500</v>
      </c>
      <c r="BF101" s="724"/>
      <c r="BG101" s="724"/>
      <c r="BH101" s="724">
        <f t="shared" si="293"/>
        <v>16373.077</v>
      </c>
      <c r="BI101" s="1166"/>
      <c r="BJ101" s="1166"/>
      <c r="BK101" s="724">
        <v>135848.205866667</v>
      </c>
      <c r="BL101" s="1167">
        <f>M101+N101+O101+P101+R101+S101+T101+U101+V101+W101+Y101+Z101+AA101+AB101</f>
        <v>818653.85</v>
      </c>
      <c r="BM101" s="724">
        <f t="shared" si="311"/>
        <v>294542.353066667</v>
      </c>
      <c r="BN101" s="724"/>
      <c r="BO101" s="724"/>
      <c r="BP101" s="724">
        <f t="shared" si="310"/>
        <v>524111.496933333</v>
      </c>
      <c r="BQ101" s="1174"/>
      <c r="BR101" s="306"/>
      <c r="BS101" s="307"/>
      <c r="BT101" s="308"/>
      <c r="BU101" s="313"/>
      <c r="BV101" s="306"/>
      <c r="BW101" s="307"/>
      <c r="BX101" s="307"/>
      <c r="BY101" s="307"/>
      <c r="BZ101" s="307"/>
      <c r="CA101" s="307"/>
      <c r="CB101" s="307"/>
      <c r="CC101" s="305"/>
      <c r="CD101" s="320"/>
      <c r="CE101" s="321"/>
      <c r="CF101" s="322"/>
      <c r="CG101" s="323"/>
      <c r="CH101" s="324"/>
      <c r="CI101" s="325"/>
      <c r="CJ101" s="326"/>
      <c r="CK101" s="1188"/>
      <c r="CL101" s="335"/>
      <c r="CN101" s="1189"/>
    </row>
    <row r="102" s="245" customFormat="1" ht="172.5" customHeight="1" spans="1:92">
      <c r="A102" s="1122">
        <v>99</v>
      </c>
      <c r="B102" s="70" t="s">
        <v>382</v>
      </c>
      <c r="C102" s="1123" t="s">
        <v>95</v>
      </c>
      <c r="D102" s="1088" t="s">
        <v>130</v>
      </c>
      <c r="E102" s="1088" t="s">
        <v>218</v>
      </c>
      <c r="F102" s="1124" t="s">
        <v>93</v>
      </c>
      <c r="G102" s="686">
        <v>3088351059</v>
      </c>
      <c r="H102" s="1125">
        <f>H98</f>
        <v>2090081</v>
      </c>
      <c r="I102" s="1125">
        <v>2144788</v>
      </c>
      <c r="J102" s="1125">
        <v>178732.333333333</v>
      </c>
      <c r="K102" s="1125">
        <v>44683.0833333333</v>
      </c>
      <c r="L102" s="1125">
        <v>30000</v>
      </c>
      <c r="M102" s="295">
        <v>291760.83</v>
      </c>
      <c r="N102" s="295">
        <f t="shared" ref="N102:N143" si="361">M102*0.35/3</f>
        <v>34038.7635</v>
      </c>
      <c r="O102" s="295">
        <v>5000</v>
      </c>
      <c r="P102" s="295"/>
      <c r="Q102" s="295"/>
      <c r="R102" s="295">
        <v>2500</v>
      </c>
      <c r="S102" s="295"/>
      <c r="T102" s="295"/>
      <c r="U102" s="295"/>
      <c r="V102" s="295"/>
      <c r="W102" s="295"/>
      <c r="X102" s="295"/>
      <c r="Y102" s="295"/>
      <c r="Z102" s="295">
        <v>2500</v>
      </c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1140"/>
      <c r="AM102" s="295">
        <f t="shared" si="360"/>
        <v>5835.2166</v>
      </c>
      <c r="AN102" s="295">
        <v>500</v>
      </c>
      <c r="AO102" s="295"/>
      <c r="AP102" s="295">
        <v>10000</v>
      </c>
      <c r="AQ102" s="1154">
        <v>1000</v>
      </c>
      <c r="AR102" s="1154"/>
      <c r="AS102" s="1155"/>
      <c r="AT102" s="1154"/>
      <c r="AU102" s="1154"/>
      <c r="AV102" s="1154"/>
      <c r="AW102" s="1154"/>
      <c r="AX102" s="1154"/>
      <c r="AY102" s="1130"/>
      <c r="AZ102" s="1154"/>
      <c r="BA102" s="295">
        <v>20000</v>
      </c>
      <c r="BB102" s="295"/>
      <c r="BC102" s="295"/>
      <c r="BD102" s="295"/>
      <c r="BE102" s="724">
        <v>1500</v>
      </c>
      <c r="BF102" s="724"/>
      <c r="BG102" s="724"/>
      <c r="BH102" s="724">
        <f t="shared" si="293"/>
        <v>6715.99187</v>
      </c>
      <c r="BI102" s="1166"/>
      <c r="BJ102" s="1166"/>
      <c r="BK102" s="724">
        <v>43581</v>
      </c>
      <c r="BL102" s="1167">
        <f t="shared" ref="BL102:BL133" si="362">M102+N102+O102+P102+R102+S102+T102+U102+V102+W102+Y102+Z102+AA102</f>
        <v>335799.5935</v>
      </c>
      <c r="BM102" s="724">
        <f t="shared" si="311"/>
        <v>89132.20847</v>
      </c>
      <c r="BN102" s="724"/>
      <c r="BO102" s="724"/>
      <c r="BP102" s="724">
        <f t="shared" si="310"/>
        <v>246667.38503</v>
      </c>
      <c r="BQ102" s="1174">
        <f t="shared" si="308"/>
        <v>4029595.122</v>
      </c>
      <c r="BR102" s="306">
        <f t="shared" si="313"/>
        <v>1005919.0244</v>
      </c>
      <c r="BS102" s="307">
        <f t="shared" si="309"/>
        <v>0</v>
      </c>
      <c r="BT102" s="308">
        <f t="shared" si="314"/>
        <v>1005919.0244</v>
      </c>
      <c r="BU102" s="313">
        <f t="shared" si="315"/>
        <v>3023676.0976</v>
      </c>
      <c r="BV102" s="306"/>
      <c r="BW102" s="307">
        <f t="shared" si="316"/>
        <v>21000</v>
      </c>
      <c r="BX102" s="307">
        <f t="shared" si="317"/>
        <v>33000</v>
      </c>
      <c r="BY102" s="307">
        <f t="shared" si="318"/>
        <v>75000</v>
      </c>
      <c r="BZ102" s="307">
        <f t="shared" si="319"/>
        <v>95000</v>
      </c>
      <c r="CA102" s="307">
        <f t="shared" si="320"/>
        <v>298971.980496</v>
      </c>
      <c r="CB102" s="307" t="str">
        <f t="shared" si="321"/>
        <v/>
      </c>
      <c r="CC102" s="305">
        <f t="shared" si="322"/>
        <v>522971.980496</v>
      </c>
      <c r="CD102" s="320">
        <f t="shared" si="323"/>
        <v>40295.95122</v>
      </c>
      <c r="CE102" s="321">
        <f t="shared" si="324"/>
        <v>522971.980496</v>
      </c>
      <c r="CF102" s="322">
        <f t="shared" si="357"/>
        <v>43580.9983746667</v>
      </c>
      <c r="CG102" s="323"/>
      <c r="CH102" s="324"/>
      <c r="CI102" s="325"/>
      <c r="CJ102" s="326"/>
      <c r="CK102" s="1188"/>
      <c r="CL102" s="335"/>
      <c r="CN102" s="1189"/>
    </row>
    <row r="103" s="1099" customFormat="1" ht="175" customHeight="1" spans="1:92">
      <c r="A103" s="1200">
        <v>100</v>
      </c>
      <c r="B103" s="1201" t="s">
        <v>383</v>
      </c>
      <c r="C103" s="1202" t="s">
        <v>167</v>
      </c>
      <c r="D103" s="1203" t="s">
        <v>221</v>
      </c>
      <c r="E103" s="1203" t="s">
        <v>384</v>
      </c>
      <c r="F103" s="1204" t="s">
        <v>135</v>
      </c>
      <c r="G103" s="779" t="s">
        <v>385</v>
      </c>
      <c r="H103" s="1205">
        <v>1796468</v>
      </c>
      <c r="I103" s="1205">
        <v>1846818</v>
      </c>
      <c r="J103" s="1205">
        <v>153901.5</v>
      </c>
      <c r="K103" s="1205">
        <v>38475.375</v>
      </c>
      <c r="L103" s="1205">
        <v>30000</v>
      </c>
      <c r="M103" s="1207">
        <v>227621.5</v>
      </c>
      <c r="N103" s="1207">
        <f t="shared" si="361"/>
        <v>26555.8416666667</v>
      </c>
      <c r="O103" s="1207">
        <v>5000</v>
      </c>
      <c r="P103" s="1207"/>
      <c r="Q103" s="1207"/>
      <c r="R103" s="1207">
        <v>2500</v>
      </c>
      <c r="S103" s="1207"/>
      <c r="T103" s="1207"/>
      <c r="U103" s="1207"/>
      <c r="V103" s="1207"/>
      <c r="W103" s="1207"/>
      <c r="X103" s="1207"/>
      <c r="Y103" s="1207"/>
      <c r="Z103" s="1207">
        <v>2500</v>
      </c>
      <c r="AA103" s="1207"/>
      <c r="AB103" s="1207"/>
      <c r="AC103" s="1207"/>
      <c r="AD103" s="1207"/>
      <c r="AE103" s="1207"/>
      <c r="AF103" s="1207"/>
      <c r="AG103" s="1207"/>
      <c r="AH103" s="1207"/>
      <c r="AI103" s="295"/>
      <c r="AJ103" s="295"/>
      <c r="AK103" s="295"/>
      <c r="AL103" s="1140"/>
      <c r="AM103" s="295">
        <f t="shared" si="360"/>
        <v>4552.43</v>
      </c>
      <c r="AN103" s="295">
        <v>500</v>
      </c>
      <c r="AO103" s="295"/>
      <c r="AP103" s="295">
        <v>43718.75</v>
      </c>
      <c r="AQ103" s="1149"/>
      <c r="AR103" s="1149"/>
      <c r="AS103" s="1217"/>
      <c r="AT103" s="1153"/>
      <c r="AU103" s="1149"/>
      <c r="AV103" s="1151">
        <v>5000</v>
      </c>
      <c r="AW103" s="1151">
        <v>1000</v>
      </c>
      <c r="AX103" s="1151"/>
      <c r="AY103" s="1161">
        <v>2000</v>
      </c>
      <c r="AZ103" s="1151"/>
      <c r="BA103" s="295">
        <v>47500</v>
      </c>
      <c r="BB103" s="295"/>
      <c r="BC103" s="295"/>
      <c r="BD103" s="295"/>
      <c r="BE103" s="724">
        <v>1000</v>
      </c>
      <c r="BF103" s="724"/>
      <c r="BG103" s="724"/>
      <c r="BH103" s="1224">
        <f t="shared" si="293"/>
        <v>5283.54683333333</v>
      </c>
      <c r="BI103" s="1225"/>
      <c r="BJ103" s="1225"/>
      <c r="BK103" s="1224">
        <v>31548.46</v>
      </c>
      <c r="BL103" s="1226">
        <f t="shared" si="362"/>
        <v>264177.341666667</v>
      </c>
      <c r="BM103" s="1224">
        <f t="shared" si="311"/>
        <v>142103.186833333</v>
      </c>
      <c r="BN103" s="1224"/>
      <c r="BO103" s="1224"/>
      <c r="BP103" s="1224">
        <f t="shared" si="310"/>
        <v>122074.154833333</v>
      </c>
      <c r="BQ103" s="1232">
        <f t="shared" si="308"/>
        <v>3170128.1</v>
      </c>
      <c r="BR103" s="1233">
        <f t="shared" si="313"/>
        <v>834025.62</v>
      </c>
      <c r="BS103" s="1234">
        <f t="shared" si="309"/>
        <v>0</v>
      </c>
      <c r="BT103" s="1235">
        <f t="shared" si="314"/>
        <v>834025.62</v>
      </c>
      <c r="BU103" s="1239">
        <f t="shared" si="315"/>
        <v>2336102.48</v>
      </c>
      <c r="BV103" s="1233"/>
      <c r="BW103" s="1234">
        <f t="shared" si="316"/>
        <v>21000</v>
      </c>
      <c r="BX103" s="1234">
        <f t="shared" si="317"/>
        <v>33000</v>
      </c>
      <c r="BY103" s="1234">
        <f t="shared" si="318"/>
        <v>75000</v>
      </c>
      <c r="BZ103" s="1234">
        <f t="shared" si="319"/>
        <v>95000</v>
      </c>
      <c r="CA103" s="1234">
        <f t="shared" si="320"/>
        <v>154581.5208</v>
      </c>
      <c r="CB103" s="1234" t="str">
        <f t="shared" si="321"/>
        <v/>
      </c>
      <c r="CC103" s="1249">
        <f t="shared" si="322"/>
        <v>378581.5208</v>
      </c>
      <c r="CD103" s="1250">
        <f t="shared" si="323"/>
        <v>31701.281</v>
      </c>
      <c r="CE103" s="1251">
        <f t="shared" si="324"/>
        <v>378581.5208</v>
      </c>
      <c r="CF103" s="1252">
        <f t="shared" si="357"/>
        <v>31548.4600666667</v>
      </c>
      <c r="CG103" s="1253"/>
      <c r="CH103" s="1254"/>
      <c r="CI103" s="1255"/>
      <c r="CJ103" s="1256"/>
      <c r="CK103" s="1264"/>
      <c r="CL103" s="1265"/>
      <c r="CN103" s="1266"/>
    </row>
    <row r="104" s="245" customFormat="1" ht="173" customHeight="1" spans="1:92">
      <c r="A104" s="1122">
        <v>101</v>
      </c>
      <c r="B104" s="70" t="s">
        <v>386</v>
      </c>
      <c r="C104" s="1123" t="s">
        <v>90</v>
      </c>
      <c r="D104" s="1088" t="s">
        <v>221</v>
      </c>
      <c r="E104" s="1088" t="s">
        <v>387</v>
      </c>
      <c r="F104" s="1124" t="s">
        <v>93</v>
      </c>
      <c r="G104" s="686">
        <v>3061891561</v>
      </c>
      <c r="H104" s="1125">
        <v>1796468</v>
      </c>
      <c r="I104" s="1125">
        <v>1796468</v>
      </c>
      <c r="J104" s="1125">
        <v>149705.666666667</v>
      </c>
      <c r="K104" s="1125">
        <v>37426.4166666667</v>
      </c>
      <c r="L104" s="1125">
        <v>30000</v>
      </c>
      <c r="M104" s="295">
        <v>222376.88</v>
      </c>
      <c r="N104" s="295">
        <f t="shared" ref="N104:N107" si="363">M104*0.35/3</f>
        <v>25943.9693333333</v>
      </c>
      <c r="O104" s="295">
        <v>5000</v>
      </c>
      <c r="P104" s="295"/>
      <c r="Q104" s="295"/>
      <c r="R104" s="295">
        <v>2500</v>
      </c>
      <c r="S104" s="295"/>
      <c r="T104" s="295"/>
      <c r="U104" s="295"/>
      <c r="V104" s="295"/>
      <c r="W104" s="295"/>
      <c r="X104" s="295"/>
      <c r="Y104" s="295"/>
      <c r="Z104" s="295">
        <v>2500</v>
      </c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1140"/>
      <c r="AM104" s="295">
        <f t="shared" si="360"/>
        <v>4447.5376</v>
      </c>
      <c r="AN104" s="295">
        <v>500</v>
      </c>
      <c r="AO104" s="295"/>
      <c r="AP104" s="295"/>
      <c r="AQ104" s="1149"/>
      <c r="AR104" s="1149"/>
      <c r="AS104" s="1150">
        <v>1000</v>
      </c>
      <c r="AT104" s="1151"/>
      <c r="AU104" s="1149"/>
      <c r="AV104" s="1151"/>
      <c r="AW104" s="1149"/>
      <c r="AX104" s="1149"/>
      <c r="AY104" s="1161"/>
      <c r="AZ104" s="1149"/>
      <c r="BA104" s="295">
        <v>20000</v>
      </c>
      <c r="BB104" s="295"/>
      <c r="BC104" s="295"/>
      <c r="BD104" s="295"/>
      <c r="BE104" s="724">
        <v>1000</v>
      </c>
      <c r="BF104" s="724"/>
      <c r="BG104" s="724"/>
      <c r="BH104" s="724">
        <f t="shared" si="293"/>
        <v>5166.41698666667</v>
      </c>
      <c r="BI104" s="1166"/>
      <c r="BJ104" s="1166"/>
      <c r="BK104" s="724">
        <v>30564.57</v>
      </c>
      <c r="BL104" s="1167">
        <f t="shared" si="362"/>
        <v>258320.849333333</v>
      </c>
      <c r="BM104" s="724">
        <f t="shared" si="311"/>
        <v>62678.5245866667</v>
      </c>
      <c r="BN104" s="724"/>
      <c r="BO104" s="724"/>
      <c r="BP104" s="724">
        <f t="shared" si="310"/>
        <v>195642.324746667</v>
      </c>
      <c r="BQ104" s="1174">
        <f t="shared" si="308"/>
        <v>3099850.192</v>
      </c>
      <c r="BR104" s="306">
        <f t="shared" si="313"/>
        <v>819970.0384</v>
      </c>
      <c r="BS104" s="307">
        <f t="shared" si="309"/>
        <v>0</v>
      </c>
      <c r="BT104" s="308">
        <f t="shared" si="314"/>
        <v>819970.0384</v>
      </c>
      <c r="BU104" s="313">
        <f t="shared" si="315"/>
        <v>2279880.1536</v>
      </c>
      <c r="BV104" s="306"/>
      <c r="BW104" s="307">
        <f t="shared" si="316"/>
        <v>21000</v>
      </c>
      <c r="BX104" s="307">
        <f t="shared" si="317"/>
        <v>33000</v>
      </c>
      <c r="BY104" s="307">
        <f t="shared" si="318"/>
        <v>75000</v>
      </c>
      <c r="BZ104" s="307">
        <f t="shared" si="319"/>
        <v>95000</v>
      </c>
      <c r="CA104" s="307">
        <f t="shared" si="320"/>
        <v>142774.832256</v>
      </c>
      <c r="CB104" s="307" t="str">
        <f t="shared" si="321"/>
        <v/>
      </c>
      <c r="CC104" s="305">
        <f t="shared" si="322"/>
        <v>366774.832256</v>
      </c>
      <c r="CD104" s="320">
        <f t="shared" si="323"/>
        <v>30998.50192</v>
      </c>
      <c r="CE104" s="321">
        <f t="shared" si="324"/>
        <v>366774.832256</v>
      </c>
      <c r="CF104" s="322">
        <f t="shared" si="357"/>
        <v>30564.5693546667</v>
      </c>
      <c r="CG104" s="323"/>
      <c r="CH104" s="324"/>
      <c r="CI104" s="325"/>
      <c r="CJ104" s="326"/>
      <c r="CK104" s="1188"/>
      <c r="CL104" s="335"/>
      <c r="CN104" s="1189"/>
    </row>
    <row r="105" s="245" customFormat="1" ht="173" customHeight="1" spans="1:92">
      <c r="A105" s="1122">
        <v>102</v>
      </c>
      <c r="B105" s="70" t="s">
        <v>388</v>
      </c>
      <c r="C105" s="1122" t="s">
        <v>160</v>
      </c>
      <c r="D105" s="1088" t="s">
        <v>279</v>
      </c>
      <c r="E105" s="1088" t="s">
        <v>272</v>
      </c>
      <c r="F105" s="1124" t="s">
        <v>113</v>
      </c>
      <c r="G105" s="686">
        <v>2035514330</v>
      </c>
      <c r="H105" s="1125">
        <v>2425322</v>
      </c>
      <c r="I105" s="1125">
        <v>2512904</v>
      </c>
      <c r="J105" s="1125">
        <v>209408.666666667</v>
      </c>
      <c r="K105" s="1125">
        <v>52352.1666666667</v>
      </c>
      <c r="L105" s="1125">
        <v>30000</v>
      </c>
      <c r="M105" s="295">
        <v>300883.92</v>
      </c>
      <c r="N105" s="295">
        <f t="shared" si="363"/>
        <v>35103.124</v>
      </c>
      <c r="O105" s="295">
        <v>5000</v>
      </c>
      <c r="P105" s="295"/>
      <c r="Q105" s="295"/>
      <c r="R105" s="295">
        <v>2500</v>
      </c>
      <c r="S105" s="295"/>
      <c r="T105" s="295"/>
      <c r="U105" s="295"/>
      <c r="V105" s="295"/>
      <c r="W105" s="295"/>
      <c r="X105" s="295"/>
      <c r="Y105" s="295"/>
      <c r="Z105" s="295">
        <v>2500</v>
      </c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1140"/>
      <c r="AM105" s="295">
        <f t="shared" si="360"/>
        <v>6017.6784</v>
      </c>
      <c r="AN105" s="295">
        <v>500</v>
      </c>
      <c r="AO105" s="295"/>
      <c r="AP105" s="295">
        <v>44000</v>
      </c>
      <c r="AQ105" s="1149"/>
      <c r="AR105" s="1149"/>
      <c r="AS105" s="1152"/>
      <c r="AT105" s="1149"/>
      <c r="AU105" s="1149"/>
      <c r="AV105" s="1151"/>
      <c r="AW105" s="1151">
        <v>1000</v>
      </c>
      <c r="AX105" s="1151"/>
      <c r="AY105" s="1161"/>
      <c r="AZ105" s="1151"/>
      <c r="BA105" s="295">
        <v>85000</v>
      </c>
      <c r="BB105" s="295"/>
      <c r="BC105" s="295"/>
      <c r="BD105" s="295"/>
      <c r="BE105" s="724">
        <v>1500</v>
      </c>
      <c r="BF105" s="724"/>
      <c r="BG105" s="724"/>
      <c r="BH105" s="724">
        <f t="shared" si="293"/>
        <v>6919.74088</v>
      </c>
      <c r="BI105" s="1166"/>
      <c r="BJ105" s="1166"/>
      <c r="BK105" s="724">
        <v>45292.49</v>
      </c>
      <c r="BL105" s="1167">
        <f t="shared" si="362"/>
        <v>345987.044</v>
      </c>
      <c r="BM105" s="724">
        <f t="shared" si="311"/>
        <v>190229.90928</v>
      </c>
      <c r="BN105" s="724"/>
      <c r="BO105" s="724"/>
      <c r="BP105" s="724">
        <f t="shared" si="310"/>
        <v>155757.13472</v>
      </c>
      <c r="BQ105" s="1174">
        <f t="shared" si="308"/>
        <v>4151844.528</v>
      </c>
      <c r="BR105" s="306">
        <f t="shared" si="313"/>
        <v>1030368.9056</v>
      </c>
      <c r="BS105" s="307">
        <f t="shared" si="309"/>
        <v>0</v>
      </c>
      <c r="BT105" s="308">
        <f t="shared" si="314"/>
        <v>1030368.9056</v>
      </c>
      <c r="BU105" s="313">
        <f t="shared" si="315"/>
        <v>3121475.6224</v>
      </c>
      <c r="BV105" s="306"/>
      <c r="BW105" s="307">
        <f t="shared" si="316"/>
        <v>21000</v>
      </c>
      <c r="BX105" s="307">
        <f t="shared" si="317"/>
        <v>33000</v>
      </c>
      <c r="BY105" s="307">
        <f t="shared" si="318"/>
        <v>75000</v>
      </c>
      <c r="BZ105" s="307">
        <f t="shared" si="319"/>
        <v>95000</v>
      </c>
      <c r="CA105" s="307">
        <f t="shared" si="320"/>
        <v>319509.880704</v>
      </c>
      <c r="CB105" s="307" t="str">
        <f t="shared" si="321"/>
        <v/>
      </c>
      <c r="CC105" s="305">
        <f t="shared" si="322"/>
        <v>543509.880704</v>
      </c>
      <c r="CD105" s="320">
        <f t="shared" si="323"/>
        <v>41518.44528</v>
      </c>
      <c r="CE105" s="321">
        <f t="shared" si="324"/>
        <v>543509.880704</v>
      </c>
      <c r="CF105" s="322">
        <f t="shared" si="357"/>
        <v>45292.4900586667</v>
      </c>
      <c r="CG105" s="323"/>
      <c r="CH105" s="324"/>
      <c r="CI105" s="325"/>
      <c r="CJ105" s="326"/>
      <c r="CK105" s="1188"/>
      <c r="CL105" s="335"/>
      <c r="CN105" s="1189"/>
    </row>
    <row r="106" s="245" customFormat="1" ht="198" customHeight="1" spans="1:92">
      <c r="A106" s="1122">
        <v>103</v>
      </c>
      <c r="B106" s="70" t="s">
        <v>389</v>
      </c>
      <c r="C106" s="1123" t="s">
        <v>177</v>
      </c>
      <c r="D106" s="1088" t="s">
        <v>125</v>
      </c>
      <c r="E106" s="1088" t="s">
        <v>205</v>
      </c>
      <c r="F106" s="1124" t="s">
        <v>113</v>
      </c>
      <c r="G106" s="783">
        <v>2097430504</v>
      </c>
      <c r="H106" s="1125">
        <v>1920666</v>
      </c>
      <c r="I106" s="1125">
        <v>2035373</v>
      </c>
      <c r="J106" s="1125">
        <v>169614.416666667</v>
      </c>
      <c r="K106" s="1125">
        <v>42403.6041666667</v>
      </c>
      <c r="L106" s="1125">
        <v>30000</v>
      </c>
      <c r="M106" s="295">
        <v>247716.75</v>
      </c>
      <c r="N106" s="295">
        <f t="shared" si="363"/>
        <v>28900.2875</v>
      </c>
      <c r="O106" s="295">
        <v>5000</v>
      </c>
      <c r="P106" s="295"/>
      <c r="Q106" s="295"/>
      <c r="R106" s="295">
        <v>2500</v>
      </c>
      <c r="S106" s="295"/>
      <c r="T106" s="295"/>
      <c r="U106" s="295"/>
      <c r="V106" s="295"/>
      <c r="W106" s="295"/>
      <c r="X106" s="295"/>
      <c r="Y106" s="295"/>
      <c r="Z106" s="295">
        <v>2500</v>
      </c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1140"/>
      <c r="AM106" s="295">
        <f t="shared" si="360"/>
        <v>4954.335</v>
      </c>
      <c r="AN106" s="295">
        <v>500</v>
      </c>
      <c r="AO106" s="295"/>
      <c r="AP106" s="295"/>
      <c r="AQ106" s="1149"/>
      <c r="AR106" s="1149"/>
      <c r="AS106" s="1152"/>
      <c r="AT106" s="1149"/>
      <c r="AU106" s="1219"/>
      <c r="AV106" s="1151"/>
      <c r="AW106" s="1151">
        <v>1000</v>
      </c>
      <c r="AX106" s="1151"/>
      <c r="AY106" s="1125"/>
      <c r="AZ106" s="1220"/>
      <c r="BC106" s="295"/>
      <c r="BD106" s="295"/>
      <c r="BE106" s="724">
        <v>1500</v>
      </c>
      <c r="BF106" s="724"/>
      <c r="BG106" s="724"/>
      <c r="BH106" s="724">
        <f t="shared" si="293"/>
        <v>5732.34075</v>
      </c>
      <c r="BI106" s="1166"/>
      <c r="BJ106" s="1166"/>
      <c r="BK106" s="724">
        <v>35318.33</v>
      </c>
      <c r="BL106" s="1167">
        <f t="shared" si="362"/>
        <v>286617.0375</v>
      </c>
      <c r="BM106" s="724">
        <f t="shared" si="311"/>
        <v>49005.00575</v>
      </c>
      <c r="BN106" s="724"/>
      <c r="BO106" s="724"/>
      <c r="BP106" s="724">
        <f t="shared" si="310"/>
        <v>237612.03175</v>
      </c>
      <c r="BQ106" s="1174">
        <f t="shared" si="308"/>
        <v>3439404.45</v>
      </c>
      <c r="BR106" s="306">
        <f t="shared" si="313"/>
        <v>887880.89</v>
      </c>
      <c r="BS106" s="307">
        <f t="shared" si="309"/>
        <v>0</v>
      </c>
      <c r="BT106" s="308">
        <f t="shared" si="314"/>
        <v>887880.89</v>
      </c>
      <c r="BU106" s="313">
        <f t="shared" si="315"/>
        <v>2551523.56</v>
      </c>
      <c r="BV106" s="306"/>
      <c r="BW106" s="307">
        <f t="shared" si="316"/>
        <v>21000</v>
      </c>
      <c r="BX106" s="307">
        <f t="shared" si="317"/>
        <v>33000</v>
      </c>
      <c r="BY106" s="307">
        <f t="shared" si="318"/>
        <v>75000</v>
      </c>
      <c r="BZ106" s="307">
        <f t="shared" si="319"/>
        <v>95000</v>
      </c>
      <c r="CA106" s="307">
        <f t="shared" si="320"/>
        <v>199819.9476</v>
      </c>
      <c r="CB106" s="307" t="str">
        <f t="shared" si="321"/>
        <v/>
      </c>
      <c r="CC106" s="305">
        <f t="shared" si="322"/>
        <v>423819.9476</v>
      </c>
      <c r="CD106" s="320">
        <f t="shared" si="323"/>
        <v>34394.0445</v>
      </c>
      <c r="CE106" s="321">
        <f t="shared" si="324"/>
        <v>423819.9476</v>
      </c>
      <c r="CF106" s="322">
        <f t="shared" si="357"/>
        <v>35318.3289666667</v>
      </c>
      <c r="CG106" s="323"/>
      <c r="CH106" s="324"/>
      <c r="CI106" s="325"/>
      <c r="CJ106" s="326"/>
      <c r="CK106" s="1188"/>
      <c r="CL106" s="335"/>
      <c r="CN106" s="1189"/>
    </row>
    <row r="107" s="245" customFormat="1" ht="172.5" customHeight="1" spans="1:92">
      <c r="A107" s="1122">
        <v>104</v>
      </c>
      <c r="B107" s="70" t="s">
        <v>390</v>
      </c>
      <c r="C107" s="1123" t="s">
        <v>118</v>
      </c>
      <c r="D107" s="1088" t="s">
        <v>125</v>
      </c>
      <c r="E107" s="1088" t="s">
        <v>208</v>
      </c>
      <c r="F107" s="1124" t="s">
        <v>127</v>
      </c>
      <c r="G107" s="686" t="s">
        <v>391</v>
      </c>
      <c r="H107" s="1125"/>
      <c r="I107" s="1125">
        <v>1980666</v>
      </c>
      <c r="J107" s="1125">
        <v>165055.5</v>
      </c>
      <c r="K107" s="1125">
        <v>41263.875</v>
      </c>
      <c r="L107" s="1125">
        <v>30000</v>
      </c>
      <c r="M107" s="295">
        <v>242018.02</v>
      </c>
      <c r="N107" s="295">
        <f t="shared" si="363"/>
        <v>28235.4356666667</v>
      </c>
      <c r="O107" s="295">
        <v>5000</v>
      </c>
      <c r="P107" s="295"/>
      <c r="Q107" s="295"/>
      <c r="R107" s="295">
        <v>2500</v>
      </c>
      <c r="S107" s="295"/>
      <c r="T107" s="295"/>
      <c r="U107" s="295"/>
      <c r="V107" s="295"/>
      <c r="W107" s="295"/>
      <c r="X107" s="295"/>
      <c r="Y107" s="295"/>
      <c r="Z107" s="295">
        <v>2500</v>
      </c>
      <c r="AA107" s="295"/>
      <c r="AB107" s="295"/>
      <c r="AC107" s="295"/>
      <c r="AD107" s="295"/>
      <c r="AE107" s="295"/>
      <c r="AF107" s="295"/>
      <c r="AG107" s="295"/>
      <c r="AH107" s="295"/>
      <c r="AI107" s="295">
        <v>60000</v>
      </c>
      <c r="AJ107" s="295"/>
      <c r="AK107" s="295"/>
      <c r="AL107" s="1140"/>
      <c r="AM107" s="295">
        <f t="shared" si="360"/>
        <v>4840.3604</v>
      </c>
      <c r="AN107" s="295">
        <v>500</v>
      </c>
      <c r="AO107" s="295"/>
      <c r="AP107" s="295">
        <v>43334</v>
      </c>
      <c r="AQ107" s="1149"/>
      <c r="AR107" s="1149"/>
      <c r="AS107" s="1150">
        <v>1000</v>
      </c>
      <c r="AT107" s="1151"/>
      <c r="AU107" s="1151"/>
      <c r="AV107" s="1151">
        <v>5000</v>
      </c>
      <c r="AW107" s="1151"/>
      <c r="AX107" s="1151"/>
      <c r="AY107" s="1161"/>
      <c r="AZ107" s="1151"/>
      <c r="BA107" s="295">
        <v>15000</v>
      </c>
      <c r="BB107" s="295"/>
      <c r="BC107" s="295"/>
      <c r="BD107" s="295"/>
      <c r="BE107" s="724">
        <v>1500</v>
      </c>
      <c r="BF107" s="724"/>
      <c r="BG107" s="724"/>
      <c r="BH107" s="724">
        <f t="shared" si="293"/>
        <v>5605.06911333333</v>
      </c>
      <c r="BI107" s="1166"/>
      <c r="BJ107" s="1166"/>
      <c r="BK107" s="724">
        <v>34249.25</v>
      </c>
      <c r="BL107" s="1167">
        <f t="shared" si="362"/>
        <v>280253.455666667</v>
      </c>
      <c r="BM107" s="724">
        <f t="shared" si="311"/>
        <v>171028.679513333</v>
      </c>
      <c r="BN107" s="724"/>
      <c r="BO107" s="724"/>
      <c r="BP107" s="724">
        <f t="shared" si="310"/>
        <v>109224.776153333</v>
      </c>
      <c r="BQ107" s="1174"/>
      <c r="BR107" s="306"/>
      <c r="BS107" s="307"/>
      <c r="BT107" s="308"/>
      <c r="BU107" s="313"/>
      <c r="BV107" s="306"/>
      <c r="BW107" s="307"/>
      <c r="BX107" s="307"/>
      <c r="BY107" s="307"/>
      <c r="BZ107" s="307"/>
      <c r="CA107" s="307"/>
      <c r="CB107" s="307"/>
      <c r="CC107" s="305"/>
      <c r="CD107" s="320"/>
      <c r="CE107" s="321"/>
      <c r="CF107" s="322"/>
      <c r="CG107" s="323"/>
      <c r="CH107" s="324"/>
      <c r="CI107" s="325"/>
      <c r="CJ107" s="326"/>
      <c r="CK107" s="1188"/>
      <c r="CL107" s="335"/>
      <c r="CN107" s="1189"/>
    </row>
    <row r="108" s="245" customFormat="1" ht="172.5" customHeight="1" spans="1:92">
      <c r="A108" s="1122">
        <v>105</v>
      </c>
      <c r="B108" s="70" t="s">
        <v>392</v>
      </c>
      <c r="C108" s="1123" t="s">
        <v>227</v>
      </c>
      <c r="D108" s="1088" t="s">
        <v>143</v>
      </c>
      <c r="E108" s="1088" t="s">
        <v>333</v>
      </c>
      <c r="F108" s="1124" t="s">
        <v>113</v>
      </c>
      <c r="G108" s="686">
        <v>1005205955</v>
      </c>
      <c r="H108" s="1125">
        <v>3553649</v>
      </c>
      <c r="I108" s="1125"/>
      <c r="J108" s="1125">
        <v>317071</v>
      </c>
      <c r="K108" s="1125">
        <v>79267.75</v>
      </c>
      <c r="L108" s="1125">
        <v>30000</v>
      </c>
      <c r="M108" s="295">
        <f t="shared" ref="M108:M137" si="364">SUM(J108:L108)</f>
        <v>426338.75</v>
      </c>
      <c r="N108" s="295">
        <f t="shared" si="361"/>
        <v>49739.5208333333</v>
      </c>
      <c r="O108" s="295">
        <v>5000</v>
      </c>
      <c r="P108" s="295"/>
      <c r="Q108" s="295"/>
      <c r="R108" s="295">
        <v>2500</v>
      </c>
      <c r="S108" s="295"/>
      <c r="T108" s="295"/>
      <c r="U108" s="295"/>
      <c r="V108" s="295"/>
      <c r="W108" s="295"/>
      <c r="X108" s="295"/>
      <c r="Y108" s="295"/>
      <c r="Z108" s="295">
        <v>2500</v>
      </c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1140"/>
      <c r="AM108" s="295">
        <f t="shared" si="360"/>
        <v>8526.775</v>
      </c>
      <c r="AN108" s="295">
        <v>500</v>
      </c>
      <c r="AO108" s="295"/>
      <c r="AP108" s="295"/>
      <c r="AQ108" s="1149"/>
      <c r="AR108" s="1149"/>
      <c r="AS108" s="1152"/>
      <c r="AT108" s="1149"/>
      <c r="AU108" s="1149"/>
      <c r="AV108" s="1151">
        <v>5000</v>
      </c>
      <c r="AW108" s="1149"/>
      <c r="AX108" s="1149"/>
      <c r="AY108" s="1161"/>
      <c r="AZ108" s="1149"/>
      <c r="BA108" s="295">
        <v>91666.6666666667</v>
      </c>
      <c r="BB108" s="295"/>
      <c r="BC108" s="295"/>
      <c r="BD108" s="295"/>
      <c r="BE108" s="724">
        <v>2000</v>
      </c>
      <c r="BF108" s="724"/>
      <c r="BG108" s="724"/>
      <c r="BH108" s="724">
        <f t="shared" si="293"/>
        <v>9721.56541666667</v>
      </c>
      <c r="BI108" s="1166"/>
      <c r="BJ108" s="1166"/>
      <c r="BK108" s="724">
        <v>71993.6946666667</v>
      </c>
      <c r="BL108" s="1167">
        <f t="shared" si="362"/>
        <v>486078.270833333</v>
      </c>
      <c r="BM108" s="724">
        <f t="shared" si="311"/>
        <v>189408.70175</v>
      </c>
      <c r="BN108" s="724"/>
      <c r="BO108" s="724"/>
      <c r="BP108" s="724">
        <f t="shared" si="310"/>
        <v>296669.569083333</v>
      </c>
      <c r="BQ108" s="1174">
        <f>BL108*12</f>
        <v>5832939.25</v>
      </c>
      <c r="BR108" s="306">
        <f t="shared" si="313"/>
        <v>1366587.85</v>
      </c>
      <c r="BS108" s="307">
        <f>BI108*12</f>
        <v>0</v>
      </c>
      <c r="BT108" s="308">
        <f t="shared" si="314"/>
        <v>1366587.85</v>
      </c>
      <c r="BU108" s="313">
        <f t="shared" si="315"/>
        <v>4466351.4</v>
      </c>
      <c r="BV108" s="306"/>
      <c r="BW108" s="307">
        <f t="shared" si="316"/>
        <v>21000</v>
      </c>
      <c r="BX108" s="307">
        <f t="shared" si="317"/>
        <v>33000</v>
      </c>
      <c r="BY108" s="307">
        <f t="shared" si="318"/>
        <v>75000</v>
      </c>
      <c r="BZ108" s="307">
        <f t="shared" si="319"/>
        <v>95000</v>
      </c>
      <c r="CA108" s="307">
        <f t="shared" si="320"/>
        <v>336000</v>
      </c>
      <c r="CB108" s="307">
        <f t="shared" si="321"/>
        <v>303924.336</v>
      </c>
      <c r="CC108" s="305">
        <f t="shared" si="322"/>
        <v>863924.336</v>
      </c>
      <c r="CD108" s="320">
        <f t="shared" si="323"/>
        <v>58329.3925</v>
      </c>
      <c r="CE108" s="321">
        <f t="shared" si="324"/>
        <v>863924.336</v>
      </c>
      <c r="CF108" s="322">
        <f t="shared" si="357"/>
        <v>71993.6946666667</v>
      </c>
      <c r="CG108" s="323"/>
      <c r="CH108" s="324"/>
      <c r="CI108" s="325"/>
      <c r="CJ108" s="326"/>
      <c r="CK108" s="1188"/>
      <c r="CL108" s="335"/>
      <c r="CN108" s="1189"/>
    </row>
    <row r="109" s="245" customFormat="1" ht="185" customHeight="1" spans="1:92">
      <c r="A109" s="1122">
        <v>106</v>
      </c>
      <c r="B109" s="70" t="s">
        <v>393</v>
      </c>
      <c r="C109" s="1123" t="s">
        <v>164</v>
      </c>
      <c r="D109" s="1088" t="s">
        <v>143</v>
      </c>
      <c r="E109" s="1088" t="s">
        <v>394</v>
      </c>
      <c r="F109" s="1124" t="s">
        <v>127</v>
      </c>
      <c r="G109" s="783" t="s">
        <v>395</v>
      </c>
      <c r="H109" s="1125">
        <v>2863233</v>
      </c>
      <c r="I109" s="1125">
        <v>3428047</v>
      </c>
      <c r="J109" s="1125">
        <v>285670.583333333</v>
      </c>
      <c r="K109" s="1125">
        <v>71417.6458333333</v>
      </c>
      <c r="L109" s="1125">
        <v>30000</v>
      </c>
      <c r="M109" s="295">
        <v>400171.75</v>
      </c>
      <c r="N109" s="295">
        <f t="shared" si="361"/>
        <v>46686.7041666667</v>
      </c>
      <c r="O109" s="295">
        <v>5000</v>
      </c>
      <c r="P109" s="295"/>
      <c r="Q109" s="295"/>
      <c r="R109" s="295">
        <v>2500</v>
      </c>
      <c r="S109" s="295"/>
      <c r="T109" s="295"/>
      <c r="U109" s="295"/>
      <c r="V109" s="295"/>
      <c r="W109" s="295"/>
      <c r="X109" s="295"/>
      <c r="Y109" s="295"/>
      <c r="Z109" s="295">
        <v>2500</v>
      </c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1140"/>
      <c r="AM109" s="295">
        <f t="shared" si="360"/>
        <v>8003.435</v>
      </c>
      <c r="AN109" s="295">
        <v>500</v>
      </c>
      <c r="AO109" s="295"/>
      <c r="AP109" s="295">
        <v>20000</v>
      </c>
      <c r="AQ109" s="1149"/>
      <c r="AR109" s="1149"/>
      <c r="AS109" s="1152"/>
      <c r="AT109" s="1149"/>
      <c r="AU109" s="1149"/>
      <c r="AV109" s="1151"/>
      <c r="AW109" s="1149"/>
      <c r="AX109" s="1149"/>
      <c r="AY109" s="1161"/>
      <c r="AZ109" s="1149"/>
      <c r="BA109" s="295">
        <v>20000</v>
      </c>
      <c r="BB109" s="295"/>
      <c r="BC109" s="295">
        <v>2500</v>
      </c>
      <c r="BD109" s="295">
        <v>5000</v>
      </c>
      <c r="BE109" s="724">
        <v>1500</v>
      </c>
      <c r="BF109" s="724"/>
      <c r="BG109" s="724"/>
      <c r="BH109" s="724">
        <f t="shared" si="293"/>
        <v>9137.16908333333</v>
      </c>
      <c r="BI109" s="1166"/>
      <c r="BJ109" s="1166"/>
      <c r="BK109" s="724">
        <v>66383.49</v>
      </c>
      <c r="BL109" s="1167">
        <f t="shared" si="362"/>
        <v>456858.454166667</v>
      </c>
      <c r="BM109" s="724">
        <f t="shared" si="311"/>
        <v>133024.094083333</v>
      </c>
      <c r="BN109" s="724"/>
      <c r="BO109" s="724"/>
      <c r="BP109" s="724">
        <f t="shared" si="310"/>
        <v>323834.360083333</v>
      </c>
      <c r="BQ109" s="1174">
        <f>BL109*12</f>
        <v>5482301.45</v>
      </c>
      <c r="BR109" s="306">
        <f t="shared" si="313"/>
        <v>1296460.29</v>
      </c>
      <c r="BS109" s="307">
        <f>BI109*12</f>
        <v>0</v>
      </c>
      <c r="BT109" s="308">
        <f t="shared" si="314"/>
        <v>1296460.29</v>
      </c>
      <c r="BU109" s="313">
        <f t="shared" si="315"/>
        <v>4185841.16</v>
      </c>
      <c r="BV109" s="306"/>
      <c r="BW109" s="307">
        <f t="shared" si="316"/>
        <v>21000</v>
      </c>
      <c r="BX109" s="307">
        <f t="shared" si="317"/>
        <v>33000</v>
      </c>
      <c r="BY109" s="307">
        <f t="shared" si="318"/>
        <v>75000</v>
      </c>
      <c r="BZ109" s="307">
        <f t="shared" si="319"/>
        <v>95000</v>
      </c>
      <c r="CA109" s="307">
        <f t="shared" si="320"/>
        <v>336000</v>
      </c>
      <c r="CB109" s="307">
        <f t="shared" si="321"/>
        <v>236601.8784</v>
      </c>
      <c r="CC109" s="305">
        <f t="shared" si="322"/>
        <v>796601.8784</v>
      </c>
      <c r="CD109" s="320">
        <f t="shared" si="323"/>
        <v>54823.0145</v>
      </c>
      <c r="CE109" s="321">
        <f t="shared" si="324"/>
        <v>796601.8784</v>
      </c>
      <c r="CF109" s="322">
        <f t="shared" si="357"/>
        <v>66383.4898666667</v>
      </c>
      <c r="CG109" s="323"/>
      <c r="CH109" s="324"/>
      <c r="CI109" s="325"/>
      <c r="CJ109" s="326"/>
      <c r="CK109" s="1188"/>
      <c r="CL109" s="335"/>
      <c r="CN109" s="1189"/>
    </row>
    <row r="110" s="245" customFormat="1" ht="185" customHeight="1" spans="1:92">
      <c r="A110" s="1122">
        <v>107</v>
      </c>
      <c r="B110" s="70" t="s">
        <v>396</v>
      </c>
      <c r="C110" s="1122" t="s">
        <v>203</v>
      </c>
      <c r="D110" s="1088" t="s">
        <v>138</v>
      </c>
      <c r="E110" s="1088" t="s">
        <v>139</v>
      </c>
      <c r="F110" s="1124" t="s">
        <v>113</v>
      </c>
      <c r="G110" s="686">
        <v>2050863738</v>
      </c>
      <c r="H110" s="1125">
        <v>3804852</v>
      </c>
      <c r="I110" s="1125">
        <v>3930454</v>
      </c>
      <c r="J110" s="1125">
        <v>327537.833333333</v>
      </c>
      <c r="K110" s="1125">
        <v>81884.4583333333</v>
      </c>
      <c r="L110" s="1125">
        <v>30000</v>
      </c>
      <c r="M110" s="295">
        <v>464981</v>
      </c>
      <c r="N110" s="295">
        <f t="shared" si="361"/>
        <v>54247.7833333333</v>
      </c>
      <c r="O110" s="295">
        <v>5000</v>
      </c>
      <c r="P110" s="295">
        <v>20833.33</v>
      </c>
      <c r="Q110" s="295"/>
      <c r="R110" s="295">
        <v>2500</v>
      </c>
      <c r="S110" s="295"/>
      <c r="T110" s="295"/>
      <c r="U110" s="295"/>
      <c r="V110" s="295"/>
      <c r="W110" s="295"/>
      <c r="X110" s="295"/>
      <c r="Y110" s="295"/>
      <c r="Z110" s="295">
        <v>2500</v>
      </c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1140"/>
      <c r="AM110" s="295">
        <f t="shared" si="360"/>
        <v>9299.62</v>
      </c>
      <c r="AN110" s="295">
        <v>500</v>
      </c>
      <c r="AO110" s="295"/>
      <c r="AP110" s="295">
        <v>5000</v>
      </c>
      <c r="AQ110" s="1149"/>
      <c r="AR110" s="1149"/>
      <c r="AS110" s="1150">
        <v>1000</v>
      </c>
      <c r="AT110" s="1151"/>
      <c r="AU110" s="1153"/>
      <c r="AV110" s="1151"/>
      <c r="AW110" s="1149"/>
      <c r="AX110" s="1149"/>
      <c r="AY110" s="1161"/>
      <c r="AZ110" s="1149"/>
      <c r="BA110" s="295">
        <v>10000</v>
      </c>
      <c r="BB110" s="295"/>
      <c r="BC110" s="295"/>
      <c r="BD110" s="295"/>
      <c r="BE110" s="724">
        <v>2000</v>
      </c>
      <c r="BF110" s="724"/>
      <c r="BG110" s="724"/>
      <c r="BH110" s="724">
        <f t="shared" si="293"/>
        <v>11001.2422666667</v>
      </c>
      <c r="BI110" s="1166"/>
      <c r="BJ110" s="1166"/>
      <c r="BK110" s="724">
        <v>84278.59</v>
      </c>
      <c r="BL110" s="1167">
        <f t="shared" si="362"/>
        <v>550062.113333333</v>
      </c>
      <c r="BM110" s="724">
        <f t="shared" si="311"/>
        <v>123079.452266667</v>
      </c>
      <c r="BN110" s="724"/>
      <c r="BO110" s="724"/>
      <c r="BP110" s="724">
        <f t="shared" si="310"/>
        <v>426982.661066667</v>
      </c>
      <c r="BQ110" s="1174">
        <f>BL110*12</f>
        <v>6600745.36</v>
      </c>
      <c r="BR110" s="306">
        <f t="shared" si="313"/>
        <v>1520149.072</v>
      </c>
      <c r="BS110" s="307">
        <f>BI110*12</f>
        <v>0</v>
      </c>
      <c r="BT110" s="308">
        <f t="shared" si="314"/>
        <v>1520149.072</v>
      </c>
      <c r="BU110" s="313">
        <f t="shared" si="315"/>
        <v>5080596.288</v>
      </c>
      <c r="BV110" s="306"/>
      <c r="BW110" s="307">
        <f t="shared" si="316"/>
        <v>21000</v>
      </c>
      <c r="BX110" s="307">
        <f t="shared" si="317"/>
        <v>33000</v>
      </c>
      <c r="BY110" s="307">
        <f t="shared" si="318"/>
        <v>75000</v>
      </c>
      <c r="BZ110" s="307">
        <f t="shared" si="319"/>
        <v>95000</v>
      </c>
      <c r="CA110" s="307">
        <f t="shared" si="320"/>
        <v>336000</v>
      </c>
      <c r="CB110" s="307">
        <f t="shared" si="321"/>
        <v>451343.10912</v>
      </c>
      <c r="CC110" s="305">
        <f t="shared" si="322"/>
        <v>1011343.10912</v>
      </c>
      <c r="CD110" s="320">
        <f t="shared" si="323"/>
        <v>66007.4536</v>
      </c>
      <c r="CE110" s="321">
        <f t="shared" si="324"/>
        <v>1011343.10912</v>
      </c>
      <c r="CF110" s="322">
        <f t="shared" si="357"/>
        <v>84278.5924266667</v>
      </c>
      <c r="CG110" s="323"/>
      <c r="CH110" s="324"/>
      <c r="CI110" s="325"/>
      <c r="CJ110" s="326"/>
      <c r="CK110" s="1188"/>
      <c r="CL110" s="335"/>
      <c r="CN110" s="1189"/>
    </row>
    <row r="111" s="245" customFormat="1" ht="185" customHeight="1" spans="1:92">
      <c r="A111" s="1122">
        <v>108</v>
      </c>
      <c r="B111" s="70" t="s">
        <v>397</v>
      </c>
      <c r="C111" s="1122" t="s">
        <v>398</v>
      </c>
      <c r="D111" s="1088" t="s">
        <v>138</v>
      </c>
      <c r="E111" s="1088" t="s">
        <v>139</v>
      </c>
      <c r="F111" s="1124" t="s">
        <v>97</v>
      </c>
      <c r="G111" s="686" t="s">
        <v>399</v>
      </c>
      <c r="H111" s="1125"/>
      <c r="I111" s="1125"/>
      <c r="J111" s="1125"/>
      <c r="K111" s="1125"/>
      <c r="L111" s="1125"/>
      <c r="M111" s="295">
        <v>464981</v>
      </c>
      <c r="N111" s="295">
        <f t="shared" ref="N111" si="365">M111*0.35/3</f>
        <v>54247.7833333333</v>
      </c>
      <c r="O111" s="295">
        <v>5000</v>
      </c>
      <c r="P111" s="295">
        <v>20833.33</v>
      </c>
      <c r="Q111" s="295"/>
      <c r="R111" s="295">
        <v>2500</v>
      </c>
      <c r="S111" s="295"/>
      <c r="T111" s="295"/>
      <c r="U111" s="295"/>
      <c r="V111" s="295"/>
      <c r="W111" s="295"/>
      <c r="X111" s="295"/>
      <c r="Y111" s="295"/>
      <c r="Z111" s="295">
        <v>2500</v>
      </c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1140"/>
      <c r="AM111" s="295">
        <f t="shared" ref="AM111" si="366">M111*0.02</f>
        <v>9299.62</v>
      </c>
      <c r="AN111" s="295">
        <v>500</v>
      </c>
      <c r="AO111" s="295"/>
      <c r="AP111" s="295">
        <v>26000</v>
      </c>
      <c r="AQ111" s="1149"/>
      <c r="AR111" s="1149"/>
      <c r="AS111" s="1150">
        <v>1000</v>
      </c>
      <c r="AT111" s="1151"/>
      <c r="AU111" s="1153"/>
      <c r="AV111" s="1151">
        <v>5000</v>
      </c>
      <c r="AW111" s="1149"/>
      <c r="AX111" s="1149"/>
      <c r="AY111" s="1161"/>
      <c r="AZ111" s="1149"/>
      <c r="BA111" s="295">
        <v>25000</v>
      </c>
      <c r="BB111" s="295"/>
      <c r="BC111" s="295"/>
      <c r="BD111" s="295"/>
      <c r="BE111" s="724">
        <v>2000</v>
      </c>
      <c r="BF111" s="724"/>
      <c r="BG111" s="724"/>
      <c r="BH111" s="724">
        <f t="shared" ref="BH111" si="367">BL111*0.02</f>
        <v>11001.2422666667</v>
      </c>
      <c r="BI111" s="1166"/>
      <c r="BJ111" s="1166"/>
      <c r="BK111" s="724">
        <v>84278.59</v>
      </c>
      <c r="BL111" s="1167">
        <f t="shared" si="362"/>
        <v>550062.113333333</v>
      </c>
      <c r="BM111" s="724">
        <f t="shared" si="311"/>
        <v>164079.452266667</v>
      </c>
      <c r="BN111" s="724"/>
      <c r="BO111" s="724"/>
      <c r="BP111" s="724">
        <f t="shared" si="310"/>
        <v>385982.661066667</v>
      </c>
      <c r="BQ111" s="1174"/>
      <c r="BR111" s="306"/>
      <c r="BS111" s="307"/>
      <c r="BT111" s="308"/>
      <c r="BU111" s="313"/>
      <c r="BV111" s="306"/>
      <c r="BW111" s="307"/>
      <c r="BX111" s="307"/>
      <c r="BY111" s="307"/>
      <c r="BZ111" s="307"/>
      <c r="CA111" s="307"/>
      <c r="CB111" s="307"/>
      <c r="CC111" s="305"/>
      <c r="CD111" s="320"/>
      <c r="CE111" s="321"/>
      <c r="CF111" s="322"/>
      <c r="CG111" s="323"/>
      <c r="CH111" s="324"/>
      <c r="CI111" s="325"/>
      <c r="CJ111" s="326"/>
      <c r="CK111" s="1188"/>
      <c r="CL111" s="335"/>
      <c r="CN111" s="1189"/>
    </row>
    <row r="112" s="245" customFormat="1" ht="176" customHeight="1" spans="1:92">
      <c r="A112" s="1122">
        <v>109</v>
      </c>
      <c r="B112" s="70" t="s">
        <v>400</v>
      </c>
      <c r="C112" s="1122" t="s">
        <v>401</v>
      </c>
      <c r="D112" s="1088" t="s">
        <v>138</v>
      </c>
      <c r="E112" s="1088" t="s">
        <v>139</v>
      </c>
      <c r="F112" s="1124" t="s">
        <v>165</v>
      </c>
      <c r="G112" s="686" t="s">
        <v>402</v>
      </c>
      <c r="H112" s="1125"/>
      <c r="I112" s="1125"/>
      <c r="J112" s="1125"/>
      <c r="K112" s="1125"/>
      <c r="L112" s="1125"/>
      <c r="M112" s="295">
        <v>464982</v>
      </c>
      <c r="N112" s="295">
        <f t="shared" ref="N112" si="368">M112*0.35/3</f>
        <v>54247.9</v>
      </c>
      <c r="O112" s="295">
        <v>5000</v>
      </c>
      <c r="P112" s="295"/>
      <c r="Q112" s="295"/>
      <c r="R112" s="295">
        <v>2500</v>
      </c>
      <c r="S112" s="295"/>
      <c r="T112" s="295"/>
      <c r="U112" s="295"/>
      <c r="V112" s="295"/>
      <c r="W112" s="295"/>
      <c r="X112" s="295"/>
      <c r="Y112" s="295"/>
      <c r="Z112" s="295">
        <v>2500</v>
      </c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1140"/>
      <c r="AM112" s="295">
        <f t="shared" ref="AM112" si="369">M112*0.02</f>
        <v>9299.64</v>
      </c>
      <c r="AN112" s="295">
        <v>500</v>
      </c>
      <c r="AO112" s="295"/>
      <c r="AP112" s="295">
        <v>5000</v>
      </c>
      <c r="AQ112" s="1149"/>
      <c r="AR112" s="1149"/>
      <c r="AS112" s="1150">
        <v>1000</v>
      </c>
      <c r="AT112" s="1151"/>
      <c r="AU112" s="1153"/>
      <c r="AV112" s="1151"/>
      <c r="AW112" s="1149"/>
      <c r="AX112" s="1149"/>
      <c r="AY112" s="1161"/>
      <c r="AZ112" s="1149"/>
      <c r="BA112" s="295">
        <v>0</v>
      </c>
      <c r="BB112" s="295"/>
      <c r="BC112" s="295"/>
      <c r="BD112" s="295"/>
      <c r="BE112" s="724">
        <v>2000</v>
      </c>
      <c r="BF112" s="724"/>
      <c r="BG112" s="724"/>
      <c r="BH112" s="724">
        <f t="shared" ref="BH112" si="370">BL112*0.02</f>
        <v>10584.598</v>
      </c>
      <c r="BI112" s="1166"/>
      <c r="BJ112" s="1166"/>
      <c r="BK112" s="724">
        <v>80278.81</v>
      </c>
      <c r="BL112" s="1167">
        <f t="shared" si="362"/>
        <v>529229.9</v>
      </c>
      <c r="BM112" s="724">
        <f t="shared" si="311"/>
        <v>108663.048</v>
      </c>
      <c r="BN112" s="724"/>
      <c r="BO112" s="724"/>
      <c r="BP112" s="724">
        <f t="shared" si="310"/>
        <v>420566.852</v>
      </c>
      <c r="BQ112" s="1174"/>
      <c r="BR112" s="306"/>
      <c r="BS112" s="307"/>
      <c r="BT112" s="308"/>
      <c r="BU112" s="313"/>
      <c r="BV112" s="306"/>
      <c r="BW112" s="307"/>
      <c r="BX112" s="307"/>
      <c r="BY112" s="307"/>
      <c r="BZ112" s="307"/>
      <c r="CA112" s="307"/>
      <c r="CB112" s="307"/>
      <c r="CC112" s="305"/>
      <c r="CD112" s="320"/>
      <c r="CE112" s="321"/>
      <c r="CF112" s="322"/>
      <c r="CG112" s="323"/>
      <c r="CH112" s="324"/>
      <c r="CI112" s="325"/>
      <c r="CJ112" s="326"/>
      <c r="CK112" s="1188"/>
      <c r="CL112" s="335"/>
      <c r="CN112" s="1189"/>
    </row>
    <row r="113" s="245" customFormat="1" ht="172.5" customHeight="1" spans="1:92">
      <c r="A113" s="1122">
        <v>110</v>
      </c>
      <c r="B113" s="70" t="s">
        <v>403</v>
      </c>
      <c r="C113" s="1123" t="s">
        <v>191</v>
      </c>
      <c r="D113" s="1088" t="s">
        <v>143</v>
      </c>
      <c r="E113" s="1088" t="s">
        <v>394</v>
      </c>
      <c r="F113" s="1124" t="s">
        <v>165</v>
      </c>
      <c r="G113" s="686">
        <v>1008257258</v>
      </c>
      <c r="H113" s="1125">
        <v>2863233</v>
      </c>
      <c r="I113" s="1125">
        <v>3428047</v>
      </c>
      <c r="J113" s="1125">
        <v>285670.583333333</v>
      </c>
      <c r="K113" s="1125">
        <v>71417.6458333333</v>
      </c>
      <c r="L113" s="1125">
        <v>30000</v>
      </c>
      <c r="M113" s="295">
        <v>400171.75</v>
      </c>
      <c r="N113" s="295">
        <f t="shared" si="361"/>
        <v>46686.7041666667</v>
      </c>
      <c r="O113" s="295">
        <v>5000</v>
      </c>
      <c r="P113" s="295"/>
      <c r="Q113" s="295"/>
      <c r="R113" s="295">
        <v>2500</v>
      </c>
      <c r="S113" s="295"/>
      <c r="T113" s="295"/>
      <c r="U113" s="295"/>
      <c r="V113" s="295"/>
      <c r="W113" s="295"/>
      <c r="X113" s="295"/>
      <c r="Y113" s="295"/>
      <c r="Z113" s="295">
        <v>2500</v>
      </c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1140"/>
      <c r="AM113" s="295">
        <f t="shared" si="360"/>
        <v>8003.435</v>
      </c>
      <c r="AN113" s="295">
        <v>500</v>
      </c>
      <c r="AO113" s="295"/>
      <c r="AP113" s="295">
        <v>121324</v>
      </c>
      <c r="AQ113" s="1149"/>
      <c r="AR113" s="1149"/>
      <c r="AS113" s="1150">
        <v>1000</v>
      </c>
      <c r="AT113" s="1151"/>
      <c r="AU113" s="1149"/>
      <c r="AV113" s="1151">
        <v>5000</v>
      </c>
      <c r="AW113" s="1149"/>
      <c r="AX113" s="1149"/>
      <c r="AY113" s="1161"/>
      <c r="AZ113" s="1153"/>
      <c r="BA113" s="295">
        <v>0</v>
      </c>
      <c r="BB113" s="295"/>
      <c r="BC113" s="295"/>
      <c r="BD113" s="295"/>
      <c r="BE113" s="724">
        <v>1500</v>
      </c>
      <c r="BF113" s="724"/>
      <c r="BG113" s="724"/>
      <c r="BH113" s="724">
        <f t="shared" si="293"/>
        <v>9137.16908333333</v>
      </c>
      <c r="BI113" s="1166"/>
      <c r="BJ113" s="1166"/>
      <c r="BK113" s="724">
        <v>66383.49</v>
      </c>
      <c r="BL113" s="1167">
        <f t="shared" si="362"/>
        <v>456858.454166667</v>
      </c>
      <c r="BM113" s="724">
        <f t="shared" si="311"/>
        <v>212848.094083333</v>
      </c>
      <c r="BN113" s="724"/>
      <c r="BO113" s="724"/>
      <c r="BP113" s="724">
        <f t="shared" si="310"/>
        <v>244010.360083333</v>
      </c>
      <c r="BQ113" s="1174">
        <f>BL113*12</f>
        <v>5482301.45</v>
      </c>
      <c r="BR113" s="306">
        <f t="shared" si="313"/>
        <v>1296460.29</v>
      </c>
      <c r="BS113" s="307">
        <f>BI113*12</f>
        <v>0</v>
      </c>
      <c r="BT113" s="308">
        <f t="shared" si="314"/>
        <v>1296460.29</v>
      </c>
      <c r="BU113" s="313">
        <f t="shared" si="315"/>
        <v>4185841.16</v>
      </c>
      <c r="BV113" s="306"/>
      <c r="BW113" s="307">
        <f t="shared" si="316"/>
        <v>21000</v>
      </c>
      <c r="BX113" s="307">
        <f t="shared" si="317"/>
        <v>33000</v>
      </c>
      <c r="BY113" s="307">
        <f t="shared" si="318"/>
        <v>75000</v>
      </c>
      <c r="BZ113" s="307">
        <f t="shared" si="319"/>
        <v>95000</v>
      </c>
      <c r="CA113" s="307">
        <f t="shared" si="320"/>
        <v>336000</v>
      </c>
      <c r="CB113" s="307">
        <f t="shared" si="321"/>
        <v>236601.8784</v>
      </c>
      <c r="CC113" s="305">
        <f t="shared" si="322"/>
        <v>796601.8784</v>
      </c>
      <c r="CD113" s="320">
        <f t="shared" si="323"/>
        <v>54823.0145</v>
      </c>
      <c r="CE113" s="321">
        <f t="shared" si="324"/>
        <v>796601.8784</v>
      </c>
      <c r="CF113" s="322">
        <f t="shared" si="357"/>
        <v>66383.4898666667</v>
      </c>
      <c r="CG113" s="323"/>
      <c r="CH113" s="324"/>
      <c r="CI113" s="325"/>
      <c r="CJ113" s="326"/>
      <c r="CK113" s="1188"/>
      <c r="CL113" s="335"/>
      <c r="CN113" s="1189"/>
    </row>
    <row r="114" s="245" customFormat="1" ht="172.5" customHeight="1" spans="1:92">
      <c r="A114" s="1122">
        <v>111</v>
      </c>
      <c r="B114" s="70" t="s">
        <v>404</v>
      </c>
      <c r="C114" s="1123" t="s">
        <v>104</v>
      </c>
      <c r="D114" s="1088" t="s">
        <v>138</v>
      </c>
      <c r="E114" s="1088" t="s">
        <v>139</v>
      </c>
      <c r="F114" s="1124" t="s">
        <v>135</v>
      </c>
      <c r="G114" s="686" t="s">
        <v>405</v>
      </c>
      <c r="H114" s="1125">
        <f>H110</f>
        <v>3804852</v>
      </c>
      <c r="I114" s="1125">
        <v>3930454</v>
      </c>
      <c r="J114" s="1125">
        <v>327537.833333333</v>
      </c>
      <c r="K114" s="1125">
        <v>81884.4583333333</v>
      </c>
      <c r="L114" s="1125">
        <v>30000</v>
      </c>
      <c r="M114" s="295">
        <v>464981</v>
      </c>
      <c r="N114" s="295">
        <f t="shared" si="361"/>
        <v>54247.7833333333</v>
      </c>
      <c r="O114" s="295">
        <v>5000</v>
      </c>
      <c r="P114" s="295">
        <f>P97</f>
        <v>20833.33</v>
      </c>
      <c r="Q114" s="295"/>
      <c r="R114" s="295">
        <v>2500</v>
      </c>
      <c r="S114" s="295"/>
      <c r="T114" s="295"/>
      <c r="U114" s="295"/>
      <c r="V114" s="295"/>
      <c r="W114" s="295"/>
      <c r="X114" s="295"/>
      <c r="Y114" s="295"/>
      <c r="Z114" s="295">
        <v>2500</v>
      </c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1140"/>
      <c r="AM114" s="295">
        <f t="shared" si="360"/>
        <v>9299.62</v>
      </c>
      <c r="AN114" s="295">
        <v>500</v>
      </c>
      <c r="AO114" s="295"/>
      <c r="AP114" s="295">
        <v>88334</v>
      </c>
      <c r="AQ114" s="1151">
        <v>1000</v>
      </c>
      <c r="AR114" s="1151"/>
      <c r="AS114" s="1150"/>
      <c r="AT114" s="1151"/>
      <c r="AU114" s="1151"/>
      <c r="AV114" s="1151"/>
      <c r="AW114" s="1151"/>
      <c r="AX114" s="1151"/>
      <c r="AY114" s="1161">
        <v>2000</v>
      </c>
      <c r="AZ114" s="1151"/>
      <c r="BA114" s="295">
        <v>162917</v>
      </c>
      <c r="BB114" s="295"/>
      <c r="BC114" s="295">
        <f>BD114/2</f>
        <v>4166.665</v>
      </c>
      <c r="BD114" s="295">
        <v>8333.33</v>
      </c>
      <c r="BE114" s="724">
        <v>2000</v>
      </c>
      <c r="BF114" s="724"/>
      <c r="BG114" s="724"/>
      <c r="BH114" s="724">
        <f t="shared" si="293"/>
        <v>11001.2422666667</v>
      </c>
      <c r="BI114" s="1166"/>
      <c r="BJ114" s="1166"/>
      <c r="BK114" s="724">
        <v>84278.59</v>
      </c>
      <c r="BL114" s="1167">
        <f t="shared" si="362"/>
        <v>550062.113333333</v>
      </c>
      <c r="BM114" s="724">
        <f t="shared" si="311"/>
        <v>373830.447266667</v>
      </c>
      <c r="BN114" s="724"/>
      <c r="BO114" s="724"/>
      <c r="BP114" s="724">
        <f t="shared" si="310"/>
        <v>176231.666066667</v>
      </c>
      <c r="BQ114" s="1174">
        <f>BL114*12</f>
        <v>6600745.36</v>
      </c>
      <c r="BR114" s="306">
        <f t="shared" si="313"/>
        <v>1520149.072</v>
      </c>
      <c r="BS114" s="307">
        <f>BI114*12</f>
        <v>0</v>
      </c>
      <c r="BT114" s="308">
        <f t="shared" si="314"/>
        <v>1520149.072</v>
      </c>
      <c r="BU114" s="313">
        <f t="shared" si="315"/>
        <v>5080596.288</v>
      </c>
      <c r="BV114" s="306"/>
      <c r="BW114" s="307">
        <f t="shared" si="316"/>
        <v>21000</v>
      </c>
      <c r="BX114" s="307">
        <f t="shared" si="317"/>
        <v>33000</v>
      </c>
      <c r="BY114" s="307">
        <f t="shared" si="318"/>
        <v>75000</v>
      </c>
      <c r="BZ114" s="307">
        <f t="shared" si="319"/>
        <v>95000</v>
      </c>
      <c r="CA114" s="307">
        <f t="shared" si="320"/>
        <v>336000</v>
      </c>
      <c r="CB114" s="307">
        <f t="shared" si="321"/>
        <v>451343.10912</v>
      </c>
      <c r="CC114" s="305">
        <f t="shared" si="322"/>
        <v>1011343.10912</v>
      </c>
      <c r="CD114" s="320">
        <f t="shared" si="323"/>
        <v>66007.4536</v>
      </c>
      <c r="CE114" s="321">
        <f t="shared" si="324"/>
        <v>1011343.10912</v>
      </c>
      <c r="CF114" s="322">
        <f t="shared" si="357"/>
        <v>84278.5924266667</v>
      </c>
      <c r="CG114" s="323"/>
      <c r="CH114" s="324"/>
      <c r="CI114" s="325"/>
      <c r="CJ114" s="326"/>
      <c r="CK114" s="1188"/>
      <c r="CL114" s="335"/>
      <c r="CN114" s="1189"/>
    </row>
    <row r="115" s="245" customFormat="1" ht="172.5" customHeight="1" spans="1:92">
      <c r="A115" s="1122">
        <v>112</v>
      </c>
      <c r="B115" s="70" t="s">
        <v>406</v>
      </c>
      <c r="C115" s="1123" t="s">
        <v>95</v>
      </c>
      <c r="D115" s="1088" t="s">
        <v>143</v>
      </c>
      <c r="E115" s="1088" t="s">
        <v>394</v>
      </c>
      <c r="F115" s="1124" t="s">
        <v>135</v>
      </c>
      <c r="G115" s="686" t="s">
        <v>407</v>
      </c>
      <c r="H115" s="1125">
        <v>2688069</v>
      </c>
      <c r="I115" s="1125">
        <v>3428047</v>
      </c>
      <c r="J115" s="1125">
        <v>285670.583333333</v>
      </c>
      <c r="K115" s="1125">
        <v>71417.6458333333</v>
      </c>
      <c r="L115" s="1125">
        <v>30000</v>
      </c>
      <c r="M115" s="295">
        <v>400171.75</v>
      </c>
      <c r="N115" s="295">
        <f t="shared" si="361"/>
        <v>46686.7041666667</v>
      </c>
      <c r="O115" s="295">
        <v>5000</v>
      </c>
      <c r="P115" s="295"/>
      <c r="Q115" s="295"/>
      <c r="R115" s="295">
        <v>2500</v>
      </c>
      <c r="S115" s="295"/>
      <c r="T115" s="295"/>
      <c r="U115" s="295"/>
      <c r="V115" s="295"/>
      <c r="W115" s="295"/>
      <c r="X115" s="295"/>
      <c r="Y115" s="295"/>
      <c r="Z115" s="295">
        <v>2500</v>
      </c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1140"/>
      <c r="AM115" s="295">
        <f t="shared" si="360"/>
        <v>8003.435</v>
      </c>
      <c r="AN115" s="295">
        <v>500</v>
      </c>
      <c r="AO115" s="295"/>
      <c r="AP115" s="295"/>
      <c r="AQ115" s="1151">
        <v>1000</v>
      </c>
      <c r="AR115" s="1151"/>
      <c r="AS115" s="1150"/>
      <c r="AT115" s="1151"/>
      <c r="AU115" s="1151"/>
      <c r="AV115" s="1151">
        <v>5000</v>
      </c>
      <c r="AW115" s="1151"/>
      <c r="AX115" s="1151"/>
      <c r="AY115" s="1161"/>
      <c r="AZ115" s="1151"/>
      <c r="BA115" s="295">
        <v>0</v>
      </c>
      <c r="BB115" s="295"/>
      <c r="BC115" s="295"/>
      <c r="BD115" s="295"/>
      <c r="BE115" s="724">
        <v>1500</v>
      </c>
      <c r="BF115" s="724"/>
      <c r="BG115" s="724"/>
      <c r="BH115" s="724">
        <f t="shared" si="293"/>
        <v>9137.16908333333</v>
      </c>
      <c r="BI115" s="1166"/>
      <c r="BJ115" s="1166"/>
      <c r="BK115" s="724">
        <v>66383.49</v>
      </c>
      <c r="BL115" s="1167">
        <f t="shared" si="362"/>
        <v>456858.454166667</v>
      </c>
      <c r="BM115" s="724">
        <f t="shared" si="311"/>
        <v>91524.0940833333</v>
      </c>
      <c r="BN115" s="724"/>
      <c r="BO115" s="724"/>
      <c r="BP115" s="724">
        <f t="shared" si="310"/>
        <v>365334.360083333</v>
      </c>
      <c r="BQ115" s="1174">
        <f t="shared" ref="BQ115:BQ122" si="371">BL115*12</f>
        <v>5482301.45</v>
      </c>
      <c r="BR115" s="306">
        <f t="shared" ref="BR115:BR154" si="372">200000+(0.2*BQ115)</f>
        <v>1296460.29</v>
      </c>
      <c r="BS115" s="307">
        <f t="shared" ref="BS115:BS122" si="373">BI115*12</f>
        <v>0</v>
      </c>
      <c r="BT115" s="308">
        <f t="shared" ref="BT115:BT154" si="374">SUM(BR115:BS115)</f>
        <v>1296460.29</v>
      </c>
      <c r="BU115" s="313">
        <f t="shared" ref="BU115:BU154" si="375">+BQ115-BT115</f>
        <v>4185841.16</v>
      </c>
      <c r="BV115" s="306"/>
      <c r="BW115" s="307">
        <f t="shared" ref="BW115:BW154" si="376">IF((BU115&gt;0),(IF((BU115&gt;300000),(300000*7%),(BU115*7%))),(BQ115*1%))</f>
        <v>21000</v>
      </c>
      <c r="BX115" s="307">
        <f t="shared" ref="BX115:BX154" si="377">IF((BU115-300000)&gt;0,(IF((BU115&gt;600000),(300000*11%),((BU115-300000)*11%))),(""))</f>
        <v>33000</v>
      </c>
      <c r="BY115" s="307">
        <f t="shared" ref="BY115:BY154" si="378">IF(((BU115-600000)&gt;0),(IF((BU115&gt;1100000),(500000*15%),((BU115-600000)*15%))),(""))</f>
        <v>75000</v>
      </c>
      <c r="BZ115" s="307">
        <f t="shared" ref="BZ115:BZ154" si="379">IF(((BU115-(1100000))&gt;0),(IF((BU115&gt;(1600000)),((500000)*19%),((BU115-(1100000))*19%))),(""))</f>
        <v>95000</v>
      </c>
      <c r="CA115" s="307">
        <f t="shared" ref="CA115:CA154" si="380">IF(((BU115-(1600000))&gt;0),(IF((BU115&gt;(3200000)),((1600000)*21%),((BU115-(1600000))*21%))),(""))</f>
        <v>336000</v>
      </c>
      <c r="CB115" s="307">
        <f t="shared" ref="CB115:CB154" si="381">IF(((BU115-(3200000))&gt;0),(IF((BU115&gt;(3200000)),((BU115-(3200000))*24%),(0))),(""))</f>
        <v>236601.8784</v>
      </c>
      <c r="CC115" s="305">
        <f t="shared" ref="CC115:CC154" si="382">SUM(BW115:CB115)</f>
        <v>796601.8784</v>
      </c>
      <c r="CD115" s="320">
        <f t="shared" ref="CD115:CD154" si="383">1%*BQ115</f>
        <v>54823.0145</v>
      </c>
      <c r="CE115" s="321">
        <f t="shared" ref="CE115:CE154" si="384">MAX(CC115:CD115)</f>
        <v>796601.8784</v>
      </c>
      <c r="CF115" s="322">
        <f t="shared" si="357"/>
        <v>66383.4898666667</v>
      </c>
      <c r="CG115" s="323"/>
      <c r="CH115" s="324"/>
      <c r="CI115" s="325"/>
      <c r="CJ115" s="326"/>
      <c r="CK115" s="1188"/>
      <c r="CL115" s="335"/>
      <c r="CN115" s="1189"/>
    </row>
    <row r="116" s="248" customFormat="1" ht="172.5" customHeight="1" spans="1:93">
      <c r="A116" s="1122">
        <v>113</v>
      </c>
      <c r="B116" s="70" t="s">
        <v>408</v>
      </c>
      <c r="C116" s="1123" t="s">
        <v>104</v>
      </c>
      <c r="D116" s="1088" t="s">
        <v>204</v>
      </c>
      <c r="E116" s="1088" t="s">
        <v>205</v>
      </c>
      <c r="F116" s="1124" t="s">
        <v>127</v>
      </c>
      <c r="G116" s="686" t="s">
        <v>409</v>
      </c>
      <c r="H116" s="1125">
        <v>2035375</v>
      </c>
      <c r="I116" s="1125">
        <v>2600486</v>
      </c>
      <c r="J116" s="1125">
        <v>169614.416666667</v>
      </c>
      <c r="K116" s="1125">
        <v>42403.6041666667</v>
      </c>
      <c r="L116" s="1125">
        <v>30000</v>
      </c>
      <c r="M116" s="295">
        <v>247716.75</v>
      </c>
      <c r="N116" s="295">
        <f t="shared" si="361"/>
        <v>28900.2875</v>
      </c>
      <c r="O116" s="295">
        <v>5000</v>
      </c>
      <c r="P116" s="295"/>
      <c r="Q116" s="295"/>
      <c r="R116" s="295">
        <v>2500</v>
      </c>
      <c r="S116" s="295"/>
      <c r="T116" s="295"/>
      <c r="U116" s="295"/>
      <c r="V116" s="295"/>
      <c r="W116" s="295"/>
      <c r="X116" s="295"/>
      <c r="Y116" s="295"/>
      <c r="Z116" s="295">
        <v>2500</v>
      </c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1140"/>
      <c r="AM116" s="295">
        <f t="shared" ref="AM116:AM130" si="385">M116*0.02</f>
        <v>4954.335</v>
      </c>
      <c r="AN116" s="295">
        <v>500</v>
      </c>
      <c r="AO116" s="295"/>
      <c r="AP116" s="295"/>
      <c r="AQ116" s="1151">
        <v>1000</v>
      </c>
      <c r="AR116" s="1151"/>
      <c r="AS116" s="1150"/>
      <c r="AT116" s="1151"/>
      <c r="AU116" s="1151"/>
      <c r="AV116" s="1151"/>
      <c r="AW116" s="1151"/>
      <c r="AX116" s="1151"/>
      <c r="AY116" s="1161">
        <v>2000</v>
      </c>
      <c r="AZ116" s="1151"/>
      <c r="BA116" s="295">
        <v>0</v>
      </c>
      <c r="BB116" s="295"/>
      <c r="BC116" s="295">
        <v>3750</v>
      </c>
      <c r="BD116" s="295">
        <v>7500</v>
      </c>
      <c r="BE116" s="724">
        <v>1500</v>
      </c>
      <c r="BF116" s="724"/>
      <c r="BG116" s="724"/>
      <c r="BH116" s="724">
        <f t="shared" si="293"/>
        <v>5732.34075</v>
      </c>
      <c r="BI116" s="1166"/>
      <c r="BJ116" s="1166"/>
      <c r="BK116" s="724">
        <v>35318.33</v>
      </c>
      <c r="BL116" s="1167">
        <f t="shared" si="362"/>
        <v>286617.0375</v>
      </c>
      <c r="BM116" s="724">
        <f t="shared" si="311"/>
        <v>62255.00575</v>
      </c>
      <c r="BN116" s="724"/>
      <c r="BO116" s="724"/>
      <c r="BP116" s="724">
        <f t="shared" si="310"/>
        <v>224362.03175</v>
      </c>
      <c r="BQ116" s="1174">
        <f t="shared" si="371"/>
        <v>3439404.45</v>
      </c>
      <c r="BR116" s="306">
        <f t="shared" si="372"/>
        <v>887880.89</v>
      </c>
      <c r="BS116" s="307">
        <f t="shared" si="373"/>
        <v>0</v>
      </c>
      <c r="BT116" s="308">
        <f t="shared" si="374"/>
        <v>887880.89</v>
      </c>
      <c r="BU116" s="313">
        <f t="shared" si="375"/>
        <v>2551523.56</v>
      </c>
      <c r="BV116" s="306"/>
      <c r="BW116" s="307">
        <f t="shared" si="376"/>
        <v>21000</v>
      </c>
      <c r="BX116" s="307">
        <f t="shared" si="377"/>
        <v>33000</v>
      </c>
      <c r="BY116" s="307">
        <f t="shared" si="378"/>
        <v>75000</v>
      </c>
      <c r="BZ116" s="307">
        <f t="shared" si="379"/>
        <v>95000</v>
      </c>
      <c r="CA116" s="307">
        <f t="shared" si="380"/>
        <v>199819.9476</v>
      </c>
      <c r="CB116" s="307" t="str">
        <f t="shared" si="381"/>
        <v/>
      </c>
      <c r="CC116" s="305">
        <f t="shared" si="382"/>
        <v>423819.9476</v>
      </c>
      <c r="CD116" s="320">
        <f t="shared" si="383"/>
        <v>34394.0445</v>
      </c>
      <c r="CE116" s="321">
        <f t="shared" si="384"/>
        <v>423819.9476</v>
      </c>
      <c r="CF116" s="322">
        <f t="shared" si="357"/>
        <v>35318.3289666667</v>
      </c>
      <c r="CG116" s="323"/>
      <c r="CH116" s="324"/>
      <c r="CI116" s="325"/>
      <c r="CJ116" s="326"/>
      <c r="CK116" s="1188"/>
      <c r="CL116" s="335"/>
      <c r="CM116" s="245"/>
      <c r="CN116" s="1267"/>
      <c r="CO116" s="245"/>
    </row>
    <row r="117" s="245" customFormat="1" ht="172.5" customHeight="1" spans="1:93">
      <c r="A117" s="1122">
        <v>114</v>
      </c>
      <c r="B117" s="70" t="s">
        <v>410</v>
      </c>
      <c r="C117" s="1123" t="s">
        <v>118</v>
      </c>
      <c r="D117" s="1088" t="s">
        <v>120</v>
      </c>
      <c r="E117" s="1088" t="s">
        <v>276</v>
      </c>
      <c r="F117" s="1124" t="s">
        <v>93</v>
      </c>
      <c r="G117" s="686" t="s">
        <v>411</v>
      </c>
      <c r="H117" s="1125">
        <v>2035375</v>
      </c>
      <c r="I117" s="1125">
        <v>2425322</v>
      </c>
      <c r="J117" s="1125">
        <v>202110.166666667</v>
      </c>
      <c r="K117" s="1125">
        <v>50527.5416666667</v>
      </c>
      <c r="L117" s="1125">
        <v>30000</v>
      </c>
      <c r="M117" s="295">
        <v>413255.25</v>
      </c>
      <c r="N117" s="295">
        <f t="shared" si="361"/>
        <v>48213.1125</v>
      </c>
      <c r="O117" s="295">
        <f>O116</f>
        <v>5000</v>
      </c>
      <c r="P117" s="295"/>
      <c r="Q117" s="295"/>
      <c r="R117" s="295">
        <v>2500</v>
      </c>
      <c r="S117" s="295"/>
      <c r="T117" s="295"/>
      <c r="U117" s="295"/>
      <c r="V117" s="295"/>
      <c r="W117" s="295"/>
      <c r="X117" s="295"/>
      <c r="Y117" s="295"/>
      <c r="Z117" s="295">
        <v>2500</v>
      </c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1140"/>
      <c r="AM117" s="295">
        <f t="shared" si="385"/>
        <v>8265.105</v>
      </c>
      <c r="AN117" s="295">
        <v>500</v>
      </c>
      <c r="AO117" s="295"/>
      <c r="AP117" s="295">
        <v>5000</v>
      </c>
      <c r="AQ117" s="1149"/>
      <c r="AR117" s="1149"/>
      <c r="AS117" s="1150">
        <v>1000</v>
      </c>
      <c r="AT117" s="1151"/>
      <c r="AU117" s="1149"/>
      <c r="AV117" s="1151"/>
      <c r="AW117" s="1149"/>
      <c r="AX117" s="1149"/>
      <c r="AY117" s="1161"/>
      <c r="AZ117" s="1149"/>
      <c r="BA117" s="295">
        <v>40834</v>
      </c>
      <c r="BB117" s="295"/>
      <c r="BC117" s="295"/>
      <c r="BD117" s="295"/>
      <c r="BE117" s="724">
        <f>1500+1000+1000</f>
        <v>3500</v>
      </c>
      <c r="BF117" s="724"/>
      <c r="BG117" s="724"/>
      <c r="BH117" s="724">
        <f t="shared" si="293"/>
        <v>9429.36725</v>
      </c>
      <c r="BI117" s="1166"/>
      <c r="BJ117" s="1166"/>
      <c r="BK117" s="724">
        <v>69188.59</v>
      </c>
      <c r="BL117" s="1167">
        <f t="shared" si="362"/>
        <v>471468.3625</v>
      </c>
      <c r="BM117" s="724">
        <f t="shared" si="311"/>
        <v>137717.06225</v>
      </c>
      <c r="BN117" s="724"/>
      <c r="BO117" s="724"/>
      <c r="BP117" s="724">
        <f t="shared" si="310"/>
        <v>333751.30025</v>
      </c>
      <c r="BQ117" s="1174">
        <f t="shared" si="371"/>
        <v>5657620.35</v>
      </c>
      <c r="BR117" s="306">
        <f t="shared" si="372"/>
        <v>1331524.07</v>
      </c>
      <c r="BS117" s="307">
        <f t="shared" si="373"/>
        <v>0</v>
      </c>
      <c r="BT117" s="308">
        <f t="shared" si="374"/>
        <v>1331524.07</v>
      </c>
      <c r="BU117" s="313">
        <f t="shared" si="375"/>
        <v>4326096.28</v>
      </c>
      <c r="BV117" s="306"/>
      <c r="BW117" s="307">
        <f t="shared" si="376"/>
        <v>21000</v>
      </c>
      <c r="BX117" s="307">
        <f t="shared" si="377"/>
        <v>33000</v>
      </c>
      <c r="BY117" s="307">
        <f t="shared" si="378"/>
        <v>75000</v>
      </c>
      <c r="BZ117" s="307">
        <f t="shared" si="379"/>
        <v>95000</v>
      </c>
      <c r="CA117" s="307">
        <f t="shared" si="380"/>
        <v>336000</v>
      </c>
      <c r="CB117" s="307">
        <f t="shared" si="381"/>
        <v>270263.1072</v>
      </c>
      <c r="CC117" s="305">
        <f t="shared" si="382"/>
        <v>830263.1072</v>
      </c>
      <c r="CD117" s="320">
        <f t="shared" si="383"/>
        <v>56576.2035</v>
      </c>
      <c r="CE117" s="321">
        <f t="shared" si="384"/>
        <v>830263.1072</v>
      </c>
      <c r="CF117" s="322">
        <f t="shared" si="357"/>
        <v>69188.5922666667</v>
      </c>
      <c r="CG117" s="323"/>
      <c r="CH117" s="324"/>
      <c r="CI117" s="325"/>
      <c r="CJ117" s="326"/>
      <c r="CK117" s="1188"/>
      <c r="CL117" s="335"/>
      <c r="CN117" s="1267"/>
      <c r="CO117" s="248"/>
    </row>
    <row r="118" s="245" customFormat="1" ht="182" customHeight="1" spans="1:92">
      <c r="A118" s="1122">
        <v>115</v>
      </c>
      <c r="B118" s="70" t="s">
        <v>412</v>
      </c>
      <c r="C118" s="1123" t="s">
        <v>133</v>
      </c>
      <c r="D118" s="1088" t="s">
        <v>120</v>
      </c>
      <c r="E118" s="1088" t="s">
        <v>276</v>
      </c>
      <c r="F118" s="1124" t="s">
        <v>113</v>
      </c>
      <c r="G118" s="686">
        <v>1014869458</v>
      </c>
      <c r="H118" s="1125">
        <v>2688069</v>
      </c>
      <c r="I118" s="1125">
        <v>2775651</v>
      </c>
      <c r="J118" s="1125">
        <v>231304.25</v>
      </c>
      <c r="K118" s="1125">
        <v>57826.0625</v>
      </c>
      <c r="L118" s="1125">
        <v>30000</v>
      </c>
      <c r="M118" s="295">
        <v>413255.25</v>
      </c>
      <c r="N118" s="295">
        <f t="shared" si="361"/>
        <v>48213.1125</v>
      </c>
      <c r="O118" s="295">
        <v>5000</v>
      </c>
      <c r="P118" s="295">
        <v>41666.66</v>
      </c>
      <c r="Q118" s="295"/>
      <c r="R118" s="295">
        <v>2500</v>
      </c>
      <c r="S118" s="295"/>
      <c r="T118" s="295"/>
      <c r="U118" s="295"/>
      <c r="V118" s="295"/>
      <c r="W118" s="295"/>
      <c r="X118" s="295"/>
      <c r="Y118" s="295"/>
      <c r="Z118" s="295">
        <v>2500</v>
      </c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1140"/>
      <c r="AM118" s="295">
        <f t="shared" si="385"/>
        <v>8265.105</v>
      </c>
      <c r="AN118" s="295">
        <v>500</v>
      </c>
      <c r="AO118" s="295"/>
      <c r="AP118" s="295">
        <v>10000</v>
      </c>
      <c r="AQ118" s="1151">
        <v>1000</v>
      </c>
      <c r="AR118" s="1151"/>
      <c r="AS118" s="1150"/>
      <c r="AT118" s="1151"/>
      <c r="AU118" s="1151"/>
      <c r="AV118" s="1151"/>
      <c r="AW118" s="1151"/>
      <c r="AX118" s="1151"/>
      <c r="AY118" s="1161"/>
      <c r="AZ118" s="1151"/>
      <c r="BA118" s="295">
        <v>20000</v>
      </c>
      <c r="BB118" s="295"/>
      <c r="BC118" s="295"/>
      <c r="BD118" s="295"/>
      <c r="BE118" s="724">
        <v>1500</v>
      </c>
      <c r="BF118" s="724"/>
      <c r="BG118" s="724"/>
      <c r="BH118" s="724">
        <f t="shared" si="293"/>
        <v>10262.70045</v>
      </c>
      <c r="BI118" s="1166"/>
      <c r="BJ118" s="1166"/>
      <c r="BK118" s="724">
        <v>77188.5909866667</v>
      </c>
      <c r="BL118" s="1167">
        <f t="shared" si="362"/>
        <v>513135.0225</v>
      </c>
      <c r="BM118" s="724">
        <f t="shared" si="311"/>
        <v>128716.396436667</v>
      </c>
      <c r="BN118" s="724"/>
      <c r="BO118" s="724"/>
      <c r="BP118" s="724">
        <f t="shared" si="310"/>
        <v>384418.626063333</v>
      </c>
      <c r="BQ118" s="1236">
        <f t="shared" si="371"/>
        <v>6157620.27</v>
      </c>
      <c r="BR118" s="352">
        <f t="shared" si="372"/>
        <v>1431524.054</v>
      </c>
      <c r="BS118" s="325">
        <f t="shared" si="373"/>
        <v>0</v>
      </c>
      <c r="BT118" s="353">
        <f t="shared" si="374"/>
        <v>1431524.054</v>
      </c>
      <c r="BU118" s="326">
        <f t="shared" si="375"/>
        <v>4726096.216</v>
      </c>
      <c r="BV118" s="352"/>
      <c r="BW118" s="325">
        <f t="shared" si="376"/>
        <v>21000</v>
      </c>
      <c r="BX118" s="325">
        <f t="shared" si="377"/>
        <v>33000</v>
      </c>
      <c r="BY118" s="325">
        <f t="shared" si="378"/>
        <v>75000</v>
      </c>
      <c r="BZ118" s="325">
        <f t="shared" si="379"/>
        <v>95000</v>
      </c>
      <c r="CA118" s="325">
        <f t="shared" si="380"/>
        <v>336000</v>
      </c>
      <c r="CB118" s="325">
        <f t="shared" si="381"/>
        <v>366263.09184</v>
      </c>
      <c r="CC118" s="351">
        <f t="shared" si="382"/>
        <v>926263.09184</v>
      </c>
      <c r="CD118" s="354">
        <f t="shared" si="383"/>
        <v>61576.2027</v>
      </c>
      <c r="CE118" s="355">
        <f t="shared" si="384"/>
        <v>926263.09184</v>
      </c>
      <c r="CF118" s="356">
        <f t="shared" si="357"/>
        <v>77188.5909866667</v>
      </c>
      <c r="CG118" s="323"/>
      <c r="CH118" s="324"/>
      <c r="CI118" s="325"/>
      <c r="CJ118" s="326"/>
      <c r="CK118" s="1188"/>
      <c r="CL118" s="360"/>
      <c r="CM118" s="248"/>
      <c r="CN118" s="1190"/>
    </row>
    <row r="119" s="245" customFormat="1" ht="188" customHeight="1" spans="1:92">
      <c r="A119" s="1122">
        <v>116</v>
      </c>
      <c r="B119" s="70" t="s">
        <v>413</v>
      </c>
      <c r="C119" s="1122" t="s">
        <v>51</v>
      </c>
      <c r="D119" s="1088" t="s">
        <v>204</v>
      </c>
      <c r="E119" s="1088" t="s">
        <v>360</v>
      </c>
      <c r="F119" s="1124" t="s">
        <v>259</v>
      </c>
      <c r="G119" s="686">
        <v>6552730205</v>
      </c>
      <c r="H119" s="1125">
        <v>2199496</v>
      </c>
      <c r="I119" s="1125">
        <v>2254203</v>
      </c>
      <c r="J119" s="1125">
        <v>187850.25</v>
      </c>
      <c r="K119" s="1125">
        <v>46962.5625</v>
      </c>
      <c r="L119" s="1125">
        <v>30000</v>
      </c>
      <c r="M119" s="295">
        <v>270511.5</v>
      </c>
      <c r="N119" s="295">
        <f t="shared" si="361"/>
        <v>31559.675</v>
      </c>
      <c r="O119" s="295">
        <v>5000</v>
      </c>
      <c r="P119" s="295"/>
      <c r="Q119" s="295"/>
      <c r="R119" s="295">
        <v>2500</v>
      </c>
      <c r="S119" s="295"/>
      <c r="T119" s="295"/>
      <c r="U119" s="295"/>
      <c r="V119" s="295"/>
      <c r="W119" s="295"/>
      <c r="X119" s="295"/>
      <c r="Y119" s="295"/>
      <c r="Z119" s="295">
        <v>2500</v>
      </c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1140"/>
      <c r="AM119" s="295">
        <f t="shared" si="385"/>
        <v>5410.23</v>
      </c>
      <c r="AN119" s="295">
        <v>500</v>
      </c>
      <c r="AO119" s="295"/>
      <c r="AP119" s="295"/>
      <c r="AQ119" s="1149"/>
      <c r="AR119" s="1149"/>
      <c r="AS119" s="1152"/>
      <c r="AT119" s="1149"/>
      <c r="AU119" s="1149"/>
      <c r="AV119" s="1151"/>
      <c r="AW119" s="1151"/>
      <c r="AX119" s="1151">
        <v>1000</v>
      </c>
      <c r="AY119" s="1161"/>
      <c r="AZ119" s="1151">
        <v>1000</v>
      </c>
      <c r="BA119" s="295">
        <v>0</v>
      </c>
      <c r="BB119" s="295"/>
      <c r="BC119" s="295"/>
      <c r="BD119" s="295"/>
      <c r="BE119" s="724">
        <v>1500</v>
      </c>
      <c r="BF119" s="724"/>
      <c r="BG119" s="724"/>
      <c r="BH119" s="724">
        <f t="shared" si="293"/>
        <v>6241.4235</v>
      </c>
      <c r="BI119" s="1166"/>
      <c r="BJ119" s="1166"/>
      <c r="BK119" s="724">
        <v>39594.62</v>
      </c>
      <c r="BL119" s="1167">
        <f t="shared" si="362"/>
        <v>312071.175</v>
      </c>
      <c r="BM119" s="724">
        <f t="shared" si="311"/>
        <v>55246.2735</v>
      </c>
      <c r="BN119" s="724"/>
      <c r="BO119" s="724"/>
      <c r="BP119" s="724">
        <f t="shared" si="310"/>
        <v>256824.9015</v>
      </c>
      <c r="BQ119" s="1237">
        <f t="shared" si="371"/>
        <v>3744854.1</v>
      </c>
      <c r="BR119" s="398">
        <f t="shared" si="372"/>
        <v>948970.82</v>
      </c>
      <c r="BS119" s="399">
        <f t="shared" si="373"/>
        <v>0</v>
      </c>
      <c r="BT119" s="400">
        <f t="shared" si="374"/>
        <v>948970.82</v>
      </c>
      <c r="BU119" s="409">
        <f t="shared" si="375"/>
        <v>2795883.28</v>
      </c>
      <c r="BV119" s="398"/>
      <c r="BW119" s="399">
        <f t="shared" si="376"/>
        <v>21000</v>
      </c>
      <c r="BX119" s="399">
        <f t="shared" si="377"/>
        <v>33000</v>
      </c>
      <c r="BY119" s="399">
        <f t="shared" si="378"/>
        <v>75000</v>
      </c>
      <c r="BZ119" s="399">
        <f t="shared" si="379"/>
        <v>95000</v>
      </c>
      <c r="CA119" s="399">
        <f t="shared" si="380"/>
        <v>251135.4888</v>
      </c>
      <c r="CB119" s="399" t="str">
        <f t="shared" si="381"/>
        <v/>
      </c>
      <c r="CC119" s="397">
        <f t="shared" si="382"/>
        <v>475135.4888</v>
      </c>
      <c r="CD119" s="412">
        <f t="shared" si="383"/>
        <v>37448.541</v>
      </c>
      <c r="CE119" s="413">
        <f t="shared" si="384"/>
        <v>475135.4888</v>
      </c>
      <c r="CF119" s="414">
        <f t="shared" si="357"/>
        <v>39594.6240666667</v>
      </c>
      <c r="CG119" s="415"/>
      <c r="CH119" s="416"/>
      <c r="CI119" s="417"/>
      <c r="CJ119" s="418"/>
      <c r="CK119" s="1268"/>
      <c r="CL119" s="335"/>
      <c r="CN119" s="1189"/>
    </row>
    <row r="120" s="245" customFormat="1" ht="172.5" customHeight="1" spans="1:92">
      <c r="A120" s="1122">
        <v>117</v>
      </c>
      <c r="B120" s="70" t="s">
        <v>414</v>
      </c>
      <c r="C120" s="1122" t="s">
        <v>51</v>
      </c>
      <c r="D120" s="1088" t="s">
        <v>130</v>
      </c>
      <c r="E120" s="1088" t="s">
        <v>153</v>
      </c>
      <c r="F120" s="1124" t="s">
        <v>127</v>
      </c>
      <c r="G120" s="686" t="s">
        <v>415</v>
      </c>
      <c r="H120" s="1125">
        <v>2688069</v>
      </c>
      <c r="I120" s="1125">
        <v>2775651</v>
      </c>
      <c r="J120" s="1125">
        <v>231304.25</v>
      </c>
      <c r="K120" s="1125">
        <v>57826.0625</v>
      </c>
      <c r="L120" s="1125">
        <v>30000</v>
      </c>
      <c r="M120" s="295">
        <v>328253.42</v>
      </c>
      <c r="N120" s="295">
        <f t="shared" si="361"/>
        <v>38296.2323333333</v>
      </c>
      <c r="O120" s="295">
        <v>5000</v>
      </c>
      <c r="P120" s="295"/>
      <c r="Q120" s="295"/>
      <c r="R120" s="295">
        <v>2500</v>
      </c>
      <c r="S120" s="295"/>
      <c r="T120" s="295"/>
      <c r="U120" s="295"/>
      <c r="V120" s="295"/>
      <c r="W120" s="295"/>
      <c r="X120" s="295"/>
      <c r="Y120" s="295"/>
      <c r="Z120" s="295">
        <v>2500</v>
      </c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1140"/>
      <c r="AM120" s="295">
        <f t="shared" si="385"/>
        <v>6565.0684</v>
      </c>
      <c r="AN120" s="295">
        <v>500</v>
      </c>
      <c r="AO120" s="295"/>
      <c r="AP120" s="295"/>
      <c r="AQ120" s="1149"/>
      <c r="AR120" s="1149"/>
      <c r="AS120" s="1152"/>
      <c r="AT120" s="1149"/>
      <c r="AU120" s="1149"/>
      <c r="AV120" s="1151"/>
      <c r="AW120" s="1163"/>
      <c r="AX120" s="1163">
        <v>1000</v>
      </c>
      <c r="AY120" s="1161"/>
      <c r="AZ120" s="1163">
        <v>1000</v>
      </c>
      <c r="BA120" s="295">
        <v>160001</v>
      </c>
      <c r="BB120" s="295"/>
      <c r="BC120" s="295"/>
      <c r="BD120" s="295"/>
      <c r="BE120" s="724">
        <v>1500</v>
      </c>
      <c r="BF120" s="724"/>
      <c r="BG120" s="724"/>
      <c r="BH120" s="724">
        <f t="shared" si="293"/>
        <v>7530.99304666667</v>
      </c>
      <c r="BI120" s="1166"/>
      <c r="BJ120" s="1166"/>
      <c r="BK120" s="724">
        <v>50964.2</v>
      </c>
      <c r="BL120" s="1167">
        <f t="shared" si="362"/>
        <v>376549.652333333</v>
      </c>
      <c r="BM120" s="724">
        <f t="shared" si="311"/>
        <v>229061.261446667</v>
      </c>
      <c r="BN120" s="724"/>
      <c r="BO120" s="724"/>
      <c r="BP120" s="724">
        <f t="shared" si="310"/>
        <v>147488.390886667</v>
      </c>
      <c r="BQ120" s="1174">
        <f t="shared" si="371"/>
        <v>4518595.828</v>
      </c>
      <c r="BR120" s="306">
        <f t="shared" si="372"/>
        <v>1103719.1656</v>
      </c>
      <c r="BS120" s="307">
        <f t="shared" si="373"/>
        <v>0</v>
      </c>
      <c r="BT120" s="308">
        <f t="shared" si="374"/>
        <v>1103719.1656</v>
      </c>
      <c r="BU120" s="313">
        <f t="shared" si="375"/>
        <v>3414876.6624</v>
      </c>
      <c r="BV120" s="306"/>
      <c r="BW120" s="307">
        <f t="shared" si="376"/>
        <v>21000</v>
      </c>
      <c r="BX120" s="307">
        <f t="shared" si="377"/>
        <v>33000</v>
      </c>
      <c r="BY120" s="307">
        <f t="shared" si="378"/>
        <v>75000</v>
      </c>
      <c r="BZ120" s="307">
        <f t="shared" si="379"/>
        <v>95000</v>
      </c>
      <c r="CA120" s="307">
        <f t="shared" si="380"/>
        <v>336000</v>
      </c>
      <c r="CB120" s="307">
        <f t="shared" si="381"/>
        <v>51570.3989759999</v>
      </c>
      <c r="CC120" s="305">
        <f t="shared" si="382"/>
        <v>611570.398976</v>
      </c>
      <c r="CD120" s="320">
        <f t="shared" si="383"/>
        <v>45185.95828</v>
      </c>
      <c r="CE120" s="321">
        <f t="shared" si="384"/>
        <v>611570.398976</v>
      </c>
      <c r="CF120" s="322">
        <f t="shared" si="357"/>
        <v>50964.1999146667</v>
      </c>
      <c r="CG120" s="323"/>
      <c r="CH120" s="324"/>
      <c r="CI120" s="325"/>
      <c r="CJ120" s="326"/>
      <c r="CK120" s="1188"/>
      <c r="CL120" s="335"/>
      <c r="CN120" s="1189"/>
    </row>
    <row r="121" s="245" customFormat="1" ht="172.5" customHeight="1" spans="1:92">
      <c r="A121" s="1122">
        <v>118</v>
      </c>
      <c r="B121" s="70" t="s">
        <v>416</v>
      </c>
      <c r="C121" s="1122" t="s">
        <v>160</v>
      </c>
      <c r="D121" s="1088" t="s">
        <v>130</v>
      </c>
      <c r="E121" s="1088" t="s">
        <v>297</v>
      </c>
      <c r="F121" s="1124" t="s">
        <v>113</v>
      </c>
      <c r="G121" s="686">
        <v>1017304842</v>
      </c>
      <c r="H121" s="1125">
        <v>2199496</v>
      </c>
      <c r="I121" s="1125">
        <v>2254203</v>
      </c>
      <c r="J121" s="1125">
        <v>187850.25</v>
      </c>
      <c r="K121" s="1125">
        <v>46962.5625</v>
      </c>
      <c r="L121" s="1125">
        <v>30000</v>
      </c>
      <c r="M121" s="295">
        <v>310007.17</v>
      </c>
      <c r="N121" s="295">
        <f t="shared" ref="N121" si="386">M121*0.35/3</f>
        <v>36167.5031666667</v>
      </c>
      <c r="O121" s="295">
        <v>5000</v>
      </c>
      <c r="P121" s="295"/>
      <c r="Q121" s="295"/>
      <c r="R121" s="295">
        <v>2500</v>
      </c>
      <c r="S121" s="295"/>
      <c r="T121" s="295"/>
      <c r="U121" s="295"/>
      <c r="V121" s="295"/>
      <c r="W121" s="295"/>
      <c r="X121" s="295"/>
      <c r="Y121" s="295"/>
      <c r="Z121" s="295">
        <v>2500</v>
      </c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1140"/>
      <c r="AM121" s="295">
        <f t="shared" si="385"/>
        <v>6200.1434</v>
      </c>
      <c r="AN121" s="295">
        <v>500</v>
      </c>
      <c r="AO121" s="295"/>
      <c r="AP121" s="295">
        <v>10000</v>
      </c>
      <c r="AQ121" s="1149"/>
      <c r="AR121" s="1149"/>
      <c r="AS121" s="1152"/>
      <c r="AT121" s="1149"/>
      <c r="AU121" s="1149"/>
      <c r="AV121" s="1151"/>
      <c r="AW121" s="1151">
        <v>1000</v>
      </c>
      <c r="AX121" s="1151"/>
      <c r="AY121" s="1161"/>
      <c r="AZ121" s="1151"/>
      <c r="BA121" s="295">
        <v>5000</v>
      </c>
      <c r="BB121" s="295"/>
      <c r="BC121" s="295"/>
      <c r="BD121" s="295"/>
      <c r="BE121" s="724">
        <v>1500</v>
      </c>
      <c r="BF121" s="724"/>
      <c r="BG121" s="724"/>
      <c r="BH121" s="724">
        <f t="shared" si="293"/>
        <v>7123.49346333333</v>
      </c>
      <c r="BI121" s="1166"/>
      <c r="BJ121" s="1166"/>
      <c r="BK121" s="724">
        <v>47052.2</v>
      </c>
      <c r="BL121" s="1167">
        <f t="shared" si="362"/>
        <v>356174.673166667</v>
      </c>
      <c r="BM121" s="724">
        <f t="shared" si="311"/>
        <v>78375.8368633333</v>
      </c>
      <c r="BN121" s="724"/>
      <c r="BO121" s="724"/>
      <c r="BP121" s="724">
        <f t="shared" si="310"/>
        <v>277798.836303333</v>
      </c>
      <c r="BQ121" s="1174">
        <f t="shared" si="371"/>
        <v>4274096.078</v>
      </c>
      <c r="BR121" s="306">
        <f t="shared" ref="BR121" si="387">200000+(0.2*BQ121)</f>
        <v>1054819.2156</v>
      </c>
      <c r="BS121" s="307">
        <f t="shared" si="373"/>
        <v>0</v>
      </c>
      <c r="BT121" s="308">
        <f t="shared" ref="BT121" si="388">SUM(BR121:BS121)</f>
        <v>1054819.2156</v>
      </c>
      <c r="BU121" s="313">
        <f t="shared" ref="BU121" si="389">+BQ121-BT121</f>
        <v>3219276.8624</v>
      </c>
      <c r="BV121" s="306"/>
      <c r="BW121" s="307">
        <f t="shared" ref="BW121" si="390">IF((BU121&gt;0),(IF((BU121&gt;300000),(300000*7%),(BU121*7%))),(BQ121*1%))</f>
        <v>21000</v>
      </c>
      <c r="BX121" s="307">
        <f t="shared" ref="BX121" si="391">IF((BU121-300000)&gt;0,(IF((BU121&gt;600000),(300000*11%),((BU121-300000)*11%))),(""))</f>
        <v>33000</v>
      </c>
      <c r="BY121" s="307">
        <f t="shared" ref="BY121" si="392">IF(((BU121-600000)&gt;0),(IF((BU121&gt;1100000),(500000*15%),((BU121-600000)*15%))),(""))</f>
        <v>75000</v>
      </c>
      <c r="BZ121" s="307">
        <f t="shared" ref="BZ121" si="393">IF(((BU121-(1100000))&gt;0),(IF((BU121&gt;(1600000)),((500000)*19%),((BU121-(1100000))*19%))),(""))</f>
        <v>95000</v>
      </c>
      <c r="CA121" s="307">
        <f t="shared" ref="CA121" si="394">IF(((BU121-(1600000))&gt;0),(IF((BU121&gt;(3200000)),((1600000)*21%),((BU121-(1600000))*21%))),(""))</f>
        <v>336000</v>
      </c>
      <c r="CB121" s="307">
        <f t="shared" ref="CB121" si="395">IF(((BU121-(3200000))&gt;0),(IF((BU121&gt;(3200000)),((BU121-(3200000))*24%),(0))),(""))</f>
        <v>4626.446976</v>
      </c>
      <c r="CC121" s="305">
        <f t="shared" ref="CC121" si="396">SUM(BW121:CB121)</f>
        <v>564626.446976</v>
      </c>
      <c r="CD121" s="320">
        <f t="shared" ref="CD121" si="397">1%*BQ121</f>
        <v>42740.96078</v>
      </c>
      <c r="CE121" s="321">
        <f t="shared" ref="CE121" si="398">MAX(CC121:CD121)</f>
        <v>564626.446976</v>
      </c>
      <c r="CF121" s="322">
        <f t="shared" ref="CF121" si="399">+CE121/12</f>
        <v>47052.2039146667</v>
      </c>
      <c r="CG121" s="323"/>
      <c r="CH121" s="324"/>
      <c r="CI121" s="325"/>
      <c r="CJ121" s="326"/>
      <c r="CK121" s="1188"/>
      <c r="CL121" s="335"/>
      <c r="CN121" s="1190"/>
    </row>
    <row r="122" s="245" customFormat="1" ht="172.5" customHeight="1" spans="1:92">
      <c r="A122" s="1122">
        <v>119</v>
      </c>
      <c r="B122" s="70" t="s">
        <v>417</v>
      </c>
      <c r="C122" s="1122" t="s">
        <v>188</v>
      </c>
      <c r="D122" s="1088" t="s">
        <v>418</v>
      </c>
      <c r="E122" s="1088" t="s">
        <v>280</v>
      </c>
      <c r="F122" s="1124" t="s">
        <v>127</v>
      </c>
      <c r="G122" s="686" t="s">
        <v>419</v>
      </c>
      <c r="H122" s="1125">
        <v>2090081</v>
      </c>
      <c r="I122" s="1125">
        <v>2090081</v>
      </c>
      <c r="J122" s="1125">
        <v>174173.416666667</v>
      </c>
      <c r="K122" s="1125">
        <v>43543.3541666667</v>
      </c>
      <c r="L122" s="1125">
        <v>30000</v>
      </c>
      <c r="M122" s="295">
        <f>253415.5/2</f>
        <v>126707.75</v>
      </c>
      <c r="N122" s="295">
        <f t="shared" ref="N122" si="400">M122*0.35/3</f>
        <v>14782.5708333333</v>
      </c>
      <c r="O122" s="295">
        <f>5000/2</f>
        <v>2500</v>
      </c>
      <c r="P122" s="295"/>
      <c r="Q122" s="295"/>
      <c r="R122" s="295">
        <f>2500/2</f>
        <v>1250</v>
      </c>
      <c r="S122" s="295"/>
      <c r="T122" s="295"/>
      <c r="U122" s="295"/>
      <c r="V122" s="295"/>
      <c r="W122" s="295"/>
      <c r="X122" s="295"/>
      <c r="Y122" s="295"/>
      <c r="Z122" s="295">
        <f>2500/2</f>
        <v>1250</v>
      </c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1140"/>
      <c r="AM122" s="295">
        <f t="shared" si="385"/>
        <v>2534.155</v>
      </c>
      <c r="AN122" s="295">
        <v>500</v>
      </c>
      <c r="AO122" s="295"/>
      <c r="AP122" s="295">
        <v>91667</v>
      </c>
      <c r="AQ122" s="1149"/>
      <c r="AR122" s="1149"/>
      <c r="AS122" s="1152"/>
      <c r="AT122" s="1149"/>
      <c r="AU122" s="1149"/>
      <c r="AV122" s="1151"/>
      <c r="AW122" s="1151"/>
      <c r="AX122" s="1151">
        <v>1000</v>
      </c>
      <c r="AY122" s="1161"/>
      <c r="AZ122" s="1151"/>
      <c r="BA122" s="295">
        <v>0</v>
      </c>
      <c r="BB122" s="295"/>
      <c r="BC122" s="295"/>
      <c r="BD122" s="295"/>
      <c r="BE122" s="724">
        <v>1500</v>
      </c>
      <c r="BF122" s="724"/>
      <c r="BG122" s="724"/>
      <c r="BH122" s="724">
        <f t="shared" si="293"/>
        <v>2929.80641666667</v>
      </c>
      <c r="BI122" s="1166"/>
      <c r="BJ122" s="1166"/>
      <c r="BK122" s="724">
        <v>12433.2</v>
      </c>
      <c r="BL122" s="1167">
        <f t="shared" si="362"/>
        <v>146490.320833333</v>
      </c>
      <c r="BM122" s="724">
        <f t="shared" si="311"/>
        <v>112564.161416667</v>
      </c>
      <c r="BN122" s="724"/>
      <c r="BO122" s="724"/>
      <c r="BP122" s="724">
        <f t="shared" si="310"/>
        <v>33926.1594166667</v>
      </c>
      <c r="BQ122" s="1174">
        <f t="shared" si="371"/>
        <v>1757883.85</v>
      </c>
      <c r="BR122" s="306">
        <f t="shared" ref="BR122" si="401">200000+(0.2*BQ122)</f>
        <v>551576.77</v>
      </c>
      <c r="BS122" s="307">
        <f t="shared" si="373"/>
        <v>0</v>
      </c>
      <c r="BT122" s="308">
        <f t="shared" ref="BT122" si="402">SUM(BR122:BS122)</f>
        <v>551576.77</v>
      </c>
      <c r="BU122" s="313">
        <f t="shared" ref="BU122" si="403">+BQ122-BT122</f>
        <v>1206307.08</v>
      </c>
      <c r="BV122" s="306"/>
      <c r="BW122" s="307">
        <f t="shared" ref="BW122" si="404">IF((BU122&gt;0),(IF((BU122&gt;300000),(300000*7%),(BU122*7%))),(BQ122*1%))</f>
        <v>21000</v>
      </c>
      <c r="BX122" s="307">
        <f t="shared" ref="BX122" si="405">IF((BU122-300000)&gt;0,(IF((BU122&gt;600000),(300000*11%),((BU122-300000)*11%))),(""))</f>
        <v>33000</v>
      </c>
      <c r="BY122" s="307">
        <f t="shared" ref="BY122" si="406">IF(((BU122-600000)&gt;0),(IF((BU122&gt;1100000),(500000*15%),((BU122-600000)*15%))),(""))</f>
        <v>75000</v>
      </c>
      <c r="BZ122" s="307">
        <f t="shared" ref="BZ122" si="407">IF(((BU122-(1100000))&gt;0),(IF((BU122&gt;(1600000)),((500000)*19%),((BU122-(1100000))*19%))),(""))</f>
        <v>20198.3452</v>
      </c>
      <c r="CA122" s="307" t="str">
        <f t="shared" ref="CA122" si="408">IF(((BU122-(1600000))&gt;0),(IF((BU122&gt;(3200000)),((1600000)*21%),((BU122-(1600000))*21%))),(""))</f>
        <v/>
      </c>
      <c r="CB122" s="307" t="str">
        <f t="shared" ref="CB122" si="409">IF(((BU122-(3200000))&gt;0),(IF((BU122&gt;(3200000)),((BU122-(3200000))*24%),(0))),(""))</f>
        <v/>
      </c>
      <c r="CC122" s="305">
        <f t="shared" ref="CC122" si="410">SUM(BW122:CB122)</f>
        <v>149198.3452</v>
      </c>
      <c r="CD122" s="320">
        <f t="shared" ref="CD122" si="411">1%*BQ122</f>
        <v>17578.8385</v>
      </c>
      <c r="CE122" s="321">
        <f t="shared" ref="CE122" si="412">MAX(CC122:CD122)</f>
        <v>149198.3452</v>
      </c>
      <c r="CF122" s="322">
        <f t="shared" ref="CF122" si="413">+CE122/12</f>
        <v>12433.1954333333</v>
      </c>
      <c r="CG122" s="323"/>
      <c r="CH122" s="324"/>
      <c r="CI122" s="325"/>
      <c r="CJ122" s="326"/>
      <c r="CK122" s="1188"/>
      <c r="CL122" s="335"/>
      <c r="CN122" s="1190" t="s">
        <v>420</v>
      </c>
    </row>
    <row r="123" s="245" customFormat="1" ht="185" customHeight="1" spans="1:92">
      <c r="A123" s="1122">
        <v>120</v>
      </c>
      <c r="B123" s="70" t="s">
        <v>421</v>
      </c>
      <c r="C123" s="1122" t="s">
        <v>160</v>
      </c>
      <c r="D123" s="1088" t="s">
        <v>130</v>
      </c>
      <c r="E123" s="1088" t="s">
        <v>218</v>
      </c>
      <c r="F123" s="1124" t="s">
        <v>422</v>
      </c>
      <c r="G123" s="686">
        <v>1762856943</v>
      </c>
      <c r="H123" s="1125"/>
      <c r="I123" s="1125">
        <v>1980666</v>
      </c>
      <c r="J123" s="1125">
        <v>165055.5</v>
      </c>
      <c r="K123" s="1125">
        <v>41263.875</v>
      </c>
      <c r="L123" s="1125">
        <v>30000</v>
      </c>
      <c r="M123" s="295">
        <v>291760.83</v>
      </c>
      <c r="N123" s="295">
        <f t="shared" ref="N123:N124" si="414">M123*0.35/3</f>
        <v>34038.7635</v>
      </c>
      <c r="O123" s="295">
        <v>5000</v>
      </c>
      <c r="P123" s="295"/>
      <c r="Q123" s="295"/>
      <c r="R123" s="295">
        <v>2500</v>
      </c>
      <c r="S123" s="295"/>
      <c r="T123" s="295"/>
      <c r="U123" s="295"/>
      <c r="V123" s="295"/>
      <c r="W123" s="295"/>
      <c r="X123" s="295"/>
      <c r="Y123" s="295"/>
      <c r="Z123" s="295">
        <v>2500</v>
      </c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1140"/>
      <c r="AM123" s="295">
        <f t="shared" si="385"/>
        <v>5835.2166</v>
      </c>
      <c r="AN123" s="295">
        <v>500</v>
      </c>
      <c r="AO123" s="295"/>
      <c r="AP123" s="295">
        <v>47500</v>
      </c>
      <c r="AQ123" s="1149"/>
      <c r="AR123" s="1149"/>
      <c r="AS123" s="1217"/>
      <c r="AT123" s="1153"/>
      <c r="AU123" s="1149"/>
      <c r="AV123" s="1151">
        <v>5000</v>
      </c>
      <c r="AW123" s="1151">
        <v>1000</v>
      </c>
      <c r="AX123" s="1151"/>
      <c r="AY123" s="1161"/>
      <c r="AZ123" s="1151"/>
      <c r="BA123" s="295">
        <v>35000</v>
      </c>
      <c r="BB123" s="295"/>
      <c r="BC123" s="295"/>
      <c r="BD123" s="295"/>
      <c r="BE123" s="724">
        <v>1500</v>
      </c>
      <c r="BF123" s="724"/>
      <c r="BG123" s="724"/>
      <c r="BH123" s="724">
        <f t="shared" si="293"/>
        <v>6715.99187</v>
      </c>
      <c r="BI123" s="1166"/>
      <c r="BJ123" s="1166"/>
      <c r="BK123" s="724">
        <v>43580.9983746667</v>
      </c>
      <c r="BL123" s="1167">
        <f t="shared" si="362"/>
        <v>335799.5935</v>
      </c>
      <c r="BM123" s="724">
        <f t="shared" si="311"/>
        <v>146632.206844667</v>
      </c>
      <c r="BN123" s="724"/>
      <c r="BO123" s="724"/>
      <c r="BP123" s="724">
        <f t="shared" si="310"/>
        <v>189167.386655333</v>
      </c>
      <c r="BQ123" s="1174"/>
      <c r="BR123" s="306"/>
      <c r="BS123" s="307"/>
      <c r="BT123" s="308"/>
      <c r="BU123" s="313"/>
      <c r="BV123" s="306"/>
      <c r="BW123" s="307"/>
      <c r="BX123" s="307"/>
      <c r="BY123" s="307"/>
      <c r="BZ123" s="307"/>
      <c r="CA123" s="307"/>
      <c r="CB123" s="307"/>
      <c r="CC123" s="305"/>
      <c r="CD123" s="320"/>
      <c r="CE123" s="321"/>
      <c r="CF123" s="322"/>
      <c r="CG123" s="323"/>
      <c r="CH123" s="324"/>
      <c r="CI123" s="325"/>
      <c r="CJ123" s="326"/>
      <c r="CK123" s="1188"/>
      <c r="CL123" s="335"/>
      <c r="CN123" s="1190"/>
    </row>
    <row r="124" s="245" customFormat="1" ht="190" customHeight="1" spans="1:92">
      <c r="A124" s="1122">
        <v>121</v>
      </c>
      <c r="B124" s="70" t="s">
        <v>423</v>
      </c>
      <c r="C124" s="1123" t="s">
        <v>254</v>
      </c>
      <c r="D124" s="1088" t="s">
        <v>143</v>
      </c>
      <c r="E124" s="1088" t="s">
        <v>394</v>
      </c>
      <c r="F124" s="1124" t="s">
        <v>135</v>
      </c>
      <c r="G124" s="686" t="s">
        <v>424</v>
      </c>
      <c r="H124" s="1125">
        <v>2775651</v>
      </c>
      <c r="I124" s="1125">
        <v>4175818</v>
      </c>
      <c r="J124" s="1125">
        <f>J125</f>
        <v>357068.17</v>
      </c>
      <c r="K124" s="1125">
        <v>86996.2083333333</v>
      </c>
      <c r="L124" s="1125">
        <v>30000</v>
      </c>
      <c r="M124" s="295">
        <v>400171.75</v>
      </c>
      <c r="N124" s="295">
        <f t="shared" si="414"/>
        <v>46686.7041666667</v>
      </c>
      <c r="O124" s="295">
        <v>5000</v>
      </c>
      <c r="P124" s="295">
        <v>20833.33</v>
      </c>
      <c r="Q124" s="295"/>
      <c r="R124" s="295">
        <v>2500</v>
      </c>
      <c r="S124" s="295"/>
      <c r="T124" s="295"/>
      <c r="U124" s="295"/>
      <c r="V124" s="295"/>
      <c r="W124" s="295"/>
      <c r="X124" s="295"/>
      <c r="Y124" s="295"/>
      <c r="Z124" s="295">
        <v>2500</v>
      </c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1140"/>
      <c r="AM124" s="295">
        <f t="shared" si="385"/>
        <v>8003.435</v>
      </c>
      <c r="AN124" s="295">
        <v>500</v>
      </c>
      <c r="AO124" s="295"/>
      <c r="AP124" s="295">
        <v>76667</v>
      </c>
      <c r="AQ124" s="1149"/>
      <c r="AR124" s="1149"/>
      <c r="AS124" s="1150"/>
      <c r="AT124" s="1151"/>
      <c r="AU124" s="1149"/>
      <c r="AV124" s="1151"/>
      <c r="AW124" s="1149"/>
      <c r="AX124" s="1149"/>
      <c r="AY124" s="1161">
        <v>2000</v>
      </c>
      <c r="AZ124" s="1149"/>
      <c r="BA124" s="295">
        <v>190556</v>
      </c>
      <c r="BB124" s="295"/>
      <c r="BC124" s="295">
        <f>BD124/2</f>
        <v>4166.665</v>
      </c>
      <c r="BD124" s="295">
        <v>8333.33</v>
      </c>
      <c r="BE124" s="724">
        <v>1500</v>
      </c>
      <c r="BF124" s="724"/>
      <c r="BG124" s="724"/>
      <c r="BH124" s="724">
        <f t="shared" si="293"/>
        <v>9553.83568333333</v>
      </c>
      <c r="BI124" s="1166"/>
      <c r="BJ124" s="1166"/>
      <c r="BK124" s="724">
        <v>70383.49</v>
      </c>
      <c r="BL124" s="1167">
        <f t="shared" si="362"/>
        <v>477691.784166667</v>
      </c>
      <c r="BM124" s="724">
        <f t="shared" si="311"/>
        <v>371663.755683333</v>
      </c>
      <c r="BN124" s="724"/>
      <c r="BO124" s="724"/>
      <c r="BP124" s="724">
        <f t="shared" si="310"/>
        <v>106028.028483333</v>
      </c>
      <c r="BQ124" s="1174">
        <f t="shared" ref="BQ124:BQ133" si="415">BL124*12</f>
        <v>5732301.41</v>
      </c>
      <c r="BR124" s="306">
        <f t="shared" si="372"/>
        <v>1346460.282</v>
      </c>
      <c r="BS124" s="307">
        <f t="shared" ref="BS124:BS133" si="416">BI124*12</f>
        <v>0</v>
      </c>
      <c r="BT124" s="308">
        <f t="shared" si="374"/>
        <v>1346460.282</v>
      </c>
      <c r="BU124" s="313">
        <f t="shared" si="375"/>
        <v>4385841.128</v>
      </c>
      <c r="BV124" s="306"/>
      <c r="BW124" s="307">
        <f t="shared" si="376"/>
        <v>21000</v>
      </c>
      <c r="BX124" s="307">
        <f t="shared" si="377"/>
        <v>33000</v>
      </c>
      <c r="BY124" s="307">
        <f t="shared" si="378"/>
        <v>75000</v>
      </c>
      <c r="BZ124" s="307">
        <f t="shared" si="379"/>
        <v>95000</v>
      </c>
      <c r="CA124" s="307">
        <f t="shared" si="380"/>
        <v>336000</v>
      </c>
      <c r="CB124" s="307">
        <f t="shared" si="381"/>
        <v>284601.87072</v>
      </c>
      <c r="CC124" s="305">
        <f t="shared" si="382"/>
        <v>844601.87072</v>
      </c>
      <c r="CD124" s="320">
        <f t="shared" si="383"/>
        <v>57323.0141</v>
      </c>
      <c r="CE124" s="321">
        <f t="shared" si="384"/>
        <v>844601.87072</v>
      </c>
      <c r="CF124" s="322">
        <f t="shared" si="357"/>
        <v>70383.4892266667</v>
      </c>
      <c r="CG124" s="323"/>
      <c r="CH124" s="324"/>
      <c r="CI124" s="325"/>
      <c r="CJ124" s="326"/>
      <c r="CK124" s="1188"/>
      <c r="CL124" s="335"/>
      <c r="CN124" s="1190"/>
    </row>
    <row r="125" s="245" customFormat="1" ht="159" customHeight="1" spans="1:92">
      <c r="A125" s="1122">
        <v>122</v>
      </c>
      <c r="B125" s="70" t="s">
        <v>425</v>
      </c>
      <c r="C125" s="1122" t="s">
        <v>160</v>
      </c>
      <c r="D125" s="1088" t="s">
        <v>143</v>
      </c>
      <c r="E125" s="1088" t="s">
        <v>394</v>
      </c>
      <c r="F125" s="1124" t="s">
        <v>127</v>
      </c>
      <c r="G125" s="686" t="s">
        <v>426</v>
      </c>
      <c r="H125" s="1125">
        <v>2863233</v>
      </c>
      <c r="I125" s="1125">
        <v>4175818</v>
      </c>
      <c r="J125" s="1125">
        <v>357068.17</v>
      </c>
      <c r="K125" s="1125">
        <v>86996.2083333333</v>
      </c>
      <c r="L125" s="1125">
        <v>30000</v>
      </c>
      <c r="M125" s="295">
        <v>400171.75</v>
      </c>
      <c r="N125" s="295">
        <f t="shared" si="361"/>
        <v>46686.7041666667</v>
      </c>
      <c r="O125" s="295">
        <v>5000</v>
      </c>
      <c r="P125" s="295"/>
      <c r="Q125" s="295"/>
      <c r="R125" s="295">
        <v>2500</v>
      </c>
      <c r="S125" s="295"/>
      <c r="T125" s="295"/>
      <c r="U125" s="295"/>
      <c r="V125" s="295"/>
      <c r="W125" s="295"/>
      <c r="X125" s="295"/>
      <c r="Y125" s="295"/>
      <c r="Z125" s="295">
        <v>2500</v>
      </c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1140"/>
      <c r="AM125" s="295">
        <f t="shared" si="385"/>
        <v>8003.435</v>
      </c>
      <c r="AN125" s="295">
        <v>500</v>
      </c>
      <c r="AO125" s="295"/>
      <c r="AP125" s="295"/>
      <c r="AQ125" s="1149"/>
      <c r="AR125" s="1149"/>
      <c r="AS125" s="1152"/>
      <c r="AT125" s="1149"/>
      <c r="AU125" s="1149"/>
      <c r="AV125" s="1151"/>
      <c r="AW125" s="1151">
        <v>1000</v>
      </c>
      <c r="AX125" s="1151"/>
      <c r="AY125" s="1161"/>
      <c r="AZ125" s="1151"/>
      <c r="BA125" s="295">
        <v>0</v>
      </c>
      <c r="BB125" s="295"/>
      <c r="BC125" s="295"/>
      <c r="BD125" s="295"/>
      <c r="BE125" s="724">
        <v>1500</v>
      </c>
      <c r="BF125" s="724"/>
      <c r="BG125" s="724"/>
      <c r="BH125" s="724">
        <f t="shared" si="293"/>
        <v>9137.16908333333</v>
      </c>
      <c r="BI125" s="1166"/>
      <c r="BJ125" s="1166"/>
      <c r="BK125" s="724">
        <v>66383.49</v>
      </c>
      <c r="BL125" s="1167">
        <f t="shared" si="362"/>
        <v>456858.454166667</v>
      </c>
      <c r="BM125" s="724">
        <f t="shared" si="311"/>
        <v>86524.0940833333</v>
      </c>
      <c r="BN125" s="724"/>
      <c r="BO125" s="724"/>
      <c r="BP125" s="724">
        <f t="shared" si="310"/>
        <v>370334.360083333</v>
      </c>
      <c r="BQ125" s="1174">
        <f t="shared" si="415"/>
        <v>5482301.45</v>
      </c>
      <c r="BR125" s="306">
        <f t="shared" si="372"/>
        <v>1296460.29</v>
      </c>
      <c r="BS125" s="307">
        <f t="shared" si="416"/>
        <v>0</v>
      </c>
      <c r="BT125" s="308">
        <f t="shared" si="374"/>
        <v>1296460.29</v>
      </c>
      <c r="BU125" s="313">
        <f t="shared" si="375"/>
        <v>4185841.16</v>
      </c>
      <c r="BV125" s="306"/>
      <c r="BW125" s="307">
        <f t="shared" si="376"/>
        <v>21000</v>
      </c>
      <c r="BX125" s="307">
        <f t="shared" si="377"/>
        <v>33000</v>
      </c>
      <c r="BY125" s="307">
        <f t="shared" si="378"/>
        <v>75000</v>
      </c>
      <c r="BZ125" s="307">
        <f t="shared" si="379"/>
        <v>95000</v>
      </c>
      <c r="CA125" s="307">
        <f t="shared" si="380"/>
        <v>336000</v>
      </c>
      <c r="CB125" s="307">
        <f t="shared" si="381"/>
        <v>236601.8784</v>
      </c>
      <c r="CC125" s="305">
        <f t="shared" si="382"/>
        <v>796601.8784</v>
      </c>
      <c r="CD125" s="320">
        <f t="shared" si="383"/>
        <v>54823.0145</v>
      </c>
      <c r="CE125" s="321">
        <f t="shared" si="384"/>
        <v>796601.8784</v>
      </c>
      <c r="CF125" s="322">
        <f t="shared" si="357"/>
        <v>66383.4898666667</v>
      </c>
      <c r="CG125" s="323"/>
      <c r="CH125" s="324"/>
      <c r="CI125" s="325"/>
      <c r="CJ125" s="326"/>
      <c r="CK125" s="1188"/>
      <c r="CL125" s="335"/>
      <c r="CN125" s="1190"/>
    </row>
    <row r="126" s="245" customFormat="1" ht="156" customHeight="1" spans="1:92">
      <c r="A126" s="1122">
        <v>123</v>
      </c>
      <c r="B126" s="70" t="s">
        <v>427</v>
      </c>
      <c r="C126" s="1123" t="s">
        <v>275</v>
      </c>
      <c r="D126" s="1088" t="s">
        <v>143</v>
      </c>
      <c r="E126" s="1088" t="s">
        <v>276</v>
      </c>
      <c r="F126" s="1124" t="s">
        <v>113</v>
      </c>
      <c r="G126" s="686">
        <v>2172788168</v>
      </c>
      <c r="H126" s="1125">
        <v>2600486</v>
      </c>
      <c r="I126" s="1125">
        <v>2600486</v>
      </c>
      <c r="J126" s="1125">
        <v>216707.166666667</v>
      </c>
      <c r="K126" s="1125">
        <v>54176.7916666667</v>
      </c>
      <c r="L126" s="1125">
        <v>30000</v>
      </c>
      <c r="M126" s="295">
        <v>413255.25</v>
      </c>
      <c r="N126" s="295">
        <f t="shared" ref="N126" si="417">M126*0.35/3</f>
        <v>48213.1125</v>
      </c>
      <c r="O126" s="295">
        <v>5000</v>
      </c>
      <c r="P126" s="295"/>
      <c r="Q126" s="295"/>
      <c r="R126" s="295">
        <v>2500</v>
      </c>
      <c r="S126" s="295"/>
      <c r="T126" s="295"/>
      <c r="U126" s="295"/>
      <c r="V126" s="295"/>
      <c r="W126" s="295"/>
      <c r="X126" s="295"/>
      <c r="Y126" s="295"/>
      <c r="Z126" s="295">
        <v>2500</v>
      </c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1140"/>
      <c r="AM126" s="295">
        <f t="shared" si="385"/>
        <v>8265.105</v>
      </c>
      <c r="AN126" s="295">
        <v>500</v>
      </c>
      <c r="AO126" s="295"/>
      <c r="AP126" s="295">
        <v>31667</v>
      </c>
      <c r="AQ126" s="1151"/>
      <c r="AR126" s="1151"/>
      <c r="AS126" s="1150"/>
      <c r="AT126" s="1151"/>
      <c r="AU126" s="1151"/>
      <c r="AV126" s="1151"/>
      <c r="AW126" s="1151"/>
      <c r="AX126" s="1151">
        <v>1000</v>
      </c>
      <c r="AY126" s="1161"/>
      <c r="AZ126" s="1151"/>
      <c r="BA126" s="295">
        <v>86250</v>
      </c>
      <c r="BB126" s="295"/>
      <c r="BC126" s="295"/>
      <c r="BD126" s="295"/>
      <c r="BE126" s="724">
        <v>1500</v>
      </c>
      <c r="BF126" s="724"/>
      <c r="BG126" s="724"/>
      <c r="BH126" s="724">
        <f t="shared" ref="BH126:BH187" si="418">BL126*0.02</f>
        <v>9429.36725</v>
      </c>
      <c r="BI126" s="1166"/>
      <c r="BJ126" s="1166"/>
      <c r="BK126" s="724">
        <v>69188.59</v>
      </c>
      <c r="BL126" s="1167">
        <f t="shared" si="362"/>
        <v>471468.3625</v>
      </c>
      <c r="BM126" s="724">
        <f t="shared" si="311"/>
        <v>207800.06225</v>
      </c>
      <c r="BN126" s="724"/>
      <c r="BO126" s="724"/>
      <c r="BP126" s="724">
        <f t="shared" si="310"/>
        <v>263668.30025</v>
      </c>
      <c r="BQ126" s="1174">
        <f t="shared" si="415"/>
        <v>5657620.35</v>
      </c>
      <c r="BR126" s="306">
        <f t="shared" si="372"/>
        <v>1331524.07</v>
      </c>
      <c r="BS126" s="307">
        <f t="shared" si="416"/>
        <v>0</v>
      </c>
      <c r="BT126" s="308">
        <f t="shared" si="374"/>
        <v>1331524.07</v>
      </c>
      <c r="BU126" s="313">
        <f t="shared" si="375"/>
        <v>4326096.28</v>
      </c>
      <c r="BV126" s="306"/>
      <c r="BW126" s="307">
        <f t="shared" si="376"/>
        <v>21000</v>
      </c>
      <c r="BX126" s="307">
        <f t="shared" si="377"/>
        <v>33000</v>
      </c>
      <c r="BY126" s="307">
        <f t="shared" si="378"/>
        <v>75000</v>
      </c>
      <c r="BZ126" s="307">
        <f t="shared" si="379"/>
        <v>95000</v>
      </c>
      <c r="CA126" s="307">
        <f t="shared" si="380"/>
        <v>336000</v>
      </c>
      <c r="CB126" s="307">
        <f t="shared" si="381"/>
        <v>270263.1072</v>
      </c>
      <c r="CC126" s="305">
        <f t="shared" si="382"/>
        <v>830263.1072</v>
      </c>
      <c r="CD126" s="320">
        <f t="shared" si="383"/>
        <v>56576.2035</v>
      </c>
      <c r="CE126" s="321">
        <f t="shared" si="384"/>
        <v>830263.1072</v>
      </c>
      <c r="CF126" s="322">
        <f t="shared" si="357"/>
        <v>69188.5922666667</v>
      </c>
      <c r="CG126" s="323"/>
      <c r="CH126" s="324"/>
      <c r="CI126" s="325"/>
      <c r="CJ126" s="326"/>
      <c r="CK126" s="1188"/>
      <c r="CL126" s="335"/>
      <c r="CN126" s="1190"/>
    </row>
    <row r="127" s="245" customFormat="1" ht="156" customHeight="1" spans="1:92">
      <c r="A127" s="1122">
        <v>124</v>
      </c>
      <c r="B127" s="70" t="s">
        <v>428</v>
      </c>
      <c r="C127" s="1123" t="s">
        <v>133</v>
      </c>
      <c r="D127" s="1088" t="s">
        <v>204</v>
      </c>
      <c r="E127" s="1088" t="s">
        <v>205</v>
      </c>
      <c r="F127" s="1124" t="s">
        <v>93</v>
      </c>
      <c r="G127" s="686">
        <v>3074712488</v>
      </c>
      <c r="H127" s="1125">
        <v>1947516</v>
      </c>
      <c r="I127" s="1125">
        <v>1997865</v>
      </c>
      <c r="J127" s="1125">
        <v>166488.75</v>
      </c>
      <c r="K127" s="1125">
        <v>41622.1875</v>
      </c>
      <c r="L127" s="1125">
        <v>30000</v>
      </c>
      <c r="M127" s="295">
        <v>247716.75</v>
      </c>
      <c r="N127" s="295">
        <f t="shared" si="361"/>
        <v>28900.2875</v>
      </c>
      <c r="O127" s="295">
        <v>5000</v>
      </c>
      <c r="P127" s="295"/>
      <c r="Q127" s="295"/>
      <c r="R127" s="295">
        <v>2500</v>
      </c>
      <c r="S127" s="295"/>
      <c r="T127" s="295"/>
      <c r="U127" s="295"/>
      <c r="V127" s="295"/>
      <c r="W127" s="295"/>
      <c r="X127" s="295"/>
      <c r="Y127" s="295"/>
      <c r="Z127" s="295">
        <v>2500</v>
      </c>
      <c r="AA127" s="295"/>
      <c r="AB127" s="295"/>
      <c r="AC127" s="295"/>
      <c r="AD127" s="295"/>
      <c r="AE127" s="295"/>
      <c r="AF127" s="295"/>
      <c r="AG127" s="295"/>
      <c r="AH127" s="295"/>
      <c r="AI127" s="295">
        <v>50000</v>
      </c>
      <c r="AJ127" s="295">
        <v>0</v>
      </c>
      <c r="AK127" s="295"/>
      <c r="AL127" s="1140"/>
      <c r="AM127" s="295">
        <f t="shared" si="385"/>
        <v>4954.335</v>
      </c>
      <c r="AN127" s="295">
        <v>500</v>
      </c>
      <c r="AO127" s="295"/>
      <c r="AP127" s="295"/>
      <c r="AQ127" s="1151">
        <v>1000</v>
      </c>
      <c r="AR127" s="1151"/>
      <c r="AS127" s="1150"/>
      <c r="AT127" s="1151"/>
      <c r="AU127" s="1151"/>
      <c r="AV127" s="1151">
        <v>5000</v>
      </c>
      <c r="AW127" s="1151"/>
      <c r="AX127" s="1151"/>
      <c r="AY127" s="1161"/>
      <c r="AZ127" s="1151"/>
      <c r="BA127" s="295">
        <v>67500</v>
      </c>
      <c r="BB127" s="295"/>
      <c r="BC127" s="295"/>
      <c r="BD127" s="295"/>
      <c r="BE127" s="724">
        <v>1000</v>
      </c>
      <c r="BF127" s="724"/>
      <c r="BG127" s="724"/>
      <c r="BH127" s="724">
        <f t="shared" si="418"/>
        <v>5732.34075</v>
      </c>
      <c r="BI127" s="1166"/>
      <c r="BJ127" s="1166"/>
      <c r="BK127" s="724">
        <v>35318.33</v>
      </c>
      <c r="BL127" s="1167">
        <f t="shared" si="362"/>
        <v>286617.0375</v>
      </c>
      <c r="BM127" s="724">
        <f t="shared" si="311"/>
        <v>171005.00575</v>
      </c>
      <c r="BN127" s="724"/>
      <c r="BO127" s="724"/>
      <c r="BP127" s="724">
        <f t="shared" si="310"/>
        <v>115612.03175</v>
      </c>
      <c r="BQ127" s="1174">
        <f t="shared" si="415"/>
        <v>3439404.45</v>
      </c>
      <c r="BR127" s="306">
        <f t="shared" si="372"/>
        <v>887880.89</v>
      </c>
      <c r="BS127" s="307">
        <f t="shared" si="416"/>
        <v>0</v>
      </c>
      <c r="BT127" s="308">
        <f t="shared" si="374"/>
        <v>887880.89</v>
      </c>
      <c r="BU127" s="313">
        <f t="shared" si="375"/>
        <v>2551523.56</v>
      </c>
      <c r="BV127" s="306"/>
      <c r="BW127" s="307">
        <f t="shared" si="376"/>
        <v>21000</v>
      </c>
      <c r="BX127" s="307">
        <f t="shared" si="377"/>
        <v>33000</v>
      </c>
      <c r="BY127" s="307">
        <f t="shared" si="378"/>
        <v>75000</v>
      </c>
      <c r="BZ127" s="307">
        <f t="shared" si="379"/>
        <v>95000</v>
      </c>
      <c r="CA127" s="307">
        <f t="shared" si="380"/>
        <v>199819.9476</v>
      </c>
      <c r="CB127" s="307" t="str">
        <f t="shared" si="381"/>
        <v/>
      </c>
      <c r="CC127" s="305">
        <f t="shared" si="382"/>
        <v>423819.9476</v>
      </c>
      <c r="CD127" s="320">
        <f t="shared" si="383"/>
        <v>34394.0445</v>
      </c>
      <c r="CE127" s="321">
        <f t="shared" si="384"/>
        <v>423819.9476</v>
      </c>
      <c r="CF127" s="322">
        <f t="shared" si="357"/>
        <v>35318.3289666667</v>
      </c>
      <c r="CG127" s="323"/>
      <c r="CH127" s="324"/>
      <c r="CI127" s="325"/>
      <c r="CJ127" s="326"/>
      <c r="CK127" s="1188"/>
      <c r="CL127" s="335"/>
      <c r="CN127" s="1190"/>
    </row>
    <row r="128" s="245" customFormat="1" ht="156" customHeight="1" spans="1:92">
      <c r="A128" s="1122">
        <v>125</v>
      </c>
      <c r="B128" s="70" t="s">
        <v>429</v>
      </c>
      <c r="C128" s="1123" t="s">
        <v>227</v>
      </c>
      <c r="D128" s="1088" t="s">
        <v>221</v>
      </c>
      <c r="E128" s="1088" t="s">
        <v>430</v>
      </c>
      <c r="F128" s="1124" t="s">
        <v>354</v>
      </c>
      <c r="G128" s="686">
        <v>1005590620</v>
      </c>
      <c r="H128" s="1125">
        <v>1947516</v>
      </c>
      <c r="I128" s="1125">
        <v>1997865</v>
      </c>
      <c r="J128" s="1125">
        <v>166488.75</v>
      </c>
      <c r="K128" s="1125">
        <v>41622.1875</v>
      </c>
      <c r="L128" s="1125">
        <v>30000</v>
      </c>
      <c r="M128" s="295">
        <v>243355.67</v>
      </c>
      <c r="N128" s="295">
        <f t="shared" si="361"/>
        <v>28391.4948333333</v>
      </c>
      <c r="O128" s="295">
        <v>5000</v>
      </c>
      <c r="P128" s="295"/>
      <c r="Q128" s="295"/>
      <c r="R128" s="295">
        <v>2500</v>
      </c>
      <c r="S128" s="295"/>
      <c r="T128" s="295"/>
      <c r="U128" s="295"/>
      <c r="V128" s="295"/>
      <c r="W128" s="295"/>
      <c r="X128" s="295"/>
      <c r="Y128" s="295"/>
      <c r="Z128" s="295">
        <v>2500</v>
      </c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1140"/>
      <c r="AM128" s="295">
        <f t="shared" si="385"/>
        <v>4867.1134</v>
      </c>
      <c r="AN128" s="295">
        <v>500</v>
      </c>
      <c r="AO128" s="295"/>
      <c r="AP128" s="295">
        <v>47500</v>
      </c>
      <c r="AQ128" s="1149"/>
      <c r="AR128" s="1149"/>
      <c r="AS128" s="1152"/>
      <c r="AT128" s="1149"/>
      <c r="AU128" s="1149"/>
      <c r="AV128" s="1151"/>
      <c r="AW128" s="1149"/>
      <c r="AX128" s="1149"/>
      <c r="AY128" s="1161"/>
      <c r="AZ128" s="1149"/>
      <c r="BA128" s="295">
        <v>0</v>
      </c>
      <c r="BB128" s="295"/>
      <c r="BC128" s="295"/>
      <c r="BD128" s="295"/>
      <c r="BE128" s="724">
        <v>1000</v>
      </c>
      <c r="BF128" s="724"/>
      <c r="BG128" s="724">
        <v>1250</v>
      </c>
      <c r="BH128" s="724">
        <f t="shared" si="418"/>
        <v>5634.94329666667</v>
      </c>
      <c r="BI128" s="1166"/>
      <c r="BJ128" s="1166"/>
      <c r="BK128" s="724">
        <v>34500.19</v>
      </c>
      <c r="BL128" s="1167">
        <f t="shared" si="362"/>
        <v>281747.164833333</v>
      </c>
      <c r="BM128" s="724">
        <f t="shared" si="311"/>
        <v>95252.2466966667</v>
      </c>
      <c r="BN128" s="724"/>
      <c r="BO128" s="724"/>
      <c r="BP128" s="724">
        <f t="shared" si="310"/>
        <v>186494.918136667</v>
      </c>
      <c r="BQ128" s="1174">
        <f t="shared" si="415"/>
        <v>3380965.978</v>
      </c>
      <c r="BR128" s="306">
        <f t="shared" si="372"/>
        <v>876193.1956</v>
      </c>
      <c r="BS128" s="307">
        <f t="shared" si="416"/>
        <v>0</v>
      </c>
      <c r="BT128" s="308">
        <f t="shared" si="374"/>
        <v>876193.1956</v>
      </c>
      <c r="BU128" s="313">
        <f t="shared" si="375"/>
        <v>2504772.7824</v>
      </c>
      <c r="BV128" s="306"/>
      <c r="BW128" s="307">
        <f t="shared" si="376"/>
        <v>21000</v>
      </c>
      <c r="BX128" s="307">
        <f t="shared" si="377"/>
        <v>33000</v>
      </c>
      <c r="BY128" s="307">
        <f t="shared" si="378"/>
        <v>75000</v>
      </c>
      <c r="BZ128" s="307">
        <f t="shared" si="379"/>
        <v>95000</v>
      </c>
      <c r="CA128" s="307">
        <f t="shared" si="380"/>
        <v>190002.284304</v>
      </c>
      <c r="CB128" s="307" t="str">
        <f t="shared" si="381"/>
        <v/>
      </c>
      <c r="CC128" s="305">
        <f t="shared" si="382"/>
        <v>414002.284304</v>
      </c>
      <c r="CD128" s="320">
        <f t="shared" si="383"/>
        <v>33809.65978</v>
      </c>
      <c r="CE128" s="321">
        <f t="shared" si="384"/>
        <v>414002.284304</v>
      </c>
      <c r="CF128" s="322">
        <f t="shared" si="357"/>
        <v>34500.1903586667</v>
      </c>
      <c r="CG128" s="323"/>
      <c r="CH128" s="324"/>
      <c r="CI128" s="325"/>
      <c r="CJ128" s="326"/>
      <c r="CK128" s="1188"/>
      <c r="CL128" s="335"/>
      <c r="CN128" s="1189"/>
    </row>
    <row r="129" s="245" customFormat="1" ht="156" customHeight="1" spans="1:92">
      <c r="A129" s="1122">
        <v>126</v>
      </c>
      <c r="B129" s="70" t="s">
        <v>431</v>
      </c>
      <c r="C129" s="1123" t="s">
        <v>133</v>
      </c>
      <c r="D129" s="1088" t="s">
        <v>120</v>
      </c>
      <c r="E129" s="1088" t="s">
        <v>394</v>
      </c>
      <c r="F129" s="1124" t="s">
        <v>127</v>
      </c>
      <c r="G129" s="686" t="s">
        <v>432</v>
      </c>
      <c r="H129" s="1125">
        <v>2688069</v>
      </c>
      <c r="I129" s="1125">
        <v>2775651</v>
      </c>
      <c r="J129" s="1125">
        <v>231304.25</v>
      </c>
      <c r="K129" s="1125">
        <v>57826.0625</v>
      </c>
      <c r="L129" s="1125">
        <v>30000</v>
      </c>
      <c r="M129" s="295">
        <v>400171.75</v>
      </c>
      <c r="N129" s="295">
        <f t="shared" si="361"/>
        <v>46686.7041666667</v>
      </c>
      <c r="O129" s="295">
        <v>5000</v>
      </c>
      <c r="P129" s="295"/>
      <c r="Q129" s="295"/>
      <c r="R129" s="295">
        <v>2500</v>
      </c>
      <c r="S129" s="295"/>
      <c r="T129" s="295"/>
      <c r="U129" s="295"/>
      <c r="V129" s="295"/>
      <c r="W129" s="295"/>
      <c r="X129" s="295"/>
      <c r="Y129" s="295"/>
      <c r="Z129" s="295">
        <v>2500</v>
      </c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1140"/>
      <c r="AM129" s="295">
        <f t="shared" si="385"/>
        <v>8003.435</v>
      </c>
      <c r="AN129" s="295">
        <v>500</v>
      </c>
      <c r="AO129" s="295"/>
      <c r="AP129" s="295"/>
      <c r="AQ129" s="1151">
        <v>1000</v>
      </c>
      <c r="AR129" s="1151"/>
      <c r="AS129" s="1150"/>
      <c r="AT129" s="1151"/>
      <c r="AU129" s="1151"/>
      <c r="AV129" s="1151"/>
      <c r="AW129" s="1151"/>
      <c r="AX129" s="1151"/>
      <c r="AY129" s="1161"/>
      <c r="AZ129" s="1151"/>
      <c r="BA129" s="295">
        <v>10000</v>
      </c>
      <c r="BB129" s="295"/>
      <c r="BC129" s="295">
        <v>5000</v>
      </c>
      <c r="BD129" s="295">
        <v>10000</v>
      </c>
      <c r="BE129" s="724">
        <v>1500</v>
      </c>
      <c r="BF129" s="724"/>
      <c r="BG129" s="724"/>
      <c r="BH129" s="724">
        <f t="shared" si="418"/>
        <v>9137.16908333333</v>
      </c>
      <c r="BI129" s="1166"/>
      <c r="BJ129" s="1166"/>
      <c r="BK129" s="724">
        <v>66383.49</v>
      </c>
      <c r="BL129" s="1167">
        <f t="shared" si="362"/>
        <v>456858.454166667</v>
      </c>
      <c r="BM129" s="724">
        <f t="shared" si="311"/>
        <v>111524.094083333</v>
      </c>
      <c r="BN129" s="724"/>
      <c r="BO129" s="724"/>
      <c r="BP129" s="724">
        <f t="shared" si="310"/>
        <v>345334.360083333</v>
      </c>
      <c r="BQ129" s="1174">
        <f t="shared" si="415"/>
        <v>5482301.45</v>
      </c>
      <c r="BR129" s="306">
        <f t="shared" si="372"/>
        <v>1296460.29</v>
      </c>
      <c r="BS129" s="307">
        <f t="shared" si="416"/>
        <v>0</v>
      </c>
      <c r="BT129" s="308">
        <f t="shared" si="374"/>
        <v>1296460.29</v>
      </c>
      <c r="BU129" s="313">
        <f t="shared" si="375"/>
        <v>4185841.16</v>
      </c>
      <c r="BV129" s="306"/>
      <c r="BW129" s="307">
        <f t="shared" si="376"/>
        <v>21000</v>
      </c>
      <c r="BX129" s="307">
        <f t="shared" si="377"/>
        <v>33000</v>
      </c>
      <c r="BY129" s="307">
        <f t="shared" si="378"/>
        <v>75000</v>
      </c>
      <c r="BZ129" s="307">
        <f t="shared" si="379"/>
        <v>95000</v>
      </c>
      <c r="CA129" s="307">
        <f t="shared" si="380"/>
        <v>336000</v>
      </c>
      <c r="CB129" s="307">
        <f t="shared" si="381"/>
        <v>236601.8784</v>
      </c>
      <c r="CC129" s="305">
        <f t="shared" si="382"/>
        <v>796601.8784</v>
      </c>
      <c r="CD129" s="320">
        <f t="shared" si="383"/>
        <v>54823.0145</v>
      </c>
      <c r="CE129" s="321">
        <f t="shared" si="384"/>
        <v>796601.8784</v>
      </c>
      <c r="CF129" s="322">
        <f t="shared" si="357"/>
        <v>66383.4898666667</v>
      </c>
      <c r="CG129" s="323"/>
      <c r="CH129" s="324"/>
      <c r="CI129" s="325"/>
      <c r="CJ129" s="326"/>
      <c r="CK129" s="1188"/>
      <c r="CL129" s="335"/>
      <c r="CN129" s="1189"/>
    </row>
    <row r="130" s="245" customFormat="1" ht="156" customHeight="1" spans="1:92">
      <c r="A130" s="1122">
        <v>127</v>
      </c>
      <c r="B130" s="70" t="s">
        <v>433</v>
      </c>
      <c r="C130" s="1123" t="s">
        <v>164</v>
      </c>
      <c r="D130" s="1088" t="s">
        <v>130</v>
      </c>
      <c r="E130" s="1088" t="s">
        <v>294</v>
      </c>
      <c r="F130" s="1124" t="s">
        <v>165</v>
      </c>
      <c r="G130" s="686">
        <v>1006686724</v>
      </c>
      <c r="H130" s="1125">
        <v>2090081</v>
      </c>
      <c r="I130" s="1125">
        <v>2144788</v>
      </c>
      <c r="J130" s="1125">
        <v>178732.333333333</v>
      </c>
      <c r="K130" s="1125">
        <v>44683.0833333333</v>
      </c>
      <c r="L130" s="1125">
        <v>30000</v>
      </c>
      <c r="M130" s="295">
        <v>282637.75</v>
      </c>
      <c r="N130" s="295">
        <f t="shared" si="361"/>
        <v>32974.4041666667</v>
      </c>
      <c r="O130" s="295">
        <v>5000</v>
      </c>
      <c r="P130" s="295"/>
      <c r="Q130" s="295"/>
      <c r="R130" s="295">
        <v>2500</v>
      </c>
      <c r="S130" s="295"/>
      <c r="T130" s="295"/>
      <c r="U130" s="295"/>
      <c r="V130" s="295"/>
      <c r="W130" s="295"/>
      <c r="X130" s="295"/>
      <c r="Y130" s="295"/>
      <c r="Z130" s="295">
        <v>2500</v>
      </c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1140"/>
      <c r="AM130" s="295">
        <f t="shared" si="385"/>
        <v>5652.755</v>
      </c>
      <c r="AN130" s="295">
        <v>500</v>
      </c>
      <c r="AO130" s="295"/>
      <c r="AP130" s="295">
        <v>20000</v>
      </c>
      <c r="AQ130" s="1149"/>
      <c r="AR130" s="1149"/>
      <c r="AS130" s="1152"/>
      <c r="AT130" s="1149"/>
      <c r="AU130" s="1149"/>
      <c r="AV130" s="1151">
        <v>5000</v>
      </c>
      <c r="AW130" s="1149"/>
      <c r="AX130" s="1149"/>
      <c r="AY130" s="1161"/>
      <c r="AZ130" s="1149"/>
      <c r="BA130" s="295">
        <v>5000</v>
      </c>
      <c r="BB130" s="295"/>
      <c r="BC130" s="295">
        <v>2500</v>
      </c>
      <c r="BD130" s="295">
        <v>5000</v>
      </c>
      <c r="BE130" s="724">
        <v>1500</v>
      </c>
      <c r="BF130" s="724"/>
      <c r="BG130" s="724"/>
      <c r="BH130" s="724">
        <f t="shared" si="418"/>
        <v>6512.24308333333</v>
      </c>
      <c r="BI130" s="1166"/>
      <c r="BJ130" s="1166"/>
      <c r="BK130" s="724">
        <v>41869.51</v>
      </c>
      <c r="BL130" s="1167">
        <f t="shared" si="362"/>
        <v>325612.154166667</v>
      </c>
      <c r="BM130" s="724">
        <f t="shared" si="311"/>
        <v>93534.5080833333</v>
      </c>
      <c r="BN130" s="724"/>
      <c r="BO130" s="724"/>
      <c r="BP130" s="724">
        <f t="shared" si="310"/>
        <v>232077.646083333</v>
      </c>
      <c r="BQ130" s="1174">
        <f t="shared" si="415"/>
        <v>3907345.85</v>
      </c>
      <c r="BR130" s="306">
        <f t="shared" si="372"/>
        <v>981469.17</v>
      </c>
      <c r="BS130" s="307">
        <f t="shared" si="416"/>
        <v>0</v>
      </c>
      <c r="BT130" s="308">
        <f t="shared" si="374"/>
        <v>981469.17</v>
      </c>
      <c r="BU130" s="313">
        <f t="shared" si="375"/>
        <v>2925876.68</v>
      </c>
      <c r="BV130" s="306"/>
      <c r="BW130" s="307">
        <f t="shared" si="376"/>
        <v>21000</v>
      </c>
      <c r="BX130" s="307">
        <f t="shared" si="377"/>
        <v>33000</v>
      </c>
      <c r="BY130" s="307">
        <f t="shared" si="378"/>
        <v>75000</v>
      </c>
      <c r="BZ130" s="307">
        <f t="shared" si="379"/>
        <v>95000</v>
      </c>
      <c r="CA130" s="307">
        <f t="shared" si="380"/>
        <v>278434.1028</v>
      </c>
      <c r="CB130" s="307" t="str">
        <f t="shared" si="381"/>
        <v/>
      </c>
      <c r="CC130" s="305">
        <f t="shared" si="382"/>
        <v>502434.1028</v>
      </c>
      <c r="CD130" s="320">
        <f t="shared" si="383"/>
        <v>39073.4585</v>
      </c>
      <c r="CE130" s="321">
        <f t="shared" si="384"/>
        <v>502434.1028</v>
      </c>
      <c r="CF130" s="322">
        <f t="shared" si="357"/>
        <v>41869.5085666667</v>
      </c>
      <c r="CG130" s="323"/>
      <c r="CH130" s="324"/>
      <c r="CI130" s="325"/>
      <c r="CJ130" s="326"/>
      <c r="CK130" s="1188"/>
      <c r="CL130" s="335"/>
      <c r="CN130" s="1189"/>
    </row>
    <row r="131" s="245" customFormat="1" ht="156" customHeight="1" spans="1:92">
      <c r="A131" s="1122">
        <v>128</v>
      </c>
      <c r="B131" s="70" t="s">
        <v>434</v>
      </c>
      <c r="C131" s="1123" t="s">
        <v>51</v>
      </c>
      <c r="D131" s="1088" t="s">
        <v>435</v>
      </c>
      <c r="E131" s="1088" t="s">
        <v>196</v>
      </c>
      <c r="F131" s="1124" t="s">
        <v>127</v>
      </c>
      <c r="G131" s="1441" t="s">
        <v>436</v>
      </c>
      <c r="H131" s="1125"/>
      <c r="I131" s="1125"/>
      <c r="J131" s="1125"/>
      <c r="K131" s="1125"/>
      <c r="L131" s="1125"/>
      <c r="M131" s="295">
        <v>222376.83</v>
      </c>
      <c r="N131" s="295">
        <f t="shared" ref="N131" si="419">M131*0.35/3</f>
        <v>25943.9635</v>
      </c>
      <c r="O131" s="295">
        <v>5000</v>
      </c>
      <c r="P131" s="295"/>
      <c r="Q131" s="295"/>
      <c r="R131" s="295">
        <v>2500</v>
      </c>
      <c r="S131" s="295"/>
      <c r="T131" s="295"/>
      <c r="U131" s="295"/>
      <c r="V131" s="295"/>
      <c r="W131" s="295"/>
      <c r="X131" s="295"/>
      <c r="Y131" s="295"/>
      <c r="Z131" s="295">
        <v>2500</v>
      </c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1140"/>
      <c r="AM131" s="295">
        <f t="shared" ref="AM131" si="420">M131*0.02</f>
        <v>4447.5366</v>
      </c>
      <c r="AN131" s="295">
        <v>500</v>
      </c>
      <c r="AO131" s="295"/>
      <c r="AP131" s="295"/>
      <c r="AQ131" s="1149"/>
      <c r="AR131" s="1149"/>
      <c r="AS131" s="1152"/>
      <c r="AT131" s="1149"/>
      <c r="AU131" s="1149"/>
      <c r="AV131" s="1151"/>
      <c r="AW131" s="1149"/>
      <c r="AX131" s="1151">
        <v>1000</v>
      </c>
      <c r="AY131" s="1161"/>
      <c r="AZ131" s="1151">
        <v>1000</v>
      </c>
      <c r="BA131" s="295">
        <v>106666.67</v>
      </c>
      <c r="BB131" s="295"/>
      <c r="BC131" s="295"/>
      <c r="BD131" s="295"/>
      <c r="BE131" s="724">
        <v>1000</v>
      </c>
      <c r="BF131" s="724"/>
      <c r="BG131" s="724"/>
      <c r="BH131" s="724">
        <f t="shared" si="418"/>
        <v>5166.41587</v>
      </c>
      <c r="BI131" s="1166"/>
      <c r="BJ131" s="1166"/>
      <c r="BK131" s="724">
        <v>30564.56</v>
      </c>
      <c r="BL131" s="1167">
        <f t="shared" si="362"/>
        <v>258320.7935</v>
      </c>
      <c r="BM131" s="724">
        <f t="shared" si="311"/>
        <v>150345.18247</v>
      </c>
      <c r="BN131" s="724"/>
      <c r="BO131" s="724"/>
      <c r="BP131" s="724">
        <f t="shared" ref="BP131" si="421">BL131-BM131</f>
        <v>107975.61103</v>
      </c>
      <c r="BQ131" s="1174"/>
      <c r="BR131" s="306"/>
      <c r="BS131" s="307"/>
      <c r="BT131" s="308"/>
      <c r="BU131" s="313"/>
      <c r="BV131" s="306"/>
      <c r="BW131" s="307"/>
      <c r="BX131" s="307"/>
      <c r="BY131" s="307"/>
      <c r="BZ131" s="307"/>
      <c r="CA131" s="307"/>
      <c r="CB131" s="307"/>
      <c r="CC131" s="305"/>
      <c r="CD131" s="320"/>
      <c r="CE131" s="321"/>
      <c r="CF131" s="322"/>
      <c r="CG131" s="323"/>
      <c r="CH131" s="324"/>
      <c r="CI131" s="325"/>
      <c r="CJ131" s="326"/>
      <c r="CK131" s="1188"/>
      <c r="CL131" s="335"/>
      <c r="CN131" s="1189"/>
    </row>
    <row r="132" s="245" customFormat="1" ht="156" customHeight="1" spans="1:92">
      <c r="A132" s="1122">
        <v>129</v>
      </c>
      <c r="B132" s="70" t="s">
        <v>437</v>
      </c>
      <c r="C132" s="1123" t="s">
        <v>133</v>
      </c>
      <c r="D132" s="1088" t="s">
        <v>204</v>
      </c>
      <c r="E132" s="1088" t="s">
        <v>208</v>
      </c>
      <c r="F132" s="1124" t="s">
        <v>93</v>
      </c>
      <c r="G132" s="686">
        <v>3045562177</v>
      </c>
      <c r="H132" s="1125">
        <v>2035375</v>
      </c>
      <c r="I132" s="1125">
        <v>2035373</v>
      </c>
      <c r="J132" s="1125">
        <v>169614.416666667</v>
      </c>
      <c r="K132" s="1125">
        <v>42403.6041666667</v>
      </c>
      <c r="L132" s="1125">
        <v>30000</v>
      </c>
      <c r="M132" s="295">
        <f t="shared" si="364"/>
        <v>242018.020833333</v>
      </c>
      <c r="N132" s="295">
        <f t="shared" si="361"/>
        <v>28235.4357638889</v>
      </c>
      <c r="O132" s="295">
        <v>5000</v>
      </c>
      <c r="P132" s="295"/>
      <c r="Q132" s="295"/>
      <c r="R132" s="295">
        <v>2500</v>
      </c>
      <c r="S132" s="295"/>
      <c r="T132" s="295"/>
      <c r="U132" s="295"/>
      <c r="V132" s="295"/>
      <c r="W132" s="295"/>
      <c r="X132" s="295"/>
      <c r="Y132" s="295"/>
      <c r="Z132" s="295">
        <v>2500</v>
      </c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1140"/>
      <c r="AM132" s="295">
        <f t="shared" ref="AM132:AM161" si="422">M132*0.02</f>
        <v>4840.36041666667</v>
      </c>
      <c r="AN132" s="295">
        <v>500</v>
      </c>
      <c r="AO132" s="295"/>
      <c r="AP132" s="295"/>
      <c r="AQ132" s="1151">
        <v>1000</v>
      </c>
      <c r="AR132" s="1151"/>
      <c r="AS132" s="1150"/>
      <c r="AT132" s="1151"/>
      <c r="AU132" s="1151"/>
      <c r="AV132" s="1151"/>
      <c r="AW132" s="1151"/>
      <c r="AX132" s="1151"/>
      <c r="AY132" s="1161">
        <v>2000</v>
      </c>
      <c r="AZ132" s="1151"/>
      <c r="BA132" s="295">
        <v>0</v>
      </c>
      <c r="BB132" s="295"/>
      <c r="BC132" s="295"/>
      <c r="BD132" s="295"/>
      <c r="BE132" s="724">
        <v>1500</v>
      </c>
      <c r="BF132" s="724"/>
      <c r="BG132" s="724"/>
      <c r="BH132" s="724">
        <v>5049.28319444444</v>
      </c>
      <c r="BI132" s="1166"/>
      <c r="BJ132" s="1166"/>
      <c r="BK132" s="724">
        <v>34249.247375</v>
      </c>
      <c r="BL132" s="1167">
        <f t="shared" si="362"/>
        <v>280253.456597222</v>
      </c>
      <c r="BM132" s="724">
        <f t="shared" si="311"/>
        <v>49138.8909861111</v>
      </c>
      <c r="BN132" s="724"/>
      <c r="BO132" s="724"/>
      <c r="BP132" s="724">
        <f t="shared" si="310"/>
        <v>231114.565611111</v>
      </c>
      <c r="BQ132" s="1174">
        <f t="shared" si="415"/>
        <v>3363041.47916667</v>
      </c>
      <c r="BR132" s="306">
        <f t="shared" si="372"/>
        <v>872608.295833333</v>
      </c>
      <c r="BS132" s="307">
        <f t="shared" si="416"/>
        <v>0</v>
      </c>
      <c r="BT132" s="308">
        <f t="shared" si="374"/>
        <v>872608.295833333</v>
      </c>
      <c r="BU132" s="313">
        <f t="shared" si="375"/>
        <v>2490433.18333333</v>
      </c>
      <c r="BV132" s="306"/>
      <c r="BW132" s="307">
        <f t="shared" si="376"/>
        <v>21000</v>
      </c>
      <c r="BX132" s="307">
        <f t="shared" si="377"/>
        <v>33000</v>
      </c>
      <c r="BY132" s="307">
        <f t="shared" si="378"/>
        <v>75000</v>
      </c>
      <c r="BZ132" s="307">
        <f t="shared" si="379"/>
        <v>95000</v>
      </c>
      <c r="CA132" s="307">
        <f t="shared" si="380"/>
        <v>186990.9685</v>
      </c>
      <c r="CB132" s="307" t="str">
        <f t="shared" si="381"/>
        <v/>
      </c>
      <c r="CC132" s="305">
        <f t="shared" si="382"/>
        <v>410990.9685</v>
      </c>
      <c r="CD132" s="320">
        <f t="shared" si="383"/>
        <v>33630.4147916667</v>
      </c>
      <c r="CE132" s="321">
        <f t="shared" si="384"/>
        <v>410990.9685</v>
      </c>
      <c r="CF132" s="322">
        <f t="shared" si="357"/>
        <v>34249.247375</v>
      </c>
      <c r="CG132" s="323"/>
      <c r="CH132" s="324"/>
      <c r="CI132" s="325"/>
      <c r="CJ132" s="326"/>
      <c r="CK132" s="1188"/>
      <c r="CL132" s="335"/>
      <c r="CN132" s="1189"/>
    </row>
    <row r="133" s="245" customFormat="1" ht="167.25" customHeight="1" spans="1:93">
      <c r="A133" s="1122">
        <v>130</v>
      </c>
      <c r="B133" s="70" t="s">
        <v>438</v>
      </c>
      <c r="C133" s="1123" t="s">
        <v>148</v>
      </c>
      <c r="D133" s="1088" t="s">
        <v>221</v>
      </c>
      <c r="E133" s="1088" t="s">
        <v>439</v>
      </c>
      <c r="F133" s="1124" t="s">
        <v>113</v>
      </c>
      <c r="G133" s="686">
        <v>2241279302</v>
      </c>
      <c r="H133" s="295">
        <v>1846818</v>
      </c>
      <c r="I133" s="295">
        <v>1897166</v>
      </c>
      <c r="J133" s="295">
        <v>158097.166666667</v>
      </c>
      <c r="K133" s="295">
        <v>39524.2916666667</v>
      </c>
      <c r="L133" s="295">
        <v>30000</v>
      </c>
      <c r="M133" s="295">
        <v>232866.25</v>
      </c>
      <c r="N133" s="295">
        <f t="shared" si="361"/>
        <v>27167.7291666667</v>
      </c>
      <c r="O133" s="295">
        <v>5000</v>
      </c>
      <c r="P133" s="295"/>
      <c r="Q133" s="295"/>
      <c r="R133" s="295">
        <v>2500</v>
      </c>
      <c r="S133" s="295"/>
      <c r="T133" s="295"/>
      <c r="U133" s="295"/>
      <c r="V133" s="295"/>
      <c r="W133" s="295"/>
      <c r="X133" s="295"/>
      <c r="Y133" s="295"/>
      <c r="Z133" s="295">
        <v>2500</v>
      </c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1140"/>
      <c r="AM133" s="295">
        <f t="shared" si="422"/>
        <v>4657.325</v>
      </c>
      <c r="AN133" s="295">
        <v>500</v>
      </c>
      <c r="AO133" s="295"/>
      <c r="AP133" s="295"/>
      <c r="AQ133" s="1149"/>
      <c r="AR133" s="1149"/>
      <c r="AS133" s="1152"/>
      <c r="AT133" s="1149"/>
      <c r="AU133" s="1149"/>
      <c r="AV133" s="1151"/>
      <c r="AW133" s="1149"/>
      <c r="AX133" s="1149"/>
      <c r="AY133" s="1161"/>
      <c r="AZ133" s="1149"/>
      <c r="BA133" s="295">
        <v>0</v>
      </c>
      <c r="BB133" s="295"/>
      <c r="BC133" s="295"/>
      <c r="BD133" s="295"/>
      <c r="BE133" s="724">
        <v>1000</v>
      </c>
      <c r="BF133" s="724"/>
      <c r="BG133" s="724"/>
      <c r="BH133" s="724">
        <f t="shared" si="418"/>
        <v>5400.67958333333</v>
      </c>
      <c r="BI133" s="1166"/>
      <c r="BJ133" s="1166"/>
      <c r="BK133" s="724">
        <v>31548.45225</v>
      </c>
      <c r="BL133" s="1167">
        <f t="shared" si="362"/>
        <v>270033.979166667</v>
      </c>
      <c r="BM133" s="724">
        <f t="shared" si="311"/>
        <v>43106.4568333333</v>
      </c>
      <c r="BN133" s="724"/>
      <c r="BO133" s="724"/>
      <c r="BP133" s="724">
        <f t="shared" si="310"/>
        <v>226927.522333333</v>
      </c>
      <c r="BQ133" s="1174">
        <f t="shared" si="415"/>
        <v>3240407.75</v>
      </c>
      <c r="BR133" s="306">
        <f t="shared" si="372"/>
        <v>848081.55</v>
      </c>
      <c r="BS133" s="307">
        <f t="shared" si="416"/>
        <v>0</v>
      </c>
      <c r="BT133" s="308">
        <f t="shared" si="374"/>
        <v>848081.55</v>
      </c>
      <c r="BU133" s="313">
        <f t="shared" si="375"/>
        <v>2392326.2</v>
      </c>
      <c r="BV133" s="306"/>
      <c r="BW133" s="307">
        <f t="shared" si="376"/>
        <v>21000</v>
      </c>
      <c r="BX133" s="307">
        <f t="shared" si="377"/>
        <v>33000</v>
      </c>
      <c r="BY133" s="307">
        <f t="shared" si="378"/>
        <v>75000</v>
      </c>
      <c r="BZ133" s="307">
        <f t="shared" si="379"/>
        <v>95000</v>
      </c>
      <c r="CA133" s="307">
        <f t="shared" si="380"/>
        <v>166388.502</v>
      </c>
      <c r="CB133" s="307" t="str">
        <f t="shared" si="381"/>
        <v/>
      </c>
      <c r="CC133" s="305">
        <f t="shared" si="382"/>
        <v>390388.502</v>
      </c>
      <c r="CD133" s="320">
        <f t="shared" si="383"/>
        <v>32404.0775</v>
      </c>
      <c r="CE133" s="321">
        <f t="shared" si="384"/>
        <v>390388.502</v>
      </c>
      <c r="CF133" s="322">
        <f t="shared" si="357"/>
        <v>32532.3751666667</v>
      </c>
      <c r="CG133" s="323"/>
      <c r="CH133" s="324"/>
      <c r="CI133" s="325"/>
      <c r="CJ133" s="326"/>
      <c r="CK133" s="1188"/>
      <c r="CL133" s="335"/>
      <c r="CN133" s="1189"/>
      <c r="CO133" s="724"/>
    </row>
    <row r="134" s="245" customFormat="1" ht="159" customHeight="1" spans="1:92">
      <c r="A134" s="1122">
        <v>131</v>
      </c>
      <c r="B134" s="70" t="str">
        <f>'[3]TEACHING STAFF'!$B$126</f>
        <v>WERIDONGHAN ERNEST JACKSON</v>
      </c>
      <c r="C134" s="1123" t="s">
        <v>203</v>
      </c>
      <c r="D134" s="1088" t="s">
        <v>440</v>
      </c>
      <c r="E134" s="1088" t="s">
        <v>294</v>
      </c>
      <c r="F134" s="1124" t="s">
        <v>259</v>
      </c>
      <c r="G134" s="681">
        <v>5334151353</v>
      </c>
      <c r="H134" s="295"/>
      <c r="I134" s="295"/>
      <c r="J134" s="295">
        <v>84807.21</v>
      </c>
      <c r="K134" s="295">
        <v>21201.8025</v>
      </c>
      <c r="L134" s="295">
        <v>30000</v>
      </c>
      <c r="M134" s="295">
        <v>141318.86</v>
      </c>
      <c r="N134" s="295"/>
      <c r="O134" s="295"/>
      <c r="P134" s="295"/>
      <c r="Q134" s="295"/>
      <c r="R134" s="295">
        <v>2500</v>
      </c>
      <c r="S134" s="295"/>
      <c r="T134" s="295"/>
      <c r="U134" s="295"/>
      <c r="V134" s="295"/>
      <c r="W134" s="295"/>
      <c r="X134" s="295"/>
      <c r="Y134" s="295"/>
      <c r="Z134" s="295">
        <v>2500</v>
      </c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1140"/>
      <c r="AM134" s="295">
        <f t="shared" si="422"/>
        <v>2826.3772</v>
      </c>
      <c r="AN134" s="295">
        <v>500</v>
      </c>
      <c r="AO134" s="295"/>
      <c r="AP134" s="295"/>
      <c r="AQ134" s="1149"/>
      <c r="AR134" s="1149"/>
      <c r="AS134" s="1150">
        <v>1000</v>
      </c>
      <c r="AT134" s="1151"/>
      <c r="AU134" s="1149"/>
      <c r="AV134" s="1151"/>
      <c r="AW134" s="1149"/>
      <c r="AX134" s="1149"/>
      <c r="AY134" s="1161"/>
      <c r="AZ134" s="1149"/>
      <c r="BA134" s="295">
        <v>0</v>
      </c>
      <c r="BB134" s="295"/>
      <c r="BC134" s="295"/>
      <c r="BD134" s="295"/>
      <c r="BE134" s="724">
        <v>500</v>
      </c>
      <c r="BF134" s="724"/>
      <c r="BG134" s="724"/>
      <c r="BH134" s="724">
        <f t="shared" si="418"/>
        <v>2926.3772</v>
      </c>
      <c r="BI134" s="1166"/>
      <c r="BJ134" s="1166"/>
      <c r="BK134" s="724">
        <v>12407.13</v>
      </c>
      <c r="BL134" s="1167">
        <f t="shared" ref="BL134:BL165" si="423">M134+N134+O134+P134+R134+S134+T134+U134+V134+W134+Y134+Z134+AA134</f>
        <v>146318.86</v>
      </c>
      <c r="BM134" s="724">
        <f t="shared" si="311"/>
        <v>20159.8844</v>
      </c>
      <c r="BN134" s="724"/>
      <c r="BO134" s="724"/>
      <c r="BP134" s="724">
        <f t="shared" ref="BP134:BP195" si="424">BL134-BM134</f>
        <v>126158.9756</v>
      </c>
      <c r="BQ134" s="1174"/>
      <c r="BR134" s="306"/>
      <c r="BS134" s="307"/>
      <c r="BT134" s="308"/>
      <c r="BU134" s="313"/>
      <c r="BV134" s="306"/>
      <c r="BW134" s="307"/>
      <c r="BX134" s="307"/>
      <c r="BY134" s="307"/>
      <c r="BZ134" s="307"/>
      <c r="CA134" s="307"/>
      <c r="CB134" s="307"/>
      <c r="CC134" s="305"/>
      <c r="CD134" s="320"/>
      <c r="CE134" s="321"/>
      <c r="CF134" s="322"/>
      <c r="CG134" s="323"/>
      <c r="CH134" s="324"/>
      <c r="CI134" s="325"/>
      <c r="CJ134" s="326"/>
      <c r="CK134" s="1188"/>
      <c r="CL134" s="335"/>
      <c r="CN134" s="1190"/>
    </row>
    <row r="135" s="245" customFormat="1" ht="159" customHeight="1" spans="1:92">
      <c r="A135" s="1122">
        <v>132</v>
      </c>
      <c r="B135" s="70" t="s">
        <v>441</v>
      </c>
      <c r="C135" s="1123" t="s">
        <v>148</v>
      </c>
      <c r="D135" s="1088" t="s">
        <v>442</v>
      </c>
      <c r="E135" s="1088" t="s">
        <v>208</v>
      </c>
      <c r="F135" s="1124" t="s">
        <v>259</v>
      </c>
      <c r="G135" s="681">
        <v>4021422945</v>
      </c>
      <c r="H135" s="295">
        <f>M135*12</f>
        <v>1452108.48</v>
      </c>
      <c r="I135" s="295"/>
      <c r="J135" s="295">
        <v>84807.21</v>
      </c>
      <c r="K135" s="295">
        <v>21201.8025</v>
      </c>
      <c r="L135" s="295">
        <v>15000</v>
      </c>
      <c r="M135" s="295">
        <v>121009.04</v>
      </c>
      <c r="N135" s="295"/>
      <c r="O135" s="295"/>
      <c r="P135" s="295"/>
      <c r="Q135" s="295"/>
      <c r="R135" s="295">
        <v>2500</v>
      </c>
      <c r="S135" s="295"/>
      <c r="T135" s="295"/>
      <c r="U135" s="295"/>
      <c r="V135" s="295"/>
      <c r="W135" s="295"/>
      <c r="X135" s="295"/>
      <c r="Y135" s="295"/>
      <c r="Z135" s="295">
        <v>2500</v>
      </c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1140"/>
      <c r="AM135" s="295">
        <f t="shared" si="422"/>
        <v>2420.1808</v>
      </c>
      <c r="AN135" s="295">
        <v>500</v>
      </c>
      <c r="AO135" s="295"/>
      <c r="AP135" s="295"/>
      <c r="AQ135" s="1295"/>
      <c r="AR135" s="1295"/>
      <c r="AS135" s="1296"/>
      <c r="AT135" s="1295"/>
      <c r="AU135" s="1149"/>
      <c r="AV135" s="1151"/>
      <c r="AW135" s="1149"/>
      <c r="AX135" s="1149"/>
      <c r="AY135" s="1161"/>
      <c r="AZ135" s="1149"/>
      <c r="BA135" s="295">
        <v>0</v>
      </c>
      <c r="BB135" s="295"/>
      <c r="BC135" s="295"/>
      <c r="BD135" s="295"/>
      <c r="BE135" s="724">
        <v>500</v>
      </c>
      <c r="BF135" s="724"/>
      <c r="BG135" s="724"/>
      <c r="BH135" s="724">
        <f t="shared" si="418"/>
        <v>2520.1808</v>
      </c>
      <c r="BI135" s="1166"/>
      <c r="BJ135" s="1166"/>
      <c r="BK135" s="724">
        <v>9621.0815</v>
      </c>
      <c r="BL135" s="1167">
        <f t="shared" si="423"/>
        <v>126009.04</v>
      </c>
      <c r="BM135" s="724">
        <f t="shared" si="311"/>
        <v>15561.4431</v>
      </c>
      <c r="BN135" s="724"/>
      <c r="BO135" s="724"/>
      <c r="BP135" s="724">
        <f t="shared" si="424"/>
        <v>110447.5969</v>
      </c>
      <c r="BQ135" s="1174">
        <f t="shared" ref="BQ135:BQ140" si="425">BL135*12</f>
        <v>1512108.48</v>
      </c>
      <c r="BR135" s="306">
        <f t="shared" si="372"/>
        <v>502421.696</v>
      </c>
      <c r="BS135" s="307">
        <f t="shared" ref="BS135:BS140" si="426">BI135*12</f>
        <v>0</v>
      </c>
      <c r="BT135" s="308">
        <f t="shared" si="374"/>
        <v>502421.696</v>
      </c>
      <c r="BU135" s="313">
        <f t="shared" si="375"/>
        <v>1009686.784</v>
      </c>
      <c r="BV135" s="306"/>
      <c r="BW135" s="307">
        <f t="shared" si="376"/>
        <v>21000</v>
      </c>
      <c r="BX135" s="307">
        <f t="shared" si="377"/>
        <v>33000</v>
      </c>
      <c r="BY135" s="307">
        <f t="shared" si="378"/>
        <v>61453.0176</v>
      </c>
      <c r="BZ135" s="307" t="str">
        <f t="shared" si="379"/>
        <v/>
      </c>
      <c r="CA135" s="307" t="str">
        <f t="shared" si="380"/>
        <v/>
      </c>
      <c r="CB135" s="307" t="str">
        <f t="shared" si="381"/>
        <v/>
      </c>
      <c r="CC135" s="305">
        <f t="shared" si="382"/>
        <v>115453.0176</v>
      </c>
      <c r="CD135" s="320">
        <f t="shared" si="383"/>
        <v>15121.0848</v>
      </c>
      <c r="CE135" s="321">
        <f t="shared" si="384"/>
        <v>115453.0176</v>
      </c>
      <c r="CF135" s="322">
        <f t="shared" ref="CF135:CF172" si="427">+CE135/12</f>
        <v>9621.0848</v>
      </c>
      <c r="CG135" s="323"/>
      <c r="CH135" s="324"/>
      <c r="CI135" s="325"/>
      <c r="CJ135" s="326"/>
      <c r="CK135" s="1188"/>
      <c r="CL135" s="335"/>
      <c r="CN135" s="1190"/>
    </row>
    <row r="136" s="1100" customFormat="1" ht="174" customHeight="1" spans="1:93">
      <c r="A136" s="1122">
        <v>133</v>
      </c>
      <c r="B136" s="70" t="s">
        <v>443</v>
      </c>
      <c r="C136" s="1123" t="s">
        <v>254</v>
      </c>
      <c r="D136" s="1088" t="s">
        <v>444</v>
      </c>
      <c r="E136" s="1088" t="s">
        <v>445</v>
      </c>
      <c r="F136" s="1124" t="s">
        <v>93</v>
      </c>
      <c r="G136" s="686">
        <v>3032095781</v>
      </c>
      <c r="H136" s="295">
        <f>1746118/2</f>
        <v>873059</v>
      </c>
      <c r="I136" s="295"/>
      <c r="J136" s="295">
        <v>72754.915</v>
      </c>
      <c r="K136" s="295">
        <v>18188.72875</v>
      </c>
      <c r="L136" s="295">
        <v>15000</v>
      </c>
      <c r="M136" s="295">
        <f>211887.25/2</f>
        <v>105943.625</v>
      </c>
      <c r="N136" s="295"/>
      <c r="O136" s="295"/>
      <c r="P136" s="295"/>
      <c r="Q136" s="295"/>
      <c r="R136" s="295">
        <v>2500</v>
      </c>
      <c r="S136" s="295"/>
      <c r="T136" s="295"/>
      <c r="U136" s="295"/>
      <c r="V136" s="295"/>
      <c r="W136" s="295"/>
      <c r="X136" s="295"/>
      <c r="Y136" s="295"/>
      <c r="Z136" s="295">
        <v>2500</v>
      </c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1140"/>
      <c r="AM136" s="295">
        <f t="shared" si="422"/>
        <v>2118.8725</v>
      </c>
      <c r="AN136" s="295">
        <v>500</v>
      </c>
      <c r="AO136" s="295"/>
      <c r="AP136" s="295"/>
      <c r="AQ136" s="1295"/>
      <c r="AR136" s="1295"/>
      <c r="AS136" s="1155"/>
      <c r="AT136" s="1154"/>
      <c r="AU136" s="1158"/>
      <c r="AV136" s="1151"/>
      <c r="AW136" s="1149"/>
      <c r="AX136" s="1149"/>
      <c r="AY136" s="1161"/>
      <c r="AZ136" s="1149"/>
      <c r="BA136" s="295">
        <v>0</v>
      </c>
      <c r="BB136" s="295"/>
      <c r="BC136" s="295"/>
      <c r="BD136" s="295"/>
      <c r="BE136" s="724">
        <v>500</v>
      </c>
      <c r="BF136" s="724"/>
      <c r="BG136" s="724"/>
      <c r="BH136" s="724">
        <f t="shared" si="418"/>
        <v>2218.8725</v>
      </c>
      <c r="BI136" s="1166"/>
      <c r="BJ136" s="1166"/>
      <c r="BK136" s="724">
        <v>7813.24</v>
      </c>
      <c r="BL136" s="1167">
        <f t="shared" si="423"/>
        <v>110943.625</v>
      </c>
      <c r="BM136" s="724">
        <f t="shared" si="311"/>
        <v>13150.985</v>
      </c>
      <c r="BN136" s="724"/>
      <c r="BO136" s="724"/>
      <c r="BP136" s="724">
        <f t="shared" si="424"/>
        <v>97792.64</v>
      </c>
      <c r="BQ136" s="1174">
        <f t="shared" si="425"/>
        <v>1331323.5</v>
      </c>
      <c r="BR136" s="306">
        <f t="shared" ref="BR136" si="428">200000+(0.2*BQ136)</f>
        <v>466264.7</v>
      </c>
      <c r="BS136" s="307">
        <f t="shared" si="426"/>
        <v>0</v>
      </c>
      <c r="BT136" s="308">
        <f t="shared" ref="BT136" si="429">SUM(BR136:BS136)</f>
        <v>466264.7</v>
      </c>
      <c r="BU136" s="313">
        <f t="shared" ref="BU136" si="430">+BQ136-BT136</f>
        <v>865058.8</v>
      </c>
      <c r="BV136" s="306"/>
      <c r="BW136" s="307">
        <f t="shared" ref="BW136" si="431">IF((BU136&gt;0),(IF((BU136&gt;300000),(300000*7%),(BU136*7%))),(BQ136*1%))</f>
        <v>21000</v>
      </c>
      <c r="BX136" s="307">
        <f t="shared" ref="BX136" si="432">IF((BU136-300000)&gt;0,(IF((BU136&gt;600000),(300000*11%),((BU136-300000)*11%))),(""))</f>
        <v>33000</v>
      </c>
      <c r="BY136" s="307">
        <f t="shared" ref="BY136" si="433">IF(((BU136-600000)&gt;0),(IF((BU136&gt;1100000),(500000*15%),((BU136-600000)*15%))),(""))</f>
        <v>39758.82</v>
      </c>
      <c r="BZ136" s="307" t="str">
        <f t="shared" ref="BZ136" si="434">IF(((BU136-(1100000))&gt;0),(IF((BU136&gt;(1600000)),((500000)*19%),((BU136-(1100000))*19%))),(""))</f>
        <v/>
      </c>
      <c r="CA136" s="307" t="str">
        <f t="shared" ref="CA136" si="435">IF(((BU136-(1600000))&gt;0),(IF((BU136&gt;(3200000)),((1600000)*21%),((BU136-(1600000))*21%))),(""))</f>
        <v/>
      </c>
      <c r="CB136" s="307" t="str">
        <f t="shared" ref="CB136" si="436">IF(((BU136-(3200000))&gt;0),(IF((BU136&gt;(3200000)),((BU136-(3200000))*24%),(0))),(""))</f>
        <v/>
      </c>
      <c r="CC136" s="305">
        <f t="shared" ref="CC136" si="437">SUM(BW136:CB136)</f>
        <v>93758.82</v>
      </c>
      <c r="CD136" s="320">
        <f t="shared" ref="CD136" si="438">1%*BQ136</f>
        <v>13313.235</v>
      </c>
      <c r="CE136" s="321">
        <f t="shared" ref="CE136" si="439">MAX(CC136:CD136)</f>
        <v>93758.82</v>
      </c>
      <c r="CF136" s="322">
        <f t="shared" ref="CF136" si="440">+CE136/12</f>
        <v>7813.235</v>
      </c>
      <c r="CG136" s="323"/>
      <c r="CH136" s="324"/>
      <c r="CI136" s="325"/>
      <c r="CJ136" s="326"/>
      <c r="CK136" s="1188"/>
      <c r="CL136" s="335"/>
      <c r="CM136" s="245"/>
      <c r="CN136" s="1190" t="s">
        <v>446</v>
      </c>
      <c r="CO136" s="245"/>
    </row>
    <row r="137" s="245" customFormat="1" ht="156" customHeight="1" spans="1:93">
      <c r="A137" s="1122">
        <v>134</v>
      </c>
      <c r="B137" s="70" t="s">
        <v>447</v>
      </c>
      <c r="C137" s="1123" t="s">
        <v>191</v>
      </c>
      <c r="D137" s="1088" t="s">
        <v>448</v>
      </c>
      <c r="E137" s="1088" t="s">
        <v>449</v>
      </c>
      <c r="F137" s="1124" t="s">
        <v>97</v>
      </c>
      <c r="G137" s="681" t="s">
        <v>450</v>
      </c>
      <c r="H137" s="295"/>
      <c r="I137" s="295"/>
      <c r="J137" s="295">
        <v>248212.7</v>
      </c>
      <c r="K137" s="295">
        <v>86874.445</v>
      </c>
      <c r="L137" s="295">
        <v>15000</v>
      </c>
      <c r="M137" s="295">
        <f t="shared" si="364"/>
        <v>350087.145</v>
      </c>
      <c r="N137" s="295"/>
      <c r="O137" s="295"/>
      <c r="P137" s="295"/>
      <c r="Q137" s="295"/>
      <c r="R137" s="295">
        <f>2500</f>
        <v>2500</v>
      </c>
      <c r="S137" s="295"/>
      <c r="T137" s="295"/>
      <c r="U137" s="295"/>
      <c r="V137" s="295"/>
      <c r="W137" s="295"/>
      <c r="X137" s="295"/>
      <c r="Y137" s="295"/>
      <c r="Z137" s="295">
        <v>2500</v>
      </c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1140"/>
      <c r="AM137" s="295">
        <f t="shared" si="422"/>
        <v>7001.7429</v>
      </c>
      <c r="AN137" s="295">
        <v>500</v>
      </c>
      <c r="AO137" s="295"/>
      <c r="AP137" s="295"/>
      <c r="AQ137" s="1295"/>
      <c r="AR137" s="1295"/>
      <c r="AS137" s="1155">
        <v>1000</v>
      </c>
      <c r="AT137" s="1154"/>
      <c r="AU137" s="1149"/>
      <c r="AV137" s="1151"/>
      <c r="AW137" s="1149"/>
      <c r="AX137" s="1149"/>
      <c r="AY137" s="1161"/>
      <c r="AZ137" s="1153"/>
      <c r="BA137" s="295">
        <v>0</v>
      </c>
      <c r="BB137" s="295"/>
      <c r="BC137" s="295"/>
      <c r="BD137" s="295"/>
      <c r="BE137" s="724">
        <v>1750</v>
      </c>
      <c r="BF137" s="724"/>
      <c r="BG137" s="724"/>
      <c r="BH137" s="724">
        <f t="shared" si="418"/>
        <v>7101.7429</v>
      </c>
      <c r="BI137" s="1166"/>
      <c r="BJ137" s="1166"/>
      <c r="BK137" s="724">
        <v>46843.4</v>
      </c>
      <c r="BL137" s="1167">
        <f t="shared" si="423"/>
        <v>355087.145</v>
      </c>
      <c r="BM137" s="724">
        <f t="shared" ref="BM137:BM198" si="441">AI137+AJ137+AK137+AL137+AM137+AN137+AP137++AQ137+AR137+AS137+AT137+AU137+AV137+AW137+AX137+AY137+AZ137+BA137+BB137+BC137+BD137+BE137+BG137+BH137+BK137</f>
        <v>64196.8858</v>
      </c>
      <c r="BN137" s="724"/>
      <c r="BO137" s="724"/>
      <c r="BP137" s="724">
        <f t="shared" si="424"/>
        <v>290890.2592</v>
      </c>
      <c r="BQ137" s="1174"/>
      <c r="BR137" s="306"/>
      <c r="BS137" s="307"/>
      <c r="BT137" s="308"/>
      <c r="BU137" s="313"/>
      <c r="BV137" s="306"/>
      <c r="BW137" s="307"/>
      <c r="BX137" s="307"/>
      <c r="BY137" s="307"/>
      <c r="BZ137" s="307"/>
      <c r="CA137" s="307"/>
      <c r="CB137" s="307"/>
      <c r="CC137" s="305"/>
      <c r="CD137" s="320"/>
      <c r="CE137" s="321"/>
      <c r="CF137" s="322"/>
      <c r="CG137" s="323"/>
      <c r="CH137" s="324"/>
      <c r="CI137" s="325"/>
      <c r="CJ137" s="326"/>
      <c r="CK137" s="1188"/>
      <c r="CL137" s="335"/>
      <c r="CN137" s="1189"/>
      <c r="CO137" s="1100"/>
    </row>
    <row r="138" s="245" customFormat="1" ht="156" customHeight="1" spans="1:92">
      <c r="A138" s="1122">
        <v>135</v>
      </c>
      <c r="B138" s="1269" t="s">
        <v>451</v>
      </c>
      <c r="C138" s="1270" t="s">
        <v>142</v>
      </c>
      <c r="D138" s="1271" t="s">
        <v>130</v>
      </c>
      <c r="E138" s="1271" t="s">
        <v>218</v>
      </c>
      <c r="F138" s="1124" t="s">
        <v>113</v>
      </c>
      <c r="G138" s="686">
        <v>2080530783</v>
      </c>
      <c r="H138" s="1272">
        <v>2109106</v>
      </c>
      <c r="I138" s="1272">
        <v>2425322</v>
      </c>
      <c r="J138" s="1272">
        <v>202110.166666667</v>
      </c>
      <c r="K138" s="1272">
        <v>50527.5416666667</v>
      </c>
      <c r="L138" s="1272">
        <v>30000</v>
      </c>
      <c r="M138" s="1284">
        <v>291760.83</v>
      </c>
      <c r="N138" s="1285">
        <f t="shared" si="361"/>
        <v>34038.7635</v>
      </c>
      <c r="O138" s="1285">
        <v>5000</v>
      </c>
      <c r="P138" s="1285"/>
      <c r="Q138" s="1285"/>
      <c r="R138" s="1285">
        <v>2500</v>
      </c>
      <c r="S138" s="1285"/>
      <c r="T138" s="1285"/>
      <c r="U138" s="1285"/>
      <c r="V138" s="1285"/>
      <c r="W138" s="1285"/>
      <c r="X138" s="1285"/>
      <c r="Y138" s="1285"/>
      <c r="Z138" s="1284">
        <v>2500</v>
      </c>
      <c r="AA138" s="1285"/>
      <c r="AB138" s="1285"/>
      <c r="AC138" s="1285"/>
      <c r="AD138" s="1285"/>
      <c r="AE138" s="1285"/>
      <c r="AF138" s="1285"/>
      <c r="AG138" s="1285"/>
      <c r="AH138" s="1285"/>
      <c r="AI138" s="1285"/>
      <c r="AJ138" s="1285"/>
      <c r="AK138" s="295"/>
      <c r="AL138" s="1293"/>
      <c r="AM138" s="295">
        <f t="shared" si="422"/>
        <v>5835.2166</v>
      </c>
      <c r="AN138" s="295">
        <v>500</v>
      </c>
      <c r="AO138" s="295"/>
      <c r="AP138" s="1285"/>
      <c r="AQ138" s="1124"/>
      <c r="AR138" s="1124"/>
      <c r="AS138" s="1281"/>
      <c r="AT138" s="1124"/>
      <c r="AU138" s="1297"/>
      <c r="AV138" s="1298"/>
      <c r="AW138" s="1298">
        <v>1000</v>
      </c>
      <c r="AX138" s="1298"/>
      <c r="AY138" s="1306"/>
      <c r="AZ138" s="1298"/>
      <c r="BA138" s="1285">
        <v>20000</v>
      </c>
      <c r="BB138" s="1285"/>
      <c r="BC138" s="295"/>
      <c r="BD138" s="1285"/>
      <c r="BE138" s="1297">
        <v>1500</v>
      </c>
      <c r="BF138" s="1297"/>
      <c r="BG138" s="1297"/>
      <c r="BH138" s="724">
        <f t="shared" si="418"/>
        <v>6715.99187</v>
      </c>
      <c r="BI138" s="1309"/>
      <c r="BJ138" s="1309"/>
      <c r="BK138" s="1297">
        <v>43581</v>
      </c>
      <c r="BL138" s="1167">
        <f t="shared" si="423"/>
        <v>335799.5935</v>
      </c>
      <c r="BM138" s="724">
        <f t="shared" si="441"/>
        <v>79132.20847</v>
      </c>
      <c r="BN138" s="1297"/>
      <c r="BO138" s="1297"/>
      <c r="BP138" s="724">
        <f t="shared" si="424"/>
        <v>256667.38503</v>
      </c>
      <c r="BQ138" s="1315">
        <f t="shared" si="425"/>
        <v>4029595.122</v>
      </c>
      <c r="BR138" s="1316">
        <f t="shared" si="372"/>
        <v>1005919.0244</v>
      </c>
      <c r="BS138" s="1317">
        <f t="shared" si="426"/>
        <v>0</v>
      </c>
      <c r="BT138" s="1318">
        <f t="shared" si="374"/>
        <v>1005919.0244</v>
      </c>
      <c r="BU138" s="1328">
        <f t="shared" si="375"/>
        <v>3023676.0976</v>
      </c>
      <c r="BV138" s="1316"/>
      <c r="BW138" s="1317">
        <f t="shared" si="376"/>
        <v>21000</v>
      </c>
      <c r="BX138" s="1317">
        <f t="shared" si="377"/>
        <v>33000</v>
      </c>
      <c r="BY138" s="1317">
        <f t="shared" si="378"/>
        <v>75000</v>
      </c>
      <c r="BZ138" s="1317">
        <f t="shared" si="379"/>
        <v>95000</v>
      </c>
      <c r="CA138" s="1317">
        <f t="shared" si="380"/>
        <v>298971.980496</v>
      </c>
      <c r="CB138" s="1317" t="str">
        <f t="shared" si="381"/>
        <v/>
      </c>
      <c r="CC138" s="1331">
        <f t="shared" si="382"/>
        <v>522971.980496</v>
      </c>
      <c r="CD138" s="1332">
        <f t="shared" si="383"/>
        <v>40295.95122</v>
      </c>
      <c r="CE138" s="1333">
        <f t="shared" si="384"/>
        <v>522971.980496</v>
      </c>
      <c r="CF138" s="1334">
        <f t="shared" si="427"/>
        <v>43580.9983746667</v>
      </c>
      <c r="CG138" s="1335"/>
      <c r="CH138" s="1336"/>
      <c r="CI138" s="1337"/>
      <c r="CJ138" s="1338"/>
      <c r="CK138" s="1343"/>
      <c r="CL138" s="1344"/>
      <c r="CM138" s="1100"/>
      <c r="CN138" s="1122"/>
    </row>
    <row r="139" s="245" customFormat="1" ht="156" customHeight="1" spans="1:92">
      <c r="A139" s="1122">
        <v>136</v>
      </c>
      <c r="B139" s="70" t="s">
        <v>452</v>
      </c>
      <c r="C139" s="1123" t="s">
        <v>275</v>
      </c>
      <c r="D139" s="1088" t="s">
        <v>120</v>
      </c>
      <c r="E139" s="1088" t="s">
        <v>276</v>
      </c>
      <c r="F139" s="1124" t="s">
        <v>135</v>
      </c>
      <c r="G139" s="686" t="s">
        <v>453</v>
      </c>
      <c r="H139" s="1125">
        <v>2425322</v>
      </c>
      <c r="I139" s="1125">
        <v>2512904</v>
      </c>
      <c r="J139" s="1125">
        <v>209408.666666667</v>
      </c>
      <c r="K139" s="1125">
        <v>52352.1666666667</v>
      </c>
      <c r="L139" s="1125">
        <v>30000</v>
      </c>
      <c r="M139" s="295">
        <v>413255.25</v>
      </c>
      <c r="N139" s="295">
        <f t="shared" si="361"/>
        <v>48213.1125</v>
      </c>
      <c r="O139" s="295">
        <v>5000</v>
      </c>
      <c r="P139" s="295"/>
      <c r="Q139" s="295"/>
      <c r="R139" s="295">
        <v>2500</v>
      </c>
      <c r="S139" s="295"/>
      <c r="T139" s="295"/>
      <c r="U139" s="295"/>
      <c r="V139" s="295"/>
      <c r="W139" s="295"/>
      <c r="X139" s="295"/>
      <c r="Y139" s="295"/>
      <c r="Z139" s="295">
        <v>2500</v>
      </c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1140"/>
      <c r="AM139" s="295">
        <f t="shared" si="422"/>
        <v>8265.105</v>
      </c>
      <c r="AN139" s="295">
        <v>500</v>
      </c>
      <c r="AO139" s="295"/>
      <c r="AP139" s="295">
        <v>57780</v>
      </c>
      <c r="AQ139" s="1149"/>
      <c r="AR139" s="1149"/>
      <c r="AS139" s="1217"/>
      <c r="AT139" s="1153"/>
      <c r="AU139" s="1149"/>
      <c r="AV139" s="1151"/>
      <c r="AW139" s="1151"/>
      <c r="AX139" s="1151">
        <v>1000</v>
      </c>
      <c r="AY139" s="1161"/>
      <c r="AZ139" s="1151"/>
      <c r="BA139" s="295">
        <v>116667</v>
      </c>
      <c r="BB139" s="295"/>
      <c r="BC139" s="295">
        <v>3750</v>
      </c>
      <c r="BD139" s="295">
        <v>7500</v>
      </c>
      <c r="BE139" s="724">
        <v>1500</v>
      </c>
      <c r="BF139" s="724"/>
      <c r="BG139" s="724"/>
      <c r="BH139" s="724">
        <f t="shared" si="418"/>
        <v>9429.36725</v>
      </c>
      <c r="BI139" s="1166"/>
      <c r="BJ139" s="1166"/>
      <c r="BK139" s="724">
        <v>69188.59</v>
      </c>
      <c r="BL139" s="1167">
        <f t="shared" si="423"/>
        <v>471468.3625</v>
      </c>
      <c r="BM139" s="724">
        <f t="shared" si="441"/>
        <v>275580.06225</v>
      </c>
      <c r="BN139" s="724"/>
      <c r="BO139" s="724"/>
      <c r="BP139" s="724">
        <f t="shared" si="424"/>
        <v>195888.30025</v>
      </c>
      <c r="BQ139" s="1174">
        <f t="shared" si="425"/>
        <v>5657620.35</v>
      </c>
      <c r="BR139" s="306">
        <f t="shared" si="372"/>
        <v>1331524.07</v>
      </c>
      <c r="BS139" s="307">
        <f t="shared" si="426"/>
        <v>0</v>
      </c>
      <c r="BT139" s="308">
        <f t="shared" si="374"/>
        <v>1331524.07</v>
      </c>
      <c r="BU139" s="313">
        <f t="shared" si="375"/>
        <v>4326096.28</v>
      </c>
      <c r="BV139" s="306"/>
      <c r="BW139" s="307">
        <f t="shared" si="376"/>
        <v>21000</v>
      </c>
      <c r="BX139" s="307">
        <f t="shared" si="377"/>
        <v>33000</v>
      </c>
      <c r="BY139" s="307">
        <f t="shared" si="378"/>
        <v>75000</v>
      </c>
      <c r="BZ139" s="307">
        <f t="shared" si="379"/>
        <v>95000</v>
      </c>
      <c r="CA139" s="307">
        <f t="shared" si="380"/>
        <v>336000</v>
      </c>
      <c r="CB139" s="307">
        <f t="shared" si="381"/>
        <v>270263.1072</v>
      </c>
      <c r="CC139" s="305">
        <f t="shared" si="382"/>
        <v>830263.1072</v>
      </c>
      <c r="CD139" s="320">
        <f t="shared" si="383"/>
        <v>56576.2035</v>
      </c>
      <c r="CE139" s="321">
        <f t="shared" si="384"/>
        <v>830263.1072</v>
      </c>
      <c r="CF139" s="322">
        <f t="shared" si="427"/>
        <v>69188.5922666667</v>
      </c>
      <c r="CG139" s="323"/>
      <c r="CH139" s="324"/>
      <c r="CI139" s="325"/>
      <c r="CJ139" s="326"/>
      <c r="CK139" s="1188"/>
      <c r="CL139" s="335"/>
      <c r="CN139" s="1190"/>
    </row>
    <row r="140" s="245" customFormat="1" ht="156" customHeight="1" spans="1:92">
      <c r="A140" s="1122">
        <v>137</v>
      </c>
      <c r="B140" s="70" t="s">
        <v>454</v>
      </c>
      <c r="C140" s="1123" t="s">
        <v>95</v>
      </c>
      <c r="D140" s="1088" t="s">
        <v>204</v>
      </c>
      <c r="E140" s="1088" t="s">
        <v>208</v>
      </c>
      <c r="F140" s="1124" t="s">
        <v>93</v>
      </c>
      <c r="G140" s="686">
        <v>3045166049</v>
      </c>
      <c r="H140" s="1125">
        <v>1796468</v>
      </c>
      <c r="I140" s="1125">
        <v>1925958</v>
      </c>
      <c r="J140" s="1125">
        <v>165055.5</v>
      </c>
      <c r="K140" s="1125">
        <v>41263.875</v>
      </c>
      <c r="L140" s="1125">
        <v>30000</v>
      </c>
      <c r="M140" s="295">
        <v>242018.08</v>
      </c>
      <c r="N140" s="295">
        <f t="shared" si="361"/>
        <v>28235.4426666667</v>
      </c>
      <c r="O140" s="295">
        <v>5000</v>
      </c>
      <c r="P140" s="295"/>
      <c r="Q140" s="295"/>
      <c r="R140" s="295">
        <v>2500</v>
      </c>
      <c r="S140" s="295"/>
      <c r="T140" s="295"/>
      <c r="U140" s="295"/>
      <c r="V140" s="295"/>
      <c r="W140" s="295"/>
      <c r="X140" s="295"/>
      <c r="Y140" s="295"/>
      <c r="Z140" s="295">
        <v>2500</v>
      </c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1140"/>
      <c r="AM140" s="295">
        <f t="shared" si="422"/>
        <v>4840.3616</v>
      </c>
      <c r="AN140" s="295">
        <v>500</v>
      </c>
      <c r="AO140" s="295"/>
      <c r="AP140" s="295"/>
      <c r="AQ140" s="1151">
        <v>1000</v>
      </c>
      <c r="AR140" s="1151"/>
      <c r="AS140" s="1150"/>
      <c r="AT140" s="1151"/>
      <c r="AU140" s="1151"/>
      <c r="AV140" s="1151"/>
      <c r="AW140" s="1151"/>
      <c r="AX140" s="1151"/>
      <c r="AY140" s="1161"/>
      <c r="AZ140" s="1151"/>
      <c r="BA140" s="295">
        <v>0</v>
      </c>
      <c r="BB140" s="295"/>
      <c r="BC140" s="295"/>
      <c r="BD140" s="295"/>
      <c r="BE140" s="724">
        <v>1000</v>
      </c>
      <c r="BF140" s="724"/>
      <c r="BG140" s="724"/>
      <c r="BH140" s="724">
        <f t="shared" si="418"/>
        <v>5605.07045333333</v>
      </c>
      <c r="BI140" s="1166"/>
      <c r="BJ140" s="1166"/>
      <c r="BK140" s="724">
        <v>34249.26</v>
      </c>
      <c r="BL140" s="1167">
        <f t="shared" si="423"/>
        <v>280253.522666667</v>
      </c>
      <c r="BM140" s="724">
        <f t="shared" si="441"/>
        <v>47194.6920533333</v>
      </c>
      <c r="BN140" s="724"/>
      <c r="BO140" s="724"/>
      <c r="BP140" s="724">
        <f t="shared" si="424"/>
        <v>233058.830613333</v>
      </c>
      <c r="BQ140" s="1174">
        <f t="shared" si="425"/>
        <v>3363042.272</v>
      </c>
      <c r="BR140" s="306">
        <f t="shared" si="372"/>
        <v>872608.4544</v>
      </c>
      <c r="BS140" s="307">
        <f t="shared" si="426"/>
        <v>0</v>
      </c>
      <c r="BT140" s="308">
        <f t="shared" si="374"/>
        <v>872608.4544</v>
      </c>
      <c r="BU140" s="313">
        <f t="shared" si="375"/>
        <v>2490433.8176</v>
      </c>
      <c r="BV140" s="306"/>
      <c r="BW140" s="307">
        <f t="shared" si="376"/>
        <v>21000</v>
      </c>
      <c r="BX140" s="307">
        <f t="shared" si="377"/>
        <v>33000</v>
      </c>
      <c r="BY140" s="307">
        <f t="shared" si="378"/>
        <v>75000</v>
      </c>
      <c r="BZ140" s="307">
        <f t="shared" si="379"/>
        <v>95000</v>
      </c>
      <c r="CA140" s="307">
        <f t="shared" si="380"/>
        <v>186991.101696</v>
      </c>
      <c r="CB140" s="307" t="str">
        <f t="shared" si="381"/>
        <v/>
      </c>
      <c r="CC140" s="305">
        <f t="shared" si="382"/>
        <v>410991.101696</v>
      </c>
      <c r="CD140" s="320">
        <f t="shared" si="383"/>
        <v>33630.42272</v>
      </c>
      <c r="CE140" s="321">
        <f t="shared" si="384"/>
        <v>410991.101696</v>
      </c>
      <c r="CF140" s="322">
        <f t="shared" si="427"/>
        <v>34249.2584746667</v>
      </c>
      <c r="CG140" s="323"/>
      <c r="CH140" s="324"/>
      <c r="CI140" s="325"/>
      <c r="CJ140" s="326"/>
      <c r="CK140" s="1188"/>
      <c r="CL140" s="335"/>
      <c r="CN140" s="1189"/>
    </row>
    <row r="141" s="245" customFormat="1" ht="156" customHeight="1" spans="1:92">
      <c r="A141" s="1122">
        <v>138</v>
      </c>
      <c r="B141" s="70" t="s">
        <v>455</v>
      </c>
      <c r="C141" s="1123" t="s">
        <v>90</v>
      </c>
      <c r="D141" s="1088" t="s">
        <v>120</v>
      </c>
      <c r="E141" s="1088" t="s">
        <v>276</v>
      </c>
      <c r="F141" s="1124" t="s">
        <v>157</v>
      </c>
      <c r="G141" s="686" t="s">
        <v>456</v>
      </c>
      <c r="H141" s="1125">
        <v>2512904</v>
      </c>
      <c r="I141" s="1125">
        <v>2600486</v>
      </c>
      <c r="J141" s="1125">
        <v>216707.166666667</v>
      </c>
      <c r="K141" s="1125">
        <v>54176.7916666667</v>
      </c>
      <c r="L141" s="1125">
        <v>30000</v>
      </c>
      <c r="M141" s="295">
        <v>413255.25</v>
      </c>
      <c r="N141" s="295">
        <f t="shared" si="361"/>
        <v>48213.1125</v>
      </c>
      <c r="O141" s="295">
        <v>5000</v>
      </c>
      <c r="P141" s="295">
        <v>20833.33</v>
      </c>
      <c r="Q141" s="295"/>
      <c r="R141" s="295">
        <v>2500</v>
      </c>
      <c r="S141" s="295"/>
      <c r="T141" s="295"/>
      <c r="U141" s="295"/>
      <c r="V141" s="295"/>
      <c r="W141" s="295"/>
      <c r="X141" s="295"/>
      <c r="Y141" s="295"/>
      <c r="Z141" s="295">
        <v>2500</v>
      </c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1140"/>
      <c r="AM141" s="295">
        <f t="shared" si="422"/>
        <v>8265.105</v>
      </c>
      <c r="AN141" s="295">
        <v>500</v>
      </c>
      <c r="AO141" s="295"/>
      <c r="AP141" s="295">
        <v>93334</v>
      </c>
      <c r="AQ141" s="1149"/>
      <c r="AR141" s="1149"/>
      <c r="AS141" s="1150">
        <v>1000</v>
      </c>
      <c r="AT141" s="1151"/>
      <c r="AU141" s="1149"/>
      <c r="AV141" s="1151"/>
      <c r="AW141" s="1149"/>
      <c r="AX141" s="1149"/>
      <c r="AY141" s="1161">
        <v>2000</v>
      </c>
      <c r="AZ141" s="1149"/>
      <c r="BA141" s="295">
        <v>251250</v>
      </c>
      <c r="BB141" s="295"/>
      <c r="BC141" s="295">
        <f>BD141/2</f>
        <v>2083.33</v>
      </c>
      <c r="BD141" s="295">
        <f>8333.33-4166.67</f>
        <v>4166.66</v>
      </c>
      <c r="BE141" s="724">
        <v>1500</v>
      </c>
      <c r="BF141" s="724"/>
      <c r="BG141" s="724"/>
      <c r="BH141" s="724">
        <f t="shared" si="418"/>
        <v>9846.03385</v>
      </c>
      <c r="BI141" s="1166"/>
      <c r="BJ141" s="1166"/>
      <c r="BK141" s="724">
        <v>73188.59</v>
      </c>
      <c r="BL141" s="1167">
        <f t="shared" si="423"/>
        <v>492301.6925</v>
      </c>
      <c r="BM141" s="724">
        <f t="shared" si="441"/>
        <v>447133.71885</v>
      </c>
      <c r="BN141" s="724"/>
      <c r="BO141" s="724"/>
      <c r="BP141" s="724">
        <f t="shared" si="424"/>
        <v>45167.9736500001</v>
      </c>
      <c r="BQ141" s="1319">
        <f t="shared" ref="BQ141" si="442">BP141/12</f>
        <v>3763.99780416667</v>
      </c>
      <c r="BR141" s="295">
        <f>BQ141*0.35/3</f>
        <v>439.133077152778</v>
      </c>
      <c r="BS141" s="295">
        <v>1962.0253164557</v>
      </c>
      <c r="BT141" s="295">
        <v>1756.32911392405</v>
      </c>
      <c r="BU141" s="295">
        <v>1550.63291139241</v>
      </c>
      <c r="BV141" s="295">
        <v>1344.93670886076</v>
      </c>
      <c r="BW141" s="295">
        <v>1139.24050632912</v>
      </c>
      <c r="BX141" s="295">
        <v>933.544303797468</v>
      </c>
      <c r="BY141" s="295">
        <v>727.848101265818</v>
      </c>
      <c r="BZ141" s="295">
        <v>522.151898734178</v>
      </c>
      <c r="CA141" s="295">
        <v>316.455696202528</v>
      </c>
      <c r="CB141" s="295">
        <v>110.759493670888</v>
      </c>
      <c r="CC141" s="295">
        <v>-94.9367088607623</v>
      </c>
      <c r="CD141" s="295"/>
      <c r="CE141" s="295"/>
      <c r="CF141" s="295"/>
      <c r="CG141" s="295"/>
      <c r="CH141" s="295"/>
      <c r="CI141" s="295"/>
      <c r="CJ141" s="295"/>
      <c r="CK141" s="1345"/>
      <c r="CL141" s="335"/>
      <c r="CN141" s="1123"/>
    </row>
    <row r="142" s="245" customFormat="1" ht="162" customHeight="1" spans="1:92">
      <c r="A142" s="1122">
        <v>139</v>
      </c>
      <c r="B142" s="70" t="s">
        <v>457</v>
      </c>
      <c r="C142" s="1123" t="s">
        <v>191</v>
      </c>
      <c r="D142" s="1088" t="s">
        <v>130</v>
      </c>
      <c r="E142" s="1088" t="s">
        <v>297</v>
      </c>
      <c r="F142" s="1124" t="s">
        <v>113</v>
      </c>
      <c r="G142" s="686">
        <v>2156863771</v>
      </c>
      <c r="H142" s="1125"/>
      <c r="I142" s="1125">
        <v>2600486</v>
      </c>
      <c r="J142" s="1125">
        <v>216707.166666667</v>
      </c>
      <c r="K142" s="1125">
        <v>54176.7916666667</v>
      </c>
      <c r="L142" s="1125">
        <v>30000</v>
      </c>
      <c r="M142" s="295">
        <v>310007.17</v>
      </c>
      <c r="N142" s="295">
        <f t="shared" si="361"/>
        <v>36167.5031666667</v>
      </c>
      <c r="O142" s="295">
        <v>5000</v>
      </c>
      <c r="P142" s="295"/>
      <c r="Q142" s="295"/>
      <c r="R142" s="295">
        <v>2500</v>
      </c>
      <c r="S142" s="295"/>
      <c r="T142" s="295"/>
      <c r="U142" s="295"/>
      <c r="V142" s="295"/>
      <c r="W142" s="295"/>
      <c r="X142" s="295"/>
      <c r="Y142" s="295"/>
      <c r="Z142" s="295">
        <v>2500</v>
      </c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1140"/>
      <c r="AM142" s="295">
        <f t="shared" si="422"/>
        <v>6200.1434</v>
      </c>
      <c r="AN142" s="295">
        <v>500</v>
      </c>
      <c r="AO142" s="295"/>
      <c r="AP142" s="295">
        <v>10000</v>
      </c>
      <c r="AQ142" s="1149"/>
      <c r="AR142" s="1149"/>
      <c r="AS142" s="1150">
        <v>1000</v>
      </c>
      <c r="AT142" s="1151"/>
      <c r="AU142" s="1149"/>
      <c r="AV142" s="1151"/>
      <c r="AW142" s="1153"/>
      <c r="AX142" s="1153"/>
      <c r="AY142" s="1161"/>
      <c r="AZ142" s="1149"/>
      <c r="BA142" s="295">
        <v>50000</v>
      </c>
      <c r="BB142" s="295"/>
      <c r="BC142" s="295"/>
      <c r="BD142" s="295"/>
      <c r="BE142" s="724">
        <v>1500</v>
      </c>
      <c r="BF142" s="724"/>
      <c r="BG142" s="724"/>
      <c r="BH142" s="724">
        <f t="shared" si="418"/>
        <v>7123.49346333333</v>
      </c>
      <c r="BI142" s="1166"/>
      <c r="BJ142" s="1166"/>
      <c r="BK142" s="724">
        <v>57052.2</v>
      </c>
      <c r="BL142" s="1167">
        <f t="shared" si="423"/>
        <v>356174.673166667</v>
      </c>
      <c r="BM142" s="724">
        <f t="shared" si="441"/>
        <v>133375.836863333</v>
      </c>
      <c r="BN142" s="724"/>
      <c r="BO142" s="724"/>
      <c r="BP142" s="724">
        <f t="shared" si="424"/>
        <v>222798.836303333</v>
      </c>
      <c r="BQ142" s="1174"/>
      <c r="BR142" s="306"/>
      <c r="BS142" s="307"/>
      <c r="BT142" s="308"/>
      <c r="BU142" s="313"/>
      <c r="BV142" s="306"/>
      <c r="BW142" s="307"/>
      <c r="BX142" s="307"/>
      <c r="BY142" s="307"/>
      <c r="BZ142" s="307"/>
      <c r="CA142" s="307"/>
      <c r="CB142" s="307"/>
      <c r="CC142" s="305"/>
      <c r="CD142" s="320"/>
      <c r="CE142" s="321"/>
      <c r="CF142" s="322"/>
      <c r="CG142" s="323"/>
      <c r="CH142" s="324"/>
      <c r="CI142" s="325"/>
      <c r="CJ142" s="326"/>
      <c r="CK142" s="1188"/>
      <c r="CL142" s="335"/>
      <c r="CN142" s="1189"/>
    </row>
    <row r="143" s="245" customFormat="1" ht="194" customHeight="1" spans="1:92">
      <c r="A143" s="1122">
        <v>140</v>
      </c>
      <c r="B143" s="70" t="s">
        <v>458</v>
      </c>
      <c r="C143" s="1123" t="s">
        <v>133</v>
      </c>
      <c r="D143" s="1088" t="s">
        <v>120</v>
      </c>
      <c r="E143" s="1088" t="s">
        <v>276</v>
      </c>
      <c r="F143" s="1124" t="s">
        <v>127</v>
      </c>
      <c r="G143" s="686" t="s">
        <v>459</v>
      </c>
      <c r="H143" s="1125">
        <v>2035173</v>
      </c>
      <c r="I143" s="1125">
        <v>2090081</v>
      </c>
      <c r="J143" s="1125">
        <v>174173.416666667</v>
      </c>
      <c r="K143" s="1125">
        <v>43543.3541666667</v>
      </c>
      <c r="L143" s="1125">
        <v>30000</v>
      </c>
      <c r="M143" s="295">
        <v>413255.25</v>
      </c>
      <c r="N143" s="295">
        <f t="shared" si="361"/>
        <v>48213.1125</v>
      </c>
      <c r="O143" s="295">
        <v>5000</v>
      </c>
      <c r="P143" s="295"/>
      <c r="Q143" s="295"/>
      <c r="R143" s="295">
        <v>2500</v>
      </c>
      <c r="S143" s="295"/>
      <c r="T143" s="295"/>
      <c r="U143" s="295"/>
      <c r="V143" s="295"/>
      <c r="W143" s="295"/>
      <c r="X143" s="1220"/>
      <c r="Z143" s="295">
        <v>2500</v>
      </c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1140"/>
      <c r="AM143" s="295">
        <f t="shared" si="422"/>
        <v>8265.105</v>
      </c>
      <c r="AN143" s="295">
        <v>500</v>
      </c>
      <c r="AO143" s="295"/>
      <c r="AP143" s="295"/>
      <c r="AQ143" s="1151">
        <v>1000</v>
      </c>
      <c r="AR143" s="1151"/>
      <c r="AS143" s="1150"/>
      <c r="AT143" s="1151"/>
      <c r="AU143" s="1151"/>
      <c r="AV143" s="1151"/>
      <c r="AW143" s="1151"/>
      <c r="AX143" s="1151"/>
      <c r="AY143" s="1161"/>
      <c r="AZ143" s="1151"/>
      <c r="BA143" s="295">
        <v>70000</v>
      </c>
      <c r="BB143" s="295"/>
      <c r="BC143" s="295"/>
      <c r="BD143" s="295"/>
      <c r="BE143" s="724">
        <v>1500</v>
      </c>
      <c r="BF143" s="724"/>
      <c r="BG143" s="724"/>
      <c r="BH143" s="724">
        <f t="shared" si="418"/>
        <v>9429.36725</v>
      </c>
      <c r="BI143" s="1166"/>
      <c r="BJ143" s="1166"/>
      <c r="BK143" s="724">
        <v>69188.59</v>
      </c>
      <c r="BL143" s="1167">
        <f t="shared" si="423"/>
        <v>471468.3625</v>
      </c>
      <c r="BM143" s="724">
        <f t="shared" si="441"/>
        <v>159883.06225</v>
      </c>
      <c r="BN143" s="724"/>
      <c r="BO143" s="724"/>
      <c r="BP143" s="724">
        <f t="shared" si="424"/>
        <v>311585.30025</v>
      </c>
      <c r="BQ143" s="1174">
        <f t="shared" ref="BQ143:BQ155" si="443">BL143*12</f>
        <v>5657620.35</v>
      </c>
      <c r="BR143" s="306">
        <f>200000+(0.2*BQ143)</f>
        <v>1331524.07</v>
      </c>
      <c r="BS143" s="307">
        <f t="shared" ref="BS143:BS155" si="444">BI143*12</f>
        <v>0</v>
      </c>
      <c r="BT143" s="308">
        <f>SUM(BR143:BS143)</f>
        <v>1331524.07</v>
      </c>
      <c r="BU143" s="313">
        <f>+BQ143-BT143</f>
        <v>4326096.28</v>
      </c>
      <c r="BV143" s="306"/>
      <c r="BW143" s="307">
        <f>IF((BU143&gt;0),(IF((BU143&gt;300000),(300000*7%),(BU143*7%))),(BQ143*1%))</f>
        <v>21000</v>
      </c>
      <c r="BX143" s="307">
        <f>IF((BU143-300000)&gt;0,(IF((BU143&gt;600000),(300000*11%),((BU143-300000)*11%))),(""))</f>
        <v>33000</v>
      </c>
      <c r="BY143" s="307">
        <f>IF(((BU143-600000)&gt;0),(IF((BU143&gt;1100000),(500000*15%),((BU143-600000)*15%))),(""))</f>
        <v>75000</v>
      </c>
      <c r="BZ143" s="307">
        <f>IF(((BU143-(1100000))&gt;0),(IF((BU143&gt;(1600000)),((500000)*19%),((BU143-(1100000))*19%))),(""))</f>
        <v>95000</v>
      </c>
      <c r="CA143" s="307">
        <f>IF(((BU143-(1600000))&gt;0),(IF((BU143&gt;(3200000)),((1600000)*21%),((BU143-(1600000))*21%))),(""))</f>
        <v>336000</v>
      </c>
      <c r="CB143" s="307">
        <f>IF(((BU143-(3200000))&gt;0),(IF((BU143&gt;(3200000)),((BU143-(3200000))*24%),(0))),(""))</f>
        <v>270263.1072</v>
      </c>
      <c r="CC143" s="305">
        <f>SUM(BW143:CB143)</f>
        <v>830263.1072</v>
      </c>
      <c r="CD143" s="320">
        <f>1%*BQ143</f>
        <v>56576.2035</v>
      </c>
      <c r="CE143" s="321">
        <f>MAX(CC143:CD143)</f>
        <v>830263.1072</v>
      </c>
      <c r="CF143" s="322">
        <f>+CE143/12</f>
        <v>69188.5922666667</v>
      </c>
      <c r="CG143" s="323"/>
      <c r="CH143" s="324"/>
      <c r="CI143" s="325"/>
      <c r="CJ143" s="326"/>
      <c r="CK143" s="1188"/>
      <c r="CL143" s="335"/>
      <c r="CN143" s="1190"/>
    </row>
    <row r="144" s="245" customFormat="1" ht="156" customHeight="1" spans="1:92">
      <c r="A144" s="1122">
        <v>141</v>
      </c>
      <c r="B144" s="70" t="s">
        <v>460</v>
      </c>
      <c r="C144" s="1123" t="s">
        <v>177</v>
      </c>
      <c r="D144" s="1088" t="s">
        <v>130</v>
      </c>
      <c r="E144" s="1088" t="s">
        <v>174</v>
      </c>
      <c r="F144" s="1124" t="s">
        <v>113</v>
      </c>
      <c r="G144" s="686" t="s">
        <v>461</v>
      </c>
      <c r="H144" s="1125">
        <v>1980666</v>
      </c>
      <c r="I144" s="1125">
        <v>2035373</v>
      </c>
      <c r="J144" s="1125">
        <v>169614.416666667</v>
      </c>
      <c r="K144" s="1125">
        <v>42403.6041666667</v>
      </c>
      <c r="L144" s="1125">
        <v>30000</v>
      </c>
      <c r="M144" s="295">
        <v>291760.83</v>
      </c>
      <c r="N144" s="295">
        <f t="shared" ref="N144" si="445">M144*0.35/3</f>
        <v>34038.7635</v>
      </c>
      <c r="O144" s="295">
        <v>5000</v>
      </c>
      <c r="P144" s="295"/>
      <c r="Q144" s="295"/>
      <c r="R144" s="295">
        <v>2500</v>
      </c>
      <c r="S144" s="295"/>
      <c r="T144" s="295"/>
      <c r="U144" s="295"/>
      <c r="V144" s="295"/>
      <c r="W144" s="295"/>
      <c r="X144" s="295"/>
      <c r="Y144" s="295"/>
      <c r="Z144" s="295">
        <v>2500</v>
      </c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1140"/>
      <c r="AM144" s="295">
        <f t="shared" si="422"/>
        <v>5835.2166</v>
      </c>
      <c r="AN144" s="295">
        <v>500</v>
      </c>
      <c r="AO144" s="295"/>
      <c r="AP144" s="295">
        <v>36667</v>
      </c>
      <c r="AQ144" s="1151"/>
      <c r="AR144" s="1151"/>
      <c r="AS144" s="1150"/>
      <c r="AT144" s="1151"/>
      <c r="AU144" s="1151"/>
      <c r="AV144" s="1151"/>
      <c r="AW144" s="1151">
        <v>1000</v>
      </c>
      <c r="AX144" s="1151"/>
      <c r="AY144" s="1161"/>
      <c r="AZ144" s="1151"/>
      <c r="BA144" s="295">
        <v>20000</v>
      </c>
      <c r="BB144" s="295"/>
      <c r="BC144" s="295">
        <v>3750</v>
      </c>
      <c r="BD144" s="295">
        <v>7500</v>
      </c>
      <c r="BE144" s="724">
        <v>1500</v>
      </c>
      <c r="BF144" s="724"/>
      <c r="BG144" s="724"/>
      <c r="BH144" s="724">
        <f t="shared" si="418"/>
        <v>6715.99187</v>
      </c>
      <c r="BI144" s="1166"/>
      <c r="BJ144" s="1166"/>
      <c r="BK144" s="724">
        <v>43580.9983746667</v>
      </c>
      <c r="BL144" s="1167">
        <f t="shared" si="423"/>
        <v>335799.5935</v>
      </c>
      <c r="BM144" s="724">
        <f t="shared" si="441"/>
        <v>127049.206844667</v>
      </c>
      <c r="BN144" s="724"/>
      <c r="BO144" s="724"/>
      <c r="BP144" s="724">
        <f t="shared" si="424"/>
        <v>208750.386655333</v>
      </c>
      <c r="BQ144" s="1174">
        <f t="shared" si="443"/>
        <v>4029595.122</v>
      </c>
      <c r="BR144" s="306">
        <f>200000+(0.2*BQ144)</f>
        <v>1005919.0244</v>
      </c>
      <c r="BS144" s="307">
        <f t="shared" si="444"/>
        <v>0</v>
      </c>
      <c r="BT144" s="308">
        <f>SUM(BR144:BS144)</f>
        <v>1005919.0244</v>
      </c>
      <c r="BU144" s="313">
        <f>+BQ144-BT144</f>
        <v>3023676.0976</v>
      </c>
      <c r="BV144" s="306"/>
      <c r="BW144" s="307">
        <f>IF((BU144&gt;0),(IF((BU144&gt;300000),(300000*7%),(BU144*7%))),(BQ144*1%))</f>
        <v>21000</v>
      </c>
      <c r="BX144" s="307">
        <f>IF((BU144-300000)&gt;0,(IF((BU144&gt;600000),(300000*11%),((BU144-300000)*11%))),(""))</f>
        <v>33000</v>
      </c>
      <c r="BY144" s="307">
        <f>IF(((BU144-600000)&gt;0),(IF((BU144&gt;1100000),(500000*15%),((BU144-600000)*15%))),(""))</f>
        <v>75000</v>
      </c>
      <c r="BZ144" s="307">
        <f>IF(((BU144-(1100000))&gt;0),(IF((BU144&gt;(1600000)),((500000)*19%),((BU144-(1100000))*19%))),(""))</f>
        <v>95000</v>
      </c>
      <c r="CA144" s="307">
        <f>IF(((BU144-(1600000))&gt;0),(IF((BU144&gt;(3200000)),((1600000)*21%),((BU144-(1600000))*21%))),(""))</f>
        <v>298971.980496</v>
      </c>
      <c r="CB144" s="307" t="str">
        <f>IF(((BU144-(3200000))&gt;0),(IF((BU144&gt;(3200000)),((BU144-(3200000))*24%),(0))),(""))</f>
        <v/>
      </c>
      <c r="CC144" s="305">
        <f>SUM(BW144:CB144)</f>
        <v>522971.980496</v>
      </c>
      <c r="CD144" s="320">
        <f>1%*BQ144</f>
        <v>40295.95122</v>
      </c>
      <c r="CE144" s="321">
        <f>MAX(CC144:CD144)</f>
        <v>522971.980496</v>
      </c>
      <c r="CF144" s="322">
        <f>+CE144/12</f>
        <v>43580.9983746667</v>
      </c>
      <c r="CG144" s="323"/>
      <c r="CH144" s="324"/>
      <c r="CI144" s="325"/>
      <c r="CJ144" s="326"/>
      <c r="CK144" s="1188"/>
      <c r="CL144" s="335"/>
      <c r="CN144" s="1190"/>
    </row>
    <row r="145" s="245" customFormat="1" ht="169" customHeight="1" spans="1:92">
      <c r="A145" s="1122">
        <v>142</v>
      </c>
      <c r="B145" s="70" t="s">
        <v>462</v>
      </c>
      <c r="C145" s="1123" t="s">
        <v>188</v>
      </c>
      <c r="D145" s="1088" t="s">
        <v>130</v>
      </c>
      <c r="E145" s="1088" t="s">
        <v>218</v>
      </c>
      <c r="F145" s="1124" t="s">
        <v>97</v>
      </c>
      <c r="G145" s="681" t="s">
        <v>463</v>
      </c>
      <c r="H145" s="1125">
        <v>2090081</v>
      </c>
      <c r="I145" s="1125">
        <v>2144788</v>
      </c>
      <c r="J145" s="1125">
        <v>178732.333333333</v>
      </c>
      <c r="K145" s="1125">
        <v>44683.0833333333</v>
      </c>
      <c r="L145" s="1125">
        <v>30000</v>
      </c>
      <c r="M145" s="295">
        <v>291760.83</v>
      </c>
      <c r="N145" s="295">
        <f t="shared" ref="N145:N169" si="446">M145*0.35/3</f>
        <v>34038.7635</v>
      </c>
      <c r="O145" s="295">
        <v>5000</v>
      </c>
      <c r="P145" s="295"/>
      <c r="Q145" s="295"/>
      <c r="R145" s="295">
        <v>2500</v>
      </c>
      <c r="S145" s="295"/>
      <c r="T145" s="295"/>
      <c r="U145" s="295"/>
      <c r="V145" s="295"/>
      <c r="W145" s="295"/>
      <c r="X145" s="295"/>
      <c r="Y145" s="295"/>
      <c r="Z145" s="295">
        <v>2500</v>
      </c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1140"/>
      <c r="AM145" s="295">
        <f t="shared" si="422"/>
        <v>5835.2166</v>
      </c>
      <c r="AN145" s="295">
        <v>500</v>
      </c>
      <c r="AO145" s="295"/>
      <c r="AP145" s="295">
        <v>30000</v>
      </c>
      <c r="AQ145" s="1149"/>
      <c r="AR145" s="1149"/>
      <c r="AS145" s="1217"/>
      <c r="AT145" s="1153"/>
      <c r="AU145" s="1149"/>
      <c r="AV145" s="1151"/>
      <c r="AW145" s="1151"/>
      <c r="AX145" s="1151">
        <v>1000</v>
      </c>
      <c r="AY145" s="1161"/>
      <c r="AZ145" s="1151"/>
      <c r="BA145" s="295">
        <v>20000</v>
      </c>
      <c r="BB145" s="295"/>
      <c r="BC145" s="295"/>
      <c r="BD145" s="295"/>
      <c r="BE145" s="724">
        <v>1500</v>
      </c>
      <c r="BF145" s="724"/>
      <c r="BG145" s="724"/>
      <c r="BH145" s="724">
        <f t="shared" si="418"/>
        <v>6715.99187</v>
      </c>
      <c r="BI145" s="1166"/>
      <c r="BJ145" s="1166"/>
      <c r="BK145" s="724">
        <v>43581</v>
      </c>
      <c r="BL145" s="1167">
        <f t="shared" si="423"/>
        <v>335799.5935</v>
      </c>
      <c r="BM145" s="724">
        <f t="shared" si="441"/>
        <v>109132.20847</v>
      </c>
      <c r="BN145" s="724"/>
      <c r="BO145" s="724"/>
      <c r="BP145" s="724">
        <f t="shared" si="424"/>
        <v>226667.38503</v>
      </c>
      <c r="BQ145" s="1174">
        <f t="shared" si="443"/>
        <v>4029595.122</v>
      </c>
      <c r="BR145" s="306">
        <f t="shared" si="372"/>
        <v>1005919.0244</v>
      </c>
      <c r="BS145" s="307">
        <f t="shared" si="444"/>
        <v>0</v>
      </c>
      <c r="BT145" s="308">
        <f t="shared" si="374"/>
        <v>1005919.0244</v>
      </c>
      <c r="BU145" s="313">
        <f t="shared" si="375"/>
        <v>3023676.0976</v>
      </c>
      <c r="BV145" s="306"/>
      <c r="BW145" s="307">
        <f t="shared" si="376"/>
        <v>21000</v>
      </c>
      <c r="BX145" s="307">
        <f t="shared" si="377"/>
        <v>33000</v>
      </c>
      <c r="BY145" s="307">
        <f t="shared" si="378"/>
        <v>75000</v>
      </c>
      <c r="BZ145" s="307">
        <f t="shared" si="379"/>
        <v>95000</v>
      </c>
      <c r="CA145" s="307">
        <f t="shared" si="380"/>
        <v>298971.980496</v>
      </c>
      <c r="CB145" s="307" t="str">
        <f t="shared" si="381"/>
        <v/>
      </c>
      <c r="CC145" s="305">
        <f t="shared" si="382"/>
        <v>522971.980496</v>
      </c>
      <c r="CD145" s="320">
        <f t="shared" si="383"/>
        <v>40295.95122</v>
      </c>
      <c r="CE145" s="321">
        <f t="shared" si="384"/>
        <v>522971.980496</v>
      </c>
      <c r="CF145" s="322">
        <f t="shared" si="427"/>
        <v>43580.9983746667</v>
      </c>
      <c r="CG145" s="323"/>
      <c r="CH145" s="324"/>
      <c r="CI145" s="325"/>
      <c r="CJ145" s="326"/>
      <c r="CK145" s="1188"/>
      <c r="CL145" s="335"/>
      <c r="CN145" s="1189"/>
    </row>
    <row r="146" s="245" customFormat="1" ht="160" customHeight="1" spans="1:92">
      <c r="A146" s="1122">
        <v>143</v>
      </c>
      <c r="B146" s="70" t="s">
        <v>464</v>
      </c>
      <c r="C146" s="1123" t="s">
        <v>185</v>
      </c>
      <c r="D146" s="1088" t="s">
        <v>125</v>
      </c>
      <c r="E146" s="1088" t="s">
        <v>465</v>
      </c>
      <c r="F146" s="1124" t="s">
        <v>135</v>
      </c>
      <c r="G146" s="686" t="s">
        <v>466</v>
      </c>
      <c r="H146" s="1125">
        <v>1925958</v>
      </c>
      <c r="I146" s="1125">
        <v>1980666</v>
      </c>
      <c r="J146" s="1125">
        <v>165055.5</v>
      </c>
      <c r="K146" s="1125">
        <v>41263.875</v>
      </c>
      <c r="L146" s="1125">
        <v>30000</v>
      </c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1140"/>
      <c r="AM146" s="295"/>
      <c r="AN146" s="295"/>
      <c r="AO146" s="295"/>
      <c r="AP146" s="295"/>
      <c r="AQ146" s="1149"/>
      <c r="AR146" s="1149"/>
      <c r="AS146" s="1150"/>
      <c r="AT146" s="1151"/>
      <c r="AU146" s="1219"/>
      <c r="AV146" s="1151"/>
      <c r="AW146" s="1149"/>
      <c r="AX146" s="1149"/>
      <c r="AY146" s="1161"/>
      <c r="AZ146" s="1149"/>
      <c r="BA146" s="295"/>
      <c r="BB146" s="295"/>
      <c r="BC146" s="295"/>
      <c r="BD146" s="295"/>
      <c r="BE146" s="724"/>
      <c r="BF146" s="724"/>
      <c r="BG146" s="724"/>
      <c r="BH146" s="724"/>
      <c r="BI146" s="1166"/>
      <c r="BJ146" s="1166"/>
      <c r="BK146" s="724"/>
      <c r="BL146" s="1167"/>
      <c r="BM146" s="724"/>
      <c r="BN146" s="724"/>
      <c r="BO146" s="724"/>
      <c r="BP146" s="724"/>
      <c r="BQ146" s="1174">
        <f t="shared" si="443"/>
        <v>0</v>
      </c>
      <c r="BR146" s="306">
        <f t="shared" si="372"/>
        <v>200000</v>
      </c>
      <c r="BS146" s="307">
        <f t="shared" si="444"/>
        <v>0</v>
      </c>
      <c r="BT146" s="308">
        <f t="shared" si="374"/>
        <v>200000</v>
      </c>
      <c r="BU146" s="313">
        <f t="shared" si="375"/>
        <v>-200000</v>
      </c>
      <c r="BV146" s="306"/>
      <c r="BW146" s="307">
        <f t="shared" si="376"/>
        <v>0</v>
      </c>
      <c r="BX146" s="307" t="str">
        <f t="shared" si="377"/>
        <v/>
      </c>
      <c r="BY146" s="307" t="str">
        <f t="shared" si="378"/>
        <v/>
      </c>
      <c r="BZ146" s="307" t="str">
        <f t="shared" si="379"/>
        <v/>
      </c>
      <c r="CA146" s="307" t="str">
        <f t="shared" si="380"/>
        <v/>
      </c>
      <c r="CB146" s="307" t="str">
        <f t="shared" si="381"/>
        <v/>
      </c>
      <c r="CC146" s="305">
        <f t="shared" si="382"/>
        <v>0</v>
      </c>
      <c r="CD146" s="320">
        <f t="shared" si="383"/>
        <v>0</v>
      </c>
      <c r="CE146" s="321">
        <f t="shared" si="384"/>
        <v>0</v>
      </c>
      <c r="CF146" s="322">
        <f t="shared" si="427"/>
        <v>0</v>
      </c>
      <c r="CG146" s="323"/>
      <c r="CH146" s="324"/>
      <c r="CI146" s="325"/>
      <c r="CJ146" s="326"/>
      <c r="CK146" s="1188"/>
      <c r="CL146" s="335"/>
      <c r="CN146" s="1190" t="s">
        <v>467</v>
      </c>
    </row>
    <row r="147" s="245" customFormat="1" ht="169" customHeight="1" spans="1:92">
      <c r="A147" s="1122">
        <v>144</v>
      </c>
      <c r="B147" s="70" t="s">
        <v>468</v>
      </c>
      <c r="C147" s="1123" t="s">
        <v>185</v>
      </c>
      <c r="D147" s="1088" t="s">
        <v>352</v>
      </c>
      <c r="E147" s="1088" t="s">
        <v>353</v>
      </c>
      <c r="F147" s="1124" t="s">
        <v>127</v>
      </c>
      <c r="G147" s="686" t="s">
        <v>469</v>
      </c>
      <c r="H147" s="1125">
        <v>1606381</v>
      </c>
      <c r="I147" s="1125">
        <v>1649159</v>
      </c>
      <c r="J147" s="1125">
        <v>137429.916666667</v>
      </c>
      <c r="K147" s="1125">
        <v>34357.4791666667</v>
      </c>
      <c r="L147" s="1125">
        <v>30000</v>
      </c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1140"/>
      <c r="AM147" s="295"/>
      <c r="AN147" s="295"/>
      <c r="AO147" s="295"/>
      <c r="AP147" s="295"/>
      <c r="AQ147" s="1149"/>
      <c r="AR147" s="1149"/>
      <c r="AS147" s="1150"/>
      <c r="AT147" s="1151"/>
      <c r="AU147" s="1149"/>
      <c r="AV147" s="1151"/>
      <c r="AW147" s="1149"/>
      <c r="AX147" s="1149"/>
      <c r="AY147" s="1161"/>
      <c r="AZ147" s="1149"/>
      <c r="BA147" s="295"/>
      <c r="BB147" s="295"/>
      <c r="BC147" s="295"/>
      <c r="BD147" s="295"/>
      <c r="BE147" s="724"/>
      <c r="BF147" s="724"/>
      <c r="BG147" s="724"/>
      <c r="BH147" s="724"/>
      <c r="BI147" s="1166"/>
      <c r="BJ147" s="1166"/>
      <c r="BK147" s="724"/>
      <c r="BL147" s="1167"/>
      <c r="BM147" s="724"/>
      <c r="BN147" s="724"/>
      <c r="BO147" s="724"/>
      <c r="BP147" s="724"/>
      <c r="BQ147" s="1174">
        <f t="shared" si="443"/>
        <v>0</v>
      </c>
      <c r="BR147" s="306">
        <f t="shared" si="372"/>
        <v>200000</v>
      </c>
      <c r="BS147" s="307">
        <f t="shared" si="444"/>
        <v>0</v>
      </c>
      <c r="BT147" s="308">
        <f t="shared" si="374"/>
        <v>200000</v>
      </c>
      <c r="BU147" s="313">
        <f t="shared" si="375"/>
        <v>-200000</v>
      </c>
      <c r="BV147" s="306"/>
      <c r="BW147" s="307">
        <f t="shared" si="376"/>
        <v>0</v>
      </c>
      <c r="BX147" s="307" t="str">
        <f t="shared" si="377"/>
        <v/>
      </c>
      <c r="BY147" s="307" t="str">
        <f t="shared" si="378"/>
        <v/>
      </c>
      <c r="BZ147" s="307" t="str">
        <f t="shared" si="379"/>
        <v/>
      </c>
      <c r="CA147" s="307" t="str">
        <f t="shared" si="380"/>
        <v/>
      </c>
      <c r="CB147" s="307" t="str">
        <f t="shared" si="381"/>
        <v/>
      </c>
      <c r="CC147" s="305">
        <f t="shared" si="382"/>
        <v>0</v>
      </c>
      <c r="CD147" s="320">
        <f t="shared" si="383"/>
        <v>0</v>
      </c>
      <c r="CE147" s="321">
        <f t="shared" si="384"/>
        <v>0</v>
      </c>
      <c r="CF147" s="322">
        <f t="shared" si="427"/>
        <v>0</v>
      </c>
      <c r="CG147" s="323"/>
      <c r="CH147" s="324"/>
      <c r="CI147" s="325"/>
      <c r="CJ147" s="326"/>
      <c r="CK147" s="1188"/>
      <c r="CL147" s="335"/>
      <c r="CN147" s="1189"/>
    </row>
    <row r="148" s="245" customFormat="1" ht="169" customHeight="1" spans="1:92">
      <c r="A148" s="1122">
        <v>145</v>
      </c>
      <c r="B148" s="70" t="s">
        <v>470</v>
      </c>
      <c r="C148" s="1123" t="s">
        <v>188</v>
      </c>
      <c r="D148" s="1088" t="s">
        <v>204</v>
      </c>
      <c r="E148" s="1088" t="s">
        <v>205</v>
      </c>
      <c r="F148" s="1124" t="s">
        <v>127</v>
      </c>
      <c r="G148" s="686" t="s">
        <v>471</v>
      </c>
      <c r="H148" s="1125">
        <v>1980666</v>
      </c>
      <c r="I148" s="1125">
        <v>2035373</v>
      </c>
      <c r="J148" s="1125">
        <v>169614.416666667</v>
      </c>
      <c r="K148" s="1125">
        <v>42403.6041666667</v>
      </c>
      <c r="L148" s="1125">
        <v>30000</v>
      </c>
      <c r="M148" s="295">
        <v>247716.75</v>
      </c>
      <c r="N148" s="295">
        <f t="shared" si="446"/>
        <v>28900.2875</v>
      </c>
      <c r="O148" s="295">
        <v>5000</v>
      </c>
      <c r="P148" s="295"/>
      <c r="Q148" s="295"/>
      <c r="R148" s="295">
        <v>2500</v>
      </c>
      <c r="S148" s="295"/>
      <c r="T148" s="295"/>
      <c r="U148" s="295"/>
      <c r="V148" s="295"/>
      <c r="W148" s="295"/>
      <c r="X148" s="295"/>
      <c r="Y148" s="295"/>
      <c r="Z148" s="295">
        <v>2500</v>
      </c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1140"/>
      <c r="AM148" s="295">
        <f t="shared" si="422"/>
        <v>4954.335</v>
      </c>
      <c r="AN148" s="295">
        <v>500</v>
      </c>
      <c r="AO148" s="295"/>
      <c r="AP148" s="295">
        <v>53750</v>
      </c>
      <c r="AQ148" s="1149"/>
      <c r="AR148" s="1149"/>
      <c r="AS148" s="1152"/>
      <c r="AT148" s="1149"/>
      <c r="AU148" s="1149"/>
      <c r="AV148" s="1151"/>
      <c r="AW148" s="1151"/>
      <c r="AX148" s="1151">
        <v>1000</v>
      </c>
      <c r="AY148" s="1161">
        <v>2000</v>
      </c>
      <c r="AZ148" s="1151"/>
      <c r="BA148" s="295">
        <v>66666.67</v>
      </c>
      <c r="BB148" s="295"/>
      <c r="BC148" s="295"/>
      <c r="BD148" s="295"/>
      <c r="BE148" s="724">
        <v>1500</v>
      </c>
      <c r="BF148" s="724"/>
      <c r="BG148" s="724"/>
      <c r="BH148" s="724">
        <f t="shared" si="418"/>
        <v>5732.34075</v>
      </c>
      <c r="BI148" s="1166"/>
      <c r="BJ148" s="1166"/>
      <c r="BK148" s="724">
        <v>35318.33</v>
      </c>
      <c r="BL148" s="1167">
        <f t="shared" si="423"/>
        <v>286617.0375</v>
      </c>
      <c r="BM148" s="724">
        <f t="shared" si="441"/>
        <v>171421.67575</v>
      </c>
      <c r="BN148" s="724"/>
      <c r="BO148" s="724"/>
      <c r="BP148" s="724">
        <f t="shared" si="424"/>
        <v>115195.36175</v>
      </c>
      <c r="BQ148" s="1174">
        <f t="shared" si="443"/>
        <v>3439404.45</v>
      </c>
      <c r="BR148" s="306">
        <f t="shared" si="372"/>
        <v>887880.89</v>
      </c>
      <c r="BS148" s="307">
        <f t="shared" si="444"/>
        <v>0</v>
      </c>
      <c r="BT148" s="308">
        <f t="shared" si="374"/>
        <v>887880.89</v>
      </c>
      <c r="BU148" s="313">
        <f t="shared" si="375"/>
        <v>2551523.56</v>
      </c>
      <c r="BV148" s="306"/>
      <c r="BW148" s="307">
        <f t="shared" si="376"/>
        <v>21000</v>
      </c>
      <c r="BX148" s="307">
        <f t="shared" si="377"/>
        <v>33000</v>
      </c>
      <c r="BY148" s="307">
        <f t="shared" si="378"/>
        <v>75000</v>
      </c>
      <c r="BZ148" s="307">
        <f t="shared" si="379"/>
        <v>95000</v>
      </c>
      <c r="CA148" s="307">
        <f t="shared" si="380"/>
        <v>199819.9476</v>
      </c>
      <c r="CB148" s="307" t="str">
        <f t="shared" si="381"/>
        <v/>
      </c>
      <c r="CC148" s="305">
        <f t="shared" si="382"/>
        <v>423819.9476</v>
      </c>
      <c r="CD148" s="320">
        <f t="shared" si="383"/>
        <v>34394.0445</v>
      </c>
      <c r="CE148" s="321">
        <f t="shared" si="384"/>
        <v>423819.9476</v>
      </c>
      <c r="CF148" s="322">
        <f t="shared" si="427"/>
        <v>35318.3289666667</v>
      </c>
      <c r="CG148" s="323"/>
      <c r="CH148" s="324"/>
      <c r="CI148" s="325"/>
      <c r="CJ148" s="326"/>
      <c r="CK148" s="1188"/>
      <c r="CL148" s="335"/>
      <c r="CN148" s="1189"/>
    </row>
    <row r="149" s="245" customFormat="1" ht="170" customHeight="1" spans="1:92">
      <c r="A149" s="1122">
        <v>146</v>
      </c>
      <c r="B149" s="70" t="s">
        <v>472</v>
      </c>
      <c r="C149" s="1123" t="s">
        <v>185</v>
      </c>
      <c r="D149" s="1088" t="s">
        <v>125</v>
      </c>
      <c r="E149" s="1088" t="s">
        <v>205</v>
      </c>
      <c r="F149" s="1124" t="s">
        <v>259</v>
      </c>
      <c r="G149" s="681">
        <v>5330199483</v>
      </c>
      <c r="H149" s="1125"/>
      <c r="I149" s="1125">
        <v>2035373</v>
      </c>
      <c r="J149" s="1125">
        <v>169614.416666667</v>
      </c>
      <c r="K149" s="1125">
        <v>42403.6041666667</v>
      </c>
      <c r="L149" s="1125">
        <v>30000</v>
      </c>
      <c r="M149" s="295">
        <v>247716.75</v>
      </c>
      <c r="N149" s="295">
        <f t="shared" ref="N149:N150" si="447">M149*0.35/3</f>
        <v>28900.2875</v>
      </c>
      <c r="O149" s="295">
        <v>5000</v>
      </c>
      <c r="P149" s="295"/>
      <c r="Q149" s="295"/>
      <c r="R149" s="295">
        <v>2500</v>
      </c>
      <c r="S149" s="295"/>
      <c r="T149" s="295"/>
      <c r="U149" s="295"/>
      <c r="V149" s="295"/>
      <c r="W149" s="295"/>
      <c r="X149" s="295"/>
      <c r="Y149" s="295"/>
      <c r="Z149" s="295">
        <v>2500</v>
      </c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1140"/>
      <c r="AM149" s="295">
        <f t="shared" si="422"/>
        <v>4954.335</v>
      </c>
      <c r="AN149" s="295">
        <v>500</v>
      </c>
      <c r="AO149" s="295"/>
      <c r="AP149" s="295"/>
      <c r="AQ149" s="1149"/>
      <c r="AR149" s="1149"/>
      <c r="AS149" s="1211">
        <v>1000</v>
      </c>
      <c r="AT149" s="1165"/>
      <c r="AU149" s="1149"/>
      <c r="AV149" s="1151"/>
      <c r="AW149" s="1151"/>
      <c r="AX149" s="1151"/>
      <c r="AY149" s="1161">
        <v>2000</v>
      </c>
      <c r="AZ149" s="1151"/>
      <c r="BA149" s="295">
        <v>0</v>
      </c>
      <c r="BB149" s="295"/>
      <c r="BC149" s="295"/>
      <c r="BD149" s="295"/>
      <c r="BE149" s="724">
        <v>1500</v>
      </c>
      <c r="BF149" s="724"/>
      <c r="BG149" s="724"/>
      <c r="BH149" s="724">
        <f t="shared" si="418"/>
        <v>5732.34075</v>
      </c>
      <c r="BI149" s="1166"/>
      <c r="BJ149" s="1166"/>
      <c r="BK149" s="724">
        <v>35318.33</v>
      </c>
      <c r="BL149" s="1167">
        <f t="shared" si="423"/>
        <v>286617.0375</v>
      </c>
      <c r="BM149" s="724">
        <f t="shared" si="441"/>
        <v>51005.00575</v>
      </c>
      <c r="BN149" s="724"/>
      <c r="BO149" s="724"/>
      <c r="BP149" s="724">
        <f t="shared" si="424"/>
        <v>235612.03175</v>
      </c>
      <c r="BQ149" s="1174">
        <f t="shared" si="443"/>
        <v>3439404.45</v>
      </c>
      <c r="BR149" s="306">
        <f t="shared" ref="BR149" si="448">200000+(0.2*BQ149)</f>
        <v>887880.89</v>
      </c>
      <c r="BS149" s="307">
        <f t="shared" si="444"/>
        <v>0</v>
      </c>
      <c r="BT149" s="308">
        <f t="shared" ref="BT149" si="449">SUM(BR149:BS149)</f>
        <v>887880.89</v>
      </c>
      <c r="BU149" s="313">
        <f t="shared" ref="BU149" si="450">+BQ149-BT149</f>
        <v>2551523.56</v>
      </c>
      <c r="BV149" s="306"/>
      <c r="BW149" s="307">
        <f t="shared" ref="BW149" si="451">IF((BU149&gt;0),(IF((BU149&gt;300000),(300000*7%),(BU149*7%))),(BQ149*1%))</f>
        <v>21000</v>
      </c>
      <c r="BX149" s="307">
        <f t="shared" ref="BX149" si="452">IF((BU149-300000)&gt;0,(IF((BU149&gt;600000),(300000*11%),((BU149-300000)*11%))),(""))</f>
        <v>33000</v>
      </c>
      <c r="BY149" s="307">
        <f t="shared" ref="BY149" si="453">IF(((BU149-600000)&gt;0),(IF((BU149&gt;1100000),(500000*15%),((BU149-600000)*15%))),(""))</f>
        <v>75000</v>
      </c>
      <c r="BZ149" s="307">
        <f t="shared" ref="BZ149" si="454">IF(((BU149-(1100000))&gt;0),(IF((BU149&gt;(1600000)),((500000)*19%),((BU149-(1100000))*19%))),(""))</f>
        <v>95000</v>
      </c>
      <c r="CA149" s="307">
        <f t="shared" ref="CA149" si="455">IF(((BU149-(1600000))&gt;0),(IF((BU149&gt;(3200000)),((1600000)*21%),((BU149-(1600000))*21%))),(""))</f>
        <v>199819.9476</v>
      </c>
      <c r="CB149" s="307" t="str">
        <f t="shared" ref="CB149" si="456">IF(((BU149-(3200000))&gt;0),(IF((BU149&gt;(3200000)),((BU149-(3200000))*24%),(0))),(""))</f>
        <v/>
      </c>
      <c r="CC149" s="305">
        <f t="shared" ref="CC149" si="457">SUM(BW149:CB149)</f>
        <v>423819.9476</v>
      </c>
      <c r="CD149" s="320">
        <f t="shared" ref="CD149" si="458">1%*BQ149</f>
        <v>34394.0445</v>
      </c>
      <c r="CE149" s="321">
        <f t="shared" ref="CE149" si="459">MAX(CC149:CD149)</f>
        <v>423819.9476</v>
      </c>
      <c r="CF149" s="322">
        <f t="shared" ref="CF149" si="460">+CE149/12</f>
        <v>35318.3289666667</v>
      </c>
      <c r="CG149" s="323"/>
      <c r="CH149" s="324"/>
      <c r="CI149" s="325"/>
      <c r="CJ149" s="326"/>
      <c r="CK149" s="1188"/>
      <c r="CL149" s="335"/>
      <c r="CN149" s="1189"/>
    </row>
    <row r="150" s="245" customFormat="1" ht="165" customHeight="1" spans="1:92">
      <c r="A150" s="1122">
        <v>147</v>
      </c>
      <c r="B150" s="70" t="s">
        <v>473</v>
      </c>
      <c r="C150" s="1123" t="s">
        <v>185</v>
      </c>
      <c r="D150" s="1088" t="s">
        <v>125</v>
      </c>
      <c r="E150" s="1088" t="s">
        <v>205</v>
      </c>
      <c r="F150" s="1124" t="s">
        <v>145</v>
      </c>
      <c r="G150" s="686" t="s">
        <v>474</v>
      </c>
      <c r="H150" s="1125"/>
      <c r="I150" s="1125">
        <v>2035373</v>
      </c>
      <c r="J150" s="1125">
        <v>169614.416666667</v>
      </c>
      <c r="K150" s="1125">
        <v>42403.6041666667</v>
      </c>
      <c r="L150" s="1125">
        <v>30000</v>
      </c>
      <c r="M150" s="295">
        <v>247716.75</v>
      </c>
      <c r="N150" s="295">
        <f t="shared" si="447"/>
        <v>28900.2875</v>
      </c>
      <c r="O150" s="295">
        <v>5000</v>
      </c>
      <c r="P150" s="295"/>
      <c r="Q150" s="295"/>
      <c r="R150" s="295">
        <v>2500</v>
      </c>
      <c r="S150" s="295"/>
      <c r="T150" s="295"/>
      <c r="U150" s="295"/>
      <c r="V150" s="295"/>
      <c r="W150" s="295"/>
      <c r="X150" s="295"/>
      <c r="Y150" s="295"/>
      <c r="Z150" s="295">
        <v>2500</v>
      </c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1140"/>
      <c r="AM150" s="295">
        <f t="shared" si="422"/>
        <v>4954.335</v>
      </c>
      <c r="AN150" s="295">
        <v>500</v>
      </c>
      <c r="AO150" s="295"/>
      <c r="AP150" s="295"/>
      <c r="AQ150" s="1149"/>
      <c r="AR150" s="1149"/>
      <c r="AS150" s="1150">
        <v>1000</v>
      </c>
      <c r="AT150" s="1151"/>
      <c r="AU150" s="1149"/>
      <c r="AV150" s="1151"/>
      <c r="AW150" s="1151"/>
      <c r="AX150" s="1151"/>
      <c r="AY150" s="1161">
        <v>2000</v>
      </c>
      <c r="AZ150" s="1151"/>
      <c r="BA150" s="295">
        <v>0</v>
      </c>
      <c r="BB150" s="295"/>
      <c r="BC150" s="295"/>
      <c r="BD150" s="295"/>
      <c r="BE150" s="724">
        <v>1500</v>
      </c>
      <c r="BF150" s="724"/>
      <c r="BG150" s="724"/>
      <c r="BH150" s="724">
        <f t="shared" si="418"/>
        <v>5732.34075</v>
      </c>
      <c r="BI150" s="1166"/>
      <c r="BJ150" s="1166"/>
      <c r="BK150" s="724">
        <v>35318.33</v>
      </c>
      <c r="BL150" s="1167">
        <f t="shared" si="423"/>
        <v>286617.0375</v>
      </c>
      <c r="BM150" s="724">
        <f t="shared" si="441"/>
        <v>51005.00575</v>
      </c>
      <c r="BN150" s="724"/>
      <c r="BO150" s="724"/>
      <c r="BP150" s="724">
        <f t="shared" si="424"/>
        <v>235612.03175</v>
      </c>
      <c r="BQ150" s="1174">
        <f t="shared" si="443"/>
        <v>3439404.45</v>
      </c>
      <c r="BR150" s="306">
        <f t="shared" ref="BR150" si="461">200000+(0.2*BQ150)</f>
        <v>887880.89</v>
      </c>
      <c r="BS150" s="307">
        <f t="shared" si="444"/>
        <v>0</v>
      </c>
      <c r="BT150" s="308">
        <f t="shared" ref="BT150" si="462">SUM(BR150:BS150)</f>
        <v>887880.89</v>
      </c>
      <c r="BU150" s="313">
        <f t="shared" ref="BU150" si="463">+BQ150-BT150</f>
        <v>2551523.56</v>
      </c>
      <c r="BV150" s="306"/>
      <c r="BW150" s="307">
        <f t="shared" ref="BW150" si="464">IF((BU150&gt;0),(IF((BU150&gt;300000),(300000*7%),(BU150*7%))),(BQ150*1%))</f>
        <v>21000</v>
      </c>
      <c r="BX150" s="307">
        <f t="shared" ref="BX150" si="465">IF((BU150-300000)&gt;0,(IF((BU150&gt;600000),(300000*11%),((BU150-300000)*11%))),(""))</f>
        <v>33000</v>
      </c>
      <c r="BY150" s="307">
        <f t="shared" ref="BY150" si="466">IF(((BU150-600000)&gt;0),(IF((BU150&gt;1100000),(500000*15%),((BU150-600000)*15%))),(""))</f>
        <v>75000</v>
      </c>
      <c r="BZ150" s="307">
        <f t="shared" ref="BZ150" si="467">IF(((BU150-(1100000))&gt;0),(IF((BU150&gt;(1600000)),((500000)*19%),((BU150-(1100000))*19%))),(""))</f>
        <v>95000</v>
      </c>
      <c r="CA150" s="307">
        <f t="shared" ref="CA150" si="468">IF(((BU150-(1600000))&gt;0),(IF((BU150&gt;(3200000)),((1600000)*21%),((BU150-(1600000))*21%))),(""))</f>
        <v>199819.9476</v>
      </c>
      <c r="CB150" s="307" t="str">
        <f t="shared" ref="CB150" si="469">IF(((BU150-(3200000))&gt;0),(IF((BU150&gt;(3200000)),((BU150-(3200000))*24%),(0))),(""))</f>
        <v/>
      </c>
      <c r="CC150" s="305">
        <f t="shared" ref="CC150" si="470">SUM(BW150:CB150)</f>
        <v>423819.9476</v>
      </c>
      <c r="CD150" s="320">
        <f t="shared" ref="CD150" si="471">1%*BQ150</f>
        <v>34394.0445</v>
      </c>
      <c r="CE150" s="321">
        <f t="shared" ref="CE150" si="472">MAX(CC150:CD150)</f>
        <v>423819.9476</v>
      </c>
      <c r="CF150" s="322">
        <f t="shared" ref="CF150" si="473">+CE150/12</f>
        <v>35318.3289666667</v>
      </c>
      <c r="CG150" s="323"/>
      <c r="CH150" s="324"/>
      <c r="CI150" s="325"/>
      <c r="CJ150" s="326"/>
      <c r="CK150" s="1188"/>
      <c r="CL150" s="335"/>
      <c r="CN150" s="1190"/>
    </row>
    <row r="151" s="245" customFormat="1" ht="156" customHeight="1" spans="1:92">
      <c r="A151" s="1122">
        <v>148</v>
      </c>
      <c r="B151" s="70" t="s">
        <v>475</v>
      </c>
      <c r="C151" s="1123" t="s">
        <v>188</v>
      </c>
      <c r="D151" s="1088" t="s">
        <v>130</v>
      </c>
      <c r="E151" s="1088" t="s">
        <v>218</v>
      </c>
      <c r="F151" s="1124" t="s">
        <v>135</v>
      </c>
      <c r="G151" s="686" t="s">
        <v>476</v>
      </c>
      <c r="H151" s="1125">
        <f>H145</f>
        <v>2090081</v>
      </c>
      <c r="I151" s="1125">
        <v>2144788</v>
      </c>
      <c r="J151" s="1125">
        <v>178732.333333333</v>
      </c>
      <c r="K151" s="1125">
        <v>44683.0833333333</v>
      </c>
      <c r="L151" s="1125">
        <v>30000</v>
      </c>
      <c r="M151" s="295">
        <v>291760.83</v>
      </c>
      <c r="N151" s="295">
        <f t="shared" si="446"/>
        <v>34038.7635</v>
      </c>
      <c r="O151" s="295">
        <v>5000</v>
      </c>
      <c r="P151" s="295"/>
      <c r="Q151" s="295"/>
      <c r="R151" s="295">
        <v>2500</v>
      </c>
      <c r="S151" s="295"/>
      <c r="T151" s="295"/>
      <c r="U151" s="295"/>
      <c r="V151" s="295"/>
      <c r="W151" s="295"/>
      <c r="X151" s="295"/>
      <c r="Y151" s="295"/>
      <c r="Z151" s="295">
        <v>2500</v>
      </c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1140"/>
      <c r="AM151" s="295">
        <f t="shared" si="422"/>
        <v>5835.2166</v>
      </c>
      <c r="AN151" s="295">
        <v>500</v>
      </c>
      <c r="AO151" s="295"/>
      <c r="AP151" s="295">
        <v>35000</v>
      </c>
      <c r="AQ151" s="1149"/>
      <c r="AR151" s="1149"/>
      <c r="AS151" s="1152"/>
      <c r="AT151" s="1149"/>
      <c r="AU151" s="1149"/>
      <c r="AV151" s="1151"/>
      <c r="AW151" s="1151"/>
      <c r="AX151" s="1151">
        <v>1000</v>
      </c>
      <c r="AY151" s="1161"/>
      <c r="AZ151" s="1151"/>
      <c r="BA151" s="295">
        <v>0</v>
      </c>
      <c r="BB151" s="295"/>
      <c r="BC151" s="295"/>
      <c r="BD151" s="295"/>
      <c r="BE151" s="724">
        <v>1500</v>
      </c>
      <c r="BF151" s="724"/>
      <c r="BG151" s="724"/>
      <c r="BH151" s="724">
        <f t="shared" si="418"/>
        <v>6715.99187</v>
      </c>
      <c r="BI151" s="1166"/>
      <c r="BJ151" s="1166"/>
      <c r="BK151" s="724">
        <v>43580.9983746667</v>
      </c>
      <c r="BL151" s="1167">
        <f t="shared" si="423"/>
        <v>335799.5935</v>
      </c>
      <c r="BM151" s="724">
        <f t="shared" si="441"/>
        <v>94132.2068446667</v>
      </c>
      <c r="BN151" s="724"/>
      <c r="BO151" s="724"/>
      <c r="BP151" s="724">
        <f t="shared" si="424"/>
        <v>241667.386655333</v>
      </c>
      <c r="BQ151" s="1174">
        <f t="shared" si="443"/>
        <v>4029595.122</v>
      </c>
      <c r="BR151" s="306">
        <f t="shared" si="372"/>
        <v>1005919.0244</v>
      </c>
      <c r="BS151" s="307">
        <f t="shared" si="444"/>
        <v>0</v>
      </c>
      <c r="BT151" s="308">
        <f t="shared" si="374"/>
        <v>1005919.0244</v>
      </c>
      <c r="BU151" s="313">
        <f t="shared" si="375"/>
        <v>3023676.0976</v>
      </c>
      <c r="BV151" s="306"/>
      <c r="BW151" s="307">
        <f t="shared" si="376"/>
        <v>21000</v>
      </c>
      <c r="BX151" s="307">
        <f t="shared" si="377"/>
        <v>33000</v>
      </c>
      <c r="BY151" s="307">
        <f t="shared" si="378"/>
        <v>75000</v>
      </c>
      <c r="BZ151" s="307">
        <f t="shared" si="379"/>
        <v>95000</v>
      </c>
      <c r="CA151" s="307">
        <f t="shared" si="380"/>
        <v>298971.980496</v>
      </c>
      <c r="CB151" s="307" t="str">
        <f t="shared" si="381"/>
        <v/>
      </c>
      <c r="CC151" s="305">
        <f t="shared" si="382"/>
        <v>522971.980496</v>
      </c>
      <c r="CD151" s="320">
        <f t="shared" si="383"/>
        <v>40295.95122</v>
      </c>
      <c r="CE151" s="321">
        <f t="shared" si="384"/>
        <v>522971.980496</v>
      </c>
      <c r="CF151" s="322">
        <f t="shared" si="427"/>
        <v>43580.9983746667</v>
      </c>
      <c r="CG151" s="323"/>
      <c r="CH151" s="324"/>
      <c r="CI151" s="325"/>
      <c r="CJ151" s="326"/>
      <c r="CK151" s="1188"/>
      <c r="CL151" s="335"/>
      <c r="CN151" s="1190"/>
    </row>
    <row r="152" s="245" customFormat="1" ht="161" customHeight="1" spans="1:92">
      <c r="A152" s="1122">
        <v>149</v>
      </c>
      <c r="B152" s="70" t="s">
        <v>477</v>
      </c>
      <c r="C152" s="1123" t="s">
        <v>118</v>
      </c>
      <c r="D152" s="1088" t="s">
        <v>352</v>
      </c>
      <c r="E152" s="1088" t="s">
        <v>353</v>
      </c>
      <c r="F152" s="1124" t="s">
        <v>113</v>
      </c>
      <c r="G152" s="686">
        <v>2108277021</v>
      </c>
      <c r="H152" s="1125">
        <v>1691938</v>
      </c>
      <c r="I152" s="1125">
        <v>1691938</v>
      </c>
      <c r="J152" s="1125">
        <v>140994.833333333</v>
      </c>
      <c r="K152" s="1125">
        <v>35248.7083333333</v>
      </c>
      <c r="L152" s="1125">
        <v>30000</v>
      </c>
      <c r="M152" s="295">
        <f t="shared" ref="M152:M159" si="474">SUM(J152:L152)</f>
        <v>206243.541666667</v>
      </c>
      <c r="N152" s="295">
        <f t="shared" si="446"/>
        <v>24061.7465277778</v>
      </c>
      <c r="O152" s="295">
        <v>5000</v>
      </c>
      <c r="P152" s="295"/>
      <c r="Q152" s="295"/>
      <c r="R152" s="295">
        <v>2500</v>
      </c>
      <c r="S152" s="295"/>
      <c r="T152" s="295"/>
      <c r="U152" s="295"/>
      <c r="V152" s="295"/>
      <c r="W152" s="295"/>
      <c r="X152" s="295"/>
      <c r="Y152" s="295"/>
      <c r="Z152" s="295">
        <v>2500</v>
      </c>
      <c r="AA152" s="295"/>
      <c r="AB152" s="295"/>
      <c r="AC152" s="295"/>
      <c r="AD152" s="295"/>
      <c r="AE152" s="295"/>
      <c r="AF152" s="295"/>
      <c r="AG152" s="295"/>
      <c r="AH152" s="295"/>
      <c r="AI152" s="295">
        <v>25000</v>
      </c>
      <c r="AJ152" s="295"/>
      <c r="AK152" s="295"/>
      <c r="AL152" s="1140"/>
      <c r="AM152" s="295">
        <f t="shared" si="422"/>
        <v>4124.87083333333</v>
      </c>
      <c r="AN152" s="295">
        <v>500</v>
      </c>
      <c r="AO152" s="295">
        <v>20000</v>
      </c>
      <c r="AP152" s="295">
        <v>75715</v>
      </c>
      <c r="AQ152" s="1149"/>
      <c r="AR152" s="1149"/>
      <c r="AS152" s="1150">
        <v>1000</v>
      </c>
      <c r="AT152" s="1151"/>
      <c r="AU152" s="1149"/>
      <c r="AV152" s="1151"/>
      <c r="AW152" s="1149"/>
      <c r="AX152" s="1149"/>
      <c r="AY152" s="1161"/>
      <c r="AZ152" s="1149"/>
      <c r="BA152" s="295">
        <v>89843.63</v>
      </c>
      <c r="BB152" s="295"/>
      <c r="BC152" s="295"/>
      <c r="BD152" s="295"/>
      <c r="BE152" s="724">
        <v>1000</v>
      </c>
      <c r="BF152" s="724"/>
      <c r="BG152" s="724"/>
      <c r="BH152" s="724">
        <f t="shared" si="418"/>
        <v>4806.10576388889</v>
      </c>
      <c r="BI152" s="1166"/>
      <c r="BJ152" s="1166"/>
      <c r="BK152" s="724">
        <v>27537.9550833333</v>
      </c>
      <c r="BL152" s="1167">
        <f t="shared" si="423"/>
        <v>240305.288194444</v>
      </c>
      <c r="BM152" s="724">
        <f t="shared" si="441"/>
        <v>229527.561680556</v>
      </c>
      <c r="BN152" s="724"/>
      <c r="BO152" s="724"/>
      <c r="BP152" s="724">
        <f t="shared" si="424"/>
        <v>10777.7265138889</v>
      </c>
      <c r="BQ152" s="1174">
        <f t="shared" si="443"/>
        <v>2883663.45833333</v>
      </c>
      <c r="BR152" s="306">
        <f t="shared" si="372"/>
        <v>776732.691666667</v>
      </c>
      <c r="BS152" s="307">
        <f t="shared" si="444"/>
        <v>0</v>
      </c>
      <c r="BT152" s="308">
        <f t="shared" si="374"/>
        <v>776732.691666667</v>
      </c>
      <c r="BU152" s="313">
        <f t="shared" si="375"/>
        <v>2106930.76666667</v>
      </c>
      <c r="BV152" s="306"/>
      <c r="BW152" s="307">
        <f t="shared" si="376"/>
        <v>21000</v>
      </c>
      <c r="BX152" s="307">
        <f t="shared" si="377"/>
        <v>33000</v>
      </c>
      <c r="BY152" s="307">
        <f t="shared" si="378"/>
        <v>75000</v>
      </c>
      <c r="BZ152" s="307">
        <f t="shared" si="379"/>
        <v>95000</v>
      </c>
      <c r="CA152" s="307">
        <f t="shared" si="380"/>
        <v>106455.461</v>
      </c>
      <c r="CB152" s="307" t="str">
        <f t="shared" si="381"/>
        <v/>
      </c>
      <c r="CC152" s="305">
        <f t="shared" si="382"/>
        <v>330455.461</v>
      </c>
      <c r="CD152" s="320">
        <f t="shared" si="383"/>
        <v>28836.6345833333</v>
      </c>
      <c r="CE152" s="321">
        <f t="shared" si="384"/>
        <v>330455.461</v>
      </c>
      <c r="CF152" s="322">
        <f t="shared" si="427"/>
        <v>27537.9550833333</v>
      </c>
      <c r="CG152" s="323"/>
      <c r="CH152" s="324"/>
      <c r="CI152" s="325"/>
      <c r="CJ152" s="326"/>
      <c r="CK152" s="1188"/>
      <c r="CL152" s="335"/>
      <c r="CN152" s="1189"/>
    </row>
    <row r="153" s="245" customFormat="1" ht="153" customHeight="1" spans="1:92">
      <c r="A153" s="1122">
        <v>150</v>
      </c>
      <c r="B153" s="70" t="s">
        <v>478</v>
      </c>
      <c r="C153" s="1123" t="s">
        <v>283</v>
      </c>
      <c r="D153" s="1088" t="s">
        <v>125</v>
      </c>
      <c r="E153" s="1088" t="s">
        <v>465</v>
      </c>
      <c r="F153" s="1124" t="s">
        <v>93</v>
      </c>
      <c r="G153" s="686">
        <v>3097503078</v>
      </c>
      <c r="H153" s="1125">
        <v>1796468</v>
      </c>
      <c r="I153" s="1125">
        <v>1846818</v>
      </c>
      <c r="J153" s="1125">
        <v>153901.5</v>
      </c>
      <c r="K153" s="1125">
        <v>38475.375</v>
      </c>
      <c r="L153" s="1125">
        <v>30000</v>
      </c>
      <c r="M153" s="295">
        <v>236319.33</v>
      </c>
      <c r="N153" s="295">
        <f t="shared" si="446"/>
        <v>27570.5885</v>
      </c>
      <c r="O153" s="295">
        <v>5000</v>
      </c>
      <c r="P153" s="295"/>
      <c r="Q153" s="295"/>
      <c r="R153" s="295">
        <v>2500</v>
      </c>
      <c r="S153" s="295"/>
      <c r="T153" s="295"/>
      <c r="U153" s="295"/>
      <c r="V153" s="295"/>
      <c r="W153" s="295"/>
      <c r="X153" s="295"/>
      <c r="Y153" s="295"/>
      <c r="Z153" s="295">
        <v>2500</v>
      </c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1140"/>
      <c r="AM153" s="295">
        <f t="shared" si="422"/>
        <v>4726.3866</v>
      </c>
      <c r="AN153" s="295">
        <v>500</v>
      </c>
      <c r="AO153" s="295"/>
      <c r="AP153" s="295"/>
      <c r="AQ153" s="1149"/>
      <c r="AR153" s="1149"/>
      <c r="AS153" s="1152"/>
      <c r="AT153" s="1149"/>
      <c r="AU153" s="1149"/>
      <c r="AV153" s="1151"/>
      <c r="AW153" s="1151">
        <v>1000</v>
      </c>
      <c r="AX153" s="1151"/>
      <c r="AY153" s="1161"/>
      <c r="AZ153" s="1151"/>
      <c r="BA153" s="295">
        <v>0</v>
      </c>
      <c r="BB153" s="295"/>
      <c r="BC153" s="295"/>
      <c r="BD153" s="295"/>
      <c r="BE153" s="724">
        <v>1000</v>
      </c>
      <c r="BF153" s="724"/>
      <c r="BG153" s="724"/>
      <c r="BH153" s="724">
        <f t="shared" si="418"/>
        <v>5477.79837</v>
      </c>
      <c r="BI153" s="1166"/>
      <c r="BJ153" s="1166"/>
      <c r="BK153" s="724">
        <v>33180.17</v>
      </c>
      <c r="BL153" s="1167">
        <f t="shared" si="423"/>
        <v>273889.9185</v>
      </c>
      <c r="BM153" s="724">
        <f t="shared" si="441"/>
        <v>45884.35497</v>
      </c>
      <c r="BN153" s="724"/>
      <c r="BO153" s="724"/>
      <c r="BP153" s="724">
        <f t="shared" si="424"/>
        <v>228005.56353</v>
      </c>
      <c r="BQ153" s="1174">
        <f t="shared" si="443"/>
        <v>3286679.022</v>
      </c>
      <c r="BR153" s="306">
        <f t="shared" si="372"/>
        <v>857335.8044</v>
      </c>
      <c r="BS153" s="307">
        <f t="shared" si="444"/>
        <v>0</v>
      </c>
      <c r="BT153" s="308">
        <f t="shared" si="374"/>
        <v>857335.8044</v>
      </c>
      <c r="BU153" s="313">
        <f t="shared" si="375"/>
        <v>2429343.2176</v>
      </c>
      <c r="BV153" s="306"/>
      <c r="BW153" s="307">
        <f t="shared" si="376"/>
        <v>21000</v>
      </c>
      <c r="BX153" s="307">
        <f t="shared" si="377"/>
        <v>33000</v>
      </c>
      <c r="BY153" s="307">
        <f t="shared" si="378"/>
        <v>75000</v>
      </c>
      <c r="BZ153" s="307">
        <f t="shared" si="379"/>
        <v>95000</v>
      </c>
      <c r="CA153" s="307">
        <f t="shared" si="380"/>
        <v>174162.075696</v>
      </c>
      <c r="CB153" s="307" t="str">
        <f t="shared" si="381"/>
        <v/>
      </c>
      <c r="CC153" s="305">
        <f t="shared" si="382"/>
        <v>398162.075696</v>
      </c>
      <c r="CD153" s="320">
        <f t="shared" si="383"/>
        <v>32866.79022</v>
      </c>
      <c r="CE153" s="321">
        <f t="shared" si="384"/>
        <v>398162.075696</v>
      </c>
      <c r="CF153" s="322">
        <f t="shared" si="427"/>
        <v>33180.1729746667</v>
      </c>
      <c r="CG153" s="323"/>
      <c r="CH153" s="324"/>
      <c r="CI153" s="325"/>
      <c r="CJ153" s="326"/>
      <c r="CK153" s="1188"/>
      <c r="CL153" s="335"/>
      <c r="CN153" s="1189"/>
    </row>
    <row r="154" s="245" customFormat="1" ht="171" customHeight="1" spans="1:92">
      <c r="A154" s="1122">
        <v>151</v>
      </c>
      <c r="B154" s="70" t="s">
        <v>479</v>
      </c>
      <c r="C154" s="1123" t="s">
        <v>254</v>
      </c>
      <c r="D154" s="1088" t="s">
        <v>352</v>
      </c>
      <c r="E154" s="1088" t="s">
        <v>353</v>
      </c>
      <c r="F154" s="1124" t="s">
        <v>127</v>
      </c>
      <c r="G154" s="686" t="s">
        <v>480</v>
      </c>
      <c r="H154" s="1125">
        <f>H152</f>
        <v>1691938</v>
      </c>
      <c r="I154" s="1125">
        <f>I155</f>
        <v>1691938</v>
      </c>
      <c r="J154" s="1125">
        <v>140994.833333333</v>
      </c>
      <c r="K154" s="1125">
        <v>35248.7083333333</v>
      </c>
      <c r="L154" s="1125">
        <v>30000</v>
      </c>
      <c r="M154" s="295">
        <f t="shared" si="474"/>
        <v>206243.541666667</v>
      </c>
      <c r="N154" s="295">
        <f t="shared" si="446"/>
        <v>24061.7465277778</v>
      </c>
      <c r="O154" s="295">
        <v>5000</v>
      </c>
      <c r="P154" s="295"/>
      <c r="Q154" s="295"/>
      <c r="R154" s="295">
        <v>2500</v>
      </c>
      <c r="S154" s="295"/>
      <c r="T154" s="295"/>
      <c r="U154" s="295"/>
      <c r="V154" s="295"/>
      <c r="W154" s="295"/>
      <c r="X154" s="295"/>
      <c r="Y154" s="295"/>
      <c r="Z154" s="295">
        <v>2500</v>
      </c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1140"/>
      <c r="AM154" s="295">
        <f t="shared" si="422"/>
        <v>4124.87083333333</v>
      </c>
      <c r="AN154" s="295">
        <v>500</v>
      </c>
      <c r="AO154" s="295"/>
      <c r="AP154" s="295"/>
      <c r="AQ154" s="1149"/>
      <c r="AR154" s="1149"/>
      <c r="AS154" s="1150">
        <v>1000</v>
      </c>
      <c r="AT154" s="1151"/>
      <c r="AU154" s="1149"/>
      <c r="AV154" s="1151"/>
      <c r="AW154" s="1149"/>
      <c r="AX154" s="1149"/>
      <c r="AY154" s="1161">
        <v>2000</v>
      </c>
      <c r="AZ154" s="1149"/>
      <c r="BA154" s="295">
        <v>0</v>
      </c>
      <c r="BB154" s="295"/>
      <c r="BC154" s="295"/>
      <c r="BD154" s="295"/>
      <c r="BE154" s="724">
        <v>1000</v>
      </c>
      <c r="BF154" s="724"/>
      <c r="BG154" s="724">
        <v>1250</v>
      </c>
      <c r="BH154" s="724">
        <f t="shared" si="418"/>
        <v>4806.10576388889</v>
      </c>
      <c r="BI154" s="1166"/>
      <c r="BJ154" s="1166"/>
      <c r="BK154" s="724">
        <v>27537.9550833333</v>
      </c>
      <c r="BL154" s="1167">
        <f t="shared" si="423"/>
        <v>240305.288194444</v>
      </c>
      <c r="BM154" s="724">
        <f t="shared" si="441"/>
        <v>42218.9316805556</v>
      </c>
      <c r="BN154" s="724"/>
      <c r="BO154" s="724"/>
      <c r="BP154" s="724">
        <f t="shared" si="424"/>
        <v>198086.356513889</v>
      </c>
      <c r="BQ154" s="1174">
        <f t="shared" si="443"/>
        <v>2883663.45833333</v>
      </c>
      <c r="BR154" s="306">
        <f t="shared" si="372"/>
        <v>776732.691666667</v>
      </c>
      <c r="BS154" s="307">
        <f t="shared" si="444"/>
        <v>0</v>
      </c>
      <c r="BT154" s="308">
        <f t="shared" si="374"/>
        <v>776732.691666667</v>
      </c>
      <c r="BU154" s="313">
        <f t="shared" si="375"/>
        <v>2106930.76666667</v>
      </c>
      <c r="BV154" s="306"/>
      <c r="BW154" s="307">
        <f t="shared" si="376"/>
        <v>21000</v>
      </c>
      <c r="BX154" s="307">
        <f t="shared" si="377"/>
        <v>33000</v>
      </c>
      <c r="BY154" s="307">
        <f t="shared" si="378"/>
        <v>75000</v>
      </c>
      <c r="BZ154" s="307">
        <f t="shared" si="379"/>
        <v>95000</v>
      </c>
      <c r="CA154" s="307">
        <f t="shared" si="380"/>
        <v>106455.461</v>
      </c>
      <c r="CB154" s="307" t="str">
        <f t="shared" si="381"/>
        <v/>
      </c>
      <c r="CC154" s="305">
        <f t="shared" si="382"/>
        <v>330455.461</v>
      </c>
      <c r="CD154" s="320">
        <f t="shared" si="383"/>
        <v>28836.6345833333</v>
      </c>
      <c r="CE154" s="321">
        <f t="shared" si="384"/>
        <v>330455.461</v>
      </c>
      <c r="CF154" s="322">
        <f t="shared" si="427"/>
        <v>27537.9550833333</v>
      </c>
      <c r="CG154" s="323"/>
      <c r="CH154" s="324"/>
      <c r="CI154" s="325"/>
      <c r="CJ154" s="326"/>
      <c r="CK154" s="1188"/>
      <c r="CL154" s="335"/>
      <c r="CN154" s="1189"/>
    </row>
    <row r="155" s="245" customFormat="1" ht="140" customHeight="1" spans="1:92">
      <c r="A155" s="1122">
        <v>152</v>
      </c>
      <c r="B155" s="70" t="s">
        <v>481</v>
      </c>
      <c r="C155" s="1123" t="s">
        <v>283</v>
      </c>
      <c r="D155" s="1088" t="s">
        <v>352</v>
      </c>
      <c r="E155" s="1088" t="s">
        <v>353</v>
      </c>
      <c r="F155" s="1124" t="s">
        <v>93</v>
      </c>
      <c r="G155" s="686">
        <v>2033940276</v>
      </c>
      <c r="H155" s="1125">
        <f>H154</f>
        <v>1691938</v>
      </c>
      <c r="I155" s="1125">
        <v>1691938</v>
      </c>
      <c r="J155" s="1125">
        <v>140994.833333333</v>
      </c>
      <c r="K155" s="1125">
        <v>35248.7083333333</v>
      </c>
      <c r="L155" s="1125">
        <v>30000</v>
      </c>
      <c r="M155" s="295">
        <f t="shared" si="474"/>
        <v>206243.541666667</v>
      </c>
      <c r="N155" s="295">
        <f t="shared" si="446"/>
        <v>24061.7465277778</v>
      </c>
      <c r="O155" s="295">
        <v>5000</v>
      </c>
      <c r="P155" s="295"/>
      <c r="Q155" s="295"/>
      <c r="R155" s="295">
        <v>2500</v>
      </c>
      <c r="S155" s="295"/>
      <c r="T155" s="295"/>
      <c r="U155" s="295"/>
      <c r="V155" s="295"/>
      <c r="W155" s="295"/>
      <c r="X155" s="295"/>
      <c r="Y155" s="295"/>
      <c r="Z155" s="295">
        <v>2500</v>
      </c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1140"/>
      <c r="AM155" s="295">
        <f t="shared" si="422"/>
        <v>4124.87083333333</v>
      </c>
      <c r="AN155" s="295">
        <v>500</v>
      </c>
      <c r="AO155" s="295"/>
      <c r="AP155" s="295">
        <v>61667</v>
      </c>
      <c r="AQ155" s="1149"/>
      <c r="AR155" s="1149"/>
      <c r="AS155" s="1152"/>
      <c r="AT155" s="1149"/>
      <c r="AU155" s="1149"/>
      <c r="AV155" s="1151"/>
      <c r="AW155" s="1151">
        <v>1000</v>
      </c>
      <c r="AX155" s="1151"/>
      <c r="AY155" s="1161"/>
      <c r="AZ155" s="1151"/>
      <c r="BA155" s="295">
        <v>50555</v>
      </c>
      <c r="BB155" s="295"/>
      <c r="BC155" s="295"/>
      <c r="BD155" s="295"/>
      <c r="BE155" s="724">
        <v>1000</v>
      </c>
      <c r="BF155" s="724"/>
      <c r="BG155" s="724"/>
      <c r="BH155" s="724">
        <f t="shared" si="418"/>
        <v>4806.10576388889</v>
      </c>
      <c r="BI155" s="1166"/>
      <c r="BJ155" s="1166"/>
      <c r="BK155" s="724">
        <v>27537.9550833333</v>
      </c>
      <c r="BL155" s="1167">
        <f t="shared" si="423"/>
        <v>240305.288194444</v>
      </c>
      <c r="BM155" s="724">
        <f t="shared" si="441"/>
        <v>151190.931680556</v>
      </c>
      <c r="BN155" s="724"/>
      <c r="BO155" s="724"/>
      <c r="BP155" s="724">
        <f t="shared" si="424"/>
        <v>89114.3565138889</v>
      </c>
      <c r="BQ155" s="1174">
        <f t="shared" si="443"/>
        <v>2883663.45833333</v>
      </c>
      <c r="BR155" s="306">
        <f t="shared" ref="BR155:BR175" si="475">200000+(0.2*BQ155)</f>
        <v>776732.691666667</v>
      </c>
      <c r="BS155" s="307">
        <f t="shared" si="444"/>
        <v>0</v>
      </c>
      <c r="BT155" s="308">
        <f t="shared" ref="BT155:BT175" si="476">SUM(BR155:BS155)</f>
        <v>776732.691666667</v>
      </c>
      <c r="BU155" s="313">
        <f t="shared" ref="BU155:BU175" si="477">+BQ155-BT155</f>
        <v>2106930.76666667</v>
      </c>
      <c r="BV155" s="306"/>
      <c r="BW155" s="307">
        <f t="shared" ref="BW155:BW175" si="478">IF((BU155&gt;0),(IF((BU155&gt;300000),(300000*7%),(BU155*7%))),(BQ155*1%))</f>
        <v>21000</v>
      </c>
      <c r="BX155" s="307">
        <f t="shared" ref="BX155:BX175" si="479">IF((BU155-300000)&gt;0,(IF((BU155&gt;600000),(300000*11%),((BU155-300000)*11%))),(""))</f>
        <v>33000</v>
      </c>
      <c r="BY155" s="307">
        <f t="shared" ref="BY155:BY175" si="480">IF(((BU155-600000)&gt;0),(IF((BU155&gt;1100000),(500000*15%),((BU155-600000)*15%))),(""))</f>
        <v>75000</v>
      </c>
      <c r="BZ155" s="307">
        <f t="shared" ref="BZ155:BZ175" si="481">IF(((BU155-(1100000))&gt;0),(IF((BU155&gt;(1600000)),((500000)*19%),((BU155-(1100000))*19%))),(""))</f>
        <v>95000</v>
      </c>
      <c r="CA155" s="307">
        <f t="shared" ref="CA155:CA175" si="482">IF(((BU155-(1600000))&gt;0),(IF((BU155&gt;(3200000)),((1600000)*21%),((BU155-(1600000))*21%))),(""))</f>
        <v>106455.461</v>
      </c>
      <c r="CB155" s="307" t="str">
        <f t="shared" ref="CB155:CB175" si="483">IF(((BU155-(3200000))&gt;0),(IF((BU155&gt;(3200000)),((BU155-(3200000))*24%),(0))),(""))</f>
        <v/>
      </c>
      <c r="CC155" s="305">
        <f t="shared" ref="CC155:CC175" si="484">SUM(BW155:CB155)</f>
        <v>330455.461</v>
      </c>
      <c r="CD155" s="320">
        <f t="shared" ref="CD155:CD175" si="485">1%*BQ155</f>
        <v>28836.6345833333</v>
      </c>
      <c r="CE155" s="321">
        <f t="shared" ref="CE155:CE175" si="486">MAX(CC155:CD155)</f>
        <v>330455.461</v>
      </c>
      <c r="CF155" s="322">
        <f t="shared" si="427"/>
        <v>27537.9550833333</v>
      </c>
      <c r="CG155" s="323"/>
      <c r="CH155" s="324"/>
      <c r="CI155" s="325"/>
      <c r="CJ155" s="326"/>
      <c r="CK155" s="1188"/>
      <c r="CL155" s="335"/>
      <c r="CN155" s="1189"/>
    </row>
    <row r="156" s="245" customFormat="1" ht="156" customHeight="1" spans="1:92">
      <c r="A156" s="1122">
        <v>153</v>
      </c>
      <c r="B156" s="70" t="s">
        <v>482</v>
      </c>
      <c r="C156" s="1123" t="s">
        <v>283</v>
      </c>
      <c r="D156" s="1088" t="s">
        <v>352</v>
      </c>
      <c r="E156" s="1088" t="s">
        <v>353</v>
      </c>
      <c r="F156" s="1124" t="s">
        <v>135</v>
      </c>
      <c r="G156" s="686" t="s">
        <v>483</v>
      </c>
      <c r="H156" s="1125"/>
      <c r="I156" s="1125">
        <v>1691938</v>
      </c>
      <c r="J156" s="1125">
        <v>140994.833333333</v>
      </c>
      <c r="K156" s="1125">
        <v>35248.7083333333</v>
      </c>
      <c r="L156" s="1125">
        <v>30000</v>
      </c>
      <c r="M156" s="295">
        <f t="shared" si="474"/>
        <v>206243.541666667</v>
      </c>
      <c r="N156" s="295">
        <f t="shared" ref="N156" si="487">M156*0.35/3</f>
        <v>24061.7465277778</v>
      </c>
      <c r="O156" s="295">
        <v>5000</v>
      </c>
      <c r="P156" s="295"/>
      <c r="Q156" s="295"/>
      <c r="R156" s="295">
        <v>2500</v>
      </c>
      <c r="S156" s="295"/>
      <c r="T156" s="295"/>
      <c r="U156" s="295"/>
      <c r="V156" s="295"/>
      <c r="W156" s="295"/>
      <c r="X156" s="295"/>
      <c r="Y156" s="295"/>
      <c r="Z156" s="295">
        <v>2500</v>
      </c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1140"/>
      <c r="AM156" s="295">
        <f t="shared" si="422"/>
        <v>4124.87083333333</v>
      </c>
      <c r="AN156" s="295">
        <v>500</v>
      </c>
      <c r="AO156" s="295"/>
      <c r="AP156" s="295"/>
      <c r="AQ156" s="1149"/>
      <c r="AR156" s="1149"/>
      <c r="AS156" s="1152"/>
      <c r="AT156" s="1149"/>
      <c r="AU156" s="1149"/>
      <c r="AV156" s="1151"/>
      <c r="AW156" s="1151">
        <v>1000</v>
      </c>
      <c r="AX156" s="1151"/>
      <c r="AY156" s="1161"/>
      <c r="AZ156" s="1151"/>
      <c r="BA156" s="295">
        <v>48572</v>
      </c>
      <c r="BB156" s="295"/>
      <c r="BC156" s="295"/>
      <c r="BD156" s="295"/>
      <c r="BE156" s="724">
        <v>1000</v>
      </c>
      <c r="BF156" s="724"/>
      <c r="BG156" s="724"/>
      <c r="BH156" s="724">
        <f t="shared" si="418"/>
        <v>4806.10576388889</v>
      </c>
      <c r="BI156" s="1166"/>
      <c r="BJ156" s="1166"/>
      <c r="BK156" s="724">
        <v>27537.9550833333</v>
      </c>
      <c r="BL156" s="1167">
        <f t="shared" si="423"/>
        <v>240305.288194444</v>
      </c>
      <c r="BM156" s="724">
        <f t="shared" si="441"/>
        <v>87540.9316805556</v>
      </c>
      <c r="BN156" s="724"/>
      <c r="BO156" s="724"/>
      <c r="BP156" s="724">
        <f t="shared" si="424"/>
        <v>152764.356513889</v>
      </c>
      <c r="BQ156" s="1174"/>
      <c r="BR156" s="306"/>
      <c r="BS156" s="307"/>
      <c r="BT156" s="308"/>
      <c r="BU156" s="313"/>
      <c r="BV156" s="306"/>
      <c r="BW156" s="307"/>
      <c r="BX156" s="307"/>
      <c r="BY156" s="307"/>
      <c r="BZ156" s="307"/>
      <c r="CA156" s="307"/>
      <c r="CB156" s="307"/>
      <c r="CC156" s="305"/>
      <c r="CD156" s="320"/>
      <c r="CE156" s="321"/>
      <c r="CF156" s="322"/>
      <c r="CG156" s="323"/>
      <c r="CH156" s="324"/>
      <c r="CI156" s="325"/>
      <c r="CJ156" s="326"/>
      <c r="CK156" s="1188"/>
      <c r="CL156" s="335"/>
      <c r="CN156" s="1189"/>
    </row>
    <row r="157" s="245" customFormat="1" ht="156" customHeight="1" spans="1:92">
      <c r="A157" s="1122">
        <v>154</v>
      </c>
      <c r="B157" s="70" t="s">
        <v>484</v>
      </c>
      <c r="C157" s="1123" t="s">
        <v>177</v>
      </c>
      <c r="D157" s="1088" t="s">
        <v>279</v>
      </c>
      <c r="E157" s="1088" t="s">
        <v>294</v>
      </c>
      <c r="F157" s="1124" t="s">
        <v>93</v>
      </c>
      <c r="G157" s="686">
        <v>2037312145</v>
      </c>
      <c r="H157" s="1125">
        <v>1925958</v>
      </c>
      <c r="I157" s="1125">
        <v>1980666</v>
      </c>
      <c r="J157" s="1125">
        <v>165055.5</v>
      </c>
      <c r="K157" s="1125">
        <v>41263.875</v>
      </c>
      <c r="L157" s="1125">
        <v>30000</v>
      </c>
      <c r="M157" s="295">
        <v>242018.08</v>
      </c>
      <c r="N157" s="295">
        <f t="shared" si="446"/>
        <v>28235.4426666667</v>
      </c>
      <c r="O157" s="295">
        <v>5000</v>
      </c>
      <c r="P157" s="295"/>
      <c r="Q157" s="295"/>
      <c r="R157" s="295">
        <v>2500</v>
      </c>
      <c r="S157" s="295"/>
      <c r="T157" s="295"/>
      <c r="U157" s="295"/>
      <c r="V157" s="295"/>
      <c r="W157" s="295"/>
      <c r="X157" s="295"/>
      <c r="Y157" s="295"/>
      <c r="Z157" s="295">
        <v>2500</v>
      </c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1140"/>
      <c r="AM157" s="295">
        <f t="shared" si="422"/>
        <v>4840.3616</v>
      </c>
      <c r="AN157" s="295">
        <v>500</v>
      </c>
      <c r="AO157" s="295"/>
      <c r="AP157" s="295"/>
      <c r="AQ157" s="1149"/>
      <c r="AR157" s="1149"/>
      <c r="AS157" s="1152"/>
      <c r="AT157" s="1149"/>
      <c r="AU157" s="1153"/>
      <c r="AV157" s="1151"/>
      <c r="AW157" s="1151">
        <v>1000</v>
      </c>
      <c r="AX157" s="1151"/>
      <c r="AY157" s="1161"/>
      <c r="AZ157" s="1151"/>
      <c r="BA157" s="295">
        <v>0</v>
      </c>
      <c r="BB157" s="295"/>
      <c r="BC157" s="295"/>
      <c r="BD157" s="295"/>
      <c r="BE157" s="724">
        <v>1500</v>
      </c>
      <c r="BF157" s="724"/>
      <c r="BG157" s="724"/>
      <c r="BH157" s="724">
        <f t="shared" si="418"/>
        <v>5605.07045333333</v>
      </c>
      <c r="BI157" s="1166"/>
      <c r="BJ157" s="1166"/>
      <c r="BK157" s="724">
        <v>34249.26</v>
      </c>
      <c r="BL157" s="1167">
        <f t="shared" si="423"/>
        <v>280253.522666667</v>
      </c>
      <c r="BM157" s="724">
        <f t="shared" si="441"/>
        <v>47694.6920533333</v>
      </c>
      <c r="BN157" s="724"/>
      <c r="BO157" s="724"/>
      <c r="BP157" s="724">
        <f t="shared" si="424"/>
        <v>232558.830613333</v>
      </c>
      <c r="BQ157" s="1174">
        <f>BL157*12</f>
        <v>3363042.272</v>
      </c>
      <c r="BR157" s="306">
        <f t="shared" si="475"/>
        <v>872608.4544</v>
      </c>
      <c r="BS157" s="307">
        <f>BI157*12</f>
        <v>0</v>
      </c>
      <c r="BT157" s="308">
        <f t="shared" si="476"/>
        <v>872608.4544</v>
      </c>
      <c r="BU157" s="313">
        <f t="shared" si="477"/>
        <v>2490433.8176</v>
      </c>
      <c r="BV157" s="306"/>
      <c r="BW157" s="307">
        <f t="shared" si="478"/>
        <v>21000</v>
      </c>
      <c r="BX157" s="307">
        <f t="shared" si="479"/>
        <v>33000</v>
      </c>
      <c r="BY157" s="307">
        <f t="shared" si="480"/>
        <v>75000</v>
      </c>
      <c r="BZ157" s="307">
        <f t="shared" si="481"/>
        <v>95000</v>
      </c>
      <c r="CA157" s="307">
        <f t="shared" si="482"/>
        <v>186991.101696</v>
      </c>
      <c r="CB157" s="307" t="str">
        <f t="shared" si="483"/>
        <v/>
      </c>
      <c r="CC157" s="305">
        <f t="shared" si="484"/>
        <v>410991.101696</v>
      </c>
      <c r="CD157" s="320">
        <f t="shared" si="485"/>
        <v>33630.42272</v>
      </c>
      <c r="CE157" s="321">
        <f t="shared" si="486"/>
        <v>410991.101696</v>
      </c>
      <c r="CF157" s="322">
        <f t="shared" si="427"/>
        <v>34249.2584746667</v>
      </c>
      <c r="CG157" s="323"/>
      <c r="CH157" s="324"/>
      <c r="CI157" s="325"/>
      <c r="CJ157" s="326"/>
      <c r="CK157" s="1188"/>
      <c r="CL157" s="335"/>
      <c r="CN157" s="1189"/>
    </row>
    <row r="158" s="245" customFormat="1" ht="160" customHeight="1" spans="1:92">
      <c r="A158" s="1122">
        <v>155</v>
      </c>
      <c r="B158" s="70" t="s">
        <v>485</v>
      </c>
      <c r="C158" s="1123" t="s">
        <v>133</v>
      </c>
      <c r="D158" s="1088" t="s">
        <v>221</v>
      </c>
      <c r="E158" s="1088" t="s">
        <v>486</v>
      </c>
      <c r="F158" s="1124" t="s">
        <v>127</v>
      </c>
      <c r="G158" s="686" t="s">
        <v>487</v>
      </c>
      <c r="H158" s="1125">
        <v>1897166</v>
      </c>
      <c r="I158" s="1125">
        <v>1947516</v>
      </c>
      <c r="J158" s="1125">
        <v>162293</v>
      </c>
      <c r="K158" s="1125">
        <v>40573.25</v>
      </c>
      <c r="L158" s="1125">
        <v>30000</v>
      </c>
      <c r="M158" s="295">
        <v>238110.92</v>
      </c>
      <c r="N158" s="295">
        <f t="shared" si="446"/>
        <v>27779.6073333333</v>
      </c>
      <c r="O158" s="295">
        <v>5000</v>
      </c>
      <c r="P158" s="295"/>
      <c r="Q158" s="295"/>
      <c r="R158" s="295">
        <v>2500</v>
      </c>
      <c r="S158" s="295"/>
      <c r="T158" s="295"/>
      <c r="U158" s="295"/>
      <c r="V158" s="295"/>
      <c r="W158" s="295"/>
      <c r="X158" s="295"/>
      <c r="Y158" s="295"/>
      <c r="Z158" s="295">
        <v>2500</v>
      </c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1140"/>
      <c r="AM158" s="295">
        <f t="shared" si="422"/>
        <v>4762.2184</v>
      </c>
      <c r="AN158" s="295">
        <v>500</v>
      </c>
      <c r="AO158" s="295"/>
      <c r="AP158" s="295"/>
      <c r="AQ158" s="1151">
        <v>1000</v>
      </c>
      <c r="AR158" s="1151"/>
      <c r="AS158" s="1150"/>
      <c r="AT158" s="1151"/>
      <c r="AU158" s="1151"/>
      <c r="AV158" s="1151"/>
      <c r="AW158" s="1151"/>
      <c r="AX158" s="1151"/>
      <c r="AY158" s="1161"/>
      <c r="AZ158" s="1151"/>
      <c r="BA158" s="295">
        <v>0</v>
      </c>
      <c r="BB158" s="295"/>
      <c r="BC158" s="295"/>
      <c r="BD158" s="295"/>
      <c r="BE158" s="724">
        <v>1000</v>
      </c>
      <c r="BF158" s="724"/>
      <c r="BG158" s="724"/>
      <c r="BH158" s="724">
        <f t="shared" si="418"/>
        <v>5517.81054666667</v>
      </c>
      <c r="BI158" s="1166"/>
      <c r="BJ158" s="1166"/>
      <c r="BK158" s="724">
        <v>33516.28</v>
      </c>
      <c r="BL158" s="1167">
        <f t="shared" si="423"/>
        <v>275890.527333333</v>
      </c>
      <c r="BM158" s="724">
        <f t="shared" si="441"/>
        <v>46296.3089466667</v>
      </c>
      <c r="BN158" s="724"/>
      <c r="BO158" s="724"/>
      <c r="BP158" s="724">
        <f t="shared" si="424"/>
        <v>229594.218386667</v>
      </c>
      <c r="BQ158" s="1174">
        <f>BL158*12</f>
        <v>3310686.328</v>
      </c>
      <c r="BR158" s="306">
        <f t="shared" si="475"/>
        <v>862137.2656</v>
      </c>
      <c r="BS158" s="307">
        <f>BI158*12</f>
        <v>0</v>
      </c>
      <c r="BT158" s="308">
        <f t="shared" si="476"/>
        <v>862137.2656</v>
      </c>
      <c r="BU158" s="313">
        <f t="shared" si="477"/>
        <v>2448549.0624</v>
      </c>
      <c r="BV158" s="306"/>
      <c r="BW158" s="307">
        <f t="shared" si="478"/>
        <v>21000</v>
      </c>
      <c r="BX158" s="307">
        <f t="shared" si="479"/>
        <v>33000</v>
      </c>
      <c r="BY158" s="307">
        <f t="shared" si="480"/>
        <v>75000</v>
      </c>
      <c r="BZ158" s="307">
        <f t="shared" si="481"/>
        <v>95000</v>
      </c>
      <c r="CA158" s="307">
        <f t="shared" si="482"/>
        <v>178195.303104</v>
      </c>
      <c r="CB158" s="307" t="str">
        <f t="shared" si="483"/>
        <v/>
      </c>
      <c r="CC158" s="305">
        <f t="shared" si="484"/>
        <v>402195.303104</v>
      </c>
      <c r="CD158" s="320">
        <f t="shared" si="485"/>
        <v>33106.86328</v>
      </c>
      <c r="CE158" s="321">
        <f t="shared" si="486"/>
        <v>402195.303104</v>
      </c>
      <c r="CF158" s="322">
        <f t="shared" si="427"/>
        <v>33516.2752586667</v>
      </c>
      <c r="CG158" s="323"/>
      <c r="CH158" s="324"/>
      <c r="CI158" s="325"/>
      <c r="CJ158" s="326"/>
      <c r="CK158" s="1188"/>
      <c r="CL158" s="335"/>
      <c r="CN158" s="1189"/>
    </row>
    <row r="159" s="245" customFormat="1" ht="156" customHeight="1" spans="1:92">
      <c r="A159" s="1122">
        <v>156</v>
      </c>
      <c r="B159" s="70" t="s">
        <v>488</v>
      </c>
      <c r="C159" s="1123" t="s">
        <v>133</v>
      </c>
      <c r="D159" s="1088" t="s">
        <v>352</v>
      </c>
      <c r="E159" s="1088" t="s">
        <v>353</v>
      </c>
      <c r="F159" s="1124" t="s">
        <v>122</v>
      </c>
      <c r="G159" s="686" t="s">
        <v>489</v>
      </c>
      <c r="H159" s="1125">
        <f>H155</f>
        <v>1691938</v>
      </c>
      <c r="I159" s="1125">
        <v>1691938</v>
      </c>
      <c r="J159" s="1125">
        <v>140994.833333333</v>
      </c>
      <c r="K159" s="1125">
        <v>35248.7083333333</v>
      </c>
      <c r="L159" s="1125">
        <v>30000</v>
      </c>
      <c r="M159" s="295">
        <f t="shared" si="474"/>
        <v>206243.541666667</v>
      </c>
      <c r="N159" s="295">
        <f t="shared" si="446"/>
        <v>24061.7465277778</v>
      </c>
      <c r="O159" s="295">
        <v>5000</v>
      </c>
      <c r="P159" s="295"/>
      <c r="Q159" s="295"/>
      <c r="R159" s="295">
        <v>2500</v>
      </c>
      <c r="S159" s="295"/>
      <c r="T159" s="295"/>
      <c r="U159" s="295"/>
      <c r="V159" s="295"/>
      <c r="W159" s="295"/>
      <c r="X159" s="295"/>
      <c r="Y159" s="295"/>
      <c r="Z159" s="295">
        <v>2500</v>
      </c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1140"/>
      <c r="AM159" s="295">
        <f t="shared" si="422"/>
        <v>4124.87083333333</v>
      </c>
      <c r="AN159" s="295">
        <v>500</v>
      </c>
      <c r="AO159" s="295"/>
      <c r="AP159" s="295">
        <v>60000</v>
      </c>
      <c r="AQ159" s="1151">
        <v>1000</v>
      </c>
      <c r="AR159" s="1151"/>
      <c r="AS159" s="1150"/>
      <c r="AT159" s="1151"/>
      <c r="AU159" s="1151"/>
      <c r="AV159" s="1151"/>
      <c r="AW159" s="1151"/>
      <c r="AX159" s="1151"/>
      <c r="AY159" s="1161"/>
      <c r="AZ159" s="1151"/>
      <c r="BA159" s="295">
        <v>30000</v>
      </c>
      <c r="BB159" s="295"/>
      <c r="BC159" s="295"/>
      <c r="BD159" s="295"/>
      <c r="BE159" s="724">
        <v>1000</v>
      </c>
      <c r="BF159" s="724"/>
      <c r="BG159" s="724"/>
      <c r="BH159" s="724">
        <f t="shared" si="418"/>
        <v>4806.10576388889</v>
      </c>
      <c r="BI159" s="1166"/>
      <c r="BJ159" s="1166"/>
      <c r="BK159" s="724">
        <v>27537.9550833333</v>
      </c>
      <c r="BL159" s="1167">
        <f t="shared" si="423"/>
        <v>240305.288194444</v>
      </c>
      <c r="BM159" s="724">
        <f t="shared" si="441"/>
        <v>128968.931680556</v>
      </c>
      <c r="BN159" s="724"/>
      <c r="BO159" s="724"/>
      <c r="BP159" s="724">
        <f t="shared" si="424"/>
        <v>111336.356513889</v>
      </c>
      <c r="BQ159" s="1174">
        <f>BL159*12</f>
        <v>2883663.45833333</v>
      </c>
      <c r="BR159" s="306">
        <f t="shared" si="475"/>
        <v>776732.691666667</v>
      </c>
      <c r="BS159" s="307">
        <f>BI159*12</f>
        <v>0</v>
      </c>
      <c r="BT159" s="308">
        <f t="shared" si="476"/>
        <v>776732.691666667</v>
      </c>
      <c r="BU159" s="313">
        <f t="shared" si="477"/>
        <v>2106930.76666667</v>
      </c>
      <c r="BV159" s="306"/>
      <c r="BW159" s="307">
        <f t="shared" si="478"/>
        <v>21000</v>
      </c>
      <c r="BX159" s="307">
        <f t="shared" si="479"/>
        <v>33000</v>
      </c>
      <c r="BY159" s="307">
        <f t="shared" si="480"/>
        <v>75000</v>
      </c>
      <c r="BZ159" s="307">
        <f t="shared" si="481"/>
        <v>95000</v>
      </c>
      <c r="CA159" s="307">
        <f t="shared" si="482"/>
        <v>106455.461</v>
      </c>
      <c r="CB159" s="307" t="str">
        <f t="shared" si="483"/>
        <v/>
      </c>
      <c r="CC159" s="305">
        <f t="shared" si="484"/>
        <v>330455.461</v>
      </c>
      <c r="CD159" s="320">
        <f t="shared" si="485"/>
        <v>28836.6345833333</v>
      </c>
      <c r="CE159" s="321">
        <f t="shared" si="486"/>
        <v>330455.461</v>
      </c>
      <c r="CF159" s="322">
        <f t="shared" si="427"/>
        <v>27537.9550833333</v>
      </c>
      <c r="CG159" s="323"/>
      <c r="CH159" s="324"/>
      <c r="CI159" s="325"/>
      <c r="CJ159" s="326"/>
      <c r="CK159" s="1188"/>
      <c r="CL159" s="335"/>
      <c r="CN159" s="1189"/>
    </row>
    <row r="160" s="245" customFormat="1" ht="156" customHeight="1" spans="1:92">
      <c r="A160" s="1122">
        <v>157</v>
      </c>
      <c r="B160" s="70" t="s">
        <v>490</v>
      </c>
      <c r="C160" s="1123" t="s">
        <v>118</v>
      </c>
      <c r="D160" s="1088" t="s">
        <v>204</v>
      </c>
      <c r="E160" s="1088" t="s">
        <v>465</v>
      </c>
      <c r="F160" s="1124" t="s">
        <v>127</v>
      </c>
      <c r="G160" s="686" t="s">
        <v>491</v>
      </c>
      <c r="H160" s="1125">
        <v>1846818</v>
      </c>
      <c r="I160" s="1125">
        <v>2425322</v>
      </c>
      <c r="J160" s="1125">
        <v>160496.5</v>
      </c>
      <c r="K160" s="1125">
        <v>40124.125</v>
      </c>
      <c r="L160" s="1125">
        <v>30000</v>
      </c>
      <c r="M160" s="295">
        <v>236319.33</v>
      </c>
      <c r="N160" s="295">
        <f t="shared" si="446"/>
        <v>27570.5885</v>
      </c>
      <c r="O160" s="295">
        <v>5000</v>
      </c>
      <c r="P160" s="295"/>
      <c r="Q160" s="295"/>
      <c r="R160" s="295">
        <v>2500</v>
      </c>
      <c r="S160" s="295"/>
      <c r="T160" s="295"/>
      <c r="U160" s="295"/>
      <c r="V160" s="295"/>
      <c r="W160" s="295"/>
      <c r="X160" s="295"/>
      <c r="Y160" s="295"/>
      <c r="Z160" s="295">
        <v>2500</v>
      </c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1140"/>
      <c r="AM160" s="295">
        <f t="shared" si="422"/>
        <v>4726.3866</v>
      </c>
      <c r="AN160" s="295">
        <v>500</v>
      </c>
      <c r="AO160" s="295"/>
      <c r="AP160" s="295">
        <v>55875</v>
      </c>
      <c r="AQ160" s="1149"/>
      <c r="AR160" s="1149"/>
      <c r="AS160" s="1150">
        <v>1000</v>
      </c>
      <c r="AT160" s="1151"/>
      <c r="AU160" s="1149"/>
      <c r="AV160" s="1151"/>
      <c r="AW160" s="1149"/>
      <c r="AX160" s="1149"/>
      <c r="AY160" s="1161">
        <v>2000</v>
      </c>
      <c r="AZ160" s="1149"/>
      <c r="BA160" s="295">
        <v>50000</v>
      </c>
      <c r="BB160" s="295"/>
      <c r="BC160" s="295"/>
      <c r="BD160" s="295"/>
      <c r="BE160" s="724">
        <v>1000</v>
      </c>
      <c r="BF160" s="724"/>
      <c r="BG160" s="724"/>
      <c r="BH160" s="724">
        <f t="shared" si="418"/>
        <v>5477.79837</v>
      </c>
      <c r="BI160" s="1166"/>
      <c r="BJ160" s="1166"/>
      <c r="BK160" s="724">
        <v>33180.17</v>
      </c>
      <c r="BL160" s="1167">
        <f t="shared" si="423"/>
        <v>273889.9185</v>
      </c>
      <c r="BM160" s="724">
        <f t="shared" si="441"/>
        <v>153759.35497</v>
      </c>
      <c r="BN160" s="724"/>
      <c r="BO160" s="724"/>
      <c r="BP160" s="724">
        <f t="shared" si="424"/>
        <v>120130.56353</v>
      </c>
      <c r="BQ160" s="1174">
        <f>BL160*12</f>
        <v>3286679.022</v>
      </c>
      <c r="BR160" s="306">
        <f t="shared" si="475"/>
        <v>857335.8044</v>
      </c>
      <c r="BS160" s="307">
        <f>BI160*12</f>
        <v>0</v>
      </c>
      <c r="BT160" s="308">
        <f t="shared" si="476"/>
        <v>857335.8044</v>
      </c>
      <c r="BU160" s="313">
        <f t="shared" si="477"/>
        <v>2429343.2176</v>
      </c>
      <c r="BV160" s="306"/>
      <c r="BW160" s="307">
        <f t="shared" si="478"/>
        <v>21000</v>
      </c>
      <c r="BX160" s="307">
        <f t="shared" si="479"/>
        <v>33000</v>
      </c>
      <c r="BY160" s="307">
        <f t="shared" si="480"/>
        <v>75000</v>
      </c>
      <c r="BZ160" s="307">
        <f t="shared" si="481"/>
        <v>95000</v>
      </c>
      <c r="CA160" s="307">
        <f t="shared" si="482"/>
        <v>174162.075696</v>
      </c>
      <c r="CB160" s="307" t="str">
        <f t="shared" si="483"/>
        <v/>
      </c>
      <c r="CC160" s="305">
        <f t="shared" si="484"/>
        <v>398162.075696</v>
      </c>
      <c r="CD160" s="320">
        <f t="shared" si="485"/>
        <v>32866.79022</v>
      </c>
      <c r="CE160" s="321">
        <f t="shared" si="486"/>
        <v>398162.075696</v>
      </c>
      <c r="CF160" s="322">
        <f t="shared" si="427"/>
        <v>33180.1729746667</v>
      </c>
      <c r="CG160" s="323"/>
      <c r="CH160" s="324"/>
      <c r="CI160" s="325"/>
      <c r="CJ160" s="326"/>
      <c r="CK160" s="1188"/>
      <c r="CL160" s="335"/>
      <c r="CN160" s="1189"/>
    </row>
    <row r="161" s="245" customFormat="1" ht="156" customHeight="1" spans="1:92">
      <c r="A161" s="1122">
        <v>158</v>
      </c>
      <c r="B161" s="70" t="s">
        <v>492</v>
      </c>
      <c r="C161" s="1123" t="s">
        <v>51</v>
      </c>
      <c r="D161" s="1088" t="s">
        <v>221</v>
      </c>
      <c r="E161" s="1088" t="s">
        <v>196</v>
      </c>
      <c r="F161" s="1124" t="s">
        <v>97</v>
      </c>
      <c r="G161" s="681" t="s">
        <v>493</v>
      </c>
      <c r="H161" s="1125"/>
      <c r="I161" s="1125">
        <v>1796468</v>
      </c>
      <c r="J161" s="1125">
        <v>149705.666666667</v>
      </c>
      <c r="K161" s="1125">
        <v>37426.4166666667</v>
      </c>
      <c r="L161" s="1125">
        <v>30000</v>
      </c>
      <c r="M161" s="295">
        <v>222376.83</v>
      </c>
      <c r="N161" s="295">
        <f t="shared" ref="N161" si="488">M161*0.35/3</f>
        <v>25943.9635</v>
      </c>
      <c r="O161" s="295">
        <v>5000</v>
      </c>
      <c r="P161" s="295"/>
      <c r="Q161" s="295"/>
      <c r="R161" s="295">
        <v>2500</v>
      </c>
      <c r="S161" s="295"/>
      <c r="T161" s="295"/>
      <c r="U161" s="295"/>
      <c r="V161" s="295"/>
      <c r="W161" s="295"/>
      <c r="X161" s="295"/>
      <c r="Y161" s="295"/>
      <c r="Z161" s="295">
        <v>2500</v>
      </c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1140"/>
      <c r="AM161" s="295">
        <f t="shared" si="422"/>
        <v>4447.5366</v>
      </c>
      <c r="AN161" s="295">
        <v>500</v>
      </c>
      <c r="AO161" s="295"/>
      <c r="AP161" s="295"/>
      <c r="AQ161" s="1149"/>
      <c r="AR161" s="1149"/>
      <c r="AS161" s="1150"/>
      <c r="AT161" s="1151"/>
      <c r="AU161" s="1149"/>
      <c r="AV161" s="1151"/>
      <c r="AW161" s="1151"/>
      <c r="AX161" s="1151">
        <v>1000</v>
      </c>
      <c r="AY161" s="1161"/>
      <c r="AZ161" s="1151">
        <v>1000</v>
      </c>
      <c r="BA161" s="295">
        <v>0</v>
      </c>
      <c r="BB161" s="295"/>
      <c r="BC161" s="295"/>
      <c r="BD161" s="295"/>
      <c r="BE161" s="724">
        <v>1000</v>
      </c>
      <c r="BF161" s="724">
        <v>1000</v>
      </c>
      <c r="BG161" s="724"/>
      <c r="BH161" s="724">
        <f t="shared" si="418"/>
        <v>5166.41587</v>
      </c>
      <c r="BI161" s="1166"/>
      <c r="BJ161" s="1166"/>
      <c r="BK161" s="724">
        <v>30564.56</v>
      </c>
      <c r="BL161" s="1167">
        <f t="shared" si="423"/>
        <v>258320.7935</v>
      </c>
      <c r="BM161" s="724">
        <v>44678.51</v>
      </c>
      <c r="BN161" s="724"/>
      <c r="BO161" s="724"/>
      <c r="BP161" s="724">
        <f t="shared" si="424"/>
        <v>213642.2835</v>
      </c>
      <c r="BQ161" s="1174">
        <f>BL161*12</f>
        <v>3099849.522</v>
      </c>
      <c r="BR161" s="306">
        <f t="shared" ref="BR161" si="489">200000+(0.2*BQ161)</f>
        <v>819969.9044</v>
      </c>
      <c r="BS161" s="307">
        <f>BI161*12</f>
        <v>0</v>
      </c>
      <c r="BT161" s="308">
        <f t="shared" ref="BT161" si="490">SUM(BR161:BS161)</f>
        <v>819969.9044</v>
      </c>
      <c r="BU161" s="313">
        <f t="shared" ref="BU161" si="491">+BQ161-BT161</f>
        <v>2279879.6176</v>
      </c>
      <c r="BV161" s="306"/>
      <c r="BW161" s="307">
        <f t="shared" ref="BW161" si="492">IF((BU161&gt;0),(IF((BU161&gt;300000),(300000*7%),(BU161*7%))),(BQ161*1%))</f>
        <v>21000</v>
      </c>
      <c r="BX161" s="307">
        <f t="shared" ref="BX161" si="493">IF((BU161-300000)&gt;0,(IF((BU161&gt;600000),(300000*11%),((BU161-300000)*11%))),(""))</f>
        <v>33000</v>
      </c>
      <c r="BY161" s="307">
        <f t="shared" ref="BY161" si="494">IF(((BU161-600000)&gt;0),(IF((BU161&gt;1100000),(500000*15%),((BU161-600000)*15%))),(""))</f>
        <v>75000</v>
      </c>
      <c r="BZ161" s="307">
        <f t="shared" ref="BZ161" si="495">IF(((BU161-(1100000))&gt;0),(IF((BU161&gt;(1600000)),((500000)*19%),((BU161-(1100000))*19%))),(""))</f>
        <v>95000</v>
      </c>
      <c r="CA161" s="307">
        <f t="shared" ref="CA161" si="496">IF(((BU161-(1600000))&gt;0),(IF((BU161&gt;(3200000)),((1600000)*21%),((BU161-(1600000))*21%))),(""))</f>
        <v>142774.719696</v>
      </c>
      <c r="CB161" s="307" t="str">
        <f t="shared" ref="CB161" si="497">IF(((BU161-(3200000))&gt;0),(IF((BU161&gt;(3200000)),((BU161-(3200000))*24%),(0))),(""))</f>
        <v/>
      </c>
      <c r="CC161" s="305">
        <f t="shared" ref="CC161" si="498">SUM(BW161:CB161)</f>
        <v>366774.719696</v>
      </c>
      <c r="CD161" s="320">
        <f t="shared" ref="CD161" si="499">1%*BQ161</f>
        <v>30998.49522</v>
      </c>
      <c r="CE161" s="321">
        <f t="shared" ref="CE161" si="500">MAX(CC161:CD161)</f>
        <v>366774.719696</v>
      </c>
      <c r="CF161" s="322">
        <f t="shared" ref="CF161" si="501">+CE161/12</f>
        <v>30564.5599746667</v>
      </c>
      <c r="CG161" s="323"/>
      <c r="CH161" s="324"/>
      <c r="CI161" s="325"/>
      <c r="CJ161" s="326"/>
      <c r="CK161" s="1188"/>
      <c r="CL161" s="335"/>
      <c r="CN161" s="1189"/>
    </row>
    <row r="162" s="245" customFormat="1" ht="170" customHeight="1" spans="1:92">
      <c r="A162" s="1122">
        <v>159</v>
      </c>
      <c r="B162" s="70" t="s">
        <v>494</v>
      </c>
      <c r="C162" s="1123" t="s">
        <v>164</v>
      </c>
      <c r="D162" s="1088" t="s">
        <v>221</v>
      </c>
      <c r="E162" s="1088" t="s">
        <v>495</v>
      </c>
      <c r="F162" s="1124" t="s">
        <v>127</v>
      </c>
      <c r="G162" s="686" t="s">
        <v>496</v>
      </c>
      <c r="H162" s="1125"/>
      <c r="I162" s="1125">
        <v>1695770</v>
      </c>
      <c r="J162" s="1125">
        <v>141314.166666667</v>
      </c>
      <c r="K162" s="1125">
        <v>35328.5416666667</v>
      </c>
      <c r="L162" s="1125">
        <v>30000</v>
      </c>
      <c r="M162" s="295">
        <v>211887.25</v>
      </c>
      <c r="N162" s="295">
        <f t="shared" ref="N162" si="502">M162*0.35/3</f>
        <v>24720.1791666667</v>
      </c>
      <c r="O162" s="295">
        <v>5000</v>
      </c>
      <c r="P162" s="295"/>
      <c r="Q162" s="295"/>
      <c r="R162" s="295">
        <v>2500</v>
      </c>
      <c r="S162" s="295"/>
      <c r="T162" s="295"/>
      <c r="U162" s="295"/>
      <c r="V162" s="295"/>
      <c r="W162" s="295"/>
      <c r="X162" s="295"/>
      <c r="Y162" s="295"/>
      <c r="Z162" s="295">
        <v>2500</v>
      </c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1140"/>
      <c r="AM162" s="295">
        <f t="shared" ref="AM162:AM223" si="503">M162*0.02</f>
        <v>4237.745</v>
      </c>
      <c r="AN162" s="295">
        <v>500</v>
      </c>
      <c r="AO162" s="295"/>
      <c r="AP162" s="295"/>
      <c r="AQ162" s="1149"/>
      <c r="AR162" s="1149"/>
      <c r="AS162" s="1150"/>
      <c r="AT162" s="1151"/>
      <c r="AU162" s="1153"/>
      <c r="AV162" s="1151"/>
      <c r="AW162" s="1149"/>
      <c r="AX162" s="1149"/>
      <c r="AY162" s="1161"/>
      <c r="AZ162" s="1149"/>
      <c r="BA162" s="295">
        <v>0</v>
      </c>
      <c r="BB162" s="295"/>
      <c r="BC162" s="295"/>
      <c r="BD162" s="295"/>
      <c r="BE162" s="724">
        <v>1000</v>
      </c>
      <c r="BF162" s="724"/>
      <c r="BG162" s="724"/>
      <c r="BH162" s="724">
        <f t="shared" si="418"/>
        <v>4932.14858333333</v>
      </c>
      <c r="BI162" s="1166"/>
      <c r="BJ162" s="1166"/>
      <c r="BK162" s="724">
        <v>28596.71</v>
      </c>
      <c r="BL162" s="1167">
        <f t="shared" si="423"/>
        <v>246607.429166667</v>
      </c>
      <c r="BM162" s="724">
        <f t="shared" si="441"/>
        <v>39266.6035833333</v>
      </c>
      <c r="BN162" s="724"/>
      <c r="BO162" s="724"/>
      <c r="BP162" s="724">
        <f t="shared" si="424"/>
        <v>207340.825583333</v>
      </c>
      <c r="BQ162" s="1174"/>
      <c r="BR162" s="306"/>
      <c r="BS162" s="307"/>
      <c r="BT162" s="308"/>
      <c r="BU162" s="313"/>
      <c r="BV162" s="306"/>
      <c r="BW162" s="307"/>
      <c r="BX162" s="307"/>
      <c r="BY162" s="307"/>
      <c r="BZ162" s="307"/>
      <c r="CA162" s="307"/>
      <c r="CB162" s="307"/>
      <c r="CC162" s="305"/>
      <c r="CD162" s="320"/>
      <c r="CE162" s="321"/>
      <c r="CF162" s="322"/>
      <c r="CG162" s="323"/>
      <c r="CH162" s="324"/>
      <c r="CI162" s="325"/>
      <c r="CJ162" s="326"/>
      <c r="CK162" s="1188"/>
      <c r="CL162" s="335"/>
      <c r="CN162" s="1190"/>
    </row>
    <row r="163" s="245" customFormat="1" ht="170" customHeight="1" spans="1:92">
      <c r="A163" s="1122">
        <v>160</v>
      </c>
      <c r="B163" s="70" t="s">
        <v>497</v>
      </c>
      <c r="C163" s="1122" t="s">
        <v>194</v>
      </c>
      <c r="D163" s="1088" t="s">
        <v>352</v>
      </c>
      <c r="E163" s="1088" t="s">
        <v>498</v>
      </c>
      <c r="F163" s="1124" t="s">
        <v>135</v>
      </c>
      <c r="G163" s="686" t="s">
        <v>499</v>
      </c>
      <c r="H163" s="1125">
        <v>1563603</v>
      </c>
      <c r="I163" s="1125">
        <v>1563603</v>
      </c>
      <c r="J163" s="1125">
        <v>130300.25</v>
      </c>
      <c r="K163" s="1125">
        <v>32575.0625</v>
      </c>
      <c r="L163" s="1125">
        <v>30000</v>
      </c>
      <c r="M163" s="295">
        <v>197331.33</v>
      </c>
      <c r="N163" s="295">
        <f t="shared" ref="N163" si="504">M163*0.35/3</f>
        <v>23021.9885</v>
      </c>
      <c r="O163" s="295">
        <v>5000</v>
      </c>
      <c r="P163" s="295"/>
      <c r="Q163" s="295"/>
      <c r="R163" s="295">
        <v>2500</v>
      </c>
      <c r="S163" s="295"/>
      <c r="T163" s="295"/>
      <c r="U163" s="295"/>
      <c r="V163" s="295"/>
      <c r="W163" s="295"/>
      <c r="X163" s="295"/>
      <c r="Y163" s="295"/>
      <c r="Z163" s="295">
        <v>2500</v>
      </c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1140"/>
      <c r="AM163" s="295">
        <f t="shared" si="503"/>
        <v>3946.6266</v>
      </c>
      <c r="AN163" s="295">
        <v>500</v>
      </c>
      <c r="AO163" s="295"/>
      <c r="AP163" s="295"/>
      <c r="AQ163" s="1149"/>
      <c r="AR163" s="1149"/>
      <c r="AS163" s="1152"/>
      <c r="AT163" s="1149"/>
      <c r="AU163" s="1149"/>
      <c r="AV163" s="1151"/>
      <c r="AW163" s="1149"/>
      <c r="AX163" s="1149"/>
      <c r="AY163" s="1161">
        <v>2000</v>
      </c>
      <c r="AZ163" s="1149"/>
      <c r="BA163" s="295">
        <v>10000</v>
      </c>
      <c r="BB163" s="295"/>
      <c r="BC163" s="295"/>
      <c r="BD163" s="295"/>
      <c r="BE163" s="724">
        <v>1000</v>
      </c>
      <c r="BF163" s="724"/>
      <c r="BG163" s="724"/>
      <c r="BH163" s="724">
        <f t="shared" si="418"/>
        <v>4607.06637</v>
      </c>
      <c r="BI163" s="1166"/>
      <c r="BJ163" s="1166"/>
      <c r="BK163" s="724">
        <v>25866.02</v>
      </c>
      <c r="BL163" s="1167">
        <f t="shared" si="423"/>
        <v>230353.3185</v>
      </c>
      <c r="BM163" s="724">
        <f t="shared" si="441"/>
        <v>47919.71297</v>
      </c>
      <c r="BN163" s="724"/>
      <c r="BO163" s="724"/>
      <c r="BP163" s="724">
        <f t="shared" si="424"/>
        <v>182433.60553</v>
      </c>
      <c r="BQ163" s="1174">
        <f>BL163*12</f>
        <v>2764239.822</v>
      </c>
      <c r="BR163" s="306">
        <f t="shared" ref="BR163" si="505">200000+(0.2*BQ163)</f>
        <v>752847.9644</v>
      </c>
      <c r="BS163" s="307">
        <f>BI163*12</f>
        <v>0</v>
      </c>
      <c r="BT163" s="308">
        <f t="shared" ref="BT163" si="506">SUM(BR163:BS163)</f>
        <v>752847.9644</v>
      </c>
      <c r="BU163" s="313">
        <f t="shared" ref="BU163" si="507">+BQ163-BT163</f>
        <v>2011391.8576</v>
      </c>
      <c r="BV163" s="306"/>
      <c r="BW163" s="307">
        <f t="shared" ref="BW163" si="508">IF((BU163&gt;0),(IF((BU163&gt;300000),(300000*7%),(BU163*7%))),(BQ163*1%))</f>
        <v>21000</v>
      </c>
      <c r="BX163" s="307">
        <f t="shared" ref="BX163" si="509">IF((BU163-300000)&gt;0,(IF((BU163&gt;600000),(300000*11%),((BU163-300000)*11%))),(""))</f>
        <v>33000</v>
      </c>
      <c r="BY163" s="307">
        <f t="shared" ref="BY163" si="510">IF(((BU163-600000)&gt;0),(IF((BU163&gt;1100000),(500000*15%),((BU163-600000)*15%))),(""))</f>
        <v>75000</v>
      </c>
      <c r="BZ163" s="307">
        <f t="shared" ref="BZ163" si="511">IF(((BU163-(1100000))&gt;0),(IF((BU163&gt;(1600000)),((500000)*19%),((BU163-(1100000))*19%))),(""))</f>
        <v>95000</v>
      </c>
      <c r="CA163" s="307">
        <f t="shared" ref="CA163" si="512">IF(((BU163-(1600000))&gt;0),(IF((BU163&gt;(3200000)),((1600000)*21%),((BU163-(1600000))*21%))),(""))</f>
        <v>86392.2900959999</v>
      </c>
      <c r="CB163" s="307" t="str">
        <f t="shared" ref="CB163" si="513">IF(((BU163-(3200000))&gt;0),(IF((BU163&gt;(3200000)),((BU163-(3200000))*24%),(0))),(""))</f>
        <v/>
      </c>
      <c r="CC163" s="305">
        <f t="shared" ref="CC163" si="514">SUM(BW163:CB163)</f>
        <v>310392.290096</v>
      </c>
      <c r="CD163" s="320">
        <f t="shared" ref="CD163" si="515">1%*BQ163</f>
        <v>27642.39822</v>
      </c>
      <c r="CE163" s="321">
        <f t="shared" ref="CE163" si="516">MAX(CC163:CD163)</f>
        <v>310392.290096</v>
      </c>
      <c r="CF163" s="322">
        <f t="shared" ref="CF163" si="517">+CE163/12</f>
        <v>25866.0241746667</v>
      </c>
      <c r="CG163" s="323"/>
      <c r="CH163" s="324"/>
      <c r="CI163" s="325"/>
      <c r="CJ163" s="326"/>
      <c r="CK163" s="1188"/>
      <c r="CL163" s="335"/>
      <c r="CN163" s="1189"/>
    </row>
    <row r="164" s="245" customFormat="1" ht="185.25" customHeight="1" spans="1:92">
      <c r="A164" s="1122">
        <v>161</v>
      </c>
      <c r="B164" s="70" t="s">
        <v>500</v>
      </c>
      <c r="C164" s="1122" t="s">
        <v>241</v>
      </c>
      <c r="D164" s="1088" t="s">
        <v>352</v>
      </c>
      <c r="E164" s="1088" t="s">
        <v>498</v>
      </c>
      <c r="F164" s="1124" t="s">
        <v>135</v>
      </c>
      <c r="G164" s="686" t="s">
        <v>501</v>
      </c>
      <c r="H164" s="1125">
        <v>1520821</v>
      </c>
      <c r="I164" s="1125">
        <v>1563603</v>
      </c>
      <c r="J164" s="1125">
        <v>130300.25</v>
      </c>
      <c r="K164" s="1125">
        <v>32575.0625</v>
      </c>
      <c r="L164" s="1125">
        <v>30000</v>
      </c>
      <c r="M164" s="295">
        <v>197331.33</v>
      </c>
      <c r="N164" s="295">
        <f t="shared" ref="N164:N166" si="518">M164*0.35/3</f>
        <v>23021.9885</v>
      </c>
      <c r="O164" s="295">
        <v>5000</v>
      </c>
      <c r="P164" s="295"/>
      <c r="Q164" s="295"/>
      <c r="R164" s="295">
        <v>2500</v>
      </c>
      <c r="S164" s="295"/>
      <c r="T164" s="295"/>
      <c r="U164" s="295"/>
      <c r="V164" s="295"/>
      <c r="W164" s="295"/>
      <c r="X164" s="295"/>
      <c r="Y164" s="295"/>
      <c r="Z164" s="295">
        <v>2500</v>
      </c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1140"/>
      <c r="AM164" s="295">
        <f t="shared" si="503"/>
        <v>3946.6266</v>
      </c>
      <c r="AN164" s="295">
        <v>500</v>
      </c>
      <c r="AO164" s="295"/>
      <c r="AP164" s="295"/>
      <c r="AQ164" s="1149"/>
      <c r="AR164" s="1149"/>
      <c r="AS164" s="1152"/>
      <c r="AT164" s="1149"/>
      <c r="AU164" s="1149"/>
      <c r="AV164" s="1151"/>
      <c r="AW164" s="1149"/>
      <c r="AX164" s="1149"/>
      <c r="AY164" s="1161">
        <v>2000</v>
      </c>
      <c r="AZ164" s="1149"/>
      <c r="BA164" s="295">
        <v>0</v>
      </c>
      <c r="BB164" s="295"/>
      <c r="BC164" s="295"/>
      <c r="BD164" s="295"/>
      <c r="BE164" s="724">
        <v>1000</v>
      </c>
      <c r="BF164" s="724"/>
      <c r="BG164" s="724"/>
      <c r="BH164" s="724">
        <f t="shared" si="418"/>
        <v>4607.06637</v>
      </c>
      <c r="BI164" s="1166"/>
      <c r="BJ164" s="1166"/>
      <c r="BK164" s="724">
        <v>25866.02</v>
      </c>
      <c r="BL164" s="1167">
        <f t="shared" si="423"/>
        <v>230353.3185</v>
      </c>
      <c r="BM164" s="724">
        <f t="shared" si="441"/>
        <v>37919.71297</v>
      </c>
      <c r="BN164" s="724"/>
      <c r="BO164" s="724"/>
      <c r="BP164" s="724">
        <f t="shared" si="424"/>
        <v>192433.60553</v>
      </c>
      <c r="BQ164" s="1174">
        <f>BL164*12</f>
        <v>2764239.822</v>
      </c>
      <c r="BR164" s="306">
        <f t="shared" ref="BR164" si="519">200000+(0.2*BQ164)</f>
        <v>752847.9644</v>
      </c>
      <c r="BS164" s="307">
        <f>BI164*12</f>
        <v>0</v>
      </c>
      <c r="BT164" s="308">
        <f t="shared" ref="BT164" si="520">SUM(BR164:BS164)</f>
        <v>752847.9644</v>
      </c>
      <c r="BU164" s="313">
        <f t="shared" ref="BU164" si="521">+BQ164-BT164</f>
        <v>2011391.8576</v>
      </c>
      <c r="BV164" s="306"/>
      <c r="BW164" s="307">
        <f t="shared" ref="BW164" si="522">IF((BU164&gt;0),(IF((BU164&gt;300000),(300000*7%),(BU164*7%))),(BQ164*1%))</f>
        <v>21000</v>
      </c>
      <c r="BX164" s="307">
        <f t="shared" ref="BX164" si="523">IF((BU164-300000)&gt;0,(IF((BU164&gt;600000),(300000*11%),((BU164-300000)*11%))),(""))</f>
        <v>33000</v>
      </c>
      <c r="BY164" s="307">
        <f t="shared" ref="BY164" si="524">IF(((BU164-600000)&gt;0),(IF((BU164&gt;1100000),(500000*15%),((BU164-600000)*15%))),(""))</f>
        <v>75000</v>
      </c>
      <c r="BZ164" s="307">
        <f t="shared" ref="BZ164" si="525">IF(((BU164-(1100000))&gt;0),(IF((BU164&gt;(1600000)),((500000)*19%),((BU164-(1100000))*19%))),(""))</f>
        <v>95000</v>
      </c>
      <c r="CA164" s="307">
        <f t="shared" ref="CA164" si="526">IF(((BU164-(1600000))&gt;0),(IF((BU164&gt;(3200000)),((1600000)*21%),((BU164-(1600000))*21%))),(""))</f>
        <v>86392.2900959999</v>
      </c>
      <c r="CB164" s="307" t="str">
        <f t="shared" ref="CB164" si="527">IF(((BU164-(3200000))&gt;0),(IF((BU164&gt;(3200000)),((BU164-(3200000))*24%),(0))),(""))</f>
        <v/>
      </c>
      <c r="CC164" s="305">
        <f t="shared" ref="CC164" si="528">SUM(BW164:CB164)</f>
        <v>310392.290096</v>
      </c>
      <c r="CD164" s="320">
        <f t="shared" ref="CD164" si="529">1%*BQ164</f>
        <v>27642.39822</v>
      </c>
      <c r="CE164" s="321">
        <f t="shared" ref="CE164" si="530">MAX(CC164:CD164)</f>
        <v>310392.290096</v>
      </c>
      <c r="CF164" s="322">
        <f t="shared" ref="CF164" si="531">+CE164/12</f>
        <v>25866.0241746667</v>
      </c>
      <c r="CG164" s="323"/>
      <c r="CH164" s="324"/>
      <c r="CI164" s="325"/>
      <c r="CJ164" s="326"/>
      <c r="CK164" s="1188"/>
      <c r="CL164" s="335"/>
      <c r="CN164" s="1189"/>
    </row>
    <row r="165" s="245" customFormat="1" ht="156" customHeight="1" spans="1:92">
      <c r="A165" s="1122">
        <v>162</v>
      </c>
      <c r="B165" s="70" t="s">
        <v>502</v>
      </c>
      <c r="C165" s="1123" t="s">
        <v>275</v>
      </c>
      <c r="D165" s="1088" t="s">
        <v>503</v>
      </c>
      <c r="E165" s="1088" t="s">
        <v>199</v>
      </c>
      <c r="F165" s="1124" t="s">
        <v>93</v>
      </c>
      <c r="G165" s="686">
        <v>3129136519</v>
      </c>
      <c r="H165" s="1125"/>
      <c r="I165" s="1125"/>
      <c r="J165" s="1125">
        <v>140994.833333333</v>
      </c>
      <c r="K165" s="1125">
        <v>35248.7083333333</v>
      </c>
      <c r="L165" s="1125">
        <v>30000</v>
      </c>
      <c r="M165" s="295">
        <v>192875.31</v>
      </c>
      <c r="N165" s="295">
        <f t="shared" si="518"/>
        <v>22502.1195</v>
      </c>
      <c r="O165" s="295">
        <v>5000</v>
      </c>
      <c r="P165" s="295"/>
      <c r="Q165" s="295"/>
      <c r="R165" s="295">
        <v>2500</v>
      </c>
      <c r="S165" s="295"/>
      <c r="T165" s="295"/>
      <c r="U165" s="295"/>
      <c r="V165" s="295"/>
      <c r="W165" s="295"/>
      <c r="X165" s="295"/>
      <c r="Y165" s="295"/>
      <c r="Z165" s="295">
        <v>2500</v>
      </c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1140"/>
      <c r="AM165" s="295">
        <f t="shared" si="503"/>
        <v>3857.5062</v>
      </c>
      <c r="AN165" s="295">
        <v>500</v>
      </c>
      <c r="AO165" s="295"/>
      <c r="AP165" s="295"/>
      <c r="AQ165" s="1149"/>
      <c r="AR165" s="1149"/>
      <c r="AS165" s="1152"/>
      <c r="AT165" s="1149"/>
      <c r="AU165" s="1149"/>
      <c r="AV165" s="1151">
        <v>5000</v>
      </c>
      <c r="AW165" s="1151"/>
      <c r="AX165" s="1151">
        <v>1000</v>
      </c>
      <c r="AY165" s="1161">
        <v>2000</v>
      </c>
      <c r="AZ165" s="1151"/>
      <c r="BA165" s="295">
        <v>10000</v>
      </c>
      <c r="BB165" s="295"/>
      <c r="BC165" s="295"/>
      <c r="BD165" s="295"/>
      <c r="BE165" s="724">
        <v>1000</v>
      </c>
      <c r="BF165" s="724"/>
      <c r="BG165" s="724"/>
      <c r="BH165" s="724">
        <f t="shared" si="418"/>
        <v>4507.54859</v>
      </c>
      <c r="BI165" s="1166"/>
      <c r="BJ165" s="1166"/>
      <c r="BK165" s="724">
        <v>25030.06</v>
      </c>
      <c r="BL165" s="1167">
        <f t="shared" si="423"/>
        <v>225377.4295</v>
      </c>
      <c r="BM165" s="724">
        <f t="shared" si="441"/>
        <v>52895.11479</v>
      </c>
      <c r="BN165" s="724"/>
      <c r="BO165" s="724"/>
      <c r="BP165" s="724">
        <f t="shared" si="424"/>
        <v>172482.31471</v>
      </c>
      <c r="BQ165" s="1174"/>
      <c r="BR165" s="306"/>
      <c r="BS165" s="307"/>
      <c r="BT165" s="308"/>
      <c r="BU165" s="313"/>
      <c r="BV165" s="306"/>
      <c r="BW165" s="307"/>
      <c r="BX165" s="307"/>
      <c r="BY165" s="307"/>
      <c r="BZ165" s="307"/>
      <c r="CA165" s="307"/>
      <c r="CB165" s="307"/>
      <c r="CC165" s="305"/>
      <c r="CD165" s="320"/>
      <c r="CE165" s="321"/>
      <c r="CF165" s="322"/>
      <c r="CG165" s="323"/>
      <c r="CH165" s="324"/>
      <c r="CI165" s="325"/>
      <c r="CJ165" s="326"/>
      <c r="CK165" s="1188"/>
      <c r="CL165" s="335"/>
      <c r="CN165" s="1189"/>
    </row>
    <row r="166" s="245" customFormat="1" ht="156" customHeight="1" spans="1:92">
      <c r="A166" s="1122">
        <v>163</v>
      </c>
      <c r="B166" s="70" t="s">
        <v>504</v>
      </c>
      <c r="C166" s="1123" t="s">
        <v>505</v>
      </c>
      <c r="D166" s="1088" t="s">
        <v>503</v>
      </c>
      <c r="E166" s="1088" t="s">
        <v>199</v>
      </c>
      <c r="F166" s="1124" t="s">
        <v>113</v>
      </c>
      <c r="G166" s="686" t="s">
        <v>506</v>
      </c>
      <c r="H166" s="1125"/>
      <c r="I166" s="1125"/>
      <c r="J166" s="1125"/>
      <c r="K166" s="1125"/>
      <c r="L166" s="1125"/>
      <c r="M166" s="295">
        <v>192875.25</v>
      </c>
      <c r="N166" s="295">
        <f t="shared" si="518"/>
        <v>22502.1125</v>
      </c>
      <c r="O166" s="295">
        <v>5000</v>
      </c>
      <c r="P166" s="295"/>
      <c r="Q166" s="295"/>
      <c r="R166" s="295">
        <v>2500</v>
      </c>
      <c r="S166" s="295"/>
      <c r="T166" s="295"/>
      <c r="U166" s="295"/>
      <c r="V166" s="295"/>
      <c r="W166" s="295"/>
      <c r="X166" s="295"/>
      <c r="Y166" s="295"/>
      <c r="Z166" s="295">
        <v>2500</v>
      </c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1140"/>
      <c r="AM166" s="295">
        <f t="shared" si="503"/>
        <v>3857.505</v>
      </c>
      <c r="AN166" s="295">
        <v>500</v>
      </c>
      <c r="AO166" s="295"/>
      <c r="AP166" s="295"/>
      <c r="AQ166" s="1151">
        <v>1000</v>
      </c>
      <c r="AR166" s="1149"/>
      <c r="AS166" s="1152"/>
      <c r="AT166" s="1149"/>
      <c r="AU166" s="1149"/>
      <c r="AV166" s="1151"/>
      <c r="AW166" s="1151"/>
      <c r="AX166" s="1151"/>
      <c r="AY166" s="1161">
        <v>2000</v>
      </c>
      <c r="AZ166" s="1151"/>
      <c r="BA166" s="295">
        <v>50000</v>
      </c>
      <c r="BB166" s="295"/>
      <c r="BC166" s="295"/>
      <c r="BD166" s="295"/>
      <c r="BE166" s="724">
        <v>1000</v>
      </c>
      <c r="BF166" s="724"/>
      <c r="BG166" s="724"/>
      <c r="BH166" s="724">
        <f t="shared" ref="BH166" si="532">BL166*0.02</f>
        <v>4507.54725</v>
      </c>
      <c r="BI166" s="1166"/>
      <c r="BJ166" s="1166"/>
      <c r="BK166" s="724">
        <v>25030.06</v>
      </c>
      <c r="BL166" s="1167">
        <f t="shared" ref="BL166:BL173" si="533">M166+N166+O166+P166+R166+S166+T166+U166+V166+W166+Y166+Z166+AA166</f>
        <v>225377.3625</v>
      </c>
      <c r="BM166" s="724">
        <f t="shared" si="441"/>
        <v>87895.11225</v>
      </c>
      <c r="BN166" s="724"/>
      <c r="BO166" s="724"/>
      <c r="BP166" s="724">
        <f t="shared" si="424"/>
        <v>137482.25025</v>
      </c>
      <c r="BQ166" s="1174"/>
      <c r="BR166" s="306"/>
      <c r="BS166" s="307"/>
      <c r="BT166" s="308"/>
      <c r="BU166" s="313"/>
      <c r="BV166" s="306"/>
      <c r="BW166" s="307"/>
      <c r="BX166" s="307"/>
      <c r="BY166" s="307"/>
      <c r="BZ166" s="307"/>
      <c r="CA166" s="307"/>
      <c r="CB166" s="307"/>
      <c r="CC166" s="305"/>
      <c r="CD166" s="320"/>
      <c r="CE166" s="321"/>
      <c r="CF166" s="322"/>
      <c r="CG166" s="323"/>
      <c r="CH166" s="324"/>
      <c r="CI166" s="325"/>
      <c r="CJ166" s="326"/>
      <c r="CK166" s="1188"/>
      <c r="CL166" s="335"/>
      <c r="CN166" s="1346"/>
    </row>
    <row r="167" s="245" customFormat="1" ht="156" customHeight="1" spans="1:92">
      <c r="A167" s="1122">
        <v>164</v>
      </c>
      <c r="B167" s="70" t="s">
        <v>507</v>
      </c>
      <c r="C167" s="1123" t="s">
        <v>275</v>
      </c>
      <c r="D167" s="1088" t="s">
        <v>204</v>
      </c>
      <c r="E167" s="1088" t="s">
        <v>465</v>
      </c>
      <c r="F167" s="1124" t="s">
        <v>113</v>
      </c>
      <c r="G167" s="686">
        <v>2080682242</v>
      </c>
      <c r="H167" s="1125">
        <v>1796468</v>
      </c>
      <c r="I167" s="1125">
        <v>1846818</v>
      </c>
      <c r="J167" s="1125">
        <v>153901.5</v>
      </c>
      <c r="K167" s="1125">
        <v>38475.375</v>
      </c>
      <c r="L167" s="1125">
        <v>30000</v>
      </c>
      <c r="M167" s="295">
        <v>236319.33</v>
      </c>
      <c r="N167" s="295">
        <f t="shared" si="446"/>
        <v>27570.5885</v>
      </c>
      <c r="O167" s="295">
        <v>5000</v>
      </c>
      <c r="P167" s="295"/>
      <c r="Q167" s="295"/>
      <c r="R167" s="295">
        <v>2500</v>
      </c>
      <c r="S167" s="295"/>
      <c r="T167" s="295"/>
      <c r="U167" s="295"/>
      <c r="V167" s="295"/>
      <c r="W167" s="295"/>
      <c r="X167" s="295"/>
      <c r="Y167" s="295"/>
      <c r="Z167" s="295">
        <v>2500</v>
      </c>
      <c r="AA167" s="295"/>
      <c r="AB167" s="295"/>
      <c r="AC167" s="295"/>
      <c r="AD167" s="295"/>
      <c r="AE167" s="295"/>
      <c r="AF167" s="295"/>
      <c r="AG167" s="295"/>
      <c r="AH167" s="295"/>
      <c r="AI167" s="295">
        <v>50000</v>
      </c>
      <c r="AJ167" s="295"/>
      <c r="AK167" s="295"/>
      <c r="AL167" s="1140"/>
      <c r="AM167" s="295">
        <f t="shared" si="503"/>
        <v>4726.3866</v>
      </c>
      <c r="AN167" s="295">
        <v>500</v>
      </c>
      <c r="AO167" s="295"/>
      <c r="AP167" s="295"/>
      <c r="AQ167" s="1149"/>
      <c r="AR167" s="1149"/>
      <c r="AS167" s="1152"/>
      <c r="AT167" s="1149"/>
      <c r="AU167" s="1149"/>
      <c r="AV167" s="1151">
        <v>10000</v>
      </c>
      <c r="AW167" s="1151"/>
      <c r="AX167" s="1151">
        <v>1000</v>
      </c>
      <c r="AY167" s="1161">
        <v>2000</v>
      </c>
      <c r="AZ167" s="1151"/>
      <c r="BA167" s="295">
        <v>137500</v>
      </c>
      <c r="BB167" s="295"/>
      <c r="BC167" s="295"/>
      <c r="BD167" s="295"/>
      <c r="BE167" s="724">
        <v>1000</v>
      </c>
      <c r="BF167" s="724"/>
      <c r="BG167" s="724"/>
      <c r="BH167" s="724">
        <f t="shared" si="418"/>
        <v>5477.79837</v>
      </c>
      <c r="BI167" s="1166"/>
      <c r="BJ167" s="1166"/>
      <c r="BK167" s="724">
        <v>33180.17</v>
      </c>
      <c r="BL167" s="1167">
        <f t="shared" si="533"/>
        <v>273889.9185</v>
      </c>
      <c r="BM167" s="724">
        <f t="shared" si="441"/>
        <v>245384.35497</v>
      </c>
      <c r="BN167" s="724"/>
      <c r="BO167" s="724"/>
      <c r="BP167" s="724">
        <f t="shared" si="424"/>
        <v>28505.56353</v>
      </c>
      <c r="BQ167" s="1174">
        <f>BL167*12</f>
        <v>3286679.022</v>
      </c>
      <c r="BR167" s="306">
        <f t="shared" si="475"/>
        <v>857335.8044</v>
      </c>
      <c r="BS167" s="307">
        <f>BI167*12</f>
        <v>0</v>
      </c>
      <c r="BT167" s="308">
        <f t="shared" si="476"/>
        <v>857335.8044</v>
      </c>
      <c r="BU167" s="313">
        <f t="shared" si="477"/>
        <v>2429343.2176</v>
      </c>
      <c r="BV167" s="306"/>
      <c r="BW167" s="307">
        <f t="shared" si="478"/>
        <v>21000</v>
      </c>
      <c r="BX167" s="307">
        <f t="shared" si="479"/>
        <v>33000</v>
      </c>
      <c r="BY167" s="307">
        <f t="shared" si="480"/>
        <v>75000</v>
      </c>
      <c r="BZ167" s="307">
        <f t="shared" si="481"/>
        <v>95000</v>
      </c>
      <c r="CA167" s="307">
        <f t="shared" si="482"/>
        <v>174162.075696</v>
      </c>
      <c r="CB167" s="307" t="str">
        <f t="shared" si="483"/>
        <v/>
      </c>
      <c r="CC167" s="305">
        <f t="shared" si="484"/>
        <v>398162.075696</v>
      </c>
      <c r="CD167" s="320">
        <f t="shared" si="485"/>
        <v>32866.79022</v>
      </c>
      <c r="CE167" s="321">
        <f t="shared" si="486"/>
        <v>398162.075696</v>
      </c>
      <c r="CF167" s="322">
        <f t="shared" si="427"/>
        <v>33180.1729746667</v>
      </c>
      <c r="CG167" s="323"/>
      <c r="CH167" s="324"/>
      <c r="CI167" s="325"/>
      <c r="CJ167" s="326"/>
      <c r="CK167" s="1188"/>
      <c r="CL167" s="335"/>
      <c r="CN167" s="1189"/>
    </row>
    <row r="168" s="245" customFormat="1" ht="166" customHeight="1" spans="1:92">
      <c r="A168" s="1122">
        <v>165</v>
      </c>
      <c r="B168" s="70" t="s">
        <v>508</v>
      </c>
      <c r="C168" s="1123" t="s">
        <v>177</v>
      </c>
      <c r="D168" s="1088" t="s">
        <v>363</v>
      </c>
      <c r="E168" s="1088" t="s">
        <v>208</v>
      </c>
      <c r="F168" s="1124" t="s">
        <v>157</v>
      </c>
      <c r="G168" s="686" t="s">
        <v>509</v>
      </c>
      <c r="H168" s="1125">
        <f>M168*12</f>
        <v>1452108.48</v>
      </c>
      <c r="I168" s="1125"/>
      <c r="J168" s="1125">
        <v>84807.42</v>
      </c>
      <c r="K168" s="1125">
        <v>21201.855</v>
      </c>
      <c r="L168" s="1125">
        <v>30000</v>
      </c>
      <c r="M168" s="295">
        <v>121009.04</v>
      </c>
      <c r="N168" s="295">
        <f t="shared" si="446"/>
        <v>14117.7213333333</v>
      </c>
      <c r="O168" s="295"/>
      <c r="P168" s="295"/>
      <c r="Q168" s="295"/>
      <c r="R168" s="295">
        <v>2500</v>
      </c>
      <c r="S168" s="295"/>
      <c r="T168" s="295"/>
      <c r="U168" s="295"/>
      <c r="V168" s="295"/>
      <c r="W168" s="295"/>
      <c r="X168" s="295"/>
      <c r="Y168" s="295"/>
      <c r="Z168" s="295">
        <v>2500</v>
      </c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1140"/>
      <c r="AM168" s="295">
        <f t="shared" si="503"/>
        <v>2420.1808</v>
      </c>
      <c r="AN168" s="295">
        <v>500</v>
      </c>
      <c r="AO168" s="295"/>
      <c r="AP168" s="295"/>
      <c r="AQ168" s="1149"/>
      <c r="AR168" s="1149"/>
      <c r="AS168" s="1152"/>
      <c r="AT168" s="1149"/>
      <c r="AU168" s="1149"/>
      <c r="AV168" s="1151"/>
      <c r="AW168" s="1151">
        <v>1000</v>
      </c>
      <c r="AX168" s="1151"/>
      <c r="AY168" s="1161"/>
      <c r="AZ168" s="1151"/>
      <c r="BA168" s="295">
        <v>0</v>
      </c>
      <c r="BB168" s="295"/>
      <c r="BC168" s="295"/>
      <c r="BD168" s="295"/>
      <c r="BE168" s="724">
        <v>500</v>
      </c>
      <c r="BF168" s="724"/>
      <c r="BG168" s="724"/>
      <c r="BH168" s="724">
        <f t="shared" si="418"/>
        <v>2802.53522666667</v>
      </c>
      <c r="BI168" s="1166"/>
      <c r="BJ168" s="1166"/>
      <c r="BK168" s="724">
        <v>11465.9343893333</v>
      </c>
      <c r="BL168" s="1167">
        <f t="shared" si="533"/>
        <v>140126.761333333</v>
      </c>
      <c r="BM168" s="724">
        <f t="shared" si="441"/>
        <v>18688.650416</v>
      </c>
      <c r="BN168" s="724"/>
      <c r="BO168" s="724"/>
      <c r="BP168" s="724">
        <f t="shared" si="424"/>
        <v>121438.110917333</v>
      </c>
      <c r="BQ168" s="1174">
        <f>BL168*12</f>
        <v>1681521.136</v>
      </c>
      <c r="BR168" s="306">
        <f t="shared" ref="BR168" si="534">200000+(0.2*BQ168)</f>
        <v>536304.2272</v>
      </c>
      <c r="BS168" s="307">
        <f>BI168*12</f>
        <v>0</v>
      </c>
      <c r="BT168" s="308">
        <f t="shared" ref="BT168" si="535">SUM(BR168:BS168)</f>
        <v>536304.2272</v>
      </c>
      <c r="BU168" s="313">
        <f t="shared" ref="BU168" si="536">+BQ168-BT168</f>
        <v>1145216.9088</v>
      </c>
      <c r="BV168" s="306"/>
      <c r="BW168" s="307">
        <f t="shared" ref="BW168" si="537">IF((BU168&gt;0),(IF((BU168&gt;300000),(300000*7%),(BU168*7%))),(BQ168*1%))</f>
        <v>21000</v>
      </c>
      <c r="BX168" s="307">
        <f t="shared" ref="BX168" si="538">IF((BU168-300000)&gt;0,(IF((BU168&gt;600000),(300000*11%),((BU168-300000)*11%))),(""))</f>
        <v>33000</v>
      </c>
      <c r="BY168" s="307">
        <f t="shared" ref="BY168" si="539">IF(((BU168-600000)&gt;0),(IF((BU168&gt;1100000),(500000*15%),((BU168-600000)*15%))),(""))</f>
        <v>75000</v>
      </c>
      <c r="BZ168" s="307">
        <f t="shared" ref="BZ168" si="540">IF(((BU168-(1100000))&gt;0),(IF((BU168&gt;(1600000)),((500000)*19%),((BU168-(1100000))*19%))),(""))</f>
        <v>8591.21267199997</v>
      </c>
      <c r="CA168" s="307" t="str">
        <f t="shared" ref="CA168" si="541">IF(((BU168-(1600000))&gt;0),(IF((BU168&gt;(3200000)),((1600000)*21%),((BU168-(1600000))*21%))),(""))</f>
        <v/>
      </c>
      <c r="CB168" s="307" t="str">
        <f t="shared" ref="CB168" si="542">IF(((BU168-(3200000))&gt;0),(IF((BU168&gt;(3200000)),((BU168-(3200000))*24%),(0))),(""))</f>
        <v/>
      </c>
      <c r="CC168" s="305">
        <f t="shared" ref="CC168" si="543">SUM(BW168:CB168)</f>
        <v>137591.212672</v>
      </c>
      <c r="CD168" s="320">
        <f t="shared" ref="CD168" si="544">1%*BQ168</f>
        <v>16815.21136</v>
      </c>
      <c r="CE168" s="321">
        <f t="shared" ref="CE168" si="545">MAX(CC168:CD168)</f>
        <v>137591.212672</v>
      </c>
      <c r="CF168" s="322">
        <f t="shared" ref="CF168" si="546">+CE168/12</f>
        <v>11465.9343893333</v>
      </c>
      <c r="CG168" s="323"/>
      <c r="CH168" s="324"/>
      <c r="CI168" s="325"/>
      <c r="CJ168" s="326"/>
      <c r="CK168" s="1188"/>
      <c r="CL168" s="335"/>
      <c r="CN168" s="1189"/>
    </row>
    <row r="169" s="245" customFormat="1" ht="156" customHeight="1" spans="1:92">
      <c r="A169" s="1122">
        <v>166</v>
      </c>
      <c r="B169" s="70" t="s">
        <v>510</v>
      </c>
      <c r="C169" s="1123" t="s">
        <v>110</v>
      </c>
      <c r="D169" s="1088" t="s">
        <v>511</v>
      </c>
      <c r="E169" s="1088" t="s">
        <v>199</v>
      </c>
      <c r="F169" s="1124" t="s">
        <v>165</v>
      </c>
      <c r="G169" s="686">
        <v>2116082763</v>
      </c>
      <c r="H169" s="1125"/>
      <c r="I169" s="1125"/>
      <c r="J169" s="1125">
        <v>63367</v>
      </c>
      <c r="K169" s="1125">
        <v>15841.75</v>
      </c>
      <c r="L169" s="1125">
        <v>30000</v>
      </c>
      <c r="M169" s="295">
        <v>192875.25</v>
      </c>
      <c r="N169" s="295">
        <f t="shared" si="446"/>
        <v>22502.1125</v>
      </c>
      <c r="O169" s="295">
        <v>5000</v>
      </c>
      <c r="P169" s="295"/>
      <c r="Q169" s="295"/>
      <c r="R169" s="295">
        <v>2500</v>
      </c>
      <c r="S169" s="295"/>
      <c r="T169" s="295"/>
      <c r="U169" s="295"/>
      <c r="V169" s="295"/>
      <c r="W169" s="295"/>
      <c r="X169" s="295"/>
      <c r="Y169" s="295"/>
      <c r="Z169" s="295">
        <v>2500</v>
      </c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1140"/>
      <c r="AM169" s="295">
        <f t="shared" si="503"/>
        <v>3857.505</v>
      </c>
      <c r="AN169" s="295">
        <v>500</v>
      </c>
      <c r="AO169" s="295"/>
      <c r="AP169" s="295"/>
      <c r="AQ169" s="1151">
        <v>1000</v>
      </c>
      <c r="AR169" s="1151"/>
      <c r="AS169" s="1150"/>
      <c r="AT169" s="1151"/>
      <c r="AU169" s="1158"/>
      <c r="AV169" s="1151"/>
      <c r="AW169" s="1151"/>
      <c r="AX169" s="1151"/>
      <c r="AY169" s="1161">
        <v>2000</v>
      </c>
      <c r="AZ169" s="1151"/>
      <c r="BA169" s="295">
        <v>0</v>
      </c>
      <c r="BB169" s="295"/>
      <c r="BC169" s="295"/>
      <c r="BD169" s="295"/>
      <c r="BE169" s="724">
        <v>500</v>
      </c>
      <c r="BF169" s="724"/>
      <c r="BG169" s="724"/>
      <c r="BH169" s="724">
        <f t="shared" si="418"/>
        <v>4507.54725</v>
      </c>
      <c r="BI169" s="1166"/>
      <c r="BJ169" s="1166"/>
      <c r="BK169" s="299">
        <v>25030.06</v>
      </c>
      <c r="BL169" s="1167">
        <f t="shared" si="533"/>
        <v>225377.3625</v>
      </c>
      <c r="BM169" s="724">
        <f t="shared" si="441"/>
        <v>37395.11225</v>
      </c>
      <c r="BN169" s="724"/>
      <c r="BO169" s="724"/>
      <c r="BP169" s="724">
        <f t="shared" si="424"/>
        <v>187982.25025</v>
      </c>
      <c r="BQ169" s="1174"/>
      <c r="BR169" s="306"/>
      <c r="BS169" s="307"/>
      <c r="BT169" s="308"/>
      <c r="BU169" s="313"/>
      <c r="BV169" s="306"/>
      <c r="BW169" s="307"/>
      <c r="BX169" s="307"/>
      <c r="BY169" s="307"/>
      <c r="BZ169" s="307"/>
      <c r="CA169" s="307"/>
      <c r="CB169" s="307"/>
      <c r="CC169" s="305"/>
      <c r="CD169" s="320"/>
      <c r="CE169" s="321"/>
      <c r="CF169" s="322"/>
      <c r="CG169" s="323"/>
      <c r="CH169" s="324"/>
      <c r="CI169" s="325"/>
      <c r="CJ169" s="326"/>
      <c r="CK169" s="1188"/>
      <c r="CL169" s="335"/>
      <c r="CN169" s="1190"/>
    </row>
    <row r="170" s="245" customFormat="1" ht="132" customHeight="1" spans="1:92">
      <c r="A170" s="1122">
        <v>167</v>
      </c>
      <c r="B170" s="70" t="s">
        <v>512</v>
      </c>
      <c r="C170" s="1123" t="s">
        <v>254</v>
      </c>
      <c r="D170" s="1088" t="s">
        <v>279</v>
      </c>
      <c r="E170" s="1088" t="s">
        <v>272</v>
      </c>
      <c r="F170" s="1124" t="s">
        <v>165</v>
      </c>
      <c r="G170" s="1442" t="s">
        <v>513</v>
      </c>
      <c r="H170" s="1125">
        <v>2035173</v>
      </c>
      <c r="I170" s="1125">
        <v>2090081</v>
      </c>
      <c r="J170" s="1125">
        <v>174173.416666667</v>
      </c>
      <c r="K170" s="1125">
        <v>43543.3541666667</v>
      </c>
      <c r="L170" s="1125">
        <v>30000</v>
      </c>
      <c r="M170" s="295">
        <v>300883.92</v>
      </c>
      <c r="N170" s="295">
        <f t="shared" ref="N170:N176" si="547">M170*0.35/3</f>
        <v>35103.124</v>
      </c>
      <c r="O170" s="295">
        <v>5000</v>
      </c>
      <c r="P170" s="295">
        <v>20833.33</v>
      </c>
      <c r="Q170" s="295"/>
      <c r="R170" s="295">
        <v>2500</v>
      </c>
      <c r="S170" s="295"/>
      <c r="T170" s="295"/>
      <c r="U170" s="295"/>
      <c r="V170" s="295"/>
      <c r="W170" s="295"/>
      <c r="X170" s="295"/>
      <c r="Y170" s="295"/>
      <c r="Z170" s="295">
        <v>2500</v>
      </c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1140"/>
      <c r="AM170" s="295">
        <f t="shared" si="503"/>
        <v>6017.6784</v>
      </c>
      <c r="AN170" s="295">
        <v>500</v>
      </c>
      <c r="AO170" s="295"/>
      <c r="AP170" s="295">
        <v>27917</v>
      </c>
      <c r="AQ170" s="1149"/>
      <c r="AR170" s="1149"/>
      <c r="AS170" s="1150">
        <v>1000</v>
      </c>
      <c r="AT170" s="1151"/>
      <c r="AU170" s="1151"/>
      <c r="AV170" s="1151"/>
      <c r="AW170" s="1151"/>
      <c r="AX170" s="1151"/>
      <c r="AY170" s="1161"/>
      <c r="AZ170" s="1151"/>
      <c r="BA170" s="295">
        <v>46667</v>
      </c>
      <c r="BB170" s="295"/>
      <c r="BC170" s="295"/>
      <c r="BD170" s="295"/>
      <c r="BE170" s="724">
        <v>1500</v>
      </c>
      <c r="BF170" s="724"/>
      <c r="BG170" s="724"/>
      <c r="BH170" s="724">
        <f t="shared" si="418"/>
        <v>7336.40748</v>
      </c>
      <c r="BI170" s="1166"/>
      <c r="BJ170" s="1166"/>
      <c r="BK170" s="724">
        <v>49096.18</v>
      </c>
      <c r="BL170" s="1167">
        <f t="shared" si="533"/>
        <v>366820.374</v>
      </c>
      <c r="BM170" s="724">
        <f t="shared" si="441"/>
        <v>140034.26588</v>
      </c>
      <c r="BN170" s="724"/>
      <c r="BO170" s="724"/>
      <c r="BP170" s="724">
        <f t="shared" si="424"/>
        <v>226786.10812</v>
      </c>
      <c r="BQ170" s="1174">
        <f t="shared" ref="BQ170:BQ330" si="548">BL170*12</f>
        <v>4401844.488</v>
      </c>
      <c r="BR170" s="306">
        <f t="shared" si="475"/>
        <v>1080368.8976</v>
      </c>
      <c r="BS170" s="307">
        <f t="shared" ref="BS170:BS175" si="549">BI170*12</f>
        <v>0</v>
      </c>
      <c r="BT170" s="308">
        <f t="shared" si="476"/>
        <v>1080368.8976</v>
      </c>
      <c r="BU170" s="313">
        <f t="shared" si="477"/>
        <v>3321475.5904</v>
      </c>
      <c r="BV170" s="306"/>
      <c r="BW170" s="307">
        <f t="shared" si="478"/>
        <v>21000</v>
      </c>
      <c r="BX170" s="307">
        <f t="shared" si="479"/>
        <v>33000</v>
      </c>
      <c r="BY170" s="307">
        <f t="shared" si="480"/>
        <v>75000</v>
      </c>
      <c r="BZ170" s="307">
        <f t="shared" si="481"/>
        <v>95000</v>
      </c>
      <c r="CA170" s="307">
        <f t="shared" si="482"/>
        <v>336000</v>
      </c>
      <c r="CB170" s="307">
        <f t="shared" si="483"/>
        <v>29154.141696</v>
      </c>
      <c r="CC170" s="305">
        <f t="shared" si="484"/>
        <v>589154.141696</v>
      </c>
      <c r="CD170" s="320">
        <f t="shared" si="485"/>
        <v>44018.44488</v>
      </c>
      <c r="CE170" s="321">
        <f t="shared" si="486"/>
        <v>589154.141696</v>
      </c>
      <c r="CF170" s="322">
        <f t="shared" si="427"/>
        <v>49096.1784746667</v>
      </c>
      <c r="CG170" s="323"/>
      <c r="CH170" s="324"/>
      <c r="CI170" s="325"/>
      <c r="CJ170" s="326"/>
      <c r="CK170" s="1188"/>
      <c r="CL170" s="335"/>
      <c r="CN170" s="1347"/>
    </row>
    <row r="171" s="245" customFormat="1" ht="124" customHeight="1" spans="1:92">
      <c r="A171" s="1122">
        <v>168</v>
      </c>
      <c r="B171" s="70" t="s">
        <v>514</v>
      </c>
      <c r="C171" s="1122" t="s">
        <v>241</v>
      </c>
      <c r="D171" s="1088" t="s">
        <v>515</v>
      </c>
      <c r="E171" s="1088" t="s">
        <v>516</v>
      </c>
      <c r="F171" s="1124" t="s">
        <v>113</v>
      </c>
      <c r="G171" s="686">
        <v>1005033200</v>
      </c>
      <c r="H171" s="1125">
        <v>6664214</v>
      </c>
      <c r="I171" s="1125"/>
      <c r="J171" s="1125">
        <v>555352</v>
      </c>
      <c r="K171" s="1125">
        <v>138838</v>
      </c>
      <c r="L171" s="1125">
        <v>30000</v>
      </c>
      <c r="M171" s="295">
        <v>779724.08</v>
      </c>
      <c r="N171" s="295"/>
      <c r="O171" s="295"/>
      <c r="P171" s="295">
        <v>41667</v>
      </c>
      <c r="Q171" s="295"/>
      <c r="R171" s="295">
        <v>2500</v>
      </c>
      <c r="S171" s="295"/>
      <c r="T171" s="295"/>
      <c r="U171" s="295"/>
      <c r="V171" s="295"/>
      <c r="W171" s="295"/>
      <c r="X171" s="295"/>
      <c r="Y171" s="295"/>
      <c r="Z171" s="295">
        <v>2500</v>
      </c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1140"/>
      <c r="AM171" s="295">
        <f t="shared" si="503"/>
        <v>15594.4816</v>
      </c>
      <c r="AN171" s="295">
        <v>500</v>
      </c>
      <c r="AO171" s="295"/>
      <c r="AP171" s="295"/>
      <c r="AQ171" s="1149"/>
      <c r="AR171" s="1149"/>
      <c r="AS171" s="1152"/>
      <c r="AT171" s="1149"/>
      <c r="AU171" s="1149"/>
      <c r="AV171" s="1151"/>
      <c r="AW171" s="1149"/>
      <c r="AX171" s="1149"/>
      <c r="AY171" s="1161"/>
      <c r="AZ171" s="1149"/>
      <c r="BA171" s="295">
        <v>0</v>
      </c>
      <c r="BB171" s="295"/>
      <c r="BC171" s="295"/>
      <c r="BD171" s="295"/>
      <c r="BE171" s="724">
        <v>3500</v>
      </c>
      <c r="BF171" s="724"/>
      <c r="BG171" s="724"/>
      <c r="BH171" s="724">
        <f t="shared" si="418"/>
        <v>16527.8216</v>
      </c>
      <c r="BI171" s="1166"/>
      <c r="BJ171" s="1166"/>
      <c r="BK171" s="299">
        <f t="shared" ref="BK171" si="550">CF171</f>
        <v>137333.754026667</v>
      </c>
      <c r="BL171" s="1167">
        <f t="shared" si="533"/>
        <v>826391.08</v>
      </c>
      <c r="BM171" s="724">
        <f t="shared" si="441"/>
        <v>173456.057226667</v>
      </c>
      <c r="BN171" s="724"/>
      <c r="BO171" s="724"/>
      <c r="BP171" s="724">
        <f t="shared" si="424"/>
        <v>652935.022773333</v>
      </c>
      <c r="BQ171" s="1174">
        <f t="shared" si="548"/>
        <v>9916692.96</v>
      </c>
      <c r="BR171" s="306">
        <f t="shared" si="475"/>
        <v>2183338.592</v>
      </c>
      <c r="BS171" s="307">
        <f t="shared" si="549"/>
        <v>0</v>
      </c>
      <c r="BT171" s="308">
        <f t="shared" si="476"/>
        <v>2183338.592</v>
      </c>
      <c r="BU171" s="313">
        <f t="shared" si="477"/>
        <v>7733354.368</v>
      </c>
      <c r="BV171" s="306"/>
      <c r="BW171" s="307">
        <f t="shared" si="478"/>
        <v>21000</v>
      </c>
      <c r="BX171" s="307">
        <f t="shared" si="479"/>
        <v>33000</v>
      </c>
      <c r="BY171" s="307">
        <f t="shared" si="480"/>
        <v>75000</v>
      </c>
      <c r="BZ171" s="307">
        <f t="shared" si="481"/>
        <v>95000</v>
      </c>
      <c r="CA171" s="307">
        <f t="shared" si="482"/>
        <v>336000</v>
      </c>
      <c r="CB171" s="307">
        <f t="shared" si="483"/>
        <v>1088005.04832</v>
      </c>
      <c r="CC171" s="305">
        <f t="shared" si="484"/>
        <v>1648005.04832</v>
      </c>
      <c r="CD171" s="320">
        <f t="shared" si="485"/>
        <v>99166.9296</v>
      </c>
      <c r="CE171" s="321">
        <f t="shared" si="486"/>
        <v>1648005.04832</v>
      </c>
      <c r="CF171" s="322">
        <f t="shared" si="427"/>
        <v>137333.754026667</v>
      </c>
      <c r="CG171" s="323"/>
      <c r="CH171" s="324"/>
      <c r="CI171" s="325"/>
      <c r="CJ171" s="326"/>
      <c r="CK171" s="1188"/>
      <c r="CL171" s="335"/>
      <c r="CN171" s="1189"/>
    </row>
    <row r="172" s="245" customFormat="1" ht="156" customHeight="1" spans="1:92">
      <c r="A172" s="1122">
        <v>169</v>
      </c>
      <c r="B172" s="70" t="s">
        <v>517</v>
      </c>
      <c r="C172" s="1123" t="s">
        <v>185</v>
      </c>
      <c r="D172" s="1088" t="s">
        <v>518</v>
      </c>
      <c r="E172" s="1088" t="s">
        <v>134</v>
      </c>
      <c r="F172" s="1124" t="s">
        <v>113</v>
      </c>
      <c r="G172" s="686" t="s">
        <v>519</v>
      </c>
      <c r="H172" s="1125">
        <f>'[4]TEACHING STAFF'!$I$174</f>
        <v>2863233</v>
      </c>
      <c r="I172" s="1125">
        <v>2863233</v>
      </c>
      <c r="J172" s="1125">
        <v>238602.75</v>
      </c>
      <c r="K172" s="1125">
        <v>59650.6875</v>
      </c>
      <c r="L172" s="1125">
        <v>30000</v>
      </c>
      <c r="M172" s="295">
        <f t="shared" ref="M172" si="551">SUM(J172:L172)</f>
        <v>328253.4375</v>
      </c>
      <c r="N172" s="295">
        <f t="shared" si="547"/>
        <v>38296.234375</v>
      </c>
      <c r="O172" s="295"/>
      <c r="P172" s="295"/>
      <c r="Q172" s="295"/>
      <c r="R172" s="295">
        <v>2500</v>
      </c>
      <c r="S172" s="295"/>
      <c r="T172" s="295"/>
      <c r="U172" s="295"/>
      <c r="V172" s="295"/>
      <c r="W172" s="295"/>
      <c r="X172" s="295"/>
      <c r="Y172" s="295"/>
      <c r="Z172" s="295">
        <v>2500</v>
      </c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1140"/>
      <c r="AM172" s="295">
        <f t="shared" si="503"/>
        <v>6565.06875</v>
      </c>
      <c r="AN172" s="295">
        <v>500</v>
      </c>
      <c r="AO172" s="295"/>
      <c r="AP172" s="295">
        <v>50000</v>
      </c>
      <c r="AQ172" s="1149"/>
      <c r="AR172" s="1149"/>
      <c r="AS172" s="1150">
        <v>1000</v>
      </c>
      <c r="AT172" s="1151"/>
      <c r="AU172" s="1149"/>
      <c r="AV172" s="1151"/>
      <c r="AW172" s="1149"/>
      <c r="AX172" s="1149"/>
      <c r="AY172" s="1161">
        <v>2000</v>
      </c>
      <c r="AZ172" s="1149"/>
      <c r="BA172" s="295">
        <v>125000</v>
      </c>
      <c r="BB172" s="295"/>
      <c r="BC172" s="295"/>
      <c r="BD172" s="295"/>
      <c r="BE172" s="724">
        <v>1500</v>
      </c>
      <c r="BF172" s="724"/>
      <c r="BG172" s="724"/>
      <c r="BH172" s="724">
        <f t="shared" si="418"/>
        <v>7430.9934375</v>
      </c>
      <c r="BI172" s="1166"/>
      <c r="BJ172" s="1166"/>
      <c r="BK172" s="724">
        <v>50004.2036666667</v>
      </c>
      <c r="BL172" s="1167">
        <f t="shared" si="533"/>
        <v>371549.671875</v>
      </c>
      <c r="BM172" s="724">
        <f t="shared" si="441"/>
        <v>244000.265854167</v>
      </c>
      <c r="BN172" s="724"/>
      <c r="BO172" s="724"/>
      <c r="BP172" s="724">
        <f t="shared" si="424"/>
        <v>127549.406020833</v>
      </c>
      <c r="BQ172" s="1174">
        <f t="shared" si="548"/>
        <v>4458596.0625</v>
      </c>
      <c r="BR172" s="306">
        <f t="shared" si="475"/>
        <v>1091719.2125</v>
      </c>
      <c r="BS172" s="307">
        <f t="shared" si="549"/>
        <v>0</v>
      </c>
      <c r="BT172" s="308">
        <f t="shared" si="476"/>
        <v>1091719.2125</v>
      </c>
      <c r="BU172" s="313">
        <f t="shared" si="477"/>
        <v>3366876.85</v>
      </c>
      <c r="BV172" s="306"/>
      <c r="BW172" s="307">
        <f t="shared" si="478"/>
        <v>21000</v>
      </c>
      <c r="BX172" s="307">
        <f t="shared" si="479"/>
        <v>33000</v>
      </c>
      <c r="BY172" s="307">
        <f t="shared" si="480"/>
        <v>75000</v>
      </c>
      <c r="BZ172" s="307">
        <f t="shared" si="481"/>
        <v>95000</v>
      </c>
      <c r="CA172" s="307">
        <f t="shared" si="482"/>
        <v>336000</v>
      </c>
      <c r="CB172" s="307">
        <f t="shared" si="483"/>
        <v>40050.444</v>
      </c>
      <c r="CC172" s="305">
        <f t="shared" si="484"/>
        <v>600050.444</v>
      </c>
      <c r="CD172" s="320">
        <f t="shared" si="485"/>
        <v>44585.960625</v>
      </c>
      <c r="CE172" s="321">
        <f t="shared" si="486"/>
        <v>600050.444</v>
      </c>
      <c r="CF172" s="322">
        <f t="shared" si="427"/>
        <v>50004.2036666667</v>
      </c>
      <c r="CG172" s="323"/>
      <c r="CH172" s="324"/>
      <c r="CI172" s="325"/>
      <c r="CJ172" s="326"/>
      <c r="CK172" s="1188"/>
      <c r="CL172" s="335"/>
      <c r="CN172" s="1190" t="s">
        <v>520</v>
      </c>
    </row>
    <row r="173" s="245" customFormat="1" ht="200" customHeight="1" spans="1:92">
      <c r="A173" s="1122">
        <v>170</v>
      </c>
      <c r="B173" s="70" t="s">
        <v>521</v>
      </c>
      <c r="C173" s="1123" t="s">
        <v>133</v>
      </c>
      <c r="D173" s="1088" t="s">
        <v>130</v>
      </c>
      <c r="E173" s="1088" t="s">
        <v>174</v>
      </c>
      <c r="F173" s="1124" t="s">
        <v>113</v>
      </c>
      <c r="G173" s="686">
        <v>2054128969</v>
      </c>
      <c r="H173" s="1125">
        <v>2890081</v>
      </c>
      <c r="I173" s="1125">
        <v>2144788</v>
      </c>
      <c r="J173" s="1125">
        <v>178732.333333333</v>
      </c>
      <c r="K173" s="1125">
        <v>44683.0833333333</v>
      </c>
      <c r="L173" s="1125">
        <v>30000</v>
      </c>
      <c r="M173" s="295">
        <v>291760.83</v>
      </c>
      <c r="N173" s="295">
        <f t="shared" si="547"/>
        <v>34038.7635</v>
      </c>
      <c r="O173" s="295">
        <f>5000</f>
        <v>5000</v>
      </c>
      <c r="P173" s="295"/>
      <c r="Q173" s="295"/>
      <c r="R173" s="295">
        <v>2500</v>
      </c>
      <c r="S173" s="295"/>
      <c r="T173" s="295"/>
      <c r="U173" s="295"/>
      <c r="V173" s="295"/>
      <c r="W173" s="295"/>
      <c r="X173" s="295"/>
      <c r="Y173" s="295"/>
      <c r="Z173" s="295">
        <v>2500</v>
      </c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1140"/>
      <c r="AM173" s="295">
        <f t="shared" si="503"/>
        <v>5835.2166</v>
      </c>
      <c r="AN173" s="295">
        <v>500</v>
      </c>
      <c r="AO173" s="295"/>
      <c r="AP173" s="295"/>
      <c r="AQ173" s="1151">
        <v>1000</v>
      </c>
      <c r="AR173" s="1151"/>
      <c r="AS173" s="1152"/>
      <c r="AT173" s="1149"/>
      <c r="AU173" s="1149"/>
      <c r="AV173" s="1151"/>
      <c r="AW173" s="1149"/>
      <c r="AX173" s="1149"/>
      <c r="AY173" s="1161">
        <v>2000</v>
      </c>
      <c r="AZ173" s="1149"/>
      <c r="BA173" s="295">
        <v>0</v>
      </c>
      <c r="BB173" s="295"/>
      <c r="BC173" s="295">
        <f>BD173/2</f>
        <v>2083.33</v>
      </c>
      <c r="BD173" s="295">
        <f>8333.33-4166.67</f>
        <v>4166.66</v>
      </c>
      <c r="BE173" s="724">
        <v>1500</v>
      </c>
      <c r="BF173" s="724"/>
      <c r="BG173" s="724"/>
      <c r="BH173" s="724">
        <f t="shared" si="418"/>
        <v>6715.99187</v>
      </c>
      <c r="BI173" s="1166"/>
      <c r="BJ173" s="1166"/>
      <c r="BK173" s="724">
        <v>43581</v>
      </c>
      <c r="BL173" s="1167">
        <f t="shared" si="533"/>
        <v>335799.5935</v>
      </c>
      <c r="BM173" s="724">
        <f t="shared" si="441"/>
        <v>67382.19847</v>
      </c>
      <c r="BN173" s="724"/>
      <c r="BO173" s="724"/>
      <c r="BP173" s="724">
        <f t="shared" si="424"/>
        <v>268417.39503</v>
      </c>
      <c r="BQ173" s="1174">
        <f t="shared" si="548"/>
        <v>4029595.122</v>
      </c>
      <c r="BR173" s="306">
        <f t="shared" si="475"/>
        <v>1005919.0244</v>
      </c>
      <c r="BS173" s="307">
        <f t="shared" si="549"/>
        <v>0</v>
      </c>
      <c r="BT173" s="308">
        <f t="shared" si="476"/>
        <v>1005919.0244</v>
      </c>
      <c r="BU173" s="313">
        <f t="shared" si="477"/>
        <v>3023676.0976</v>
      </c>
      <c r="BV173" s="306"/>
      <c r="BW173" s="307">
        <f t="shared" si="478"/>
        <v>21000</v>
      </c>
      <c r="BX173" s="307">
        <f t="shared" si="479"/>
        <v>33000</v>
      </c>
      <c r="BY173" s="307">
        <f t="shared" si="480"/>
        <v>75000</v>
      </c>
      <c r="BZ173" s="307">
        <f t="shared" si="481"/>
        <v>95000</v>
      </c>
      <c r="CA173" s="307">
        <f t="shared" si="482"/>
        <v>298971.980496</v>
      </c>
      <c r="CB173" s="307" t="str">
        <f t="shared" si="483"/>
        <v/>
      </c>
      <c r="CC173" s="305">
        <f t="shared" si="484"/>
        <v>522971.980496</v>
      </c>
      <c r="CD173" s="320">
        <f t="shared" si="485"/>
        <v>40295.95122</v>
      </c>
      <c r="CE173" s="321">
        <f t="shared" si="486"/>
        <v>522971.980496</v>
      </c>
      <c r="CF173" s="322">
        <f t="shared" ref="CF173:CF175" si="552">+CE173/12</f>
        <v>43580.9983746667</v>
      </c>
      <c r="CG173" s="323"/>
      <c r="CH173" s="324"/>
      <c r="CI173" s="325"/>
      <c r="CJ173" s="326"/>
      <c r="CK173" s="1188"/>
      <c r="CL173" s="335"/>
      <c r="CN173" s="1189"/>
    </row>
    <row r="174" s="245" customFormat="1" ht="176" customHeight="1" spans="1:92">
      <c r="A174" s="1122">
        <v>171</v>
      </c>
      <c r="B174" s="70" t="s">
        <v>522</v>
      </c>
      <c r="C174" s="1123" t="s">
        <v>95</v>
      </c>
      <c r="D174" s="1088" t="s">
        <v>523</v>
      </c>
      <c r="E174" s="1088" t="s">
        <v>231</v>
      </c>
      <c r="F174" s="1124" t="s">
        <v>113</v>
      </c>
      <c r="G174" s="686">
        <v>1001822965</v>
      </c>
      <c r="H174" s="1125"/>
      <c r="I174" s="1125">
        <v>4631272</v>
      </c>
      <c r="J174" s="1125">
        <v>385939.333333333</v>
      </c>
      <c r="K174" s="1125">
        <v>96484.8333333333</v>
      </c>
      <c r="L174" s="1125">
        <v>30000</v>
      </c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1140"/>
      <c r="AM174" s="295"/>
      <c r="AN174" s="295"/>
      <c r="AO174" s="295"/>
      <c r="AP174" s="295"/>
      <c r="AQ174" s="1151"/>
      <c r="AR174" s="1151"/>
      <c r="AS174" s="1152"/>
      <c r="AT174" s="1149"/>
      <c r="AU174" s="1149"/>
      <c r="AV174" s="1151"/>
      <c r="AW174" s="1149"/>
      <c r="AX174" s="1149"/>
      <c r="AY174" s="1161"/>
      <c r="AZ174" s="1149"/>
      <c r="BA174" s="295">
        <v>0</v>
      </c>
      <c r="BB174" s="295"/>
      <c r="BC174" s="295"/>
      <c r="BD174" s="295"/>
      <c r="BE174" s="724"/>
      <c r="BF174" s="724"/>
      <c r="BG174" s="724"/>
      <c r="BH174" s="724"/>
      <c r="BI174" s="1166"/>
      <c r="BJ174" s="1166"/>
      <c r="BK174" s="724"/>
      <c r="BL174" s="1167"/>
      <c r="BM174" s="724"/>
      <c r="BN174" s="724"/>
      <c r="BO174" s="724"/>
      <c r="BP174" s="724"/>
      <c r="BQ174" s="1174">
        <f t="shared" si="548"/>
        <v>0</v>
      </c>
      <c r="BR174" s="306">
        <f t="shared" ref="BR174" si="553">200000+(0.2*BQ174)</f>
        <v>200000</v>
      </c>
      <c r="BS174" s="307">
        <f t="shared" si="549"/>
        <v>0</v>
      </c>
      <c r="BT174" s="308">
        <f t="shared" ref="BT174" si="554">SUM(BR174:BS174)</f>
        <v>200000</v>
      </c>
      <c r="BU174" s="313">
        <f t="shared" ref="BU174" si="555">+BQ174-BT174</f>
        <v>-200000</v>
      </c>
      <c r="BV174" s="306"/>
      <c r="BW174" s="307">
        <f t="shared" ref="BW174" si="556">IF((BU174&gt;0),(IF((BU174&gt;300000),(300000*7%),(BU174*7%))),(BQ174*1%))</f>
        <v>0</v>
      </c>
      <c r="BX174" s="307" t="str">
        <f t="shared" ref="BX174" si="557">IF((BU174-300000)&gt;0,(IF((BU174&gt;600000),(300000*11%),((BU174-300000)*11%))),(""))</f>
        <v/>
      </c>
      <c r="BY174" s="307" t="str">
        <f t="shared" ref="BY174" si="558">IF(((BU174-600000)&gt;0),(IF((BU174&gt;1100000),(500000*15%),((BU174-600000)*15%))),(""))</f>
        <v/>
      </c>
      <c r="BZ174" s="307" t="str">
        <f t="shared" ref="BZ174" si="559">IF(((BU174-(1100000))&gt;0),(IF((BU174&gt;(1600000)),((500000)*19%),((BU174-(1100000))*19%))),(""))</f>
        <v/>
      </c>
      <c r="CA174" s="307" t="str">
        <f t="shared" ref="CA174" si="560">IF(((BU174-(1600000))&gt;0),(IF((BU174&gt;(3200000)),((1600000)*21%),((BU174-(1600000))*21%))),(""))</f>
        <v/>
      </c>
      <c r="CB174" s="307" t="str">
        <f t="shared" ref="CB174" si="561">IF(((BU174-(3200000))&gt;0),(IF((BU174&gt;(3200000)),((BU174-(3200000))*24%),(0))),(""))</f>
        <v/>
      </c>
      <c r="CC174" s="305">
        <f t="shared" ref="CC174" si="562">SUM(BW174:CB174)</f>
        <v>0</v>
      </c>
      <c r="CD174" s="320">
        <f t="shared" ref="CD174" si="563">1%*BQ174</f>
        <v>0</v>
      </c>
      <c r="CE174" s="321">
        <f t="shared" ref="CE174" si="564">MAX(CC174:CD174)</f>
        <v>0</v>
      </c>
      <c r="CF174" s="322">
        <f t="shared" ref="CF174" si="565">+CE174/12</f>
        <v>0</v>
      </c>
      <c r="CG174" s="323"/>
      <c r="CH174" s="324"/>
      <c r="CI174" s="325"/>
      <c r="CJ174" s="326"/>
      <c r="CK174" s="1188"/>
      <c r="CL174" s="335"/>
      <c r="CN174" s="1190"/>
    </row>
    <row r="175" s="245" customFormat="1" ht="164" customHeight="1" spans="1:92">
      <c r="A175" s="1122">
        <v>172</v>
      </c>
      <c r="B175" s="70" t="s">
        <v>524</v>
      </c>
      <c r="C175" s="1123" t="s">
        <v>104</v>
      </c>
      <c r="D175" s="1088" t="s">
        <v>204</v>
      </c>
      <c r="E175" s="1088" t="s">
        <v>525</v>
      </c>
      <c r="F175" s="1124" t="s">
        <v>259</v>
      </c>
      <c r="G175" s="681" t="s">
        <v>526</v>
      </c>
      <c r="H175" s="1125">
        <v>2035375</v>
      </c>
      <c r="I175" s="1125">
        <v>2035373</v>
      </c>
      <c r="J175" s="1125">
        <v>169614.416666667</v>
      </c>
      <c r="K175" s="1125">
        <v>42403.6041666667</v>
      </c>
      <c r="L175" s="1125">
        <v>30000</v>
      </c>
      <c r="M175" s="295">
        <v>242018.08</v>
      </c>
      <c r="N175" s="295">
        <f t="shared" si="547"/>
        <v>28235.4426666667</v>
      </c>
      <c r="O175" s="295">
        <f>5000</f>
        <v>5000</v>
      </c>
      <c r="P175" s="295"/>
      <c r="Q175" s="295"/>
      <c r="R175" s="295">
        <v>2500</v>
      </c>
      <c r="S175" s="295"/>
      <c r="T175" s="295"/>
      <c r="U175" s="295"/>
      <c r="V175" s="295"/>
      <c r="W175" s="295"/>
      <c r="X175" s="295"/>
      <c r="Y175" s="295"/>
      <c r="Z175" s="295">
        <v>2500</v>
      </c>
      <c r="AA175" s="295"/>
      <c r="AB175" s="295"/>
      <c r="AC175" s="295"/>
      <c r="AD175" s="295"/>
      <c r="AE175" s="295"/>
      <c r="AF175" s="295"/>
      <c r="AG175" s="295"/>
      <c r="AH175" s="295"/>
      <c r="AJ175" s="295"/>
      <c r="AK175" s="295"/>
      <c r="AL175" s="1140"/>
      <c r="AM175" s="295">
        <f t="shared" si="503"/>
        <v>4840.3616</v>
      </c>
      <c r="AN175" s="295">
        <v>500</v>
      </c>
      <c r="AO175" s="295"/>
      <c r="AP175" s="295">
        <v>60000</v>
      </c>
      <c r="AQ175" s="1151">
        <v>1000</v>
      </c>
      <c r="AR175" s="1151"/>
      <c r="AS175" s="1152"/>
      <c r="AT175" s="1149"/>
      <c r="AU175" s="1149"/>
      <c r="AV175" s="1151"/>
      <c r="AW175" s="1149"/>
      <c r="AX175" s="1149"/>
      <c r="AY175" s="1161"/>
      <c r="AZ175" s="1149"/>
      <c r="BA175" s="295">
        <v>0</v>
      </c>
      <c r="BB175" s="295"/>
      <c r="BC175" s="295"/>
      <c r="BD175" s="295"/>
      <c r="BE175" s="724">
        <v>1500</v>
      </c>
      <c r="BF175" s="724"/>
      <c r="BG175" s="724"/>
      <c r="BH175" s="724">
        <f t="shared" si="418"/>
        <v>5605.07045333333</v>
      </c>
      <c r="BI175" s="1166"/>
      <c r="BJ175" s="1166"/>
      <c r="BK175" s="724">
        <v>34249.247375</v>
      </c>
      <c r="BL175" s="1167">
        <f>M175+N175+O175+P175+R175+S175+T175+U175+V175+W175+Y175+Z175+AA175</f>
        <v>280253.522666667</v>
      </c>
      <c r="BM175" s="724">
        <f>BK175+BH175+BE175+AQ175+AP175+AN175+AM175</f>
        <v>107694.679428333</v>
      </c>
      <c r="BN175" s="724"/>
      <c r="BO175" s="724"/>
      <c r="BP175" s="724">
        <f t="shared" si="424"/>
        <v>172558.843238333</v>
      </c>
      <c r="BQ175" s="1174">
        <f t="shared" si="548"/>
        <v>3363042.272</v>
      </c>
      <c r="BR175" s="306">
        <f t="shared" si="475"/>
        <v>872608.4544</v>
      </c>
      <c r="BS175" s="307">
        <f t="shared" si="549"/>
        <v>0</v>
      </c>
      <c r="BT175" s="308">
        <f t="shared" si="476"/>
        <v>872608.4544</v>
      </c>
      <c r="BU175" s="313">
        <f t="shared" si="477"/>
        <v>2490433.8176</v>
      </c>
      <c r="BV175" s="306"/>
      <c r="BW175" s="307">
        <f t="shared" si="478"/>
        <v>21000</v>
      </c>
      <c r="BX175" s="307">
        <f t="shared" si="479"/>
        <v>33000</v>
      </c>
      <c r="BY175" s="307">
        <f t="shared" si="480"/>
        <v>75000</v>
      </c>
      <c r="BZ175" s="307">
        <f t="shared" si="481"/>
        <v>95000</v>
      </c>
      <c r="CA175" s="307">
        <f t="shared" si="482"/>
        <v>186991.101696</v>
      </c>
      <c r="CB175" s="307" t="str">
        <f t="shared" si="483"/>
        <v/>
      </c>
      <c r="CC175" s="305">
        <f t="shared" si="484"/>
        <v>410991.101696</v>
      </c>
      <c r="CD175" s="320">
        <f t="shared" si="485"/>
        <v>33630.42272</v>
      </c>
      <c r="CE175" s="321">
        <f t="shared" si="486"/>
        <v>410991.101696</v>
      </c>
      <c r="CF175" s="322">
        <f t="shared" si="552"/>
        <v>34249.2584746667</v>
      </c>
      <c r="CG175" s="323"/>
      <c r="CH175" s="324"/>
      <c r="CI175" s="325"/>
      <c r="CJ175" s="326"/>
      <c r="CK175" s="1188"/>
      <c r="CL175" s="335"/>
      <c r="CN175" s="1189"/>
    </row>
    <row r="176" s="245" customFormat="1" ht="226" customHeight="1" spans="1:92">
      <c r="A176" s="1122">
        <v>173</v>
      </c>
      <c r="B176" s="1273" t="s">
        <v>527</v>
      </c>
      <c r="C176" s="1274" t="s">
        <v>104</v>
      </c>
      <c r="D176" s="1275" t="s">
        <v>204</v>
      </c>
      <c r="E176" s="1275" t="s">
        <v>208</v>
      </c>
      <c r="F176" s="1276" t="s">
        <v>93</v>
      </c>
      <c r="G176" s="1277">
        <v>3155949325</v>
      </c>
      <c r="H176" s="1278"/>
      <c r="I176" s="1278"/>
      <c r="J176" s="1286">
        <v>255578.45</v>
      </c>
      <c r="K176" s="1286">
        <v>0</v>
      </c>
      <c r="L176" s="1287"/>
      <c r="M176" s="1287">
        <v>242018.08</v>
      </c>
      <c r="N176" s="1288">
        <f t="shared" si="547"/>
        <v>28235.4426666667</v>
      </c>
      <c r="O176" s="1288">
        <v>5000</v>
      </c>
      <c r="P176" s="1288"/>
      <c r="Q176" s="1288"/>
      <c r="R176" s="1288">
        <v>2500</v>
      </c>
      <c r="S176" s="1288"/>
      <c r="T176" s="1288"/>
      <c r="U176" s="1288"/>
      <c r="V176" s="1288"/>
      <c r="W176" s="1288"/>
      <c r="X176" s="1288"/>
      <c r="Y176" s="1288"/>
      <c r="Z176" s="1288">
        <v>2500</v>
      </c>
      <c r="AA176" s="1288"/>
      <c r="AB176" s="1288"/>
      <c r="AC176" s="1288"/>
      <c r="AD176" s="1288"/>
      <c r="AE176" s="1288"/>
      <c r="AF176" s="1288"/>
      <c r="AG176" s="1288"/>
      <c r="AH176" s="1288"/>
      <c r="AI176" s="1288"/>
      <c r="AJ176" s="1288"/>
      <c r="AK176" s="1288"/>
      <c r="AL176" s="1294"/>
      <c r="AM176" s="1288">
        <f t="shared" si="503"/>
        <v>4840.3616</v>
      </c>
      <c r="AN176" s="1288">
        <v>500</v>
      </c>
      <c r="AO176" s="1288">
        <v>0</v>
      </c>
      <c r="AP176" s="1288"/>
      <c r="AQ176" s="1299">
        <v>1000</v>
      </c>
      <c r="AR176" s="1299"/>
      <c r="AS176" s="1300"/>
      <c r="AT176" s="1301"/>
      <c r="AU176" s="1301"/>
      <c r="AV176" s="1299"/>
      <c r="AW176" s="1301"/>
      <c r="AX176" s="1301"/>
      <c r="AY176" s="1307"/>
      <c r="AZ176" s="1301"/>
      <c r="BA176" s="1288">
        <v>0</v>
      </c>
      <c r="BB176" s="1288"/>
      <c r="BC176" s="1288"/>
      <c r="BD176" s="1288"/>
      <c r="BE176" s="1310">
        <v>1500</v>
      </c>
      <c r="BF176" s="1310"/>
      <c r="BG176" s="1310"/>
      <c r="BH176" s="1310">
        <f t="shared" si="418"/>
        <v>5605.07045333333</v>
      </c>
      <c r="BI176" s="1311"/>
      <c r="BJ176" s="1311"/>
      <c r="BK176" s="1310">
        <v>34249.247375</v>
      </c>
      <c r="BL176" s="1312">
        <f>M176+N176+O176+P176+R176+S176+T176+U176+V176+W176+Y176+Z176+AA176</f>
        <v>280253.522666667</v>
      </c>
      <c r="BM176" s="1310">
        <f t="shared" si="441"/>
        <v>47694.6794283333</v>
      </c>
      <c r="BN176" s="1310"/>
      <c r="BO176" s="1310"/>
      <c r="BP176" s="724">
        <f t="shared" si="424"/>
        <v>232558.843238333</v>
      </c>
      <c r="BQ176" s="1174"/>
      <c r="BR176" s="306"/>
      <c r="BS176" s="307"/>
      <c r="BT176" s="308"/>
      <c r="BU176" s="313"/>
      <c r="BV176" s="306"/>
      <c r="BW176" s="307"/>
      <c r="BX176" s="307"/>
      <c r="BY176" s="307"/>
      <c r="BZ176" s="307"/>
      <c r="CA176" s="320"/>
      <c r="CB176" s="1322"/>
      <c r="CC176" s="1320"/>
      <c r="CD176" s="1322"/>
      <c r="CE176" s="321"/>
      <c r="CF176" s="322"/>
      <c r="CG176" s="323"/>
      <c r="CH176" s="324"/>
      <c r="CI176" s="325"/>
      <c r="CJ176" s="326"/>
      <c r="CK176" s="1188"/>
      <c r="CL176" s="335"/>
      <c r="CN176" s="1189"/>
    </row>
    <row r="177" s="245" customFormat="1" ht="202" customHeight="1" spans="1:93">
      <c r="A177" s="1122">
        <v>174</v>
      </c>
      <c r="B177" s="70" t="s">
        <v>528</v>
      </c>
      <c r="C177" s="1123" t="s">
        <v>104</v>
      </c>
      <c r="D177" s="1088" t="s">
        <v>125</v>
      </c>
      <c r="E177" s="1088" t="s">
        <v>208</v>
      </c>
      <c r="F177" s="1124" t="s">
        <v>127</v>
      </c>
      <c r="G177" s="1443" t="s">
        <v>529</v>
      </c>
      <c r="H177" s="1125"/>
      <c r="I177" s="1125"/>
      <c r="J177" s="1289">
        <v>255578.45</v>
      </c>
      <c r="K177" s="1289">
        <v>0</v>
      </c>
      <c r="L177" s="1290"/>
      <c r="M177" s="1290">
        <v>242018.08</v>
      </c>
      <c r="N177" s="295">
        <f t="shared" ref="N177:N239" si="566">M177*0.35/3</f>
        <v>28235.4426666667</v>
      </c>
      <c r="O177" s="295">
        <v>5000</v>
      </c>
      <c r="P177" s="295"/>
      <c r="Q177" s="295"/>
      <c r="R177" s="295">
        <v>2500</v>
      </c>
      <c r="S177" s="295"/>
      <c r="T177" s="295"/>
      <c r="U177" s="295"/>
      <c r="V177" s="295"/>
      <c r="W177" s="295"/>
      <c r="X177" s="295"/>
      <c r="Y177" s="295"/>
      <c r="Z177" s="295">
        <v>2500</v>
      </c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1140"/>
      <c r="AM177" s="295">
        <f t="shared" si="503"/>
        <v>4840.3616</v>
      </c>
      <c r="AN177" s="295">
        <v>500</v>
      </c>
      <c r="AO177" s="295">
        <v>0</v>
      </c>
      <c r="AP177" s="295"/>
      <c r="AQ177" s="1151">
        <v>1000</v>
      </c>
      <c r="AR177" s="1151"/>
      <c r="AS177" s="1152"/>
      <c r="AT177" s="1149"/>
      <c r="AU177" s="1149"/>
      <c r="AV177" s="1151"/>
      <c r="AW177" s="1149"/>
      <c r="AX177" s="1149"/>
      <c r="AY177" s="1161"/>
      <c r="AZ177" s="1149"/>
      <c r="BA177" s="295">
        <v>0</v>
      </c>
      <c r="BB177" s="295"/>
      <c r="BC177" s="295"/>
      <c r="BD177" s="295"/>
      <c r="BE177" s="724">
        <v>1500</v>
      </c>
      <c r="BF177" s="724"/>
      <c r="BG177" s="724"/>
      <c r="BH177" s="724">
        <f t="shared" si="418"/>
        <v>5605.07045333333</v>
      </c>
      <c r="BI177" s="1166"/>
      <c r="BJ177" s="1166"/>
      <c r="BK177" s="724">
        <v>33180.1814166667</v>
      </c>
      <c r="BL177" s="724">
        <f>M177+N177+O177+P177+R177+S177+T177+U177+V177+W177+Y177+Z177+AA177</f>
        <v>280253.522666667</v>
      </c>
      <c r="BM177" s="724">
        <f t="shared" si="441"/>
        <v>46625.61347</v>
      </c>
      <c r="BN177" s="724"/>
      <c r="BO177" s="724"/>
      <c r="BP177" s="724">
        <f t="shared" si="424"/>
        <v>233627.909196667</v>
      </c>
      <c r="BQ177" s="1320"/>
      <c r="BR177" s="1321"/>
      <c r="BS177" s="1322"/>
      <c r="BT177" s="1323"/>
      <c r="BU177" s="1329"/>
      <c r="BV177" s="1321"/>
      <c r="BW177" s="1322"/>
      <c r="BX177" s="1322"/>
      <c r="BY177" s="1322"/>
      <c r="BZ177" s="1322"/>
      <c r="CA177" s="1322"/>
      <c r="CB177" s="1322"/>
      <c r="CC177" s="1320"/>
      <c r="CD177" s="1322"/>
      <c r="CE177" s="321"/>
      <c r="CF177" s="322"/>
      <c r="CG177" s="1321"/>
      <c r="CH177" s="1339"/>
      <c r="CI177" s="1322"/>
      <c r="CJ177" s="1329"/>
      <c r="CK177" s="1329"/>
      <c r="CL177" s="335"/>
      <c r="CN177" s="1190"/>
      <c r="CO177" s="1258"/>
    </row>
    <row r="178" s="245" customFormat="1" ht="202" customHeight="1" spans="1:93">
      <c r="A178" s="1122">
        <v>175</v>
      </c>
      <c r="B178" s="70" t="s">
        <v>530</v>
      </c>
      <c r="C178" s="1123" t="s">
        <v>531</v>
      </c>
      <c r="D178" s="1088" t="s">
        <v>143</v>
      </c>
      <c r="E178" s="1088" t="s">
        <v>171</v>
      </c>
      <c r="F178" s="1124" t="s">
        <v>127</v>
      </c>
      <c r="G178" s="1443" t="s">
        <v>532</v>
      </c>
      <c r="H178" s="1125"/>
      <c r="I178" s="1125"/>
      <c r="J178" s="1289"/>
      <c r="K178" s="1289"/>
      <c r="L178" s="1290"/>
      <c r="M178" s="1290">
        <v>400171.75</v>
      </c>
      <c r="N178" s="295">
        <f t="shared" si="566"/>
        <v>46686.7041666667</v>
      </c>
      <c r="O178" s="295">
        <v>5000</v>
      </c>
      <c r="P178" s="295">
        <v>20883</v>
      </c>
      <c r="Q178" s="295"/>
      <c r="R178" s="295">
        <v>2500</v>
      </c>
      <c r="S178" s="295"/>
      <c r="T178" s="295"/>
      <c r="U178" s="295"/>
      <c r="V178" s="295"/>
      <c r="W178" s="295"/>
      <c r="X178" s="295"/>
      <c r="Y178" s="295"/>
      <c r="Z178" s="295">
        <v>2500</v>
      </c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1140"/>
      <c r="AM178" s="295">
        <f t="shared" si="503"/>
        <v>8003.435</v>
      </c>
      <c r="AN178" s="295">
        <v>500</v>
      </c>
      <c r="AO178" s="1302"/>
      <c r="AP178" s="1302"/>
      <c r="AQ178" s="1303">
        <v>1000</v>
      </c>
      <c r="AR178" s="1303"/>
      <c r="AS178" s="1304"/>
      <c r="AT178" s="1303"/>
      <c r="AU178" s="1303"/>
      <c r="AV178" s="1151">
        <v>5000</v>
      </c>
      <c r="AW178" s="1151"/>
      <c r="AX178" s="1303"/>
      <c r="AY178" s="1161">
        <v>2000</v>
      </c>
      <c r="AZ178" s="1151"/>
      <c r="BA178" s="295">
        <v>30000</v>
      </c>
      <c r="BB178" s="295"/>
      <c r="BC178" s="295"/>
      <c r="BD178" s="295"/>
      <c r="BE178" s="724">
        <v>2000</v>
      </c>
      <c r="BF178" s="724"/>
      <c r="BG178" s="724"/>
      <c r="BH178" s="724">
        <f t="shared" si="418"/>
        <v>9554.82908333333</v>
      </c>
      <c r="BI178" s="1166"/>
      <c r="BJ178" s="1166"/>
      <c r="BK178" s="724">
        <v>70393.03</v>
      </c>
      <c r="BL178" s="724">
        <f t="shared" ref="BL178:BL240" si="567">M178+N178+O178+P178+R178+S178+T178+U178+V178+W178+Y178+Z178+AA178</f>
        <v>477741.454166667</v>
      </c>
      <c r="BM178" s="724">
        <f t="shared" si="441"/>
        <v>128451.294083333</v>
      </c>
      <c r="BN178" s="724"/>
      <c r="BO178" s="724"/>
      <c r="BP178" s="724">
        <f t="shared" si="424"/>
        <v>349290.160083333</v>
      </c>
      <c r="BQ178" s="1320"/>
      <c r="BR178" s="1321"/>
      <c r="BS178" s="1322"/>
      <c r="BT178" s="1323"/>
      <c r="BU178" s="1329"/>
      <c r="BV178" s="1321"/>
      <c r="BW178" s="1322"/>
      <c r="BX178" s="1322"/>
      <c r="BY178" s="1322"/>
      <c r="BZ178" s="1322"/>
      <c r="CA178" s="1322"/>
      <c r="CB178" s="1322"/>
      <c r="CC178" s="1320"/>
      <c r="CD178" s="1322"/>
      <c r="CE178" s="321"/>
      <c r="CF178" s="322"/>
      <c r="CG178" s="1321"/>
      <c r="CH178" s="1339"/>
      <c r="CI178" s="1322"/>
      <c r="CJ178" s="1329"/>
      <c r="CK178" s="1329"/>
      <c r="CL178" s="335"/>
      <c r="CN178" s="1263"/>
      <c r="CO178" s="1258"/>
    </row>
    <row r="179" s="245" customFormat="1" ht="202" customHeight="1" spans="1:93">
      <c r="A179" s="1122">
        <v>176</v>
      </c>
      <c r="B179" s="70" t="s">
        <v>533</v>
      </c>
      <c r="C179" s="1123" t="s">
        <v>534</v>
      </c>
      <c r="D179" s="1088" t="s">
        <v>143</v>
      </c>
      <c r="E179" s="1088" t="s">
        <v>171</v>
      </c>
      <c r="F179" s="1124" t="s">
        <v>113</v>
      </c>
      <c r="G179" s="1443" t="s">
        <v>535</v>
      </c>
      <c r="H179" s="1125"/>
      <c r="I179" s="1125"/>
      <c r="J179" s="1289"/>
      <c r="K179" s="1289"/>
      <c r="L179" s="1290"/>
      <c r="M179" s="1290">
        <v>400171.75</v>
      </c>
      <c r="N179" s="295">
        <f t="shared" si="566"/>
        <v>46686.7041666667</v>
      </c>
      <c r="O179" s="295">
        <v>5000</v>
      </c>
      <c r="P179" s="295">
        <v>41667</v>
      </c>
      <c r="Q179" s="295"/>
      <c r="R179" s="295">
        <v>2500</v>
      </c>
      <c r="S179" s="295"/>
      <c r="T179" s="295"/>
      <c r="U179" s="295"/>
      <c r="V179" s="295"/>
      <c r="W179" s="295"/>
      <c r="X179" s="295"/>
      <c r="Y179" s="295"/>
      <c r="Z179" s="295">
        <v>2500</v>
      </c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1140"/>
      <c r="AM179" s="295">
        <f t="shared" si="503"/>
        <v>8003.435</v>
      </c>
      <c r="AN179" s="295">
        <v>500</v>
      </c>
      <c r="AO179" s="1302"/>
      <c r="AP179" s="1302"/>
      <c r="AQ179" s="1303">
        <v>1000</v>
      </c>
      <c r="AR179" s="1303"/>
      <c r="AS179" s="1304"/>
      <c r="AT179" s="1303"/>
      <c r="AU179" s="1303"/>
      <c r="AV179" s="1151"/>
      <c r="AW179" s="1151"/>
      <c r="AX179" s="1303"/>
      <c r="AY179" s="1161">
        <v>2000</v>
      </c>
      <c r="AZ179" s="1151"/>
      <c r="BA179" s="295">
        <v>15000</v>
      </c>
      <c r="BB179" s="295"/>
      <c r="BC179" s="295"/>
      <c r="BD179" s="295"/>
      <c r="BE179" s="724">
        <v>2000</v>
      </c>
      <c r="BF179" s="724"/>
      <c r="BG179" s="724"/>
      <c r="BH179" s="724">
        <f t="shared" si="418"/>
        <v>9970.50908333333</v>
      </c>
      <c r="BI179" s="1166"/>
      <c r="BJ179" s="1166"/>
      <c r="BK179" s="724">
        <v>74383.55</v>
      </c>
      <c r="BL179" s="724">
        <f t="shared" si="567"/>
        <v>498525.454166667</v>
      </c>
      <c r="BM179" s="724">
        <f t="shared" si="441"/>
        <v>112857.494083333</v>
      </c>
      <c r="BN179" s="724"/>
      <c r="BO179" s="724"/>
      <c r="BP179" s="724">
        <f t="shared" si="424"/>
        <v>385667.960083333</v>
      </c>
      <c r="BQ179" s="1320"/>
      <c r="BR179" s="1321"/>
      <c r="BS179" s="1322"/>
      <c r="BT179" s="1323"/>
      <c r="BU179" s="1329"/>
      <c r="BV179" s="1321"/>
      <c r="BW179" s="1322"/>
      <c r="BX179" s="1322"/>
      <c r="BY179" s="1322"/>
      <c r="BZ179" s="1322"/>
      <c r="CA179" s="1322"/>
      <c r="CB179" s="1322"/>
      <c r="CC179" s="1320"/>
      <c r="CD179" s="1322"/>
      <c r="CE179" s="321"/>
      <c r="CF179" s="322"/>
      <c r="CG179" s="1321"/>
      <c r="CH179" s="1339"/>
      <c r="CI179" s="1322"/>
      <c r="CJ179" s="1329"/>
      <c r="CK179" s="1329"/>
      <c r="CL179" s="335"/>
      <c r="CN179" s="1263"/>
      <c r="CO179" s="1258"/>
    </row>
    <row r="180" s="245" customFormat="1" ht="202" customHeight="1" spans="1:93">
      <c r="A180" s="1122">
        <v>177</v>
      </c>
      <c r="B180" s="70" t="s">
        <v>536</v>
      </c>
      <c r="C180" s="1123" t="s">
        <v>537</v>
      </c>
      <c r="D180" s="1088" t="s">
        <v>143</v>
      </c>
      <c r="E180" s="1088" t="s">
        <v>171</v>
      </c>
      <c r="F180" s="1124" t="s">
        <v>259</v>
      </c>
      <c r="G180" s="1443" t="s">
        <v>538</v>
      </c>
      <c r="H180" s="1125"/>
      <c r="I180" s="1125"/>
      <c r="J180" s="1289"/>
      <c r="K180" s="1289"/>
      <c r="L180" s="1290"/>
      <c r="M180" s="1290">
        <v>400171.75</v>
      </c>
      <c r="N180" s="295">
        <f t="shared" si="566"/>
        <v>46686.7041666667</v>
      </c>
      <c r="O180" s="295">
        <v>5000</v>
      </c>
      <c r="P180" s="295"/>
      <c r="Q180" s="295"/>
      <c r="R180" s="295">
        <v>2500</v>
      </c>
      <c r="S180" s="295"/>
      <c r="T180" s="295"/>
      <c r="U180" s="295"/>
      <c r="V180" s="295"/>
      <c r="W180" s="295"/>
      <c r="X180" s="295"/>
      <c r="Y180" s="295"/>
      <c r="Z180" s="295">
        <v>2500</v>
      </c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1140"/>
      <c r="AM180" s="295">
        <f t="shared" si="503"/>
        <v>8003.435</v>
      </c>
      <c r="AN180" s="295">
        <v>500</v>
      </c>
      <c r="AO180" s="1302"/>
      <c r="AP180" s="1302"/>
      <c r="AQ180" s="1303"/>
      <c r="AR180" s="1303"/>
      <c r="AS180" s="1304"/>
      <c r="AT180" s="1303"/>
      <c r="AU180" s="1303"/>
      <c r="AV180" s="1151"/>
      <c r="AW180" s="1151"/>
      <c r="AX180" s="1303"/>
      <c r="AY180" s="1161">
        <v>2000</v>
      </c>
      <c r="AZ180" s="1151"/>
      <c r="BA180" s="295">
        <v>0</v>
      </c>
      <c r="BB180" s="295"/>
      <c r="BC180" s="295"/>
      <c r="BD180" s="295"/>
      <c r="BE180" s="724">
        <v>2000</v>
      </c>
      <c r="BF180" s="724"/>
      <c r="BG180" s="724"/>
      <c r="BH180" s="724">
        <f t="shared" si="418"/>
        <v>9137.16908333333</v>
      </c>
      <c r="BI180" s="1166"/>
      <c r="BJ180" s="1166"/>
      <c r="BK180" s="724">
        <v>66383.49</v>
      </c>
      <c r="BL180" s="724">
        <f t="shared" si="567"/>
        <v>456858.454166667</v>
      </c>
      <c r="BM180" s="724">
        <f t="shared" si="441"/>
        <v>88024.0940833333</v>
      </c>
      <c r="BN180" s="724"/>
      <c r="BO180" s="724"/>
      <c r="BP180" s="724">
        <f t="shared" si="424"/>
        <v>368834.360083333</v>
      </c>
      <c r="BQ180" s="1320"/>
      <c r="BR180" s="1321"/>
      <c r="BS180" s="1322"/>
      <c r="BT180" s="1323"/>
      <c r="BU180" s="1329"/>
      <c r="BV180" s="1321"/>
      <c r="BW180" s="1322"/>
      <c r="BX180" s="1322"/>
      <c r="BY180" s="1322"/>
      <c r="BZ180" s="1322"/>
      <c r="CA180" s="1322"/>
      <c r="CB180" s="1322"/>
      <c r="CC180" s="1320"/>
      <c r="CD180" s="1322"/>
      <c r="CE180" s="321"/>
      <c r="CF180" s="322"/>
      <c r="CG180" s="1321"/>
      <c r="CH180" s="1339"/>
      <c r="CI180" s="1322"/>
      <c r="CJ180" s="1329"/>
      <c r="CK180" s="1329"/>
      <c r="CL180" s="335"/>
      <c r="CN180" s="1263"/>
      <c r="CO180" s="1258"/>
    </row>
    <row r="181" s="245" customFormat="1" ht="202" customHeight="1" spans="1:93">
      <c r="A181" s="1122">
        <v>178</v>
      </c>
      <c r="B181" s="70" t="s">
        <v>539</v>
      </c>
      <c r="C181" s="1123" t="s">
        <v>188</v>
      </c>
      <c r="D181" s="1088" t="s">
        <v>130</v>
      </c>
      <c r="E181" s="1088" t="s">
        <v>174</v>
      </c>
      <c r="F181" s="1124" t="s">
        <v>93</v>
      </c>
      <c r="G181" s="1443" t="s">
        <v>540</v>
      </c>
      <c r="H181" s="1125"/>
      <c r="I181" s="1125"/>
      <c r="J181" s="1289"/>
      <c r="K181" s="1289"/>
      <c r="L181" s="1290"/>
      <c r="M181" s="1290">
        <v>291760.83</v>
      </c>
      <c r="N181" s="295">
        <f t="shared" si="566"/>
        <v>34038.7635</v>
      </c>
      <c r="O181" s="295">
        <v>5000</v>
      </c>
      <c r="P181" s="295"/>
      <c r="Q181" s="295"/>
      <c r="R181" s="295">
        <v>2500</v>
      </c>
      <c r="S181" s="295"/>
      <c r="T181" s="295"/>
      <c r="U181" s="295"/>
      <c r="V181" s="295"/>
      <c r="W181" s="295"/>
      <c r="X181" s="295"/>
      <c r="Y181" s="295"/>
      <c r="Z181" s="295">
        <v>2500</v>
      </c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1140"/>
      <c r="AM181" s="295">
        <f t="shared" si="503"/>
        <v>5835.2166</v>
      </c>
      <c r="AN181" s="295">
        <v>500</v>
      </c>
      <c r="AO181" s="1302"/>
      <c r="AP181" s="1302">
        <v>11000</v>
      </c>
      <c r="AQ181" s="1303"/>
      <c r="AR181" s="1303"/>
      <c r="AS181" s="1304"/>
      <c r="AT181" s="1303"/>
      <c r="AU181" s="1303"/>
      <c r="AV181" s="1151"/>
      <c r="AW181" s="1151"/>
      <c r="AX181" s="1303">
        <v>1000</v>
      </c>
      <c r="AY181" s="1161"/>
      <c r="AZ181" s="1151"/>
      <c r="BA181" s="295">
        <v>20000</v>
      </c>
      <c r="BB181" s="295"/>
      <c r="BC181" s="295"/>
      <c r="BD181" s="295"/>
      <c r="BE181" s="724">
        <v>1500</v>
      </c>
      <c r="BF181" s="724"/>
      <c r="BG181" s="724"/>
      <c r="BH181" s="724">
        <f t="shared" si="418"/>
        <v>6715.99187</v>
      </c>
      <c r="BI181" s="1166"/>
      <c r="BJ181" s="1166"/>
      <c r="BK181" s="724">
        <v>43581</v>
      </c>
      <c r="BL181" s="724">
        <f t="shared" si="567"/>
        <v>335799.5935</v>
      </c>
      <c r="BM181" s="724">
        <f t="shared" si="441"/>
        <v>90132.20847</v>
      </c>
      <c r="BN181" s="724"/>
      <c r="BO181" s="724"/>
      <c r="BP181" s="724">
        <f t="shared" si="424"/>
        <v>245667.38503</v>
      </c>
      <c r="BQ181" s="1320"/>
      <c r="BR181" s="1321"/>
      <c r="BS181" s="1322"/>
      <c r="BT181" s="1323"/>
      <c r="BU181" s="1329"/>
      <c r="BV181" s="1321"/>
      <c r="BW181" s="1322"/>
      <c r="BX181" s="1322"/>
      <c r="BY181" s="1322"/>
      <c r="BZ181" s="1322"/>
      <c r="CA181" s="1322"/>
      <c r="CB181" s="1322"/>
      <c r="CC181" s="1320"/>
      <c r="CD181" s="1322"/>
      <c r="CE181" s="321"/>
      <c r="CF181" s="322"/>
      <c r="CG181" s="1321"/>
      <c r="CH181" s="1339"/>
      <c r="CI181" s="1322"/>
      <c r="CJ181" s="1329"/>
      <c r="CK181" s="1329"/>
      <c r="CL181" s="335"/>
      <c r="CN181" s="1263"/>
      <c r="CO181" s="1258"/>
    </row>
    <row r="182" s="245" customFormat="1" ht="202" customHeight="1" spans="1:93">
      <c r="A182" s="1122">
        <v>179</v>
      </c>
      <c r="B182" s="70" t="s">
        <v>541</v>
      </c>
      <c r="C182" s="1123" t="s">
        <v>110</v>
      </c>
      <c r="D182" s="1088" t="s">
        <v>130</v>
      </c>
      <c r="E182" s="1088" t="s">
        <v>174</v>
      </c>
      <c r="F182" s="1124" t="s">
        <v>97</v>
      </c>
      <c r="G182" s="1443" t="s">
        <v>542</v>
      </c>
      <c r="H182" s="1125"/>
      <c r="I182" s="1125"/>
      <c r="J182" s="1289"/>
      <c r="K182" s="1289"/>
      <c r="L182" s="1290"/>
      <c r="M182" s="1290">
        <v>291760.83</v>
      </c>
      <c r="N182" s="295">
        <f t="shared" si="566"/>
        <v>34038.7635</v>
      </c>
      <c r="O182" s="295">
        <v>5000</v>
      </c>
      <c r="P182" s="295"/>
      <c r="Q182" s="295"/>
      <c r="R182" s="295">
        <v>2500</v>
      </c>
      <c r="S182" s="295"/>
      <c r="T182" s="295"/>
      <c r="U182" s="295"/>
      <c r="V182" s="295"/>
      <c r="W182" s="295"/>
      <c r="X182" s="295"/>
      <c r="Y182" s="295"/>
      <c r="Z182" s="295">
        <v>2500</v>
      </c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1140"/>
      <c r="AM182" s="295">
        <f t="shared" si="503"/>
        <v>5835.2166</v>
      </c>
      <c r="AN182" s="295">
        <v>500</v>
      </c>
      <c r="AO182" s="1302"/>
      <c r="AP182" s="1302"/>
      <c r="AQ182" s="1303">
        <v>1000</v>
      </c>
      <c r="AR182" s="1303"/>
      <c r="AS182" s="1304"/>
      <c r="AT182" s="1303"/>
      <c r="AU182" s="1303"/>
      <c r="AV182" s="1151">
        <v>5000</v>
      </c>
      <c r="AW182" s="1151"/>
      <c r="AX182" s="1303"/>
      <c r="AY182" s="1161"/>
      <c r="AZ182" s="1151"/>
      <c r="BA182" s="295">
        <v>0</v>
      </c>
      <c r="BB182" s="295"/>
      <c r="BC182" s="295"/>
      <c r="BD182" s="295"/>
      <c r="BE182" s="724">
        <v>1500</v>
      </c>
      <c r="BF182" s="724"/>
      <c r="BG182" s="724"/>
      <c r="BH182" s="724">
        <f t="shared" si="418"/>
        <v>6715.99187</v>
      </c>
      <c r="BI182" s="1166"/>
      <c r="BJ182" s="1166"/>
      <c r="BK182" s="724">
        <v>43581</v>
      </c>
      <c r="BL182" s="724">
        <f t="shared" si="567"/>
        <v>335799.5935</v>
      </c>
      <c r="BM182" s="724">
        <f t="shared" si="441"/>
        <v>64132.20847</v>
      </c>
      <c r="BN182" s="724"/>
      <c r="BO182" s="724"/>
      <c r="BP182" s="724">
        <f t="shared" si="424"/>
        <v>271667.38503</v>
      </c>
      <c r="BQ182" s="1320"/>
      <c r="BR182" s="1321"/>
      <c r="BS182" s="1322"/>
      <c r="BT182" s="1323"/>
      <c r="BU182" s="1329"/>
      <c r="BV182" s="1321"/>
      <c r="BW182" s="1322"/>
      <c r="BX182" s="1322"/>
      <c r="BY182" s="1322"/>
      <c r="BZ182" s="1322"/>
      <c r="CA182" s="1322"/>
      <c r="CB182" s="1322"/>
      <c r="CC182" s="1320"/>
      <c r="CD182" s="1322"/>
      <c r="CE182" s="321"/>
      <c r="CF182" s="322"/>
      <c r="CG182" s="1321"/>
      <c r="CH182" s="1339"/>
      <c r="CI182" s="1322"/>
      <c r="CJ182" s="1329"/>
      <c r="CK182" s="1329"/>
      <c r="CL182" s="335"/>
      <c r="CN182" s="1263"/>
      <c r="CO182" s="1258"/>
    </row>
    <row r="183" s="245" customFormat="1" ht="202" customHeight="1" spans="1:93">
      <c r="A183" s="1122">
        <v>180</v>
      </c>
      <c r="B183" s="70" t="s">
        <v>543</v>
      </c>
      <c r="C183" s="1123" t="s">
        <v>191</v>
      </c>
      <c r="D183" s="1088" t="s">
        <v>130</v>
      </c>
      <c r="E183" s="1088" t="s">
        <v>174</v>
      </c>
      <c r="F183" s="1124" t="s">
        <v>97</v>
      </c>
      <c r="G183" s="1443" t="s">
        <v>544</v>
      </c>
      <c r="H183" s="1125"/>
      <c r="I183" s="1125"/>
      <c r="J183" s="1289"/>
      <c r="K183" s="1289"/>
      <c r="L183" s="1290"/>
      <c r="M183" s="1290">
        <v>291760.83</v>
      </c>
      <c r="N183" s="295">
        <f t="shared" si="566"/>
        <v>34038.7635</v>
      </c>
      <c r="O183" s="295">
        <v>5000</v>
      </c>
      <c r="P183" s="295"/>
      <c r="Q183" s="295"/>
      <c r="R183" s="295">
        <v>2500</v>
      </c>
      <c r="S183" s="295"/>
      <c r="T183" s="295"/>
      <c r="U183" s="295"/>
      <c r="V183" s="295"/>
      <c r="W183" s="295"/>
      <c r="X183" s="295"/>
      <c r="Y183" s="295"/>
      <c r="Z183" s="295">
        <v>2500</v>
      </c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1140"/>
      <c r="AM183" s="295">
        <f t="shared" si="503"/>
        <v>5835.2166</v>
      </c>
      <c r="AN183" s="295">
        <v>500</v>
      </c>
      <c r="AO183" s="1302"/>
      <c r="AP183" s="1302"/>
      <c r="AQ183" s="1303"/>
      <c r="AR183" s="1303"/>
      <c r="AS183" s="1304">
        <v>1000</v>
      </c>
      <c r="AT183" s="1303"/>
      <c r="AU183" s="1303"/>
      <c r="AV183" s="1151"/>
      <c r="AW183" s="1151"/>
      <c r="AX183" s="1303"/>
      <c r="AY183" s="1161"/>
      <c r="AZ183" s="1151"/>
      <c r="BA183" s="295">
        <v>0</v>
      </c>
      <c r="BB183" s="295"/>
      <c r="BC183" s="295"/>
      <c r="BD183" s="295"/>
      <c r="BE183" s="724">
        <v>1500</v>
      </c>
      <c r="BF183" s="724"/>
      <c r="BG183" s="724"/>
      <c r="BH183" s="724">
        <f t="shared" si="418"/>
        <v>6715.99187</v>
      </c>
      <c r="BI183" s="1166"/>
      <c r="BJ183" s="1166"/>
      <c r="BK183" s="724">
        <v>43581</v>
      </c>
      <c r="BL183" s="724">
        <f t="shared" si="567"/>
        <v>335799.5935</v>
      </c>
      <c r="BM183" s="724">
        <f t="shared" si="441"/>
        <v>59132.20847</v>
      </c>
      <c r="BN183" s="724"/>
      <c r="BO183" s="724"/>
      <c r="BP183" s="724">
        <f t="shared" si="424"/>
        <v>276667.38503</v>
      </c>
      <c r="BQ183" s="1320"/>
      <c r="BR183" s="1321"/>
      <c r="BS183" s="1322"/>
      <c r="BT183" s="1323"/>
      <c r="BU183" s="1329"/>
      <c r="BV183" s="1321"/>
      <c r="BW183" s="1322"/>
      <c r="BX183" s="1322"/>
      <c r="BY183" s="1322"/>
      <c r="BZ183" s="1322"/>
      <c r="CA183" s="1322"/>
      <c r="CB183" s="1322"/>
      <c r="CC183" s="1320"/>
      <c r="CD183" s="1322"/>
      <c r="CE183" s="321"/>
      <c r="CF183" s="322"/>
      <c r="CG183" s="1321"/>
      <c r="CH183" s="1339"/>
      <c r="CI183" s="1322"/>
      <c r="CJ183" s="1329"/>
      <c r="CK183" s="1329"/>
      <c r="CL183" s="335"/>
      <c r="CN183" s="1263"/>
      <c r="CO183" s="1258"/>
    </row>
    <row r="184" s="245" customFormat="1" ht="202" customHeight="1" spans="1:93">
      <c r="A184" s="1122">
        <v>181</v>
      </c>
      <c r="B184" s="70" t="s">
        <v>545</v>
      </c>
      <c r="C184" s="1123" t="s">
        <v>546</v>
      </c>
      <c r="D184" s="1088" t="s">
        <v>130</v>
      </c>
      <c r="E184" s="1088" t="s">
        <v>174</v>
      </c>
      <c r="F184" s="1124" t="s">
        <v>93</v>
      </c>
      <c r="G184" s="1443" t="s">
        <v>547</v>
      </c>
      <c r="H184" s="1125"/>
      <c r="I184" s="1125"/>
      <c r="J184" s="1289"/>
      <c r="K184" s="1289"/>
      <c r="L184" s="1290"/>
      <c r="M184" s="1290">
        <v>291760.83</v>
      </c>
      <c r="N184" s="295">
        <f t="shared" si="566"/>
        <v>34038.7635</v>
      </c>
      <c r="O184" s="295">
        <v>5000</v>
      </c>
      <c r="P184" s="295"/>
      <c r="Q184" s="295"/>
      <c r="R184" s="295">
        <v>2500</v>
      </c>
      <c r="S184" s="295"/>
      <c r="T184" s="295"/>
      <c r="U184" s="295"/>
      <c r="V184" s="295"/>
      <c r="W184" s="295"/>
      <c r="X184" s="295"/>
      <c r="Y184" s="295"/>
      <c r="Z184" s="295">
        <v>2500</v>
      </c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1140"/>
      <c r="AM184" s="295">
        <f t="shared" si="503"/>
        <v>5835.2166</v>
      </c>
      <c r="AN184" s="295">
        <v>500</v>
      </c>
      <c r="AO184" s="1302"/>
      <c r="AP184" s="1302"/>
      <c r="AQ184" s="1303">
        <v>1000</v>
      </c>
      <c r="AR184" s="1303"/>
      <c r="AS184" s="1304"/>
      <c r="AT184" s="1303"/>
      <c r="AU184" s="1303"/>
      <c r="AV184" s="1151"/>
      <c r="AW184" s="1151"/>
      <c r="AX184" s="1303"/>
      <c r="AY184" s="1161"/>
      <c r="AZ184" s="1151"/>
      <c r="BA184" s="295">
        <v>120000</v>
      </c>
      <c r="BB184" s="295"/>
      <c r="BC184" s="295"/>
      <c r="BD184" s="295"/>
      <c r="BE184" s="724">
        <v>1500</v>
      </c>
      <c r="BF184" s="724"/>
      <c r="BG184" s="724"/>
      <c r="BH184" s="724">
        <f t="shared" si="418"/>
        <v>6715.99187</v>
      </c>
      <c r="BI184" s="1166"/>
      <c r="BJ184" s="1166"/>
      <c r="BK184" s="724">
        <v>43581</v>
      </c>
      <c r="BL184" s="724">
        <f t="shared" si="567"/>
        <v>335799.5935</v>
      </c>
      <c r="BM184" s="724">
        <f t="shared" si="441"/>
        <v>179132.20847</v>
      </c>
      <c r="BN184" s="724"/>
      <c r="BO184" s="724"/>
      <c r="BP184" s="724">
        <f t="shared" si="424"/>
        <v>156667.38503</v>
      </c>
      <c r="BQ184" s="1320"/>
      <c r="BR184" s="1321"/>
      <c r="BS184" s="1322"/>
      <c r="BT184" s="1323"/>
      <c r="BU184" s="1329"/>
      <c r="BV184" s="1321"/>
      <c r="BW184" s="1322"/>
      <c r="BX184" s="1322"/>
      <c r="BY184" s="1322"/>
      <c r="BZ184" s="1322"/>
      <c r="CA184" s="1322"/>
      <c r="CB184" s="1322"/>
      <c r="CC184" s="1320"/>
      <c r="CD184" s="1322"/>
      <c r="CE184" s="321"/>
      <c r="CF184" s="322"/>
      <c r="CG184" s="1321"/>
      <c r="CH184" s="1339"/>
      <c r="CI184" s="1322"/>
      <c r="CJ184" s="1329"/>
      <c r="CK184" s="1329"/>
      <c r="CL184" s="335"/>
      <c r="CN184" s="1263"/>
      <c r="CO184" s="1258"/>
    </row>
    <row r="185" s="245" customFormat="1" ht="202" customHeight="1" spans="1:93">
      <c r="A185" s="1122">
        <v>182</v>
      </c>
      <c r="B185" s="70" t="s">
        <v>548</v>
      </c>
      <c r="C185" s="1123" t="s">
        <v>546</v>
      </c>
      <c r="D185" s="1088" t="s">
        <v>130</v>
      </c>
      <c r="E185" s="1088" t="s">
        <v>174</v>
      </c>
      <c r="F185" s="1124" t="s">
        <v>549</v>
      </c>
      <c r="G185" s="1443" t="s">
        <v>550</v>
      </c>
      <c r="H185" s="1125"/>
      <c r="I185" s="1125"/>
      <c r="J185" s="1289"/>
      <c r="K185" s="1289"/>
      <c r="L185" s="1290"/>
      <c r="M185" s="1290">
        <v>291760.83</v>
      </c>
      <c r="N185" s="295">
        <f t="shared" si="566"/>
        <v>34038.7635</v>
      </c>
      <c r="O185" s="295">
        <v>5000</v>
      </c>
      <c r="P185" s="295"/>
      <c r="Q185" s="295"/>
      <c r="R185" s="295">
        <v>2500</v>
      </c>
      <c r="S185" s="295"/>
      <c r="T185" s="295"/>
      <c r="U185" s="295"/>
      <c r="V185" s="295"/>
      <c r="W185" s="295"/>
      <c r="X185" s="295"/>
      <c r="Y185" s="295"/>
      <c r="Z185" s="295">
        <v>2500</v>
      </c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1140"/>
      <c r="AM185" s="295">
        <f t="shared" si="503"/>
        <v>5835.2166</v>
      </c>
      <c r="AN185" s="295">
        <v>500</v>
      </c>
      <c r="AO185" s="1302"/>
      <c r="AP185" s="1302">
        <v>50000</v>
      </c>
      <c r="AQ185" s="1303">
        <v>1000</v>
      </c>
      <c r="AR185" s="1303"/>
      <c r="AS185" s="1304"/>
      <c r="AT185" s="1303"/>
      <c r="AU185" s="1303"/>
      <c r="AV185" s="1151"/>
      <c r="AW185" s="1151"/>
      <c r="AX185" s="1303"/>
      <c r="AY185" s="1161"/>
      <c r="AZ185" s="1151"/>
      <c r="BA185" s="295">
        <v>0</v>
      </c>
      <c r="BB185" s="295"/>
      <c r="BC185" s="295">
        <v>11670.4332</v>
      </c>
      <c r="BD185" s="295">
        <v>7500</v>
      </c>
      <c r="BE185" s="724">
        <v>1500</v>
      </c>
      <c r="BF185" s="724"/>
      <c r="BG185" s="724"/>
      <c r="BH185" s="724">
        <f t="shared" si="418"/>
        <v>6715.99187</v>
      </c>
      <c r="BI185" s="1166"/>
      <c r="BJ185" s="1166"/>
      <c r="BK185" s="724">
        <v>43581</v>
      </c>
      <c r="BL185" s="724">
        <f t="shared" si="567"/>
        <v>335799.5935</v>
      </c>
      <c r="BM185" s="724">
        <f t="shared" si="441"/>
        <v>128302.64167</v>
      </c>
      <c r="BN185" s="724"/>
      <c r="BO185" s="724"/>
      <c r="BP185" s="724">
        <f t="shared" si="424"/>
        <v>207496.95183</v>
      </c>
      <c r="BQ185" s="1320"/>
      <c r="BR185" s="1321"/>
      <c r="BS185" s="1322"/>
      <c r="BT185" s="1323"/>
      <c r="BU185" s="1329"/>
      <c r="BV185" s="1321"/>
      <c r="BW185" s="1322"/>
      <c r="BX185" s="1322"/>
      <c r="BY185" s="1322"/>
      <c r="BZ185" s="1322"/>
      <c r="CA185" s="1322"/>
      <c r="CB185" s="1322"/>
      <c r="CC185" s="1320"/>
      <c r="CD185" s="1322"/>
      <c r="CE185" s="321"/>
      <c r="CF185" s="322"/>
      <c r="CG185" s="1321"/>
      <c r="CH185" s="1339"/>
      <c r="CI185" s="1322"/>
      <c r="CJ185" s="1329"/>
      <c r="CK185" s="1329"/>
      <c r="CL185" s="335"/>
      <c r="CN185" s="1263"/>
      <c r="CO185" s="1258"/>
    </row>
    <row r="186" s="245" customFormat="1" ht="202" customHeight="1" spans="1:93">
      <c r="A186" s="1122">
        <v>183</v>
      </c>
      <c r="B186" s="70" t="s">
        <v>551</v>
      </c>
      <c r="C186" s="1123" t="s">
        <v>537</v>
      </c>
      <c r="D186" s="1088" t="s">
        <v>130</v>
      </c>
      <c r="E186" s="1088" t="s">
        <v>174</v>
      </c>
      <c r="F186" s="1124" t="s">
        <v>313</v>
      </c>
      <c r="G186" s="1443" t="s">
        <v>552</v>
      </c>
      <c r="H186" s="1125"/>
      <c r="I186" s="1125"/>
      <c r="J186" s="1289"/>
      <c r="K186" s="1289"/>
      <c r="L186" s="1290"/>
      <c r="M186" s="1290">
        <v>291760.83</v>
      </c>
      <c r="N186" s="295">
        <f t="shared" si="566"/>
        <v>34038.7635</v>
      </c>
      <c r="O186" s="295">
        <v>5000</v>
      </c>
      <c r="P186" s="295"/>
      <c r="Q186" s="295"/>
      <c r="R186" s="295">
        <v>2500</v>
      </c>
      <c r="S186" s="295"/>
      <c r="T186" s="295"/>
      <c r="U186" s="295"/>
      <c r="V186" s="295"/>
      <c r="W186" s="295"/>
      <c r="X186" s="295"/>
      <c r="Y186" s="295"/>
      <c r="Z186" s="295">
        <v>2500</v>
      </c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1140"/>
      <c r="AM186" s="295">
        <f t="shared" si="503"/>
        <v>5835.2166</v>
      </c>
      <c r="AN186" s="295">
        <v>500</v>
      </c>
      <c r="AO186" s="1302"/>
      <c r="AP186" s="1302"/>
      <c r="AQ186" s="1303"/>
      <c r="AR186" s="1303"/>
      <c r="AS186" s="1304"/>
      <c r="AT186" s="1303"/>
      <c r="AU186" s="1303"/>
      <c r="AV186" s="1151"/>
      <c r="AW186" s="1151"/>
      <c r="AX186" s="1303"/>
      <c r="AY186" s="1161"/>
      <c r="AZ186" s="1151"/>
      <c r="BA186" s="295">
        <v>0</v>
      </c>
      <c r="BB186" s="295"/>
      <c r="BC186" s="295"/>
      <c r="BD186" s="295"/>
      <c r="BE186" s="724">
        <v>1500</v>
      </c>
      <c r="BF186" s="724"/>
      <c r="BG186" s="724"/>
      <c r="BH186" s="724">
        <f t="shared" si="418"/>
        <v>6715.99187</v>
      </c>
      <c r="BI186" s="1166"/>
      <c r="BJ186" s="1166"/>
      <c r="BK186" s="724">
        <v>43581</v>
      </c>
      <c r="BL186" s="724">
        <f t="shared" si="567"/>
        <v>335799.5935</v>
      </c>
      <c r="BM186" s="724">
        <f t="shared" si="441"/>
        <v>58132.20847</v>
      </c>
      <c r="BN186" s="724"/>
      <c r="BO186" s="724"/>
      <c r="BP186" s="724">
        <f t="shared" si="424"/>
        <v>277667.38503</v>
      </c>
      <c r="BQ186" s="1320"/>
      <c r="BR186" s="1321"/>
      <c r="BS186" s="1322"/>
      <c r="BT186" s="1323"/>
      <c r="BU186" s="1329"/>
      <c r="BV186" s="1321"/>
      <c r="BW186" s="1322"/>
      <c r="BX186" s="1322"/>
      <c r="BY186" s="1322"/>
      <c r="BZ186" s="1322"/>
      <c r="CA186" s="1322"/>
      <c r="CB186" s="1322"/>
      <c r="CC186" s="1320"/>
      <c r="CD186" s="1322"/>
      <c r="CE186" s="321"/>
      <c r="CF186" s="322"/>
      <c r="CG186" s="1321"/>
      <c r="CH186" s="1339"/>
      <c r="CI186" s="1322"/>
      <c r="CJ186" s="1329"/>
      <c r="CK186" s="1329"/>
      <c r="CL186" s="335"/>
      <c r="CN186" s="1263"/>
      <c r="CO186" s="1258"/>
    </row>
    <row r="187" s="245" customFormat="1" ht="202" customHeight="1" spans="1:93">
      <c r="A187" s="1122">
        <v>184</v>
      </c>
      <c r="B187" s="70" t="s">
        <v>553</v>
      </c>
      <c r="C187" s="1123" t="s">
        <v>554</v>
      </c>
      <c r="D187" s="1088" t="s">
        <v>216</v>
      </c>
      <c r="E187" s="1088" t="s">
        <v>555</v>
      </c>
      <c r="F187" s="1124" t="s">
        <v>113</v>
      </c>
      <c r="G187" s="1443" t="s">
        <v>556</v>
      </c>
      <c r="H187" s="1125"/>
      <c r="I187" s="1125"/>
      <c r="J187" s="1289"/>
      <c r="K187" s="1289"/>
      <c r="L187" s="1290"/>
      <c r="M187" s="1290">
        <v>217132.08</v>
      </c>
      <c r="N187" s="295">
        <f t="shared" si="566"/>
        <v>25332.076</v>
      </c>
      <c r="O187" s="295">
        <v>5000</v>
      </c>
      <c r="P187" s="295"/>
      <c r="Q187" s="295"/>
      <c r="R187" s="295">
        <v>2500</v>
      </c>
      <c r="S187" s="295"/>
      <c r="T187" s="295"/>
      <c r="U187" s="295"/>
      <c r="V187" s="295"/>
      <c r="W187" s="295"/>
      <c r="X187" s="295"/>
      <c r="Y187" s="295"/>
      <c r="Z187" s="295">
        <v>2500</v>
      </c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1140"/>
      <c r="AM187" s="295">
        <f t="shared" si="503"/>
        <v>4342.6416</v>
      </c>
      <c r="AN187" s="295">
        <v>500</v>
      </c>
      <c r="AO187" s="1302"/>
      <c r="AP187" s="1302"/>
      <c r="AQ187" s="1303"/>
      <c r="AR187" s="1303"/>
      <c r="AS187" s="1304"/>
      <c r="AT187" s="1303"/>
      <c r="AU187" s="1303"/>
      <c r="AV187" s="1151"/>
      <c r="AW187" s="1151"/>
      <c r="AX187" s="1303"/>
      <c r="AY187" s="1161"/>
      <c r="AZ187" s="1151"/>
      <c r="BA187" s="295">
        <v>0</v>
      </c>
      <c r="BB187" s="295"/>
      <c r="BC187" s="295"/>
      <c r="BD187" s="295"/>
      <c r="BE187" s="724">
        <v>1000</v>
      </c>
      <c r="BF187" s="724"/>
      <c r="BG187" s="724"/>
      <c r="BH187" s="724">
        <f t="shared" si="418"/>
        <v>5049.28312</v>
      </c>
      <c r="BI187" s="1166"/>
      <c r="BJ187" s="1166"/>
      <c r="BK187" s="724">
        <v>29580.64</v>
      </c>
      <c r="BL187" s="724">
        <f t="shared" si="567"/>
        <v>252464.156</v>
      </c>
      <c r="BM187" s="724">
        <f t="shared" si="441"/>
        <v>40472.56472</v>
      </c>
      <c r="BN187" s="724"/>
      <c r="BO187" s="724"/>
      <c r="BP187" s="724">
        <f t="shared" si="424"/>
        <v>211991.59128</v>
      </c>
      <c r="BQ187" s="1320"/>
      <c r="BR187" s="1321"/>
      <c r="BS187" s="1322"/>
      <c r="BT187" s="1323"/>
      <c r="BU187" s="1329"/>
      <c r="BV187" s="1321"/>
      <c r="BW187" s="1322"/>
      <c r="BX187" s="1322"/>
      <c r="BY187" s="1322"/>
      <c r="BZ187" s="1322"/>
      <c r="CA187" s="1322"/>
      <c r="CB187" s="1322"/>
      <c r="CC187" s="1320"/>
      <c r="CD187" s="1322"/>
      <c r="CE187" s="321"/>
      <c r="CF187" s="322"/>
      <c r="CG187" s="1321"/>
      <c r="CH187" s="1339"/>
      <c r="CI187" s="1322"/>
      <c r="CJ187" s="1329"/>
      <c r="CK187" s="1329"/>
      <c r="CL187" s="335"/>
      <c r="CN187" s="1263"/>
      <c r="CO187" s="1258"/>
    </row>
    <row r="188" s="245" customFormat="1" ht="202" customHeight="1" spans="1:93">
      <c r="A188" s="1122">
        <v>185</v>
      </c>
      <c r="B188" s="70" t="s">
        <v>557</v>
      </c>
      <c r="C188" s="1123" t="s">
        <v>558</v>
      </c>
      <c r="D188" s="1088" t="s">
        <v>216</v>
      </c>
      <c r="E188" s="1088" t="s">
        <v>555</v>
      </c>
      <c r="F188" s="1124" t="s">
        <v>93</v>
      </c>
      <c r="G188" s="1443" t="s">
        <v>559</v>
      </c>
      <c r="H188" s="1125"/>
      <c r="I188" s="1125"/>
      <c r="J188" s="1289"/>
      <c r="K188" s="1289"/>
      <c r="L188" s="1290"/>
      <c r="M188" s="1290">
        <v>217132.08</v>
      </c>
      <c r="N188" s="295">
        <f t="shared" si="566"/>
        <v>25332.076</v>
      </c>
      <c r="O188" s="295">
        <v>5000</v>
      </c>
      <c r="P188" s="295"/>
      <c r="Q188" s="295"/>
      <c r="R188" s="295">
        <v>2500</v>
      </c>
      <c r="S188" s="295"/>
      <c r="T188" s="295"/>
      <c r="U188" s="295"/>
      <c r="V188" s="295"/>
      <c r="W188" s="295"/>
      <c r="X188" s="295"/>
      <c r="Y188" s="295"/>
      <c r="Z188" s="295">
        <v>2500</v>
      </c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1140"/>
      <c r="AM188" s="295">
        <f t="shared" si="503"/>
        <v>4342.6416</v>
      </c>
      <c r="AN188" s="295">
        <v>500</v>
      </c>
      <c r="AO188" s="1302"/>
      <c r="AP188" s="1302"/>
      <c r="AQ188" s="1303"/>
      <c r="AR188" s="1303"/>
      <c r="AS188" s="1304">
        <v>1000</v>
      </c>
      <c r="AT188" s="1303"/>
      <c r="AU188" s="1303"/>
      <c r="AV188" s="1151"/>
      <c r="AW188" s="1151"/>
      <c r="AX188" s="1303"/>
      <c r="AY188" s="1161"/>
      <c r="AZ188" s="1151"/>
      <c r="BA188" s="295">
        <v>0</v>
      </c>
      <c r="BB188" s="295"/>
      <c r="BC188" s="295"/>
      <c r="BD188" s="295"/>
      <c r="BE188" s="724">
        <v>1000</v>
      </c>
      <c r="BF188" s="724"/>
      <c r="BG188" s="724"/>
      <c r="BH188" s="724">
        <f t="shared" ref="BH188:BH251" si="568">BL188*0.02</f>
        <v>5049.28312</v>
      </c>
      <c r="BI188" s="1166"/>
      <c r="BJ188" s="1166"/>
      <c r="BK188" s="724">
        <v>29580.64</v>
      </c>
      <c r="BL188" s="724">
        <f t="shared" si="567"/>
        <v>252464.156</v>
      </c>
      <c r="BM188" s="724">
        <f t="shared" si="441"/>
        <v>41472.56472</v>
      </c>
      <c r="BN188" s="724"/>
      <c r="BO188" s="724"/>
      <c r="BP188" s="724">
        <f t="shared" si="424"/>
        <v>210991.59128</v>
      </c>
      <c r="BQ188" s="1320"/>
      <c r="BR188" s="1321"/>
      <c r="BS188" s="1322"/>
      <c r="BT188" s="1323"/>
      <c r="BU188" s="1329"/>
      <c r="BV188" s="1321"/>
      <c r="BW188" s="1322"/>
      <c r="BX188" s="1322"/>
      <c r="BY188" s="1322"/>
      <c r="BZ188" s="1322"/>
      <c r="CA188" s="1322"/>
      <c r="CB188" s="1322"/>
      <c r="CC188" s="1320"/>
      <c r="CD188" s="1322"/>
      <c r="CE188" s="321"/>
      <c r="CF188" s="322"/>
      <c r="CG188" s="1321"/>
      <c r="CH188" s="1339"/>
      <c r="CI188" s="1322"/>
      <c r="CJ188" s="1329"/>
      <c r="CK188" s="1329"/>
      <c r="CL188" s="335"/>
      <c r="CN188" s="1263"/>
      <c r="CO188" s="1258"/>
    </row>
    <row r="189" s="245" customFormat="1" ht="202" customHeight="1" spans="1:93">
      <c r="A189" s="1122">
        <v>186</v>
      </c>
      <c r="B189" s="70" t="s">
        <v>560</v>
      </c>
      <c r="C189" s="1123" t="s">
        <v>561</v>
      </c>
      <c r="D189" s="1088" t="s">
        <v>216</v>
      </c>
      <c r="E189" s="1088" t="s">
        <v>555</v>
      </c>
      <c r="F189" s="1124" t="s">
        <v>135</v>
      </c>
      <c r="G189" s="1443" t="s">
        <v>562</v>
      </c>
      <c r="H189" s="1125"/>
      <c r="I189" s="1125"/>
      <c r="J189" s="1289"/>
      <c r="K189" s="1289"/>
      <c r="L189" s="1290"/>
      <c r="M189" s="1290">
        <v>217132.08</v>
      </c>
      <c r="N189" s="295">
        <f t="shared" si="566"/>
        <v>25332.076</v>
      </c>
      <c r="O189" s="295">
        <v>5000</v>
      </c>
      <c r="P189" s="295"/>
      <c r="Q189" s="295"/>
      <c r="R189" s="295">
        <v>2500</v>
      </c>
      <c r="S189" s="295"/>
      <c r="T189" s="295"/>
      <c r="U189" s="295"/>
      <c r="V189" s="295"/>
      <c r="W189" s="295"/>
      <c r="X189" s="295"/>
      <c r="Y189" s="295"/>
      <c r="Z189" s="295">
        <v>2500</v>
      </c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1140"/>
      <c r="AM189" s="295">
        <f t="shared" si="503"/>
        <v>4342.6416</v>
      </c>
      <c r="AN189" s="295">
        <v>500</v>
      </c>
      <c r="AO189" s="1302"/>
      <c r="AP189" s="1302"/>
      <c r="AQ189" s="1303"/>
      <c r="AR189" s="1303"/>
      <c r="AS189" s="1304"/>
      <c r="AT189" s="1303"/>
      <c r="AU189" s="1303"/>
      <c r="AV189" s="1151"/>
      <c r="AW189" s="1151"/>
      <c r="AX189" s="1303"/>
      <c r="AY189" s="1161"/>
      <c r="AZ189" s="1151"/>
      <c r="BA189" s="295">
        <v>0</v>
      </c>
      <c r="BB189" s="295"/>
      <c r="BC189" s="295"/>
      <c r="BD189" s="295"/>
      <c r="BE189" s="724">
        <v>1000</v>
      </c>
      <c r="BF189" s="724"/>
      <c r="BG189" s="724"/>
      <c r="BH189" s="724">
        <f t="shared" si="568"/>
        <v>5049.28312</v>
      </c>
      <c r="BI189" s="1166"/>
      <c r="BJ189" s="1166"/>
      <c r="BK189" s="724">
        <v>29580.64</v>
      </c>
      <c r="BL189" s="724">
        <f t="shared" si="567"/>
        <v>252464.156</v>
      </c>
      <c r="BM189" s="724">
        <f t="shared" si="441"/>
        <v>40472.56472</v>
      </c>
      <c r="BN189" s="724"/>
      <c r="BO189" s="724"/>
      <c r="BP189" s="724">
        <f t="shared" si="424"/>
        <v>211991.59128</v>
      </c>
      <c r="BQ189" s="1320"/>
      <c r="BR189" s="1321"/>
      <c r="BS189" s="1322"/>
      <c r="BT189" s="1323"/>
      <c r="BU189" s="1329"/>
      <c r="BV189" s="1321"/>
      <c r="BW189" s="1322"/>
      <c r="BX189" s="1322"/>
      <c r="BY189" s="1322"/>
      <c r="BZ189" s="1322"/>
      <c r="CA189" s="1322"/>
      <c r="CB189" s="1322"/>
      <c r="CC189" s="1320"/>
      <c r="CD189" s="1322"/>
      <c r="CE189" s="321"/>
      <c r="CF189" s="322"/>
      <c r="CG189" s="1321"/>
      <c r="CH189" s="1339"/>
      <c r="CI189" s="1322"/>
      <c r="CJ189" s="1329"/>
      <c r="CK189" s="1329"/>
      <c r="CL189" s="335"/>
      <c r="CN189" s="1263"/>
      <c r="CO189" s="1258"/>
    </row>
    <row r="190" s="245" customFormat="1" ht="202" customHeight="1" spans="1:93">
      <c r="A190" s="1122">
        <v>187</v>
      </c>
      <c r="B190" s="70" t="s">
        <v>563</v>
      </c>
      <c r="C190" s="1123" t="s">
        <v>561</v>
      </c>
      <c r="D190" s="1088" t="s">
        <v>216</v>
      </c>
      <c r="E190" s="1088" t="s">
        <v>555</v>
      </c>
      <c r="F190" s="1124" t="s">
        <v>101</v>
      </c>
      <c r="G190" s="1443" t="s">
        <v>564</v>
      </c>
      <c r="H190" s="1125"/>
      <c r="I190" s="1125"/>
      <c r="J190" s="1289"/>
      <c r="K190" s="1289"/>
      <c r="L190" s="1290"/>
      <c r="M190" s="1290">
        <v>217132.08</v>
      </c>
      <c r="N190" s="295">
        <f t="shared" si="566"/>
        <v>25332.076</v>
      </c>
      <c r="O190" s="295">
        <v>5000</v>
      </c>
      <c r="P190" s="295"/>
      <c r="Q190" s="295"/>
      <c r="R190" s="295">
        <v>2500</v>
      </c>
      <c r="S190" s="295"/>
      <c r="T190" s="295"/>
      <c r="U190" s="295"/>
      <c r="V190" s="295"/>
      <c r="W190" s="295"/>
      <c r="X190" s="295"/>
      <c r="Y190" s="295"/>
      <c r="Z190" s="295">
        <v>2500</v>
      </c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1140"/>
      <c r="AM190" s="295">
        <f t="shared" si="503"/>
        <v>4342.6416</v>
      </c>
      <c r="AN190" s="295">
        <v>500</v>
      </c>
      <c r="AO190" s="1302"/>
      <c r="AP190" s="1302"/>
      <c r="AQ190" s="1303"/>
      <c r="AR190" s="1303"/>
      <c r="AS190" s="1304"/>
      <c r="AT190" s="1303"/>
      <c r="AU190" s="1303"/>
      <c r="AV190" s="1151"/>
      <c r="AW190" s="1151"/>
      <c r="AX190" s="1303"/>
      <c r="AY190" s="1161">
        <v>2000</v>
      </c>
      <c r="AZ190" s="1151"/>
      <c r="BA190" s="295">
        <v>10000</v>
      </c>
      <c r="BB190" s="295"/>
      <c r="BC190" s="295"/>
      <c r="BD190" s="295"/>
      <c r="BE190" s="724">
        <v>1000</v>
      </c>
      <c r="BF190" s="724"/>
      <c r="BG190" s="724"/>
      <c r="BH190" s="724">
        <f t="shared" si="568"/>
        <v>5049.28312</v>
      </c>
      <c r="BI190" s="1166"/>
      <c r="BJ190" s="1166"/>
      <c r="BK190" s="724">
        <v>29580.64</v>
      </c>
      <c r="BL190" s="724">
        <f t="shared" si="567"/>
        <v>252464.156</v>
      </c>
      <c r="BM190" s="724">
        <f t="shared" si="441"/>
        <v>52472.56472</v>
      </c>
      <c r="BN190" s="724"/>
      <c r="BO190" s="724"/>
      <c r="BP190" s="724">
        <f t="shared" si="424"/>
        <v>199991.59128</v>
      </c>
      <c r="BQ190" s="1320"/>
      <c r="BR190" s="1321"/>
      <c r="BS190" s="1322"/>
      <c r="BT190" s="1323"/>
      <c r="BU190" s="1329"/>
      <c r="BV190" s="1321"/>
      <c r="BW190" s="1322"/>
      <c r="BX190" s="1322"/>
      <c r="BY190" s="1322"/>
      <c r="BZ190" s="1322"/>
      <c r="CA190" s="1322"/>
      <c r="CB190" s="1322"/>
      <c r="CC190" s="1320"/>
      <c r="CD190" s="1322"/>
      <c r="CE190" s="321"/>
      <c r="CF190" s="322"/>
      <c r="CG190" s="1321"/>
      <c r="CH190" s="1339"/>
      <c r="CI190" s="1322"/>
      <c r="CJ190" s="1329"/>
      <c r="CK190" s="1329"/>
      <c r="CL190" s="335"/>
      <c r="CN190" s="1263"/>
      <c r="CO190" s="1258"/>
    </row>
    <row r="191" s="1101" customFormat="1" ht="202" customHeight="1" spans="1:93">
      <c r="A191" s="1122">
        <v>188</v>
      </c>
      <c r="B191" s="1279" t="s">
        <v>565</v>
      </c>
      <c r="C191" s="1280" t="s">
        <v>118</v>
      </c>
      <c r="D191" s="1092" t="s">
        <v>216</v>
      </c>
      <c r="E191" s="1092" t="s">
        <v>555</v>
      </c>
      <c r="F191" s="1281" t="s">
        <v>165</v>
      </c>
      <c r="G191" s="1444" t="s">
        <v>566</v>
      </c>
      <c r="H191" s="1283"/>
      <c r="I191" s="1283"/>
      <c r="J191" s="1291"/>
      <c r="K191" s="1291"/>
      <c r="L191" s="1292"/>
      <c r="M191" s="1292">
        <v>217132.08</v>
      </c>
      <c r="N191" s="1162">
        <f t="shared" si="566"/>
        <v>25332.076</v>
      </c>
      <c r="O191" s="1162">
        <v>5000</v>
      </c>
      <c r="P191" s="1162"/>
      <c r="Q191" s="1162"/>
      <c r="R191" s="1162">
        <v>2500</v>
      </c>
      <c r="S191" s="1162"/>
      <c r="T191" s="1162"/>
      <c r="U191" s="1162"/>
      <c r="V191" s="1162"/>
      <c r="W191" s="1162"/>
      <c r="X191" s="1162"/>
      <c r="Y191" s="1162"/>
      <c r="Z191" s="1162">
        <v>2500</v>
      </c>
      <c r="AA191" s="1162"/>
      <c r="AB191" s="1162"/>
      <c r="AC191" s="1162"/>
      <c r="AD191" s="1162"/>
      <c r="AE191" s="1162"/>
      <c r="AF191" s="1162"/>
      <c r="AG191" s="1162"/>
      <c r="AH191" s="1162"/>
      <c r="AI191" s="1162"/>
      <c r="AJ191" s="1162"/>
      <c r="AK191" s="1162"/>
      <c r="AL191" s="1140"/>
      <c r="AM191" s="1162">
        <f t="shared" si="503"/>
        <v>4342.6416</v>
      </c>
      <c r="AN191" s="1162">
        <v>500</v>
      </c>
      <c r="AO191" s="1305"/>
      <c r="AP191" s="1305"/>
      <c r="AQ191" s="1304"/>
      <c r="AR191" s="1304"/>
      <c r="AS191" s="1304">
        <v>1000</v>
      </c>
      <c r="AT191" s="1304"/>
      <c r="AU191" s="1304"/>
      <c r="AV191" s="1150"/>
      <c r="AW191" s="1150"/>
      <c r="AX191" s="1304"/>
      <c r="AY191" s="1308"/>
      <c r="AZ191" s="1150"/>
      <c r="BA191" s="1162">
        <v>0</v>
      </c>
      <c r="BB191" s="1162"/>
      <c r="BC191" s="1162"/>
      <c r="BD191" s="1162"/>
      <c r="BE191" s="1313">
        <v>1000</v>
      </c>
      <c r="BF191" s="1313"/>
      <c r="BG191" s="1313"/>
      <c r="BH191" s="1313">
        <f t="shared" si="568"/>
        <v>5049.28312</v>
      </c>
      <c r="BI191" s="1314"/>
      <c r="BJ191" s="1314"/>
      <c r="BK191" s="1313">
        <v>29580.64</v>
      </c>
      <c r="BL191" s="1313">
        <f t="shared" si="567"/>
        <v>252464.156</v>
      </c>
      <c r="BM191" s="1313">
        <f t="shared" si="441"/>
        <v>41472.56472</v>
      </c>
      <c r="BN191" s="1313"/>
      <c r="BO191" s="1313"/>
      <c r="BP191" s="1313">
        <f t="shared" si="424"/>
        <v>210991.59128</v>
      </c>
      <c r="BQ191" s="1324"/>
      <c r="BR191" s="1325"/>
      <c r="BS191" s="1326"/>
      <c r="BT191" s="1327"/>
      <c r="BU191" s="1330"/>
      <c r="BV191" s="1325"/>
      <c r="BW191" s="1326"/>
      <c r="BX191" s="1326"/>
      <c r="BY191" s="1326"/>
      <c r="BZ191" s="1326"/>
      <c r="CA191" s="1326"/>
      <c r="CB191" s="1326"/>
      <c r="CC191" s="1324"/>
      <c r="CD191" s="1326"/>
      <c r="CE191" s="1340"/>
      <c r="CF191" s="1341"/>
      <c r="CG191" s="1325"/>
      <c r="CH191" s="1342"/>
      <c r="CI191" s="1326"/>
      <c r="CJ191" s="1330"/>
      <c r="CK191" s="1330"/>
      <c r="CL191" s="1348"/>
      <c r="CN191" s="1349"/>
      <c r="CO191" s="1350"/>
    </row>
    <row r="192" s="245" customFormat="1" ht="202" customHeight="1" spans="1:93">
      <c r="A192" s="1122">
        <v>189</v>
      </c>
      <c r="B192" s="70" t="s">
        <v>567</v>
      </c>
      <c r="C192" s="1123" t="s">
        <v>118</v>
      </c>
      <c r="D192" s="1088" t="s">
        <v>216</v>
      </c>
      <c r="E192" s="1088" t="s">
        <v>555</v>
      </c>
      <c r="F192" s="1124" t="s">
        <v>127</v>
      </c>
      <c r="G192" s="1443" t="s">
        <v>568</v>
      </c>
      <c r="H192" s="1125"/>
      <c r="I192" s="1125"/>
      <c r="J192" s="1289"/>
      <c r="K192" s="1289"/>
      <c r="L192" s="1290"/>
      <c r="M192" s="1290">
        <v>217132.08</v>
      </c>
      <c r="N192" s="295">
        <f t="shared" si="566"/>
        <v>25332.076</v>
      </c>
      <c r="O192" s="295">
        <v>5000</v>
      </c>
      <c r="P192" s="295"/>
      <c r="Q192" s="295"/>
      <c r="R192" s="295">
        <v>2500</v>
      </c>
      <c r="S192" s="295"/>
      <c r="T192" s="295"/>
      <c r="U192" s="295"/>
      <c r="V192" s="295"/>
      <c r="W192" s="295"/>
      <c r="X192" s="295"/>
      <c r="Y192" s="295"/>
      <c r="Z192" s="295">
        <v>2500</v>
      </c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1140"/>
      <c r="AM192" s="295">
        <f t="shared" si="503"/>
        <v>4342.6416</v>
      </c>
      <c r="AN192" s="295">
        <v>500</v>
      </c>
      <c r="AO192" s="1302"/>
      <c r="AP192" s="1302"/>
      <c r="AQ192" s="1303"/>
      <c r="AR192" s="1303"/>
      <c r="AS192" s="1304">
        <v>1000</v>
      </c>
      <c r="AT192" s="1303"/>
      <c r="AU192" s="1303"/>
      <c r="AV192" s="1151"/>
      <c r="AW192" s="1151"/>
      <c r="AX192" s="1303"/>
      <c r="AY192" s="1161"/>
      <c r="AZ192" s="1151"/>
      <c r="BA192" s="295">
        <v>0</v>
      </c>
      <c r="BB192" s="295"/>
      <c r="BC192" s="295"/>
      <c r="BD192" s="295"/>
      <c r="BE192" s="724">
        <v>1000</v>
      </c>
      <c r="BF192" s="724"/>
      <c r="BG192" s="724"/>
      <c r="BH192" s="724">
        <f t="shared" si="568"/>
        <v>5049.28312</v>
      </c>
      <c r="BI192" s="1166"/>
      <c r="BJ192" s="1166"/>
      <c r="BK192" s="724">
        <v>29580.64</v>
      </c>
      <c r="BL192" s="724">
        <f t="shared" si="567"/>
        <v>252464.156</v>
      </c>
      <c r="BM192" s="724">
        <f t="shared" si="441"/>
        <v>41472.56472</v>
      </c>
      <c r="BN192" s="724"/>
      <c r="BO192" s="724"/>
      <c r="BP192" s="724">
        <f t="shared" si="424"/>
        <v>210991.59128</v>
      </c>
      <c r="BQ192" s="1320"/>
      <c r="BR192" s="1321"/>
      <c r="BS192" s="1322"/>
      <c r="BT192" s="1323"/>
      <c r="BU192" s="1329"/>
      <c r="BV192" s="1321"/>
      <c r="BW192" s="1322"/>
      <c r="BX192" s="1322"/>
      <c r="BY192" s="1322"/>
      <c r="BZ192" s="1322"/>
      <c r="CA192" s="1322"/>
      <c r="CB192" s="1322"/>
      <c r="CC192" s="1320"/>
      <c r="CD192" s="1322"/>
      <c r="CE192" s="321"/>
      <c r="CF192" s="322"/>
      <c r="CG192" s="1321"/>
      <c r="CH192" s="1339"/>
      <c r="CI192" s="1322"/>
      <c r="CJ192" s="1329"/>
      <c r="CK192" s="1329"/>
      <c r="CL192" s="335"/>
      <c r="CN192" s="1263"/>
      <c r="CO192" s="1258"/>
    </row>
    <row r="193" s="245" customFormat="1" ht="202" customHeight="1" spans="1:93">
      <c r="A193" s="1122">
        <v>190</v>
      </c>
      <c r="B193" s="70" t="s">
        <v>569</v>
      </c>
      <c r="C193" s="1123" t="s">
        <v>118</v>
      </c>
      <c r="D193" s="1088" t="s">
        <v>216</v>
      </c>
      <c r="E193" s="1088" t="s">
        <v>555</v>
      </c>
      <c r="F193" s="1124" t="s">
        <v>165</v>
      </c>
      <c r="G193" s="681">
        <v>2178897710</v>
      </c>
      <c r="H193" s="1125"/>
      <c r="I193" s="1125"/>
      <c r="J193" s="1289"/>
      <c r="K193" s="1289"/>
      <c r="L193" s="1290"/>
      <c r="M193" s="1290">
        <v>217132.08</v>
      </c>
      <c r="N193" s="295">
        <f t="shared" si="566"/>
        <v>25332.076</v>
      </c>
      <c r="O193" s="295">
        <v>5000</v>
      </c>
      <c r="P193" s="295"/>
      <c r="Q193" s="295"/>
      <c r="R193" s="295">
        <v>2500</v>
      </c>
      <c r="S193" s="295"/>
      <c r="T193" s="295"/>
      <c r="U193" s="295"/>
      <c r="V193" s="295"/>
      <c r="W193" s="295"/>
      <c r="X193" s="295"/>
      <c r="Y193" s="295"/>
      <c r="Z193" s="295">
        <v>2500</v>
      </c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1140"/>
      <c r="AM193" s="295">
        <f t="shared" si="503"/>
        <v>4342.6416</v>
      </c>
      <c r="AN193" s="295">
        <v>500</v>
      </c>
      <c r="AO193" s="1302"/>
      <c r="AP193" s="1302"/>
      <c r="AQ193" s="1303"/>
      <c r="AR193" s="1303"/>
      <c r="AS193" s="1304">
        <v>1000</v>
      </c>
      <c r="AT193" s="1303"/>
      <c r="AU193" s="1303"/>
      <c r="AV193" s="1151"/>
      <c r="AW193" s="1151"/>
      <c r="AX193" s="1303"/>
      <c r="AY193" s="1161"/>
      <c r="AZ193" s="1151"/>
      <c r="BA193" s="295">
        <v>50000</v>
      </c>
      <c r="BB193" s="295"/>
      <c r="BC193" s="295"/>
      <c r="BD193" s="295"/>
      <c r="BE193" s="724">
        <v>1000</v>
      </c>
      <c r="BF193" s="724"/>
      <c r="BG193" s="724"/>
      <c r="BH193" s="724">
        <f t="shared" si="568"/>
        <v>5049.28312</v>
      </c>
      <c r="BI193" s="1166"/>
      <c r="BJ193" s="1166"/>
      <c r="BK193" s="724">
        <v>29580.64</v>
      </c>
      <c r="BL193" s="724">
        <f t="shared" si="567"/>
        <v>252464.156</v>
      </c>
      <c r="BM193" s="724">
        <f t="shared" si="441"/>
        <v>91472.56472</v>
      </c>
      <c r="BN193" s="724"/>
      <c r="BO193" s="724"/>
      <c r="BP193" s="724">
        <f t="shared" si="424"/>
        <v>160991.59128</v>
      </c>
      <c r="BQ193" s="1320"/>
      <c r="BR193" s="1321"/>
      <c r="BS193" s="1322"/>
      <c r="BT193" s="1323"/>
      <c r="BU193" s="1329"/>
      <c r="BV193" s="1321"/>
      <c r="BW193" s="1322"/>
      <c r="BX193" s="1322"/>
      <c r="BY193" s="1322"/>
      <c r="BZ193" s="1322"/>
      <c r="CA193" s="1322"/>
      <c r="CB193" s="1322"/>
      <c r="CC193" s="1320"/>
      <c r="CD193" s="1322"/>
      <c r="CE193" s="321"/>
      <c r="CF193" s="322"/>
      <c r="CG193" s="1321"/>
      <c r="CH193" s="1339"/>
      <c r="CI193" s="1322"/>
      <c r="CJ193" s="1329"/>
      <c r="CK193" s="1329"/>
      <c r="CL193" s="335"/>
      <c r="CN193" s="1263"/>
      <c r="CO193" s="1258"/>
    </row>
    <row r="194" s="245" customFormat="1" ht="202" customHeight="1" spans="1:93">
      <c r="A194" s="1122">
        <v>191</v>
      </c>
      <c r="B194" s="70" t="s">
        <v>570</v>
      </c>
      <c r="C194" s="1123" t="s">
        <v>118</v>
      </c>
      <c r="D194" s="1088" t="s">
        <v>216</v>
      </c>
      <c r="E194" s="1088" t="s">
        <v>555</v>
      </c>
      <c r="F194" s="1124" t="s">
        <v>313</v>
      </c>
      <c r="G194" s="1443" t="s">
        <v>571</v>
      </c>
      <c r="H194" s="1125"/>
      <c r="I194" s="1125"/>
      <c r="J194" s="1289"/>
      <c r="K194" s="1289"/>
      <c r="L194" s="1290"/>
      <c r="M194" s="1290">
        <v>217132.08</v>
      </c>
      <c r="N194" s="295">
        <f t="shared" si="566"/>
        <v>25332.076</v>
      </c>
      <c r="O194" s="295">
        <v>5000</v>
      </c>
      <c r="P194" s="295"/>
      <c r="Q194" s="295"/>
      <c r="R194" s="295">
        <v>2500</v>
      </c>
      <c r="S194" s="295"/>
      <c r="T194" s="295"/>
      <c r="U194" s="295"/>
      <c r="V194" s="295"/>
      <c r="W194" s="295"/>
      <c r="X194" s="295"/>
      <c r="Y194" s="295"/>
      <c r="Z194" s="295">
        <v>2500</v>
      </c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1140"/>
      <c r="AM194" s="295">
        <f t="shared" si="503"/>
        <v>4342.6416</v>
      </c>
      <c r="AN194" s="295">
        <v>500</v>
      </c>
      <c r="AO194" s="1302"/>
      <c r="AP194" s="1302"/>
      <c r="AQ194" s="1303"/>
      <c r="AR194" s="1303"/>
      <c r="AS194" s="1304">
        <v>1000</v>
      </c>
      <c r="AT194" s="1303"/>
      <c r="AU194" s="1303"/>
      <c r="AV194" s="1151"/>
      <c r="AW194" s="1151"/>
      <c r="AX194" s="1303"/>
      <c r="AY194" s="1161"/>
      <c r="AZ194" s="1151"/>
      <c r="BA194" s="295">
        <v>30000</v>
      </c>
      <c r="BB194" s="295"/>
      <c r="BC194" s="295"/>
      <c r="BD194" s="295"/>
      <c r="BE194" s="724">
        <v>1000</v>
      </c>
      <c r="BF194" s="724"/>
      <c r="BG194" s="724"/>
      <c r="BH194" s="724">
        <f t="shared" si="568"/>
        <v>5049.28312</v>
      </c>
      <c r="BI194" s="1166"/>
      <c r="BJ194" s="1166"/>
      <c r="BK194" s="724">
        <v>29580.64</v>
      </c>
      <c r="BL194" s="724">
        <f t="shared" si="567"/>
        <v>252464.156</v>
      </c>
      <c r="BM194" s="724">
        <f t="shared" si="441"/>
        <v>71472.56472</v>
      </c>
      <c r="BN194" s="724"/>
      <c r="BO194" s="724"/>
      <c r="BP194" s="724">
        <f t="shared" si="424"/>
        <v>180991.59128</v>
      </c>
      <c r="BQ194" s="1320"/>
      <c r="BR194" s="1321"/>
      <c r="BS194" s="1322"/>
      <c r="BT194" s="1323"/>
      <c r="BU194" s="1329"/>
      <c r="BV194" s="1321"/>
      <c r="BW194" s="1322"/>
      <c r="BX194" s="1322"/>
      <c r="BY194" s="1322"/>
      <c r="BZ194" s="1322"/>
      <c r="CA194" s="1322"/>
      <c r="CB194" s="1322"/>
      <c r="CC194" s="1320"/>
      <c r="CD194" s="1322"/>
      <c r="CE194" s="321"/>
      <c r="CF194" s="322"/>
      <c r="CG194" s="1321"/>
      <c r="CH194" s="1339"/>
      <c r="CI194" s="1322"/>
      <c r="CJ194" s="1329"/>
      <c r="CK194" s="1329"/>
      <c r="CL194" s="335"/>
      <c r="CN194" s="1263"/>
      <c r="CO194" s="1258"/>
    </row>
    <row r="195" s="245" customFormat="1" ht="202" customHeight="1" spans="1:93">
      <c r="A195" s="1122">
        <v>192</v>
      </c>
      <c r="B195" s="70" t="s">
        <v>572</v>
      </c>
      <c r="C195" s="1123" t="s">
        <v>90</v>
      </c>
      <c r="D195" s="1088" t="s">
        <v>216</v>
      </c>
      <c r="E195" s="1088" t="s">
        <v>555</v>
      </c>
      <c r="F195" s="1124" t="s">
        <v>113</v>
      </c>
      <c r="G195" s="1443" t="s">
        <v>573</v>
      </c>
      <c r="H195" s="1125"/>
      <c r="I195" s="1125"/>
      <c r="J195" s="1289"/>
      <c r="K195" s="1289"/>
      <c r="L195" s="1290"/>
      <c r="M195" s="1290">
        <v>217132.08</v>
      </c>
      <c r="N195" s="295">
        <f t="shared" si="566"/>
        <v>25332.076</v>
      </c>
      <c r="O195" s="295">
        <v>5000</v>
      </c>
      <c r="P195" s="295"/>
      <c r="Q195" s="295"/>
      <c r="R195" s="295">
        <v>2500</v>
      </c>
      <c r="S195" s="295"/>
      <c r="T195" s="295"/>
      <c r="U195" s="295"/>
      <c r="V195" s="295"/>
      <c r="W195" s="295"/>
      <c r="X195" s="295"/>
      <c r="Y195" s="295"/>
      <c r="Z195" s="295">
        <v>2500</v>
      </c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1140"/>
      <c r="AM195" s="295">
        <f t="shared" si="503"/>
        <v>4342.6416</v>
      </c>
      <c r="AN195" s="295">
        <v>500</v>
      </c>
      <c r="AO195" s="1302"/>
      <c r="AP195" s="1302"/>
      <c r="AQ195" s="1303"/>
      <c r="AR195" s="1303"/>
      <c r="AS195" s="1304">
        <v>1000</v>
      </c>
      <c r="AT195" s="1303"/>
      <c r="AU195" s="1303"/>
      <c r="AV195" s="1151">
        <v>5000</v>
      </c>
      <c r="AW195" s="1151"/>
      <c r="AX195" s="1303"/>
      <c r="AY195" s="1161"/>
      <c r="AZ195" s="1151"/>
      <c r="BA195" s="295">
        <v>25000</v>
      </c>
      <c r="BB195" s="295"/>
      <c r="BC195" s="295"/>
      <c r="BD195" s="295"/>
      <c r="BE195" s="724">
        <v>1000</v>
      </c>
      <c r="BF195" s="724"/>
      <c r="BG195" s="724"/>
      <c r="BH195" s="724">
        <f t="shared" si="568"/>
        <v>5049.28312</v>
      </c>
      <c r="BI195" s="1166"/>
      <c r="BJ195" s="1166"/>
      <c r="BK195" s="724">
        <v>29580.64</v>
      </c>
      <c r="BL195" s="724">
        <f t="shared" si="567"/>
        <v>252464.156</v>
      </c>
      <c r="BM195" s="724">
        <f t="shared" si="441"/>
        <v>71472.56472</v>
      </c>
      <c r="BN195" s="724"/>
      <c r="BO195" s="724"/>
      <c r="BP195" s="724">
        <f t="shared" si="424"/>
        <v>180991.59128</v>
      </c>
      <c r="BQ195" s="1320"/>
      <c r="BR195" s="1321"/>
      <c r="BS195" s="1322"/>
      <c r="BT195" s="1323"/>
      <c r="BU195" s="1329"/>
      <c r="BV195" s="1321"/>
      <c r="BW195" s="1322"/>
      <c r="BX195" s="1322"/>
      <c r="BY195" s="1322"/>
      <c r="BZ195" s="1322"/>
      <c r="CA195" s="1322"/>
      <c r="CB195" s="1322"/>
      <c r="CC195" s="1320"/>
      <c r="CD195" s="1322"/>
      <c r="CE195" s="321"/>
      <c r="CF195" s="322"/>
      <c r="CG195" s="1321"/>
      <c r="CH195" s="1339"/>
      <c r="CI195" s="1322"/>
      <c r="CJ195" s="1329"/>
      <c r="CK195" s="1329"/>
      <c r="CL195" s="335"/>
      <c r="CN195" s="1263"/>
      <c r="CO195" s="1258"/>
    </row>
    <row r="196" s="245" customFormat="1" ht="202" customHeight="1" spans="1:93">
      <c r="A196" s="1122">
        <v>193</v>
      </c>
      <c r="B196" s="70" t="s">
        <v>574</v>
      </c>
      <c r="C196" s="1123" t="s">
        <v>188</v>
      </c>
      <c r="D196" s="1088" t="s">
        <v>216</v>
      </c>
      <c r="E196" s="1088" t="s">
        <v>555</v>
      </c>
      <c r="F196" s="1124" t="s">
        <v>157</v>
      </c>
      <c r="G196" s="1443" t="s">
        <v>575</v>
      </c>
      <c r="H196" s="1125"/>
      <c r="I196" s="1125"/>
      <c r="J196" s="1289"/>
      <c r="K196" s="1289"/>
      <c r="L196" s="1290"/>
      <c r="M196" s="1290">
        <v>217132.08</v>
      </c>
      <c r="N196" s="295">
        <f t="shared" si="566"/>
        <v>25332.076</v>
      </c>
      <c r="O196" s="295">
        <v>5000</v>
      </c>
      <c r="P196" s="295"/>
      <c r="Q196" s="295"/>
      <c r="R196" s="295">
        <v>2500</v>
      </c>
      <c r="S196" s="295"/>
      <c r="T196" s="295"/>
      <c r="U196" s="295"/>
      <c r="V196" s="295"/>
      <c r="W196" s="295"/>
      <c r="X196" s="295"/>
      <c r="Y196" s="295"/>
      <c r="Z196" s="295">
        <v>2500</v>
      </c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1140"/>
      <c r="AM196" s="295">
        <f t="shared" si="503"/>
        <v>4342.6416</v>
      </c>
      <c r="AN196" s="295">
        <v>500</v>
      </c>
      <c r="AO196" s="1302"/>
      <c r="AP196" s="1302"/>
      <c r="AQ196" s="1303"/>
      <c r="AR196" s="1303"/>
      <c r="AS196" s="1304"/>
      <c r="AT196" s="1303"/>
      <c r="AU196" s="1303"/>
      <c r="AV196" s="1151"/>
      <c r="AW196" s="1151"/>
      <c r="AX196" s="1303">
        <v>1000</v>
      </c>
      <c r="AY196" s="1161"/>
      <c r="AZ196" s="1151"/>
      <c r="BA196" s="295">
        <v>0</v>
      </c>
      <c r="BB196" s="295"/>
      <c r="BC196" s="295"/>
      <c r="BD196" s="295"/>
      <c r="BE196" s="724">
        <v>1000</v>
      </c>
      <c r="BF196" s="724"/>
      <c r="BG196" s="724"/>
      <c r="BH196" s="724">
        <f t="shared" si="568"/>
        <v>5049.28312</v>
      </c>
      <c r="BI196" s="1166"/>
      <c r="BJ196" s="1166"/>
      <c r="BK196" s="724">
        <v>29580.64</v>
      </c>
      <c r="BL196" s="724">
        <f t="shared" si="567"/>
        <v>252464.156</v>
      </c>
      <c r="BM196" s="724">
        <f t="shared" si="441"/>
        <v>41472.56472</v>
      </c>
      <c r="BN196" s="724"/>
      <c r="BO196" s="724"/>
      <c r="BP196" s="724">
        <f t="shared" ref="BP196:BP259" si="569">BL196-BM196</f>
        <v>210991.59128</v>
      </c>
      <c r="BQ196" s="1320"/>
      <c r="BR196" s="1321"/>
      <c r="BS196" s="1322"/>
      <c r="BT196" s="1323"/>
      <c r="BU196" s="1329"/>
      <c r="BV196" s="1321"/>
      <c r="BW196" s="1322"/>
      <c r="BX196" s="1322"/>
      <c r="BY196" s="1322"/>
      <c r="BZ196" s="1322"/>
      <c r="CA196" s="1322"/>
      <c r="CB196" s="1322"/>
      <c r="CC196" s="1320"/>
      <c r="CD196" s="1322"/>
      <c r="CE196" s="321"/>
      <c r="CF196" s="322"/>
      <c r="CG196" s="1321"/>
      <c r="CH196" s="1339"/>
      <c r="CI196" s="1322"/>
      <c r="CJ196" s="1329"/>
      <c r="CK196" s="1329"/>
      <c r="CL196" s="335"/>
      <c r="CN196" s="1263"/>
      <c r="CO196" s="1258"/>
    </row>
    <row r="197" s="245" customFormat="1" ht="202" customHeight="1" spans="1:93">
      <c r="A197" s="1122">
        <v>194</v>
      </c>
      <c r="B197" s="70" t="s">
        <v>576</v>
      </c>
      <c r="C197" s="1123" t="s">
        <v>51</v>
      </c>
      <c r="D197" s="1088" t="s">
        <v>216</v>
      </c>
      <c r="E197" s="1088" t="s">
        <v>555</v>
      </c>
      <c r="F197" s="1124" t="s">
        <v>313</v>
      </c>
      <c r="G197" s="681">
        <v>6716578014</v>
      </c>
      <c r="H197" s="1125"/>
      <c r="I197" s="1125"/>
      <c r="J197" s="1289"/>
      <c r="K197" s="1289"/>
      <c r="L197" s="1290"/>
      <c r="M197" s="1290">
        <v>217132.08</v>
      </c>
      <c r="N197" s="295">
        <f t="shared" si="566"/>
        <v>25332.076</v>
      </c>
      <c r="O197" s="295">
        <v>5000</v>
      </c>
      <c r="P197" s="295"/>
      <c r="Q197" s="295"/>
      <c r="R197" s="295">
        <v>2500</v>
      </c>
      <c r="S197" s="295"/>
      <c r="T197" s="295"/>
      <c r="U197" s="295"/>
      <c r="V197" s="295"/>
      <c r="W197" s="295"/>
      <c r="X197" s="295"/>
      <c r="Y197" s="295"/>
      <c r="Z197" s="295">
        <v>2500</v>
      </c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1140"/>
      <c r="AM197" s="295">
        <f t="shared" si="503"/>
        <v>4342.6416</v>
      </c>
      <c r="AN197" s="295">
        <v>500</v>
      </c>
      <c r="AO197" s="1302"/>
      <c r="AP197" s="1302"/>
      <c r="AQ197" s="1303"/>
      <c r="AR197" s="1303"/>
      <c r="AS197" s="1304"/>
      <c r="AT197" s="1303"/>
      <c r="AU197" s="1303"/>
      <c r="AV197" s="1151"/>
      <c r="AW197" s="1151"/>
      <c r="AX197" s="1303">
        <v>1000</v>
      </c>
      <c r="AY197" s="1161"/>
      <c r="AZ197" s="1151">
        <v>1000</v>
      </c>
      <c r="BA197" s="295">
        <v>0</v>
      </c>
      <c r="BB197" s="295"/>
      <c r="BC197" s="295"/>
      <c r="BD197" s="295"/>
      <c r="BE197" s="724">
        <v>1000</v>
      </c>
      <c r="BF197" s="724"/>
      <c r="BG197" s="724"/>
      <c r="BH197" s="724">
        <f t="shared" si="568"/>
        <v>5049.28312</v>
      </c>
      <c r="BI197" s="1166"/>
      <c r="BJ197" s="1166"/>
      <c r="BK197" s="724">
        <v>29580.64</v>
      </c>
      <c r="BL197" s="724">
        <f t="shared" si="567"/>
        <v>252464.156</v>
      </c>
      <c r="BM197" s="724">
        <f t="shared" si="441"/>
        <v>42472.56472</v>
      </c>
      <c r="BN197" s="724"/>
      <c r="BO197" s="724"/>
      <c r="BP197" s="724">
        <f t="shared" si="569"/>
        <v>209991.59128</v>
      </c>
      <c r="BQ197" s="1320"/>
      <c r="BR197" s="1321"/>
      <c r="BS197" s="1322"/>
      <c r="BT197" s="1323"/>
      <c r="BU197" s="1329"/>
      <c r="BV197" s="1321"/>
      <c r="BW197" s="1322"/>
      <c r="BX197" s="1322"/>
      <c r="BY197" s="1322"/>
      <c r="BZ197" s="1322"/>
      <c r="CA197" s="1322"/>
      <c r="CB197" s="1322"/>
      <c r="CC197" s="1320"/>
      <c r="CD197" s="1322"/>
      <c r="CE197" s="321"/>
      <c r="CF197" s="322"/>
      <c r="CG197" s="1321"/>
      <c r="CH197" s="1339"/>
      <c r="CI197" s="1322"/>
      <c r="CJ197" s="1329"/>
      <c r="CK197" s="1329"/>
      <c r="CL197" s="335"/>
      <c r="CN197" s="1263"/>
      <c r="CO197" s="1258"/>
    </row>
    <row r="198" s="1102" customFormat="1" ht="202" customHeight="1" spans="1:93">
      <c r="A198" s="1122">
        <v>195</v>
      </c>
      <c r="B198" s="1351" t="s">
        <v>577</v>
      </c>
      <c r="C198" s="1352" t="s">
        <v>578</v>
      </c>
      <c r="D198" s="1353" t="s">
        <v>216</v>
      </c>
      <c r="E198" s="1353" t="s">
        <v>555</v>
      </c>
      <c r="F198" s="1354" t="s">
        <v>93</v>
      </c>
      <c r="G198" s="1445" t="s">
        <v>579</v>
      </c>
      <c r="H198" s="1355"/>
      <c r="I198" s="1355"/>
      <c r="J198" s="1363"/>
      <c r="K198" s="1363"/>
      <c r="L198" s="1364"/>
      <c r="M198" s="1290">
        <v>217132.08</v>
      </c>
      <c r="N198" s="295">
        <f t="shared" si="566"/>
        <v>25332.076</v>
      </c>
      <c r="O198" s="295">
        <v>5000</v>
      </c>
      <c r="P198" s="295"/>
      <c r="Q198" s="295"/>
      <c r="R198" s="295">
        <v>2500</v>
      </c>
      <c r="S198" s="295"/>
      <c r="T198" s="295"/>
      <c r="U198" s="295"/>
      <c r="V198" s="295"/>
      <c r="W198" s="295"/>
      <c r="X198" s="295"/>
      <c r="Y198" s="295"/>
      <c r="Z198" s="295">
        <v>2500</v>
      </c>
      <c r="AA198" s="295"/>
      <c r="AB198" s="295"/>
      <c r="AC198" s="295"/>
      <c r="AD198" s="295"/>
      <c r="AE198" s="295"/>
      <c r="AF198" s="295"/>
      <c r="AG198" s="295"/>
      <c r="AH198" s="295"/>
      <c r="AI198" s="295">
        <v>25000</v>
      </c>
      <c r="AJ198" s="295"/>
      <c r="AK198" s="295"/>
      <c r="AL198" s="1140"/>
      <c r="AM198" s="295">
        <f t="shared" si="503"/>
        <v>4342.6416</v>
      </c>
      <c r="AN198" s="295">
        <v>500</v>
      </c>
      <c r="AO198" s="1302"/>
      <c r="AP198" s="1302"/>
      <c r="AQ198" s="1303"/>
      <c r="AR198" s="1303"/>
      <c r="AS198" s="1304">
        <v>1000</v>
      </c>
      <c r="AT198" s="1303"/>
      <c r="AU198" s="1303"/>
      <c r="AV198" s="1151"/>
      <c r="AW198" s="1151"/>
      <c r="AX198" s="1303"/>
      <c r="AY198" s="1161"/>
      <c r="AZ198" s="1151"/>
      <c r="BA198" s="295">
        <v>10000</v>
      </c>
      <c r="BB198" s="295"/>
      <c r="BC198" s="295"/>
      <c r="BD198" s="295"/>
      <c r="BE198" s="724">
        <v>1000</v>
      </c>
      <c r="BF198" s="724"/>
      <c r="BG198" s="724"/>
      <c r="BH198" s="724">
        <f t="shared" si="568"/>
        <v>5049.28312</v>
      </c>
      <c r="BI198" s="1166"/>
      <c r="BJ198" s="1166"/>
      <c r="BK198" s="724">
        <v>29580.64</v>
      </c>
      <c r="BL198" s="724">
        <f t="shared" si="567"/>
        <v>252464.156</v>
      </c>
      <c r="BM198" s="724">
        <f t="shared" si="441"/>
        <v>76472.56472</v>
      </c>
      <c r="BN198" s="724"/>
      <c r="BO198" s="724"/>
      <c r="BP198" s="724">
        <f t="shared" si="569"/>
        <v>175991.59128</v>
      </c>
      <c r="BQ198" s="1374"/>
      <c r="BR198" s="1375"/>
      <c r="BS198" s="1376"/>
      <c r="BT198" s="1377"/>
      <c r="BU198" s="1382"/>
      <c r="BV198" s="1375"/>
      <c r="BW198" s="1376"/>
      <c r="BX198" s="1376"/>
      <c r="BY198" s="1376"/>
      <c r="BZ198" s="1376"/>
      <c r="CA198" s="1376"/>
      <c r="CB198" s="1376"/>
      <c r="CC198" s="1374"/>
      <c r="CD198" s="1376"/>
      <c r="CE198" s="1384"/>
      <c r="CF198" s="1385"/>
      <c r="CG198" s="1375"/>
      <c r="CH198" s="1386"/>
      <c r="CI198" s="1376"/>
      <c r="CJ198" s="1382"/>
      <c r="CK198" s="1382"/>
      <c r="CL198" s="1390"/>
      <c r="CN198" s="1391"/>
      <c r="CO198" s="1392"/>
    </row>
    <row r="199" s="245" customFormat="1" ht="202" customHeight="1" spans="1:93">
      <c r="A199" s="1122">
        <v>196</v>
      </c>
      <c r="B199" s="70" t="s">
        <v>580</v>
      </c>
      <c r="C199" s="1123" t="s">
        <v>177</v>
      </c>
      <c r="D199" s="1088" t="s">
        <v>216</v>
      </c>
      <c r="E199" s="1088" t="s">
        <v>555</v>
      </c>
      <c r="F199" s="1124" t="s">
        <v>165</v>
      </c>
      <c r="G199" s="1443" t="s">
        <v>581</v>
      </c>
      <c r="H199" s="1125"/>
      <c r="I199" s="1125"/>
      <c r="J199" s="1289"/>
      <c r="K199" s="1289"/>
      <c r="L199" s="1290"/>
      <c r="M199" s="1290">
        <v>217132.08</v>
      </c>
      <c r="N199" s="295">
        <f t="shared" si="566"/>
        <v>25332.076</v>
      </c>
      <c r="O199" s="295">
        <v>5000</v>
      </c>
      <c r="P199" s="295"/>
      <c r="Q199" s="295"/>
      <c r="R199" s="295">
        <v>2500</v>
      </c>
      <c r="S199" s="295"/>
      <c r="T199" s="295"/>
      <c r="U199" s="295"/>
      <c r="V199" s="295"/>
      <c r="W199" s="295"/>
      <c r="X199" s="295"/>
      <c r="Y199" s="295"/>
      <c r="Z199" s="295">
        <v>2500</v>
      </c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1140"/>
      <c r="AM199" s="295">
        <f t="shared" si="503"/>
        <v>4342.6416</v>
      </c>
      <c r="AN199" s="295">
        <v>500</v>
      </c>
      <c r="AO199" s="1302"/>
      <c r="AP199" s="1302"/>
      <c r="AQ199" s="1303"/>
      <c r="AR199" s="1303"/>
      <c r="AS199" s="1304"/>
      <c r="AT199" s="1303"/>
      <c r="AU199" s="1303"/>
      <c r="AV199" s="1151"/>
      <c r="AW199" s="1151">
        <v>1000</v>
      </c>
      <c r="AX199" s="1303"/>
      <c r="AY199" s="1161"/>
      <c r="AZ199" s="1151"/>
      <c r="BA199" s="295">
        <v>10000</v>
      </c>
      <c r="BB199" s="295"/>
      <c r="BC199" s="295"/>
      <c r="BD199" s="295"/>
      <c r="BE199" s="724">
        <v>1000</v>
      </c>
      <c r="BF199" s="724"/>
      <c r="BG199" s="724"/>
      <c r="BH199" s="724">
        <f t="shared" si="568"/>
        <v>5049.28312</v>
      </c>
      <c r="BI199" s="1166"/>
      <c r="BJ199" s="1166"/>
      <c r="BK199" s="724">
        <v>29580.64</v>
      </c>
      <c r="BL199" s="724">
        <f t="shared" si="567"/>
        <v>252464.156</v>
      </c>
      <c r="BM199" s="724">
        <f t="shared" ref="BM199:BM262" si="570">AI199+AJ199+AK199+AL199+AM199+AN199+AP199++AQ199+AR199+AS199+AT199+AU199+AV199+AW199+AX199+AY199+AZ199+BA199+BB199+BC199+BD199+BE199+BG199+BH199+BK199</f>
        <v>51472.56472</v>
      </c>
      <c r="BN199" s="724"/>
      <c r="BO199" s="724"/>
      <c r="BP199" s="724">
        <f t="shared" si="569"/>
        <v>200991.59128</v>
      </c>
      <c r="BQ199" s="1320"/>
      <c r="BR199" s="1321"/>
      <c r="BS199" s="1322"/>
      <c r="BT199" s="1323"/>
      <c r="BU199" s="1329"/>
      <c r="BV199" s="1321"/>
      <c r="BW199" s="1322"/>
      <c r="BX199" s="1322"/>
      <c r="BY199" s="1322"/>
      <c r="BZ199" s="1322"/>
      <c r="CA199" s="1322"/>
      <c r="CB199" s="1322"/>
      <c r="CC199" s="1320"/>
      <c r="CD199" s="1322"/>
      <c r="CE199" s="321"/>
      <c r="CF199" s="322"/>
      <c r="CG199" s="1321"/>
      <c r="CH199" s="1339"/>
      <c r="CI199" s="1322"/>
      <c r="CJ199" s="1329"/>
      <c r="CK199" s="1329"/>
      <c r="CL199" s="335"/>
      <c r="CN199" s="1263"/>
      <c r="CO199" s="1258"/>
    </row>
    <row r="200" s="245" customFormat="1" ht="202" customHeight="1" spans="1:93">
      <c r="A200" s="1122">
        <v>197</v>
      </c>
      <c r="B200" s="70" t="s">
        <v>582</v>
      </c>
      <c r="C200" s="1123" t="s">
        <v>164</v>
      </c>
      <c r="D200" s="1088" t="s">
        <v>216</v>
      </c>
      <c r="E200" s="1088" t="s">
        <v>555</v>
      </c>
      <c r="F200" s="1124" t="s">
        <v>583</v>
      </c>
      <c r="G200" s="1443" t="s">
        <v>584</v>
      </c>
      <c r="H200" s="1125"/>
      <c r="I200" s="1125"/>
      <c r="J200" s="1289"/>
      <c r="K200" s="1289"/>
      <c r="L200" s="1290"/>
      <c r="M200" s="1290">
        <v>217132.08</v>
      </c>
      <c r="N200" s="295">
        <f t="shared" si="566"/>
        <v>25332.076</v>
      </c>
      <c r="O200" s="295">
        <v>5000</v>
      </c>
      <c r="P200" s="295"/>
      <c r="Q200" s="295"/>
      <c r="R200" s="295">
        <v>2500</v>
      </c>
      <c r="S200" s="295"/>
      <c r="T200" s="295"/>
      <c r="U200" s="295"/>
      <c r="V200" s="295"/>
      <c r="W200" s="295"/>
      <c r="X200" s="295"/>
      <c r="Y200" s="295"/>
      <c r="Z200" s="295">
        <v>2500</v>
      </c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1140"/>
      <c r="AM200" s="295">
        <f t="shared" si="503"/>
        <v>4342.6416</v>
      </c>
      <c r="AN200" s="295">
        <v>500</v>
      </c>
      <c r="AO200" s="1302"/>
      <c r="AP200" s="1302"/>
      <c r="AQ200" s="1303">
        <v>1000</v>
      </c>
      <c r="AR200" s="1303"/>
      <c r="AS200" s="1304"/>
      <c r="AT200" s="1303"/>
      <c r="AU200" s="1303"/>
      <c r="AV200" s="1151"/>
      <c r="AW200" s="1151"/>
      <c r="AX200" s="1303"/>
      <c r="AY200" s="1161"/>
      <c r="AZ200" s="1151"/>
      <c r="BA200" s="295">
        <v>0</v>
      </c>
      <c r="BB200" s="295"/>
      <c r="BC200" s="295"/>
      <c r="BD200" s="295"/>
      <c r="BE200" s="724">
        <v>1000</v>
      </c>
      <c r="BF200" s="724"/>
      <c r="BG200" s="724"/>
      <c r="BH200" s="724">
        <f t="shared" si="568"/>
        <v>5049.28312</v>
      </c>
      <c r="BI200" s="1166"/>
      <c r="BJ200" s="1166"/>
      <c r="BK200" s="724">
        <v>29580.64</v>
      </c>
      <c r="BL200" s="724">
        <f t="shared" si="567"/>
        <v>252464.156</v>
      </c>
      <c r="BM200" s="724">
        <f t="shared" si="570"/>
        <v>41472.56472</v>
      </c>
      <c r="BN200" s="724"/>
      <c r="BO200" s="724"/>
      <c r="BP200" s="724">
        <f t="shared" si="569"/>
        <v>210991.59128</v>
      </c>
      <c r="BQ200" s="1320"/>
      <c r="BR200" s="1321"/>
      <c r="BS200" s="1322"/>
      <c r="BT200" s="1323"/>
      <c r="BU200" s="1329"/>
      <c r="BV200" s="1321"/>
      <c r="BW200" s="1322"/>
      <c r="BX200" s="1322"/>
      <c r="BY200" s="1322"/>
      <c r="BZ200" s="1322"/>
      <c r="CA200" s="1322"/>
      <c r="CB200" s="1322"/>
      <c r="CC200" s="1320"/>
      <c r="CD200" s="1322"/>
      <c r="CE200" s="321"/>
      <c r="CF200" s="322"/>
      <c r="CG200" s="1321"/>
      <c r="CH200" s="1339"/>
      <c r="CI200" s="1322"/>
      <c r="CJ200" s="1329"/>
      <c r="CK200" s="1329"/>
      <c r="CL200" s="335"/>
      <c r="CN200" s="1263"/>
      <c r="CO200" s="1258"/>
    </row>
    <row r="201" s="245" customFormat="1" ht="202" customHeight="1" spans="1:93">
      <c r="A201" s="1122">
        <v>198</v>
      </c>
      <c r="B201" s="70" t="s">
        <v>585</v>
      </c>
      <c r="C201" s="1123" t="s">
        <v>254</v>
      </c>
      <c r="D201" s="1088" t="s">
        <v>216</v>
      </c>
      <c r="E201" s="1088" t="s">
        <v>555</v>
      </c>
      <c r="F201" s="1124" t="s">
        <v>209</v>
      </c>
      <c r="G201" s="1443" t="s">
        <v>586</v>
      </c>
      <c r="H201" s="1125"/>
      <c r="I201" s="1125"/>
      <c r="J201" s="1289"/>
      <c r="K201" s="1289"/>
      <c r="L201" s="1290"/>
      <c r="M201" s="1290">
        <v>217132.08</v>
      </c>
      <c r="N201" s="295">
        <f t="shared" si="566"/>
        <v>25332.076</v>
      </c>
      <c r="O201" s="295">
        <v>5000</v>
      </c>
      <c r="P201" s="295"/>
      <c r="Q201" s="295"/>
      <c r="R201" s="295">
        <v>2500</v>
      </c>
      <c r="S201" s="295"/>
      <c r="T201" s="295"/>
      <c r="U201" s="295"/>
      <c r="V201" s="295"/>
      <c r="W201" s="295"/>
      <c r="X201" s="295"/>
      <c r="Y201" s="295"/>
      <c r="Z201" s="295">
        <v>2500</v>
      </c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1140"/>
      <c r="AM201" s="295">
        <f t="shared" si="503"/>
        <v>4342.6416</v>
      </c>
      <c r="AN201" s="295">
        <v>500</v>
      </c>
      <c r="AO201" s="1302"/>
      <c r="AP201" s="1302"/>
      <c r="AQ201" s="1303"/>
      <c r="AR201" s="1303"/>
      <c r="AS201" s="1304">
        <v>1000</v>
      </c>
      <c r="AT201" s="1303"/>
      <c r="AU201" s="1303"/>
      <c r="AV201" s="1151"/>
      <c r="AW201" s="1151"/>
      <c r="AX201" s="1303"/>
      <c r="AY201" s="1161"/>
      <c r="AZ201" s="1151"/>
      <c r="BA201" s="295">
        <v>20000</v>
      </c>
      <c r="BB201" s="295"/>
      <c r="BC201" s="295"/>
      <c r="BD201" s="295"/>
      <c r="BE201" s="724">
        <v>1000</v>
      </c>
      <c r="BF201" s="724"/>
      <c r="BG201" s="724"/>
      <c r="BH201" s="724">
        <f t="shared" si="568"/>
        <v>5049.28312</v>
      </c>
      <c r="BI201" s="1166"/>
      <c r="BJ201" s="1166"/>
      <c r="BK201" s="724">
        <v>29580.64</v>
      </c>
      <c r="BL201" s="724">
        <f t="shared" si="567"/>
        <v>252464.156</v>
      </c>
      <c r="BM201" s="724">
        <f t="shared" si="570"/>
        <v>61472.56472</v>
      </c>
      <c r="BN201" s="724"/>
      <c r="BO201" s="724"/>
      <c r="BP201" s="724">
        <f t="shared" si="569"/>
        <v>190991.59128</v>
      </c>
      <c r="BQ201" s="1320"/>
      <c r="BR201" s="1321"/>
      <c r="BS201" s="1322"/>
      <c r="BT201" s="1323"/>
      <c r="BU201" s="1329"/>
      <c r="BV201" s="1321"/>
      <c r="BW201" s="1322"/>
      <c r="BX201" s="1322"/>
      <c r="BY201" s="1322"/>
      <c r="BZ201" s="1322"/>
      <c r="CA201" s="1322"/>
      <c r="CB201" s="1322"/>
      <c r="CC201" s="1320"/>
      <c r="CD201" s="1322"/>
      <c r="CE201" s="321"/>
      <c r="CF201" s="322"/>
      <c r="CG201" s="1321"/>
      <c r="CH201" s="1339"/>
      <c r="CI201" s="1322"/>
      <c r="CJ201" s="1329"/>
      <c r="CK201" s="1329"/>
      <c r="CL201" s="335"/>
      <c r="CN201" s="1263"/>
      <c r="CO201" s="1258"/>
    </row>
    <row r="202" s="245" customFormat="1" ht="202" customHeight="1" spans="1:93">
      <c r="A202" s="1122">
        <v>199</v>
      </c>
      <c r="B202" s="70" t="s">
        <v>587</v>
      </c>
      <c r="C202" s="1123" t="s">
        <v>254</v>
      </c>
      <c r="D202" s="1088" t="s">
        <v>216</v>
      </c>
      <c r="E202" s="1088" t="s">
        <v>555</v>
      </c>
      <c r="F202" s="1124" t="s">
        <v>97</v>
      </c>
      <c r="G202" s="1443" t="s">
        <v>588</v>
      </c>
      <c r="H202" s="1125"/>
      <c r="I202" s="1125"/>
      <c r="J202" s="1289"/>
      <c r="K202" s="1289"/>
      <c r="L202" s="1290"/>
      <c r="M202" s="1290">
        <v>217132.08</v>
      </c>
      <c r="N202" s="295">
        <f t="shared" si="566"/>
        <v>25332.076</v>
      </c>
      <c r="O202" s="295">
        <v>5000</v>
      </c>
      <c r="P202" s="295"/>
      <c r="Q202" s="295"/>
      <c r="R202" s="295">
        <v>2500</v>
      </c>
      <c r="S202" s="295"/>
      <c r="T202" s="295"/>
      <c r="U202" s="295"/>
      <c r="V202" s="295"/>
      <c r="W202" s="295"/>
      <c r="X202" s="295"/>
      <c r="Y202" s="295"/>
      <c r="Z202" s="295">
        <v>2500</v>
      </c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1140"/>
      <c r="AM202" s="295">
        <f t="shared" si="503"/>
        <v>4342.6416</v>
      </c>
      <c r="AN202" s="295">
        <v>500</v>
      </c>
      <c r="AO202" s="1302"/>
      <c r="AP202" s="1302"/>
      <c r="AQ202" s="1303"/>
      <c r="AR202" s="1303"/>
      <c r="AS202" s="1304">
        <v>1000</v>
      </c>
      <c r="AT202" s="1303"/>
      <c r="AU202" s="1303"/>
      <c r="AV202" s="1151"/>
      <c r="AW202" s="1151"/>
      <c r="AX202" s="1303"/>
      <c r="AY202" s="1161"/>
      <c r="AZ202" s="1151"/>
      <c r="BA202" s="295">
        <v>0</v>
      </c>
      <c r="BB202" s="295"/>
      <c r="BC202" s="295"/>
      <c r="BD202" s="295"/>
      <c r="BE202" s="724">
        <v>1000</v>
      </c>
      <c r="BF202" s="724"/>
      <c r="BG202" s="724"/>
      <c r="BH202" s="724">
        <f t="shared" si="568"/>
        <v>5049.28312</v>
      </c>
      <c r="BI202" s="1166"/>
      <c r="BJ202" s="1166"/>
      <c r="BK202" s="724">
        <v>29580.64</v>
      </c>
      <c r="BL202" s="724">
        <f t="shared" si="567"/>
        <v>252464.156</v>
      </c>
      <c r="BM202" s="724">
        <f t="shared" si="570"/>
        <v>41472.56472</v>
      </c>
      <c r="BN202" s="724"/>
      <c r="BO202" s="724"/>
      <c r="BP202" s="724">
        <f t="shared" si="569"/>
        <v>210991.59128</v>
      </c>
      <c r="BQ202" s="1320"/>
      <c r="BR202" s="1321"/>
      <c r="BS202" s="1322"/>
      <c r="BT202" s="1323"/>
      <c r="BU202" s="1329"/>
      <c r="BV202" s="1321"/>
      <c r="BW202" s="1322"/>
      <c r="BX202" s="1322"/>
      <c r="BY202" s="1322"/>
      <c r="BZ202" s="1322"/>
      <c r="CA202" s="1322"/>
      <c r="CB202" s="1322"/>
      <c r="CC202" s="1320"/>
      <c r="CD202" s="1322"/>
      <c r="CE202" s="321"/>
      <c r="CF202" s="322"/>
      <c r="CG202" s="1321"/>
      <c r="CH202" s="1339"/>
      <c r="CI202" s="1322"/>
      <c r="CJ202" s="1329"/>
      <c r="CK202" s="1329"/>
      <c r="CL202" s="335"/>
      <c r="CN202" s="1263"/>
      <c r="CO202" s="1258"/>
    </row>
    <row r="203" s="245" customFormat="1" ht="202" customHeight="1" spans="1:93">
      <c r="A203" s="1122">
        <v>200</v>
      </c>
      <c r="B203" s="70" t="s">
        <v>589</v>
      </c>
      <c r="C203" s="1123" t="s">
        <v>590</v>
      </c>
      <c r="D203" s="1088" t="s">
        <v>216</v>
      </c>
      <c r="E203" s="1088" t="s">
        <v>555</v>
      </c>
      <c r="F203" s="1124" t="s">
        <v>165</v>
      </c>
      <c r="G203" s="1443" t="s">
        <v>591</v>
      </c>
      <c r="H203" s="1125"/>
      <c r="I203" s="1125"/>
      <c r="J203" s="1289"/>
      <c r="K203" s="1289"/>
      <c r="L203" s="1290"/>
      <c r="M203" s="1290">
        <v>217132.08</v>
      </c>
      <c r="N203" s="295">
        <f t="shared" si="566"/>
        <v>25332.076</v>
      </c>
      <c r="O203" s="295">
        <v>5000</v>
      </c>
      <c r="P203" s="295"/>
      <c r="Q203" s="295"/>
      <c r="R203" s="295">
        <v>2500</v>
      </c>
      <c r="S203" s="295"/>
      <c r="T203" s="295"/>
      <c r="U203" s="295"/>
      <c r="V203" s="295"/>
      <c r="W203" s="295"/>
      <c r="X203" s="295"/>
      <c r="Y203" s="295"/>
      <c r="Z203" s="295">
        <v>2500</v>
      </c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1140"/>
      <c r="AM203" s="295">
        <f t="shared" si="503"/>
        <v>4342.6416</v>
      </c>
      <c r="AN203" s="295">
        <v>500</v>
      </c>
      <c r="AO203" s="1302"/>
      <c r="AP203" s="1302"/>
      <c r="AQ203" s="1303"/>
      <c r="AR203" s="1303"/>
      <c r="AS203" s="1304"/>
      <c r="AT203" s="1303"/>
      <c r="AU203" s="1303"/>
      <c r="AV203" s="1151"/>
      <c r="AW203" s="1151">
        <v>1000</v>
      </c>
      <c r="AX203" s="1303"/>
      <c r="AY203" s="1161"/>
      <c r="AZ203" s="1151"/>
      <c r="BA203" s="295">
        <v>0</v>
      </c>
      <c r="BB203" s="295"/>
      <c r="BC203" s="295"/>
      <c r="BD203" s="295"/>
      <c r="BE203" s="724">
        <v>1000</v>
      </c>
      <c r="BF203" s="724"/>
      <c r="BG203" s="724"/>
      <c r="BH203" s="724">
        <f t="shared" si="568"/>
        <v>5049.28312</v>
      </c>
      <c r="BI203" s="1166"/>
      <c r="BJ203" s="1166"/>
      <c r="BK203" s="724">
        <v>29580.64</v>
      </c>
      <c r="BL203" s="724">
        <f t="shared" si="567"/>
        <v>252464.156</v>
      </c>
      <c r="BM203" s="724">
        <f t="shared" si="570"/>
        <v>41472.56472</v>
      </c>
      <c r="BN203" s="724"/>
      <c r="BO203" s="724"/>
      <c r="BP203" s="724">
        <f t="shared" si="569"/>
        <v>210991.59128</v>
      </c>
      <c r="BQ203" s="1320"/>
      <c r="BR203" s="1321"/>
      <c r="BS203" s="1322"/>
      <c r="BT203" s="1323"/>
      <c r="BU203" s="1329"/>
      <c r="BV203" s="1321"/>
      <c r="BW203" s="1322"/>
      <c r="BX203" s="1322"/>
      <c r="BY203" s="1322"/>
      <c r="BZ203" s="1322"/>
      <c r="CA203" s="1322"/>
      <c r="CB203" s="1322"/>
      <c r="CC203" s="1320"/>
      <c r="CD203" s="1322"/>
      <c r="CE203" s="321"/>
      <c r="CF203" s="322"/>
      <c r="CG203" s="1321"/>
      <c r="CH203" s="1339"/>
      <c r="CI203" s="1322"/>
      <c r="CJ203" s="1329"/>
      <c r="CK203" s="1329"/>
      <c r="CL203" s="335"/>
      <c r="CN203" s="1263"/>
      <c r="CO203" s="1258"/>
    </row>
    <row r="204" s="245" customFormat="1" ht="202" customHeight="1" spans="1:93">
      <c r="A204" s="1122">
        <v>201</v>
      </c>
      <c r="B204" s="70" t="s">
        <v>592</v>
      </c>
      <c r="C204" s="1123" t="s">
        <v>590</v>
      </c>
      <c r="D204" s="1088" t="s">
        <v>216</v>
      </c>
      <c r="E204" s="1088" t="s">
        <v>555</v>
      </c>
      <c r="F204" s="1124" t="s">
        <v>101</v>
      </c>
      <c r="G204" s="1443" t="s">
        <v>593</v>
      </c>
      <c r="H204" s="1125"/>
      <c r="I204" s="1125"/>
      <c r="J204" s="1289"/>
      <c r="K204" s="1289"/>
      <c r="L204" s="1290"/>
      <c r="M204" s="1290">
        <v>217132.08</v>
      </c>
      <c r="N204" s="295">
        <f t="shared" si="566"/>
        <v>25332.076</v>
      </c>
      <c r="O204" s="295">
        <v>5000</v>
      </c>
      <c r="P204" s="295"/>
      <c r="Q204" s="295"/>
      <c r="R204" s="295">
        <v>2500</v>
      </c>
      <c r="S204" s="295"/>
      <c r="T204" s="295"/>
      <c r="U204" s="295"/>
      <c r="V204" s="295"/>
      <c r="W204" s="295"/>
      <c r="X204" s="295"/>
      <c r="Y204" s="295"/>
      <c r="Z204" s="295">
        <v>2500</v>
      </c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1140"/>
      <c r="AM204" s="295">
        <f t="shared" si="503"/>
        <v>4342.6416</v>
      </c>
      <c r="AN204" s="295">
        <v>500</v>
      </c>
      <c r="AO204" s="1302"/>
      <c r="AP204" s="1302"/>
      <c r="AQ204" s="1303"/>
      <c r="AR204" s="1303"/>
      <c r="AS204" s="1304"/>
      <c r="AT204" s="1303"/>
      <c r="AU204" s="1303"/>
      <c r="AV204" s="1151"/>
      <c r="AW204" s="1151">
        <v>1000</v>
      </c>
      <c r="AX204" s="1303"/>
      <c r="AY204" s="1161"/>
      <c r="AZ204" s="1151"/>
      <c r="BA204" s="295">
        <v>0</v>
      </c>
      <c r="BB204" s="295"/>
      <c r="BC204" s="295"/>
      <c r="BD204" s="295"/>
      <c r="BE204" s="724">
        <v>1000</v>
      </c>
      <c r="BF204" s="724"/>
      <c r="BG204" s="724"/>
      <c r="BH204" s="724">
        <f t="shared" si="568"/>
        <v>5049.28312</v>
      </c>
      <c r="BI204" s="1166"/>
      <c r="BJ204" s="1166"/>
      <c r="BK204" s="724">
        <v>29580.64</v>
      </c>
      <c r="BL204" s="724">
        <f t="shared" si="567"/>
        <v>252464.156</v>
      </c>
      <c r="BM204" s="724">
        <f t="shared" si="570"/>
        <v>41472.56472</v>
      </c>
      <c r="BN204" s="724"/>
      <c r="BO204" s="724"/>
      <c r="BP204" s="724">
        <f t="shared" si="569"/>
        <v>210991.59128</v>
      </c>
      <c r="BQ204" s="1320"/>
      <c r="BR204" s="1321"/>
      <c r="BS204" s="1322"/>
      <c r="BT204" s="1323"/>
      <c r="BU204" s="1329"/>
      <c r="BV204" s="1321"/>
      <c r="BW204" s="1322"/>
      <c r="BX204" s="1322"/>
      <c r="BY204" s="1322"/>
      <c r="BZ204" s="1322"/>
      <c r="CA204" s="1322"/>
      <c r="CB204" s="1322"/>
      <c r="CC204" s="1320"/>
      <c r="CD204" s="1322"/>
      <c r="CE204" s="321"/>
      <c r="CF204" s="322"/>
      <c r="CG204" s="1321"/>
      <c r="CH204" s="1339"/>
      <c r="CI204" s="1322"/>
      <c r="CJ204" s="1329"/>
      <c r="CK204" s="1329"/>
      <c r="CL204" s="335"/>
      <c r="CN204" s="1263"/>
      <c r="CO204" s="1258"/>
    </row>
    <row r="205" s="245" customFormat="1" ht="202" customHeight="1" spans="1:93">
      <c r="A205" s="1122">
        <v>202</v>
      </c>
      <c r="B205" s="70" t="s">
        <v>594</v>
      </c>
      <c r="C205" s="1123" t="s">
        <v>167</v>
      </c>
      <c r="D205" s="1088" t="s">
        <v>216</v>
      </c>
      <c r="E205" s="1088" t="s">
        <v>555</v>
      </c>
      <c r="F205" s="1124" t="s">
        <v>97</v>
      </c>
      <c r="G205" s="1443" t="s">
        <v>595</v>
      </c>
      <c r="H205" s="1125"/>
      <c r="I205" s="1125"/>
      <c r="J205" s="1289"/>
      <c r="K205" s="1289"/>
      <c r="L205" s="1290"/>
      <c r="M205" s="1290">
        <v>217132.08</v>
      </c>
      <c r="N205" s="295">
        <f t="shared" si="566"/>
        <v>25332.076</v>
      </c>
      <c r="O205" s="295">
        <v>5000</v>
      </c>
      <c r="P205" s="295"/>
      <c r="Q205" s="295"/>
      <c r="R205" s="295">
        <v>2500</v>
      </c>
      <c r="S205" s="295"/>
      <c r="T205" s="295"/>
      <c r="U205" s="295"/>
      <c r="V205" s="295"/>
      <c r="W205" s="295"/>
      <c r="X205" s="295"/>
      <c r="Y205" s="295"/>
      <c r="Z205" s="295">
        <v>2500</v>
      </c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1140"/>
      <c r="AM205" s="295">
        <f t="shared" si="503"/>
        <v>4342.6416</v>
      </c>
      <c r="AN205" s="295">
        <v>500</v>
      </c>
      <c r="AO205" s="1302"/>
      <c r="AP205" s="1302"/>
      <c r="AQ205" s="1303"/>
      <c r="AR205" s="1303"/>
      <c r="AS205" s="1304"/>
      <c r="AT205" s="1303"/>
      <c r="AU205" s="1303"/>
      <c r="AV205" s="1151"/>
      <c r="AW205" s="1151">
        <v>1000</v>
      </c>
      <c r="AX205" s="1303"/>
      <c r="AY205" s="1161"/>
      <c r="AZ205" s="1151"/>
      <c r="BA205" s="295">
        <v>0</v>
      </c>
      <c r="BB205" s="295"/>
      <c r="BC205" s="295"/>
      <c r="BD205" s="295"/>
      <c r="BE205" s="724">
        <v>1000</v>
      </c>
      <c r="BF205" s="724"/>
      <c r="BG205" s="724"/>
      <c r="BH205" s="724">
        <f t="shared" si="568"/>
        <v>5049.28312</v>
      </c>
      <c r="BI205" s="1166"/>
      <c r="BJ205" s="1166"/>
      <c r="BK205" s="724">
        <v>29580.64</v>
      </c>
      <c r="BL205" s="724">
        <f t="shared" si="567"/>
        <v>252464.156</v>
      </c>
      <c r="BM205" s="724">
        <f t="shared" si="570"/>
        <v>41472.56472</v>
      </c>
      <c r="BN205" s="724"/>
      <c r="BO205" s="724"/>
      <c r="BP205" s="724">
        <f t="shared" si="569"/>
        <v>210991.59128</v>
      </c>
      <c r="BQ205" s="1320"/>
      <c r="BR205" s="1321"/>
      <c r="BS205" s="1322"/>
      <c r="BT205" s="1323"/>
      <c r="BU205" s="1329"/>
      <c r="BV205" s="1321"/>
      <c r="BW205" s="1322"/>
      <c r="BX205" s="1322"/>
      <c r="BY205" s="1322"/>
      <c r="BZ205" s="1322"/>
      <c r="CA205" s="1322"/>
      <c r="CB205" s="1322"/>
      <c r="CC205" s="1320"/>
      <c r="CD205" s="1322"/>
      <c r="CE205" s="321"/>
      <c r="CF205" s="322"/>
      <c r="CG205" s="1321"/>
      <c r="CH205" s="1339"/>
      <c r="CI205" s="1322"/>
      <c r="CJ205" s="1329"/>
      <c r="CK205" s="1329"/>
      <c r="CL205" s="335"/>
      <c r="CN205" s="1263"/>
      <c r="CO205" s="1258"/>
    </row>
    <row r="206" s="245" customFormat="1" ht="202" customHeight="1" spans="1:93">
      <c r="A206" s="1122">
        <v>203</v>
      </c>
      <c r="B206" s="70" t="s">
        <v>596</v>
      </c>
      <c r="C206" s="1123" t="s">
        <v>167</v>
      </c>
      <c r="D206" s="1088" t="s">
        <v>216</v>
      </c>
      <c r="E206" s="1088" t="s">
        <v>555</v>
      </c>
      <c r="F206" s="1124" t="s">
        <v>127</v>
      </c>
      <c r="G206" s="1443" t="s">
        <v>597</v>
      </c>
      <c r="H206" s="1125"/>
      <c r="I206" s="1125"/>
      <c r="J206" s="1289"/>
      <c r="K206" s="1289"/>
      <c r="L206" s="1290"/>
      <c r="M206" s="1290">
        <v>217132.08</v>
      </c>
      <c r="N206" s="295">
        <f t="shared" si="566"/>
        <v>25332.076</v>
      </c>
      <c r="O206" s="295">
        <v>5000</v>
      </c>
      <c r="P206" s="295"/>
      <c r="Q206" s="295"/>
      <c r="R206" s="295">
        <v>2500</v>
      </c>
      <c r="S206" s="295"/>
      <c r="T206" s="295"/>
      <c r="U206" s="295"/>
      <c r="V206" s="295"/>
      <c r="W206" s="295"/>
      <c r="X206" s="295"/>
      <c r="Y206" s="295"/>
      <c r="Z206" s="295">
        <v>2500</v>
      </c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1140"/>
      <c r="AM206" s="295">
        <f t="shared" si="503"/>
        <v>4342.6416</v>
      </c>
      <c r="AN206" s="295">
        <v>500</v>
      </c>
      <c r="AO206" s="1302"/>
      <c r="AP206" s="1302"/>
      <c r="AQ206" s="1303"/>
      <c r="AR206" s="1303"/>
      <c r="AS206" s="1304"/>
      <c r="AT206" s="1303"/>
      <c r="AU206" s="1303"/>
      <c r="AV206" s="1151"/>
      <c r="AW206" s="1151">
        <v>1000</v>
      </c>
      <c r="AX206" s="1303"/>
      <c r="AY206" s="1161"/>
      <c r="AZ206" s="1151"/>
      <c r="BA206" s="295">
        <v>0</v>
      </c>
      <c r="BB206" s="295"/>
      <c r="BC206" s="295"/>
      <c r="BD206" s="295"/>
      <c r="BE206" s="724">
        <v>1000</v>
      </c>
      <c r="BF206" s="724"/>
      <c r="BG206" s="724"/>
      <c r="BH206" s="724">
        <f t="shared" si="568"/>
        <v>5049.28312</v>
      </c>
      <c r="BI206" s="1166"/>
      <c r="BJ206" s="1166"/>
      <c r="BK206" s="724">
        <v>29580.64</v>
      </c>
      <c r="BL206" s="724">
        <f t="shared" si="567"/>
        <v>252464.156</v>
      </c>
      <c r="BM206" s="724">
        <f t="shared" si="570"/>
        <v>41472.56472</v>
      </c>
      <c r="BN206" s="724"/>
      <c r="BO206" s="724"/>
      <c r="BP206" s="724">
        <f t="shared" si="569"/>
        <v>210991.59128</v>
      </c>
      <c r="BQ206" s="1320"/>
      <c r="BR206" s="1321"/>
      <c r="BS206" s="1322"/>
      <c r="BT206" s="1323"/>
      <c r="BU206" s="1329"/>
      <c r="BV206" s="1321"/>
      <c r="BW206" s="1322"/>
      <c r="BX206" s="1322"/>
      <c r="BY206" s="1322"/>
      <c r="BZ206" s="1322"/>
      <c r="CA206" s="1322"/>
      <c r="CB206" s="1322"/>
      <c r="CC206" s="1320"/>
      <c r="CD206" s="1322"/>
      <c r="CE206" s="321"/>
      <c r="CF206" s="322"/>
      <c r="CG206" s="1321"/>
      <c r="CH206" s="1339"/>
      <c r="CI206" s="1322"/>
      <c r="CJ206" s="1329"/>
      <c r="CK206" s="1329"/>
      <c r="CL206" s="335"/>
      <c r="CN206" s="1263"/>
      <c r="CO206" s="1258"/>
    </row>
    <row r="207" s="245" customFormat="1" ht="202" customHeight="1" spans="1:93">
      <c r="A207" s="1122">
        <v>204</v>
      </c>
      <c r="B207" s="70" t="s">
        <v>598</v>
      </c>
      <c r="C207" s="1123" t="s">
        <v>599</v>
      </c>
      <c r="D207" s="1088" t="s">
        <v>216</v>
      </c>
      <c r="E207" s="1088" t="s">
        <v>555</v>
      </c>
      <c r="F207" s="1124" t="s">
        <v>93</v>
      </c>
      <c r="G207" s="1443" t="s">
        <v>600</v>
      </c>
      <c r="H207" s="1125"/>
      <c r="I207" s="1125"/>
      <c r="J207" s="1289"/>
      <c r="K207" s="1289"/>
      <c r="L207" s="1290"/>
      <c r="M207" s="1290">
        <v>217132.08</v>
      </c>
      <c r="N207" s="295">
        <f t="shared" si="566"/>
        <v>25332.076</v>
      </c>
      <c r="O207" s="295">
        <v>5000</v>
      </c>
      <c r="P207" s="295"/>
      <c r="Q207" s="295"/>
      <c r="R207" s="295">
        <v>2500</v>
      </c>
      <c r="S207" s="295"/>
      <c r="T207" s="295"/>
      <c r="U207" s="295"/>
      <c r="V207" s="295"/>
      <c r="W207" s="295"/>
      <c r="X207" s="295"/>
      <c r="Y207" s="295"/>
      <c r="Z207" s="295">
        <v>2500</v>
      </c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1140"/>
      <c r="AM207" s="295">
        <f t="shared" si="503"/>
        <v>4342.6416</v>
      </c>
      <c r="AN207" s="295">
        <v>500</v>
      </c>
      <c r="AO207" s="1302"/>
      <c r="AP207" s="1302"/>
      <c r="AQ207" s="1303"/>
      <c r="AR207" s="1303"/>
      <c r="AS207" s="1304"/>
      <c r="AT207" s="1303"/>
      <c r="AU207" s="1303"/>
      <c r="AV207" s="1151"/>
      <c r="AW207" s="1151"/>
      <c r="AX207" s="1303"/>
      <c r="AY207" s="1161"/>
      <c r="AZ207" s="1151"/>
      <c r="BA207" s="295">
        <v>0</v>
      </c>
      <c r="BB207" s="295"/>
      <c r="BC207" s="295"/>
      <c r="BD207" s="295"/>
      <c r="BE207" s="724">
        <v>1000</v>
      </c>
      <c r="BF207" s="724"/>
      <c r="BG207" s="724"/>
      <c r="BH207" s="724">
        <f t="shared" si="568"/>
        <v>5049.28312</v>
      </c>
      <c r="BI207" s="1166"/>
      <c r="BJ207" s="1166"/>
      <c r="BK207" s="724">
        <v>29580.64</v>
      </c>
      <c r="BL207" s="724">
        <f t="shared" si="567"/>
        <v>252464.156</v>
      </c>
      <c r="BM207" s="724">
        <f t="shared" si="570"/>
        <v>40472.56472</v>
      </c>
      <c r="BN207" s="724"/>
      <c r="BO207" s="724"/>
      <c r="BP207" s="724">
        <f t="shared" si="569"/>
        <v>211991.59128</v>
      </c>
      <c r="BQ207" s="1320"/>
      <c r="BR207" s="1321"/>
      <c r="BS207" s="1322"/>
      <c r="BT207" s="1323"/>
      <c r="BU207" s="1329"/>
      <c r="BV207" s="1321"/>
      <c r="BW207" s="1322"/>
      <c r="BX207" s="1322"/>
      <c r="BY207" s="1322"/>
      <c r="BZ207" s="1322"/>
      <c r="CA207" s="1322"/>
      <c r="CB207" s="1322"/>
      <c r="CC207" s="1320"/>
      <c r="CD207" s="1322"/>
      <c r="CE207" s="321"/>
      <c r="CF207" s="322"/>
      <c r="CG207" s="1321"/>
      <c r="CH207" s="1339"/>
      <c r="CI207" s="1322"/>
      <c r="CJ207" s="1329"/>
      <c r="CK207" s="1329"/>
      <c r="CL207" s="335"/>
      <c r="CN207" s="1263"/>
      <c r="CO207" s="1258"/>
    </row>
    <row r="208" s="245" customFormat="1" ht="202" customHeight="1" spans="1:93">
      <c r="A208" s="1122">
        <v>205</v>
      </c>
      <c r="B208" s="70" t="s">
        <v>601</v>
      </c>
      <c r="C208" s="1123" t="s">
        <v>599</v>
      </c>
      <c r="D208" s="1088" t="s">
        <v>216</v>
      </c>
      <c r="E208" s="1088" t="s">
        <v>555</v>
      </c>
      <c r="F208" s="1124" t="s">
        <v>93</v>
      </c>
      <c r="G208" s="1443" t="s">
        <v>602</v>
      </c>
      <c r="H208" s="1125"/>
      <c r="I208" s="1125"/>
      <c r="J208" s="1289"/>
      <c r="K208" s="1289"/>
      <c r="L208" s="1290"/>
      <c r="M208" s="1290">
        <v>217132.08</v>
      </c>
      <c r="N208" s="295">
        <f t="shared" si="566"/>
        <v>25332.076</v>
      </c>
      <c r="O208" s="295">
        <v>5000</v>
      </c>
      <c r="P208" s="295"/>
      <c r="Q208" s="295"/>
      <c r="R208" s="295">
        <v>2500</v>
      </c>
      <c r="S208" s="295"/>
      <c r="T208" s="295"/>
      <c r="U208" s="295"/>
      <c r="V208" s="295"/>
      <c r="W208" s="295"/>
      <c r="X208" s="295"/>
      <c r="Y208" s="295"/>
      <c r="Z208" s="295">
        <v>2500</v>
      </c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1140"/>
      <c r="AM208" s="295">
        <f t="shared" si="503"/>
        <v>4342.6416</v>
      </c>
      <c r="AN208" s="295">
        <v>500</v>
      </c>
      <c r="AO208" s="1302"/>
      <c r="AP208" s="1302"/>
      <c r="AQ208" s="1303"/>
      <c r="AR208" s="1303"/>
      <c r="AS208" s="1304"/>
      <c r="AT208" s="1303"/>
      <c r="AU208" s="1303"/>
      <c r="AV208" s="1151"/>
      <c r="AW208" s="1151"/>
      <c r="AX208" s="1303"/>
      <c r="AY208" s="1161"/>
      <c r="AZ208" s="1151"/>
      <c r="BA208" s="295">
        <v>0</v>
      </c>
      <c r="BB208" s="295"/>
      <c r="BC208" s="295"/>
      <c r="BD208" s="295"/>
      <c r="BE208" s="724">
        <v>1000</v>
      </c>
      <c r="BF208" s="724"/>
      <c r="BG208" s="724"/>
      <c r="BH208" s="724">
        <f t="shared" si="568"/>
        <v>5049.28312</v>
      </c>
      <c r="BI208" s="1166"/>
      <c r="BJ208" s="1166"/>
      <c r="BK208" s="724">
        <v>29580.64</v>
      </c>
      <c r="BL208" s="724">
        <f t="shared" si="567"/>
        <v>252464.156</v>
      </c>
      <c r="BM208" s="724">
        <f t="shared" si="570"/>
        <v>40472.56472</v>
      </c>
      <c r="BN208" s="724"/>
      <c r="BO208" s="724"/>
      <c r="BP208" s="724">
        <f t="shared" si="569"/>
        <v>211991.59128</v>
      </c>
      <c r="BQ208" s="1320"/>
      <c r="BR208" s="1321"/>
      <c r="BS208" s="1322"/>
      <c r="BT208" s="1323"/>
      <c r="BU208" s="1329"/>
      <c r="BV208" s="1321"/>
      <c r="BW208" s="1322"/>
      <c r="BX208" s="1322"/>
      <c r="BY208" s="1322"/>
      <c r="BZ208" s="1322"/>
      <c r="CA208" s="1322"/>
      <c r="CB208" s="1322"/>
      <c r="CC208" s="1320"/>
      <c r="CD208" s="1322"/>
      <c r="CE208" s="321"/>
      <c r="CF208" s="322"/>
      <c r="CG208" s="1321"/>
      <c r="CH208" s="1339"/>
      <c r="CI208" s="1322"/>
      <c r="CJ208" s="1329"/>
      <c r="CK208" s="1329"/>
      <c r="CL208" s="335"/>
      <c r="CN208" s="1263"/>
      <c r="CO208" s="1258"/>
    </row>
    <row r="209" s="245" customFormat="1" ht="202" customHeight="1" spans="1:93">
      <c r="A209" s="1122">
        <v>206</v>
      </c>
      <c r="B209" s="70" t="s">
        <v>603</v>
      </c>
      <c r="C209" s="1123" t="s">
        <v>249</v>
      </c>
      <c r="D209" s="1088" t="s">
        <v>216</v>
      </c>
      <c r="E209" s="1088" t="s">
        <v>555</v>
      </c>
      <c r="F209" s="1124" t="s">
        <v>127</v>
      </c>
      <c r="G209" s="1443" t="s">
        <v>604</v>
      </c>
      <c r="H209" s="1125"/>
      <c r="I209" s="1125"/>
      <c r="J209" s="1289"/>
      <c r="K209" s="1289"/>
      <c r="L209" s="1290"/>
      <c r="M209" s="1290">
        <v>217132.08</v>
      </c>
      <c r="N209" s="295">
        <f t="shared" si="566"/>
        <v>25332.076</v>
      </c>
      <c r="O209" s="295">
        <v>5000</v>
      </c>
      <c r="P209" s="295"/>
      <c r="Q209" s="295"/>
      <c r="R209" s="295">
        <v>2500</v>
      </c>
      <c r="S209" s="295"/>
      <c r="T209" s="295"/>
      <c r="U209" s="295"/>
      <c r="V209" s="295"/>
      <c r="W209" s="295"/>
      <c r="X209" s="295"/>
      <c r="Y209" s="295"/>
      <c r="Z209" s="295">
        <v>2500</v>
      </c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1140"/>
      <c r="AM209" s="295">
        <f t="shared" si="503"/>
        <v>4342.6416</v>
      </c>
      <c r="AN209" s="295">
        <v>500</v>
      </c>
      <c r="AO209" s="1302"/>
      <c r="AP209" s="1302"/>
      <c r="AQ209" s="1303"/>
      <c r="AR209" s="1303"/>
      <c r="AS209" s="1304"/>
      <c r="AT209" s="1303"/>
      <c r="AU209" s="1303"/>
      <c r="AV209" s="1151"/>
      <c r="AW209" s="1151"/>
      <c r="AX209" s="1303"/>
      <c r="AY209" s="1161"/>
      <c r="AZ209" s="1151"/>
      <c r="BA209" s="295">
        <v>0</v>
      </c>
      <c r="BB209" s="295"/>
      <c r="BC209" s="295"/>
      <c r="BD209" s="295"/>
      <c r="BE209" s="724">
        <v>1000</v>
      </c>
      <c r="BF209" s="724"/>
      <c r="BG209" s="724"/>
      <c r="BH209" s="724">
        <f t="shared" si="568"/>
        <v>5049.28312</v>
      </c>
      <c r="BI209" s="1166"/>
      <c r="BJ209" s="1166"/>
      <c r="BK209" s="724">
        <v>29580.64</v>
      </c>
      <c r="BL209" s="724">
        <f t="shared" si="567"/>
        <v>252464.156</v>
      </c>
      <c r="BM209" s="724">
        <f t="shared" si="570"/>
        <v>40472.56472</v>
      </c>
      <c r="BN209" s="724"/>
      <c r="BO209" s="724"/>
      <c r="BP209" s="724">
        <f t="shared" si="569"/>
        <v>211991.59128</v>
      </c>
      <c r="BQ209" s="1320"/>
      <c r="BR209" s="1321"/>
      <c r="BS209" s="1322"/>
      <c r="BT209" s="1323"/>
      <c r="BU209" s="1329"/>
      <c r="BV209" s="1321"/>
      <c r="BW209" s="1322"/>
      <c r="BX209" s="1322"/>
      <c r="BY209" s="1322"/>
      <c r="BZ209" s="1322"/>
      <c r="CA209" s="1322"/>
      <c r="CB209" s="1322"/>
      <c r="CC209" s="1320"/>
      <c r="CD209" s="1322"/>
      <c r="CE209" s="321"/>
      <c r="CF209" s="322"/>
      <c r="CG209" s="1321"/>
      <c r="CH209" s="1339"/>
      <c r="CI209" s="1322"/>
      <c r="CJ209" s="1329"/>
      <c r="CK209" s="1329"/>
      <c r="CL209" s="335"/>
      <c r="CN209" s="1263"/>
      <c r="CO209" s="1258"/>
    </row>
    <row r="210" s="245" customFormat="1" ht="202" customHeight="1" spans="1:93">
      <c r="A210" s="1122">
        <v>207</v>
      </c>
      <c r="B210" s="70" t="s">
        <v>605</v>
      </c>
      <c r="C210" s="1123" t="s">
        <v>606</v>
      </c>
      <c r="D210" s="1088" t="s">
        <v>216</v>
      </c>
      <c r="E210" s="1088" t="s">
        <v>555</v>
      </c>
      <c r="F210" s="1124" t="s">
        <v>93</v>
      </c>
      <c r="G210" s="1443" t="s">
        <v>607</v>
      </c>
      <c r="H210" s="1125"/>
      <c r="I210" s="1125"/>
      <c r="J210" s="1289"/>
      <c r="K210" s="1289"/>
      <c r="L210" s="1290"/>
      <c r="M210" s="1290">
        <v>217132.08</v>
      </c>
      <c r="N210" s="295">
        <f t="shared" si="566"/>
        <v>25332.076</v>
      </c>
      <c r="O210" s="295">
        <v>5000</v>
      </c>
      <c r="P210" s="295"/>
      <c r="Q210" s="295"/>
      <c r="R210" s="295">
        <v>2500</v>
      </c>
      <c r="S210" s="295"/>
      <c r="T210" s="295"/>
      <c r="U210" s="295"/>
      <c r="V210" s="295"/>
      <c r="W210" s="295"/>
      <c r="X210" s="295"/>
      <c r="Y210" s="295"/>
      <c r="Z210" s="295">
        <v>2500</v>
      </c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1140"/>
      <c r="AM210" s="295">
        <f t="shared" si="503"/>
        <v>4342.6416</v>
      </c>
      <c r="AN210" s="295">
        <v>500</v>
      </c>
      <c r="AO210" s="1302"/>
      <c r="AP210" s="1302"/>
      <c r="AQ210" s="1303"/>
      <c r="AR210" s="1303"/>
      <c r="AS210" s="1304"/>
      <c r="AT210" s="1303"/>
      <c r="AU210" s="1303"/>
      <c r="AV210" s="1151"/>
      <c r="AW210" s="1151">
        <v>1000</v>
      </c>
      <c r="AX210" s="1303"/>
      <c r="AY210" s="1161"/>
      <c r="AZ210" s="1151"/>
      <c r="BA210" s="295">
        <v>0</v>
      </c>
      <c r="BB210" s="295"/>
      <c r="BC210" s="295"/>
      <c r="BD210" s="295"/>
      <c r="BE210" s="724">
        <v>1000</v>
      </c>
      <c r="BF210" s="724"/>
      <c r="BG210" s="724"/>
      <c r="BH210" s="724">
        <f t="shared" si="568"/>
        <v>5049.28312</v>
      </c>
      <c r="BI210" s="1166"/>
      <c r="BJ210" s="1166"/>
      <c r="BK210" s="724">
        <v>29580.64</v>
      </c>
      <c r="BL210" s="724">
        <f t="shared" si="567"/>
        <v>252464.156</v>
      </c>
      <c r="BM210" s="724">
        <f t="shared" si="570"/>
        <v>41472.56472</v>
      </c>
      <c r="BN210" s="724"/>
      <c r="BO210" s="724"/>
      <c r="BP210" s="724">
        <f t="shared" si="569"/>
        <v>210991.59128</v>
      </c>
      <c r="BQ210" s="1320"/>
      <c r="BR210" s="1321"/>
      <c r="BS210" s="1322"/>
      <c r="BT210" s="1323"/>
      <c r="BU210" s="1329"/>
      <c r="BV210" s="1321"/>
      <c r="BW210" s="1322"/>
      <c r="BX210" s="1322"/>
      <c r="BY210" s="1322"/>
      <c r="BZ210" s="1322"/>
      <c r="CA210" s="1322"/>
      <c r="CB210" s="1322"/>
      <c r="CC210" s="1320"/>
      <c r="CD210" s="1322"/>
      <c r="CE210" s="321"/>
      <c r="CF210" s="322"/>
      <c r="CG210" s="1321"/>
      <c r="CH210" s="1339"/>
      <c r="CI210" s="1322"/>
      <c r="CJ210" s="1329"/>
      <c r="CK210" s="1329"/>
      <c r="CL210" s="335"/>
      <c r="CN210" s="1263"/>
      <c r="CO210" s="1258"/>
    </row>
    <row r="211" s="245" customFormat="1" ht="202" customHeight="1" spans="1:93">
      <c r="A211" s="1122">
        <v>208</v>
      </c>
      <c r="B211" s="70" t="s">
        <v>608</v>
      </c>
      <c r="C211" s="1123" t="s">
        <v>177</v>
      </c>
      <c r="D211" s="1088" t="s">
        <v>216</v>
      </c>
      <c r="E211" s="1088" t="s">
        <v>555</v>
      </c>
      <c r="F211" s="1124" t="s">
        <v>97</v>
      </c>
      <c r="G211" s="1443" t="s">
        <v>609</v>
      </c>
      <c r="H211" s="1125"/>
      <c r="I211" s="1125"/>
      <c r="J211" s="1289"/>
      <c r="K211" s="1289"/>
      <c r="L211" s="1290"/>
      <c r="M211" s="1290">
        <v>217132.08</v>
      </c>
      <c r="N211" s="295">
        <f t="shared" si="566"/>
        <v>25332.076</v>
      </c>
      <c r="O211" s="295">
        <v>5000</v>
      </c>
      <c r="P211" s="295"/>
      <c r="Q211" s="295"/>
      <c r="R211" s="295">
        <v>2500</v>
      </c>
      <c r="S211" s="295"/>
      <c r="T211" s="295"/>
      <c r="U211" s="295"/>
      <c r="V211" s="295"/>
      <c r="W211" s="295"/>
      <c r="X211" s="295"/>
      <c r="Y211" s="295"/>
      <c r="Z211" s="295">
        <v>2500</v>
      </c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1140"/>
      <c r="AM211" s="295">
        <f t="shared" si="503"/>
        <v>4342.6416</v>
      </c>
      <c r="AN211" s="295">
        <v>500</v>
      </c>
      <c r="AO211" s="1302"/>
      <c r="AP211" s="1302"/>
      <c r="AQ211" s="1303"/>
      <c r="AR211" s="1303"/>
      <c r="AS211" s="1304"/>
      <c r="AT211" s="1303"/>
      <c r="AU211" s="1303"/>
      <c r="AV211" s="1151">
        <v>5000</v>
      </c>
      <c r="AW211" s="1151">
        <v>1000</v>
      </c>
      <c r="AX211" s="1303"/>
      <c r="AY211" s="1161"/>
      <c r="AZ211" s="1151"/>
      <c r="BA211" s="295">
        <v>10000</v>
      </c>
      <c r="BB211" s="295"/>
      <c r="BC211" s="295"/>
      <c r="BD211" s="295"/>
      <c r="BE211" s="724">
        <v>1000</v>
      </c>
      <c r="BF211" s="724"/>
      <c r="BG211" s="724"/>
      <c r="BH211" s="724">
        <f t="shared" si="568"/>
        <v>5049.28312</v>
      </c>
      <c r="BI211" s="1166"/>
      <c r="BJ211" s="1166"/>
      <c r="BK211" s="724">
        <v>29580.64</v>
      </c>
      <c r="BL211" s="724">
        <f t="shared" si="567"/>
        <v>252464.156</v>
      </c>
      <c r="BM211" s="724">
        <f t="shared" si="570"/>
        <v>56472.56472</v>
      </c>
      <c r="BN211" s="724"/>
      <c r="BO211" s="724"/>
      <c r="BP211" s="724">
        <f t="shared" si="569"/>
        <v>195991.59128</v>
      </c>
      <c r="BQ211" s="1320"/>
      <c r="BR211" s="1321"/>
      <c r="BS211" s="1322"/>
      <c r="BT211" s="1323"/>
      <c r="BU211" s="1329"/>
      <c r="BV211" s="1321"/>
      <c r="BW211" s="1322"/>
      <c r="BX211" s="1322"/>
      <c r="BY211" s="1322"/>
      <c r="BZ211" s="1322"/>
      <c r="CA211" s="1322"/>
      <c r="CB211" s="1322"/>
      <c r="CC211" s="1320"/>
      <c r="CD211" s="1322"/>
      <c r="CE211" s="321"/>
      <c r="CF211" s="322"/>
      <c r="CG211" s="1321"/>
      <c r="CH211" s="1339"/>
      <c r="CI211" s="1322"/>
      <c r="CJ211" s="1329"/>
      <c r="CK211" s="1329"/>
      <c r="CL211" s="335"/>
      <c r="CN211" s="1263"/>
      <c r="CO211" s="1258"/>
    </row>
    <row r="212" s="245" customFormat="1" ht="163" customHeight="1" spans="1:93">
      <c r="A212" s="1122">
        <v>209</v>
      </c>
      <c r="B212" s="70" t="s">
        <v>610</v>
      </c>
      <c r="C212" s="1123" t="s">
        <v>51</v>
      </c>
      <c r="D212" s="1088" t="s">
        <v>216</v>
      </c>
      <c r="E212" s="1088" t="s">
        <v>555</v>
      </c>
      <c r="F212" s="1124" t="s">
        <v>113</v>
      </c>
      <c r="G212" s="1443" t="s">
        <v>611</v>
      </c>
      <c r="H212" s="1125"/>
      <c r="I212" s="1125"/>
      <c r="J212" s="1289"/>
      <c r="K212" s="1289"/>
      <c r="L212" s="1290"/>
      <c r="M212" s="1290">
        <v>217132.08</v>
      </c>
      <c r="N212" s="295">
        <f t="shared" si="566"/>
        <v>25332.076</v>
      </c>
      <c r="O212" s="295">
        <v>5000</v>
      </c>
      <c r="P212" s="295"/>
      <c r="Q212" s="295"/>
      <c r="R212" s="295">
        <v>2500</v>
      </c>
      <c r="S212" s="295"/>
      <c r="T212" s="295"/>
      <c r="U212" s="295"/>
      <c r="V212" s="295"/>
      <c r="W212" s="295"/>
      <c r="X212" s="295"/>
      <c r="Y212" s="295"/>
      <c r="Z212" s="295">
        <v>2500</v>
      </c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1140"/>
      <c r="AM212" s="295">
        <f t="shared" si="503"/>
        <v>4342.6416</v>
      </c>
      <c r="AN212" s="295">
        <v>500</v>
      </c>
      <c r="AO212" s="1302"/>
      <c r="AP212" s="1302"/>
      <c r="AQ212" s="1303"/>
      <c r="AR212" s="1303"/>
      <c r="AS212" s="1304"/>
      <c r="AT212" s="1303"/>
      <c r="AU212" s="1303"/>
      <c r="AV212" s="1151"/>
      <c r="AW212" s="1151"/>
      <c r="AX212" s="1303">
        <v>1000</v>
      </c>
      <c r="AY212" s="1161"/>
      <c r="AZ212" s="1151">
        <v>1000</v>
      </c>
      <c r="BA212" s="295">
        <v>0</v>
      </c>
      <c r="BB212" s="295"/>
      <c r="BC212" s="295"/>
      <c r="BD212" s="295"/>
      <c r="BE212" s="724">
        <v>1000</v>
      </c>
      <c r="BF212" s="724"/>
      <c r="BG212" s="724"/>
      <c r="BH212" s="724">
        <f t="shared" si="568"/>
        <v>5049.28312</v>
      </c>
      <c r="BI212" s="1166"/>
      <c r="BJ212" s="1166"/>
      <c r="BK212" s="724">
        <v>29580.64</v>
      </c>
      <c r="BL212" s="724">
        <f t="shared" si="567"/>
        <v>252464.156</v>
      </c>
      <c r="BM212" s="724">
        <f t="shared" si="570"/>
        <v>42472.56472</v>
      </c>
      <c r="BN212" s="724"/>
      <c r="BO212" s="724"/>
      <c r="BP212" s="724">
        <f t="shared" si="569"/>
        <v>209991.59128</v>
      </c>
      <c r="BQ212" s="1320"/>
      <c r="BR212" s="1321"/>
      <c r="BS212" s="1322"/>
      <c r="BT212" s="1323"/>
      <c r="BU212" s="1329"/>
      <c r="BV212" s="1321"/>
      <c r="BW212" s="1322"/>
      <c r="BX212" s="1322"/>
      <c r="BY212" s="1322"/>
      <c r="BZ212" s="1322"/>
      <c r="CA212" s="1322"/>
      <c r="CB212" s="1322"/>
      <c r="CC212" s="1320"/>
      <c r="CD212" s="1322"/>
      <c r="CE212" s="321"/>
      <c r="CF212" s="322"/>
      <c r="CG212" s="1321"/>
      <c r="CH212" s="1339"/>
      <c r="CI212" s="1322"/>
      <c r="CJ212" s="1329"/>
      <c r="CK212" s="1329"/>
      <c r="CL212" s="335"/>
      <c r="CN212" s="1263"/>
      <c r="CO212" s="1258"/>
    </row>
    <row r="213" s="245" customFormat="1" ht="202" customHeight="1" spans="1:93">
      <c r="A213" s="1122">
        <v>210</v>
      </c>
      <c r="B213" s="70" t="s">
        <v>612</v>
      </c>
      <c r="C213" s="1123" t="s">
        <v>51</v>
      </c>
      <c r="D213" s="1088" t="s">
        <v>216</v>
      </c>
      <c r="E213" s="1088" t="s">
        <v>555</v>
      </c>
      <c r="F213" s="1124" t="s">
        <v>127</v>
      </c>
      <c r="G213" s="1443" t="s">
        <v>613</v>
      </c>
      <c r="H213" s="1125"/>
      <c r="I213" s="1125"/>
      <c r="J213" s="1289"/>
      <c r="K213" s="1289"/>
      <c r="L213" s="1290"/>
      <c r="M213" s="1290">
        <v>217132.08</v>
      </c>
      <c r="N213" s="295">
        <f t="shared" si="566"/>
        <v>25332.076</v>
      </c>
      <c r="O213" s="295">
        <v>5000</v>
      </c>
      <c r="P213" s="295"/>
      <c r="Q213" s="295"/>
      <c r="R213" s="295">
        <v>2500</v>
      </c>
      <c r="S213" s="295"/>
      <c r="T213" s="295"/>
      <c r="U213" s="295"/>
      <c r="V213" s="295"/>
      <c r="W213" s="295"/>
      <c r="X213" s="295"/>
      <c r="Y213" s="295"/>
      <c r="Z213" s="295">
        <v>2500</v>
      </c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1140"/>
      <c r="AM213" s="295">
        <f t="shared" si="503"/>
        <v>4342.6416</v>
      </c>
      <c r="AN213" s="295">
        <v>500</v>
      </c>
      <c r="AO213" s="1302"/>
      <c r="AP213" s="1302"/>
      <c r="AQ213" s="1303"/>
      <c r="AR213" s="1303"/>
      <c r="AS213" s="1304"/>
      <c r="AT213" s="1303"/>
      <c r="AU213" s="1303"/>
      <c r="AV213" s="1151"/>
      <c r="AW213" s="1151"/>
      <c r="AX213" s="1303">
        <v>1000</v>
      </c>
      <c r="AY213" s="1161">
        <v>2000</v>
      </c>
      <c r="AZ213" s="1151">
        <v>1000</v>
      </c>
      <c r="BA213" s="295">
        <v>0</v>
      </c>
      <c r="BB213" s="295"/>
      <c r="BC213" s="295"/>
      <c r="BD213" s="295"/>
      <c r="BE213" s="724">
        <v>1000</v>
      </c>
      <c r="BF213" s="724"/>
      <c r="BG213" s="724"/>
      <c r="BH213" s="724">
        <f t="shared" si="568"/>
        <v>5049.28312</v>
      </c>
      <c r="BI213" s="1166"/>
      <c r="BJ213" s="1166"/>
      <c r="BK213" s="724">
        <v>29580.64</v>
      </c>
      <c r="BL213" s="724">
        <f t="shared" si="567"/>
        <v>252464.156</v>
      </c>
      <c r="BM213" s="724">
        <f t="shared" si="570"/>
        <v>44472.56472</v>
      </c>
      <c r="BN213" s="724"/>
      <c r="BO213" s="724"/>
      <c r="BP213" s="724">
        <f t="shared" si="569"/>
        <v>207991.59128</v>
      </c>
      <c r="BQ213" s="1320"/>
      <c r="BR213" s="1321"/>
      <c r="BS213" s="1322"/>
      <c r="BT213" s="1323"/>
      <c r="BU213" s="1329"/>
      <c r="BV213" s="1321"/>
      <c r="BW213" s="1322"/>
      <c r="BX213" s="1322"/>
      <c r="BY213" s="1322"/>
      <c r="BZ213" s="1322"/>
      <c r="CA213" s="1322"/>
      <c r="CB213" s="1322"/>
      <c r="CC213" s="1320"/>
      <c r="CD213" s="1322"/>
      <c r="CE213" s="321"/>
      <c r="CF213" s="322"/>
      <c r="CG213" s="1321"/>
      <c r="CH213" s="1339"/>
      <c r="CI213" s="1322"/>
      <c r="CJ213" s="1329"/>
      <c r="CK213" s="1329"/>
      <c r="CL213" s="335"/>
      <c r="CN213" s="1263"/>
      <c r="CO213" s="1258"/>
    </row>
    <row r="214" s="245" customFormat="1" ht="202" customHeight="1" spans="1:93">
      <c r="A214" s="1122">
        <v>211</v>
      </c>
      <c r="B214" s="70" t="s">
        <v>614</v>
      </c>
      <c r="C214" s="1123" t="s">
        <v>51</v>
      </c>
      <c r="D214" s="1088" t="s">
        <v>216</v>
      </c>
      <c r="E214" s="1088" t="s">
        <v>555</v>
      </c>
      <c r="F214" s="1124" t="s">
        <v>313</v>
      </c>
      <c r="G214" s="1443" t="s">
        <v>615</v>
      </c>
      <c r="H214" s="1125"/>
      <c r="I214" s="1125"/>
      <c r="J214" s="1289"/>
      <c r="K214" s="1289"/>
      <c r="L214" s="1290"/>
      <c r="M214" s="1290">
        <v>217132.08</v>
      </c>
      <c r="N214" s="295">
        <f t="shared" si="566"/>
        <v>25332.076</v>
      </c>
      <c r="O214" s="295">
        <v>5000</v>
      </c>
      <c r="P214" s="295"/>
      <c r="Q214" s="295"/>
      <c r="R214" s="295">
        <v>2500</v>
      </c>
      <c r="S214" s="295"/>
      <c r="T214" s="295"/>
      <c r="U214" s="295"/>
      <c r="V214" s="295"/>
      <c r="W214" s="295"/>
      <c r="X214" s="295"/>
      <c r="Y214" s="295"/>
      <c r="Z214" s="295">
        <v>2500</v>
      </c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1140"/>
      <c r="AM214" s="295">
        <f t="shared" si="503"/>
        <v>4342.6416</v>
      </c>
      <c r="AN214" s="295">
        <v>500</v>
      </c>
      <c r="AO214" s="1302"/>
      <c r="AP214" s="1302"/>
      <c r="AQ214" s="1303"/>
      <c r="AR214" s="1303"/>
      <c r="AS214" s="1304"/>
      <c r="AT214" s="1303"/>
      <c r="AU214" s="1303"/>
      <c r="AV214" s="1151"/>
      <c r="AW214" s="1151"/>
      <c r="AX214" s="1303">
        <v>1000</v>
      </c>
      <c r="AY214" s="1161"/>
      <c r="AZ214" s="1151">
        <v>1000</v>
      </c>
      <c r="BA214" s="295">
        <v>0</v>
      </c>
      <c r="BB214" s="295"/>
      <c r="BC214" s="295"/>
      <c r="BD214" s="295"/>
      <c r="BE214" s="724">
        <v>1000</v>
      </c>
      <c r="BF214" s="724"/>
      <c r="BG214" s="724"/>
      <c r="BH214" s="724">
        <f t="shared" si="568"/>
        <v>5049.28312</v>
      </c>
      <c r="BI214" s="1166"/>
      <c r="BJ214" s="1166"/>
      <c r="BK214" s="724">
        <v>29580.64</v>
      </c>
      <c r="BL214" s="724">
        <f t="shared" si="567"/>
        <v>252464.156</v>
      </c>
      <c r="BM214" s="724">
        <f t="shared" si="570"/>
        <v>42472.56472</v>
      </c>
      <c r="BN214" s="724"/>
      <c r="BO214" s="724"/>
      <c r="BP214" s="724">
        <f t="shared" si="569"/>
        <v>209991.59128</v>
      </c>
      <c r="BQ214" s="1320"/>
      <c r="BR214" s="1321"/>
      <c r="BS214" s="1322"/>
      <c r="BT214" s="1323"/>
      <c r="BU214" s="1329"/>
      <c r="BV214" s="1321"/>
      <c r="BW214" s="1322"/>
      <c r="BX214" s="1322"/>
      <c r="BY214" s="1322"/>
      <c r="BZ214" s="1322"/>
      <c r="CA214" s="1322"/>
      <c r="CB214" s="1322"/>
      <c r="CC214" s="1320"/>
      <c r="CD214" s="1322"/>
      <c r="CE214" s="321"/>
      <c r="CF214" s="322"/>
      <c r="CG214" s="1321"/>
      <c r="CH214" s="1339"/>
      <c r="CI214" s="1322"/>
      <c r="CJ214" s="1329"/>
      <c r="CK214" s="1329"/>
      <c r="CL214" s="335"/>
      <c r="CN214" s="1263"/>
      <c r="CO214" s="1258"/>
    </row>
    <row r="215" s="245" customFormat="1" ht="202" customHeight="1" spans="1:93">
      <c r="A215" s="1122">
        <v>212</v>
      </c>
      <c r="B215" s="70" t="s">
        <v>616</v>
      </c>
      <c r="C215" s="1123" t="s">
        <v>160</v>
      </c>
      <c r="D215" s="1088" t="s">
        <v>216</v>
      </c>
      <c r="E215" s="1088" t="s">
        <v>555</v>
      </c>
      <c r="F215" s="1124" t="s">
        <v>93</v>
      </c>
      <c r="G215" s="1443" t="s">
        <v>617</v>
      </c>
      <c r="H215" s="1125"/>
      <c r="I215" s="1125"/>
      <c r="J215" s="1289"/>
      <c r="K215" s="1289"/>
      <c r="L215" s="1290"/>
      <c r="M215" s="1290">
        <v>217132.08</v>
      </c>
      <c r="N215" s="295">
        <f t="shared" si="566"/>
        <v>25332.076</v>
      </c>
      <c r="O215" s="295">
        <v>5000</v>
      </c>
      <c r="P215" s="295"/>
      <c r="Q215" s="295"/>
      <c r="R215" s="295">
        <v>2500</v>
      </c>
      <c r="S215" s="295"/>
      <c r="T215" s="295"/>
      <c r="U215" s="295"/>
      <c r="V215" s="295"/>
      <c r="W215" s="295"/>
      <c r="X215" s="295"/>
      <c r="Y215" s="295"/>
      <c r="Z215" s="295">
        <v>2500</v>
      </c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1140"/>
      <c r="AM215" s="295">
        <f t="shared" si="503"/>
        <v>4342.6416</v>
      </c>
      <c r="AN215" s="295">
        <v>500</v>
      </c>
      <c r="AO215" s="1302"/>
      <c r="AP215" s="1302"/>
      <c r="AQ215" s="1303"/>
      <c r="AR215" s="1303"/>
      <c r="AS215" s="1304"/>
      <c r="AT215" s="1303"/>
      <c r="AU215" s="1303"/>
      <c r="AV215" s="1151"/>
      <c r="AW215" s="1151">
        <v>1000</v>
      </c>
      <c r="AX215" s="1303"/>
      <c r="AY215" s="1161"/>
      <c r="AZ215" s="1151"/>
      <c r="BA215" s="295">
        <v>20000</v>
      </c>
      <c r="BB215" s="295"/>
      <c r="BC215" s="295"/>
      <c r="BD215" s="295"/>
      <c r="BE215" s="724">
        <v>1000</v>
      </c>
      <c r="BF215" s="724"/>
      <c r="BG215" s="724"/>
      <c r="BH215" s="724">
        <f t="shared" si="568"/>
        <v>5049.28312</v>
      </c>
      <c r="BI215" s="1166"/>
      <c r="BJ215" s="1166"/>
      <c r="BK215" s="724">
        <v>29580.64</v>
      </c>
      <c r="BL215" s="724">
        <f t="shared" si="567"/>
        <v>252464.156</v>
      </c>
      <c r="BM215" s="724">
        <f t="shared" si="570"/>
        <v>61472.56472</v>
      </c>
      <c r="BN215" s="724"/>
      <c r="BO215" s="724"/>
      <c r="BP215" s="724">
        <f t="shared" si="569"/>
        <v>190991.59128</v>
      </c>
      <c r="BQ215" s="1320"/>
      <c r="BR215" s="1321"/>
      <c r="BS215" s="1322"/>
      <c r="BT215" s="1323"/>
      <c r="BU215" s="1329"/>
      <c r="BV215" s="1321"/>
      <c r="BW215" s="1322"/>
      <c r="BX215" s="1322"/>
      <c r="BY215" s="1322"/>
      <c r="BZ215" s="1322"/>
      <c r="CA215" s="1322"/>
      <c r="CB215" s="1322"/>
      <c r="CC215" s="1320"/>
      <c r="CD215" s="1322"/>
      <c r="CE215" s="321"/>
      <c r="CF215" s="322"/>
      <c r="CG215" s="1321"/>
      <c r="CH215" s="1339"/>
      <c r="CI215" s="1322"/>
      <c r="CJ215" s="1329"/>
      <c r="CK215" s="1329"/>
      <c r="CL215" s="335"/>
      <c r="CN215" s="1263"/>
      <c r="CO215" s="1258"/>
    </row>
    <row r="216" s="245" customFormat="1" ht="202" customHeight="1" spans="1:93">
      <c r="A216" s="1122">
        <v>213</v>
      </c>
      <c r="B216" s="70" t="s">
        <v>618</v>
      </c>
      <c r="C216" s="1123" t="s">
        <v>160</v>
      </c>
      <c r="D216" s="1088" t="s">
        <v>216</v>
      </c>
      <c r="E216" s="1088" t="s">
        <v>555</v>
      </c>
      <c r="F216" s="1124" t="s">
        <v>127</v>
      </c>
      <c r="G216" s="1443" t="s">
        <v>619</v>
      </c>
      <c r="H216" s="1125"/>
      <c r="I216" s="1125"/>
      <c r="J216" s="1289"/>
      <c r="K216" s="1289"/>
      <c r="L216" s="1290"/>
      <c r="M216" s="1290">
        <v>217132.08</v>
      </c>
      <c r="N216" s="295">
        <f t="shared" si="566"/>
        <v>25332.076</v>
      </c>
      <c r="O216" s="295">
        <v>5000</v>
      </c>
      <c r="P216" s="295"/>
      <c r="Q216" s="295"/>
      <c r="R216" s="295">
        <v>2500</v>
      </c>
      <c r="S216" s="295"/>
      <c r="T216" s="295"/>
      <c r="U216" s="295"/>
      <c r="V216" s="295"/>
      <c r="W216" s="295"/>
      <c r="X216" s="295"/>
      <c r="Y216" s="295"/>
      <c r="Z216" s="295">
        <v>2500</v>
      </c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1140"/>
      <c r="AM216" s="295">
        <f t="shared" si="503"/>
        <v>4342.6416</v>
      </c>
      <c r="AN216" s="295">
        <v>500</v>
      </c>
      <c r="AO216" s="1302"/>
      <c r="AP216" s="1302"/>
      <c r="AQ216" s="1303"/>
      <c r="AR216" s="1303"/>
      <c r="AS216" s="1304"/>
      <c r="AT216" s="1303"/>
      <c r="AU216" s="1303"/>
      <c r="AV216" s="1151"/>
      <c r="AW216" s="1151">
        <v>1000</v>
      </c>
      <c r="AX216" s="1303"/>
      <c r="AY216" s="1161"/>
      <c r="AZ216" s="1151"/>
      <c r="BA216" s="295">
        <v>0</v>
      </c>
      <c r="BB216" s="295"/>
      <c r="BC216" s="295"/>
      <c r="BD216" s="295"/>
      <c r="BE216" s="724">
        <v>1000</v>
      </c>
      <c r="BF216" s="724"/>
      <c r="BG216" s="724"/>
      <c r="BH216" s="724">
        <f t="shared" si="568"/>
        <v>5049.28312</v>
      </c>
      <c r="BI216" s="1166"/>
      <c r="BJ216" s="1166"/>
      <c r="BK216" s="724">
        <v>29580.64</v>
      </c>
      <c r="BL216" s="724">
        <f t="shared" si="567"/>
        <v>252464.156</v>
      </c>
      <c r="BM216" s="724">
        <f t="shared" si="570"/>
        <v>41472.56472</v>
      </c>
      <c r="BN216" s="724"/>
      <c r="BO216" s="724"/>
      <c r="BP216" s="724">
        <f t="shared" si="569"/>
        <v>210991.59128</v>
      </c>
      <c r="BQ216" s="1320"/>
      <c r="BR216" s="1321"/>
      <c r="BS216" s="1322"/>
      <c r="BT216" s="1323"/>
      <c r="BU216" s="1329"/>
      <c r="BV216" s="1321"/>
      <c r="BW216" s="1322"/>
      <c r="BX216" s="1322"/>
      <c r="BY216" s="1322"/>
      <c r="BZ216" s="1322"/>
      <c r="CA216" s="1322"/>
      <c r="CB216" s="1322"/>
      <c r="CC216" s="1320"/>
      <c r="CD216" s="1322"/>
      <c r="CE216" s="321"/>
      <c r="CF216" s="322"/>
      <c r="CG216" s="1321"/>
      <c r="CH216" s="1339"/>
      <c r="CI216" s="1322"/>
      <c r="CJ216" s="1329"/>
      <c r="CK216" s="1329"/>
      <c r="CL216" s="335"/>
      <c r="CN216" s="1263"/>
      <c r="CO216" s="1258"/>
    </row>
    <row r="217" s="245" customFormat="1" ht="202" customHeight="1" spans="1:93">
      <c r="A217" s="1122">
        <v>214</v>
      </c>
      <c r="B217" s="70" t="s">
        <v>620</v>
      </c>
      <c r="C217" s="1123" t="s">
        <v>160</v>
      </c>
      <c r="D217" s="1088" t="s">
        <v>216</v>
      </c>
      <c r="E217" s="1088" t="s">
        <v>555</v>
      </c>
      <c r="F217" s="1124" t="s">
        <v>122</v>
      </c>
      <c r="G217" s="1443" t="s">
        <v>621</v>
      </c>
      <c r="H217" s="1125"/>
      <c r="I217" s="1125"/>
      <c r="J217" s="1289"/>
      <c r="K217" s="1289"/>
      <c r="L217" s="1290"/>
      <c r="M217" s="1290">
        <v>217132.08</v>
      </c>
      <c r="N217" s="295">
        <f t="shared" si="566"/>
        <v>25332.076</v>
      </c>
      <c r="O217" s="295">
        <v>5000</v>
      </c>
      <c r="P217" s="295"/>
      <c r="Q217" s="295"/>
      <c r="R217" s="295">
        <v>2500</v>
      </c>
      <c r="S217" s="295"/>
      <c r="T217" s="295"/>
      <c r="U217" s="295"/>
      <c r="V217" s="295"/>
      <c r="W217" s="295"/>
      <c r="X217" s="295"/>
      <c r="Y217" s="295"/>
      <c r="Z217" s="295">
        <v>2500</v>
      </c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1140"/>
      <c r="AM217" s="295">
        <f t="shared" si="503"/>
        <v>4342.6416</v>
      </c>
      <c r="AN217" s="295">
        <v>500</v>
      </c>
      <c r="AO217" s="1302"/>
      <c r="AP217" s="1302"/>
      <c r="AQ217" s="1303"/>
      <c r="AR217" s="1303"/>
      <c r="AS217" s="1304"/>
      <c r="AT217" s="1303"/>
      <c r="AU217" s="1303"/>
      <c r="AV217" s="1151"/>
      <c r="AW217" s="1151">
        <v>1000</v>
      </c>
      <c r="AX217" s="1303"/>
      <c r="AY217" s="1161"/>
      <c r="AZ217" s="1151"/>
      <c r="BA217" s="295">
        <v>20000</v>
      </c>
      <c r="BB217" s="295"/>
      <c r="BC217" s="295"/>
      <c r="BD217" s="295"/>
      <c r="BE217" s="724">
        <v>1000</v>
      </c>
      <c r="BF217" s="724"/>
      <c r="BG217" s="724"/>
      <c r="BH217" s="724">
        <f t="shared" si="568"/>
        <v>5049.28312</v>
      </c>
      <c r="BI217" s="1166"/>
      <c r="BJ217" s="1166"/>
      <c r="BK217" s="724">
        <v>29580.64</v>
      </c>
      <c r="BL217" s="724">
        <f t="shared" si="567"/>
        <v>252464.156</v>
      </c>
      <c r="BM217" s="724">
        <f t="shared" si="570"/>
        <v>61472.56472</v>
      </c>
      <c r="BN217" s="724"/>
      <c r="BO217" s="724"/>
      <c r="BP217" s="724">
        <f t="shared" si="569"/>
        <v>190991.59128</v>
      </c>
      <c r="BQ217" s="1320"/>
      <c r="BR217" s="1321"/>
      <c r="BS217" s="1322"/>
      <c r="BT217" s="1323"/>
      <c r="BU217" s="1329"/>
      <c r="BV217" s="1321"/>
      <c r="BW217" s="1322"/>
      <c r="BX217" s="1322"/>
      <c r="BY217" s="1322"/>
      <c r="BZ217" s="1322"/>
      <c r="CA217" s="1322"/>
      <c r="CB217" s="1322"/>
      <c r="CC217" s="1320"/>
      <c r="CD217" s="1322"/>
      <c r="CE217" s="321"/>
      <c r="CF217" s="322"/>
      <c r="CG217" s="1321"/>
      <c r="CH217" s="1339"/>
      <c r="CI217" s="1322"/>
      <c r="CJ217" s="1329"/>
      <c r="CK217" s="1329"/>
      <c r="CL217" s="335"/>
      <c r="CN217" s="1263"/>
      <c r="CO217" s="1258"/>
    </row>
    <row r="218" s="245" customFormat="1" ht="202" customHeight="1" spans="1:93">
      <c r="A218" s="1122">
        <v>215</v>
      </c>
      <c r="B218" s="70" t="s">
        <v>622</v>
      </c>
      <c r="C218" s="1123" t="s">
        <v>160</v>
      </c>
      <c r="D218" s="1088" t="s">
        <v>216</v>
      </c>
      <c r="E218" s="1088" t="s">
        <v>555</v>
      </c>
      <c r="F218" s="1124" t="s">
        <v>127</v>
      </c>
      <c r="G218" s="1443" t="s">
        <v>623</v>
      </c>
      <c r="H218" s="1125"/>
      <c r="I218" s="1125"/>
      <c r="J218" s="1289"/>
      <c r="K218" s="1289"/>
      <c r="L218" s="1290"/>
      <c r="M218" s="1290">
        <v>217132.08</v>
      </c>
      <c r="N218" s="295">
        <f t="shared" si="566"/>
        <v>25332.076</v>
      </c>
      <c r="O218" s="295">
        <v>5000</v>
      </c>
      <c r="P218" s="295"/>
      <c r="Q218" s="295"/>
      <c r="R218" s="295">
        <v>2500</v>
      </c>
      <c r="S218" s="295"/>
      <c r="T218" s="295"/>
      <c r="U218" s="295"/>
      <c r="V218" s="295"/>
      <c r="W218" s="295"/>
      <c r="X218" s="295"/>
      <c r="Y218" s="295"/>
      <c r="Z218" s="295">
        <v>2500</v>
      </c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1140"/>
      <c r="AM218" s="295">
        <f t="shared" si="503"/>
        <v>4342.6416</v>
      </c>
      <c r="AN218" s="295">
        <v>500</v>
      </c>
      <c r="AO218" s="1302"/>
      <c r="AP218" s="1302"/>
      <c r="AQ218" s="1303"/>
      <c r="AR218" s="1303"/>
      <c r="AS218" s="1304"/>
      <c r="AT218" s="1303"/>
      <c r="AU218" s="1303"/>
      <c r="AV218" s="1151"/>
      <c r="AW218" s="1151">
        <v>1000</v>
      </c>
      <c r="AX218" s="1303"/>
      <c r="AY218" s="1161"/>
      <c r="AZ218" s="1151"/>
      <c r="BA218" s="295">
        <v>30000</v>
      </c>
      <c r="BB218" s="295"/>
      <c r="BC218" s="295"/>
      <c r="BD218" s="295"/>
      <c r="BE218" s="724">
        <v>1000</v>
      </c>
      <c r="BF218" s="724"/>
      <c r="BG218" s="724"/>
      <c r="BH218" s="724">
        <f t="shared" si="568"/>
        <v>5049.28312</v>
      </c>
      <c r="BI218" s="1166"/>
      <c r="BJ218" s="1166"/>
      <c r="BK218" s="724">
        <v>29580.64</v>
      </c>
      <c r="BL218" s="724">
        <f t="shared" si="567"/>
        <v>252464.156</v>
      </c>
      <c r="BM218" s="724">
        <f t="shared" si="570"/>
        <v>71472.56472</v>
      </c>
      <c r="BN218" s="724"/>
      <c r="BO218" s="724"/>
      <c r="BP218" s="724">
        <f t="shared" si="569"/>
        <v>180991.59128</v>
      </c>
      <c r="BQ218" s="1320"/>
      <c r="BR218" s="1321"/>
      <c r="BS218" s="1322"/>
      <c r="BT218" s="1323"/>
      <c r="BU218" s="1329"/>
      <c r="BV218" s="1321"/>
      <c r="BW218" s="1322"/>
      <c r="BX218" s="1322"/>
      <c r="BY218" s="1322"/>
      <c r="BZ218" s="1322"/>
      <c r="CA218" s="1322"/>
      <c r="CB218" s="1322"/>
      <c r="CC218" s="1320"/>
      <c r="CD218" s="1322"/>
      <c r="CE218" s="321"/>
      <c r="CF218" s="322"/>
      <c r="CG218" s="1321"/>
      <c r="CH218" s="1339"/>
      <c r="CI218" s="1322"/>
      <c r="CJ218" s="1329"/>
      <c r="CK218" s="1329"/>
      <c r="CL218" s="335"/>
      <c r="CN218" s="1263"/>
      <c r="CO218" s="1258"/>
    </row>
    <row r="219" s="245" customFormat="1" ht="202" customHeight="1" spans="1:93">
      <c r="A219" s="1122">
        <v>216</v>
      </c>
      <c r="B219" s="70" t="s">
        <v>624</v>
      </c>
      <c r="C219" s="1123" t="s">
        <v>188</v>
      </c>
      <c r="D219" s="1088" t="s">
        <v>216</v>
      </c>
      <c r="E219" s="1088" t="s">
        <v>555</v>
      </c>
      <c r="F219" s="1124" t="s">
        <v>93</v>
      </c>
      <c r="G219" s="1443" t="s">
        <v>625</v>
      </c>
      <c r="H219" s="1125"/>
      <c r="I219" s="1125"/>
      <c r="J219" s="1289"/>
      <c r="K219" s="1289"/>
      <c r="L219" s="1290"/>
      <c r="M219" s="1290">
        <v>217132.08</v>
      </c>
      <c r="N219" s="295">
        <f t="shared" si="566"/>
        <v>25332.076</v>
      </c>
      <c r="O219" s="295">
        <v>5000</v>
      </c>
      <c r="P219" s="295"/>
      <c r="Q219" s="295"/>
      <c r="R219" s="295">
        <v>2500</v>
      </c>
      <c r="S219" s="295"/>
      <c r="T219" s="295"/>
      <c r="U219" s="295"/>
      <c r="V219" s="295"/>
      <c r="W219" s="295"/>
      <c r="X219" s="295"/>
      <c r="Y219" s="295"/>
      <c r="Z219" s="295">
        <v>2500</v>
      </c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1140"/>
      <c r="AM219" s="295">
        <f t="shared" si="503"/>
        <v>4342.6416</v>
      </c>
      <c r="AN219" s="295">
        <v>500</v>
      </c>
      <c r="AO219" s="1302"/>
      <c r="AP219" s="1302"/>
      <c r="AQ219" s="1303"/>
      <c r="AR219" s="1303"/>
      <c r="AS219" s="1304"/>
      <c r="AT219" s="1303"/>
      <c r="AU219" s="1303"/>
      <c r="AV219" s="1151"/>
      <c r="AW219" s="1151"/>
      <c r="AX219" s="1303">
        <v>1000</v>
      </c>
      <c r="AY219" s="1161"/>
      <c r="AZ219" s="1151"/>
      <c r="BA219" s="295">
        <v>0</v>
      </c>
      <c r="BB219" s="295"/>
      <c r="BC219" s="295"/>
      <c r="BD219" s="295"/>
      <c r="BE219" s="724">
        <v>1000</v>
      </c>
      <c r="BF219" s="724"/>
      <c r="BG219" s="724"/>
      <c r="BH219" s="724">
        <f t="shared" si="568"/>
        <v>5049.28312</v>
      </c>
      <c r="BI219" s="1166"/>
      <c r="BJ219" s="1166"/>
      <c r="BK219" s="724">
        <v>29580.64</v>
      </c>
      <c r="BL219" s="724">
        <f t="shared" si="567"/>
        <v>252464.156</v>
      </c>
      <c r="BM219" s="724">
        <f t="shared" si="570"/>
        <v>41472.56472</v>
      </c>
      <c r="BN219" s="724"/>
      <c r="BO219" s="724"/>
      <c r="BP219" s="724">
        <f t="shared" si="569"/>
        <v>210991.59128</v>
      </c>
      <c r="BQ219" s="1320"/>
      <c r="BR219" s="1321"/>
      <c r="BS219" s="1322"/>
      <c r="BT219" s="1323"/>
      <c r="BU219" s="1329"/>
      <c r="BV219" s="1321"/>
      <c r="BW219" s="1322"/>
      <c r="BX219" s="1322"/>
      <c r="BY219" s="1322"/>
      <c r="BZ219" s="1322"/>
      <c r="CA219" s="1322"/>
      <c r="CB219" s="1322"/>
      <c r="CC219" s="1320"/>
      <c r="CD219" s="1322"/>
      <c r="CE219" s="321"/>
      <c r="CF219" s="322"/>
      <c r="CG219" s="1321"/>
      <c r="CH219" s="1339"/>
      <c r="CI219" s="1322"/>
      <c r="CJ219" s="1329"/>
      <c r="CK219" s="1329"/>
      <c r="CL219" s="335"/>
      <c r="CN219" s="1263"/>
      <c r="CO219" s="1258"/>
    </row>
    <row r="220" s="245" customFormat="1" ht="202" customHeight="1" spans="1:93">
      <c r="A220" s="1122">
        <v>217</v>
      </c>
      <c r="B220" s="70" t="s">
        <v>626</v>
      </c>
      <c r="C220" s="1123" t="s">
        <v>188</v>
      </c>
      <c r="D220" s="1088" t="s">
        <v>216</v>
      </c>
      <c r="E220" s="1088" t="s">
        <v>555</v>
      </c>
      <c r="F220" s="1124" t="s">
        <v>165</v>
      </c>
      <c r="G220" s="1443" t="s">
        <v>627</v>
      </c>
      <c r="H220" s="1125"/>
      <c r="I220" s="1125"/>
      <c r="J220" s="1289"/>
      <c r="K220" s="1289"/>
      <c r="L220" s="1290"/>
      <c r="M220" s="1290">
        <v>217132.08</v>
      </c>
      <c r="N220" s="295">
        <f t="shared" si="566"/>
        <v>25332.076</v>
      </c>
      <c r="O220" s="295">
        <v>5000</v>
      </c>
      <c r="P220" s="295"/>
      <c r="Q220" s="295"/>
      <c r="R220" s="295">
        <v>2500</v>
      </c>
      <c r="S220" s="295"/>
      <c r="T220" s="295"/>
      <c r="U220" s="295"/>
      <c r="V220" s="295"/>
      <c r="W220" s="295"/>
      <c r="X220" s="295"/>
      <c r="Y220" s="295"/>
      <c r="Z220" s="295">
        <v>2500</v>
      </c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1140"/>
      <c r="AM220" s="295">
        <f t="shared" si="503"/>
        <v>4342.6416</v>
      </c>
      <c r="AN220" s="295">
        <v>500</v>
      </c>
      <c r="AO220" s="1302"/>
      <c r="AP220" s="1302"/>
      <c r="AQ220" s="1303"/>
      <c r="AR220" s="1303"/>
      <c r="AS220" s="1304"/>
      <c r="AT220" s="1303"/>
      <c r="AU220" s="1303"/>
      <c r="AV220" s="1151"/>
      <c r="AW220" s="1151"/>
      <c r="AX220" s="1303">
        <v>1000</v>
      </c>
      <c r="AY220" s="1161"/>
      <c r="AZ220" s="1151"/>
      <c r="BA220" s="295">
        <v>50000</v>
      </c>
      <c r="BB220" s="295"/>
      <c r="BC220" s="295"/>
      <c r="BD220" s="295"/>
      <c r="BE220" s="724">
        <v>1000</v>
      </c>
      <c r="BF220" s="724"/>
      <c r="BG220" s="724"/>
      <c r="BH220" s="724">
        <f t="shared" si="568"/>
        <v>5049.28312</v>
      </c>
      <c r="BI220" s="1166"/>
      <c r="BJ220" s="1166"/>
      <c r="BK220" s="724">
        <v>29580.64</v>
      </c>
      <c r="BL220" s="724">
        <f t="shared" si="567"/>
        <v>252464.156</v>
      </c>
      <c r="BM220" s="724">
        <f t="shared" si="570"/>
        <v>91472.56472</v>
      </c>
      <c r="BN220" s="724"/>
      <c r="BO220" s="724"/>
      <c r="BP220" s="724">
        <f t="shared" si="569"/>
        <v>160991.59128</v>
      </c>
      <c r="BQ220" s="1320"/>
      <c r="BR220" s="1321"/>
      <c r="BS220" s="1322"/>
      <c r="BT220" s="1323"/>
      <c r="BU220" s="1329"/>
      <c r="BV220" s="1321"/>
      <c r="BW220" s="1322"/>
      <c r="BX220" s="1322"/>
      <c r="BY220" s="1322"/>
      <c r="BZ220" s="1322"/>
      <c r="CA220" s="1322"/>
      <c r="CB220" s="1322"/>
      <c r="CC220" s="1320"/>
      <c r="CD220" s="1322"/>
      <c r="CE220" s="321"/>
      <c r="CF220" s="322"/>
      <c r="CG220" s="1321"/>
      <c r="CH220" s="1339"/>
      <c r="CI220" s="1322"/>
      <c r="CJ220" s="1329"/>
      <c r="CK220" s="1329"/>
      <c r="CL220" s="335"/>
      <c r="CN220" s="1263"/>
      <c r="CO220" s="1258"/>
    </row>
    <row r="221" s="245" customFormat="1" ht="202" customHeight="1" spans="1:93">
      <c r="A221" s="1122">
        <v>218</v>
      </c>
      <c r="B221" s="70" t="s">
        <v>628</v>
      </c>
      <c r="C221" s="1123" t="s">
        <v>275</v>
      </c>
      <c r="D221" s="1088" t="s">
        <v>216</v>
      </c>
      <c r="E221" s="1088" t="s">
        <v>555</v>
      </c>
      <c r="F221" s="1124" t="s">
        <v>157</v>
      </c>
      <c r="G221" s="1443" t="s">
        <v>629</v>
      </c>
      <c r="H221" s="1125"/>
      <c r="I221" s="1125"/>
      <c r="J221" s="1289"/>
      <c r="K221" s="1289"/>
      <c r="L221" s="1290"/>
      <c r="M221" s="1290">
        <v>217132.08</v>
      </c>
      <c r="N221" s="295">
        <f t="shared" si="566"/>
        <v>25332.076</v>
      </c>
      <c r="O221" s="295">
        <v>5000</v>
      </c>
      <c r="P221" s="295"/>
      <c r="Q221" s="295"/>
      <c r="R221" s="295">
        <v>2500</v>
      </c>
      <c r="S221" s="295"/>
      <c r="T221" s="295"/>
      <c r="U221" s="295"/>
      <c r="V221" s="295"/>
      <c r="W221" s="295"/>
      <c r="X221" s="295"/>
      <c r="Y221" s="295"/>
      <c r="Z221" s="295">
        <v>2500</v>
      </c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1140"/>
      <c r="AM221" s="295">
        <f t="shared" si="503"/>
        <v>4342.6416</v>
      </c>
      <c r="AN221" s="295">
        <v>500</v>
      </c>
      <c r="AO221" s="1302"/>
      <c r="AP221" s="1302"/>
      <c r="AQ221" s="1303"/>
      <c r="AR221" s="1303"/>
      <c r="AS221" s="1304"/>
      <c r="AT221" s="1303"/>
      <c r="AU221" s="1303"/>
      <c r="AV221" s="1151"/>
      <c r="AW221" s="1151"/>
      <c r="AX221" s="1303">
        <v>1000</v>
      </c>
      <c r="AY221" s="1161"/>
      <c r="AZ221" s="1151"/>
      <c r="BA221" s="295">
        <v>10000</v>
      </c>
      <c r="BB221" s="295"/>
      <c r="BC221" s="295"/>
      <c r="BD221" s="295"/>
      <c r="BE221" s="724">
        <v>1000</v>
      </c>
      <c r="BF221" s="724"/>
      <c r="BG221" s="724"/>
      <c r="BH221" s="724">
        <f t="shared" si="568"/>
        <v>5049.28312</v>
      </c>
      <c r="BI221" s="1166"/>
      <c r="BJ221" s="1166"/>
      <c r="BK221" s="724">
        <v>29580.64</v>
      </c>
      <c r="BL221" s="724">
        <f t="shared" si="567"/>
        <v>252464.156</v>
      </c>
      <c r="BM221" s="724">
        <f t="shared" si="570"/>
        <v>51472.56472</v>
      </c>
      <c r="BN221" s="724"/>
      <c r="BO221" s="724"/>
      <c r="BP221" s="724">
        <f t="shared" si="569"/>
        <v>200991.59128</v>
      </c>
      <c r="BQ221" s="1320"/>
      <c r="BR221" s="1321"/>
      <c r="BS221" s="1322"/>
      <c r="BT221" s="1323"/>
      <c r="BU221" s="1329"/>
      <c r="BV221" s="1321"/>
      <c r="BW221" s="1322"/>
      <c r="BX221" s="1322"/>
      <c r="BY221" s="1322"/>
      <c r="BZ221" s="1322"/>
      <c r="CA221" s="1322"/>
      <c r="CB221" s="1322"/>
      <c r="CC221" s="1320"/>
      <c r="CD221" s="1322"/>
      <c r="CE221" s="321"/>
      <c r="CF221" s="322"/>
      <c r="CG221" s="1321"/>
      <c r="CH221" s="1339"/>
      <c r="CI221" s="1322"/>
      <c r="CJ221" s="1329"/>
      <c r="CK221" s="1329"/>
      <c r="CL221" s="335"/>
      <c r="CN221" s="1263"/>
      <c r="CO221" s="1258"/>
    </row>
    <row r="222" s="245" customFormat="1" ht="202" customHeight="1" spans="1:93">
      <c r="A222" s="1122">
        <v>219</v>
      </c>
      <c r="B222" s="70" t="s">
        <v>630</v>
      </c>
      <c r="C222" s="1123" t="s">
        <v>275</v>
      </c>
      <c r="D222" s="1088" t="s">
        <v>216</v>
      </c>
      <c r="E222" s="1088" t="s">
        <v>555</v>
      </c>
      <c r="F222" s="1124" t="s">
        <v>113</v>
      </c>
      <c r="G222" s="1443" t="s">
        <v>631</v>
      </c>
      <c r="H222" s="1125"/>
      <c r="I222" s="1125"/>
      <c r="J222" s="1289"/>
      <c r="K222" s="1289"/>
      <c r="L222" s="1290"/>
      <c r="M222" s="1290">
        <v>217132.08</v>
      </c>
      <c r="N222" s="295">
        <f t="shared" si="566"/>
        <v>25332.076</v>
      </c>
      <c r="O222" s="295">
        <v>5000</v>
      </c>
      <c r="P222" s="295"/>
      <c r="Q222" s="295"/>
      <c r="R222" s="295">
        <v>2500</v>
      </c>
      <c r="S222" s="295"/>
      <c r="T222" s="295"/>
      <c r="U222" s="295"/>
      <c r="V222" s="295"/>
      <c r="W222" s="295"/>
      <c r="X222" s="295"/>
      <c r="Y222" s="295"/>
      <c r="Z222" s="295">
        <v>2500</v>
      </c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1140"/>
      <c r="AM222" s="295">
        <f t="shared" si="503"/>
        <v>4342.6416</v>
      </c>
      <c r="AN222" s="295">
        <v>500</v>
      </c>
      <c r="AO222" s="1302"/>
      <c r="AP222" s="1302"/>
      <c r="AQ222" s="1303"/>
      <c r="AR222" s="1303"/>
      <c r="AS222" s="1304"/>
      <c r="AT222" s="1303"/>
      <c r="AU222" s="1303"/>
      <c r="AV222" s="1151"/>
      <c r="AW222" s="1151"/>
      <c r="AX222" s="1303">
        <v>1000</v>
      </c>
      <c r="AY222" s="1161"/>
      <c r="AZ222" s="1151"/>
      <c r="BA222" s="295">
        <v>20000</v>
      </c>
      <c r="BB222" s="295"/>
      <c r="BC222" s="295"/>
      <c r="BD222" s="295"/>
      <c r="BE222" s="724">
        <v>1000</v>
      </c>
      <c r="BF222" s="724"/>
      <c r="BG222" s="724"/>
      <c r="BH222" s="724">
        <f t="shared" si="568"/>
        <v>5049.28312</v>
      </c>
      <c r="BI222" s="1166"/>
      <c r="BJ222" s="1166"/>
      <c r="BK222" s="724">
        <v>29580.64</v>
      </c>
      <c r="BL222" s="724">
        <f t="shared" si="567"/>
        <v>252464.156</v>
      </c>
      <c r="BM222" s="724">
        <f t="shared" si="570"/>
        <v>61472.56472</v>
      </c>
      <c r="BN222" s="724"/>
      <c r="BO222" s="724"/>
      <c r="BP222" s="724">
        <f t="shared" si="569"/>
        <v>190991.59128</v>
      </c>
      <c r="BQ222" s="1320"/>
      <c r="BR222" s="1321"/>
      <c r="BS222" s="1322"/>
      <c r="BT222" s="1323"/>
      <c r="BU222" s="1329"/>
      <c r="BV222" s="1321"/>
      <c r="BW222" s="1322"/>
      <c r="BX222" s="1322"/>
      <c r="BY222" s="1322"/>
      <c r="BZ222" s="1322"/>
      <c r="CA222" s="1322"/>
      <c r="CB222" s="1322"/>
      <c r="CC222" s="1320"/>
      <c r="CD222" s="1322"/>
      <c r="CE222" s="321"/>
      <c r="CF222" s="322"/>
      <c r="CG222" s="1321"/>
      <c r="CH222" s="1339"/>
      <c r="CI222" s="1322"/>
      <c r="CJ222" s="1329"/>
      <c r="CK222" s="1329"/>
      <c r="CL222" s="335"/>
      <c r="CN222" s="1263"/>
      <c r="CO222" s="1258"/>
    </row>
    <row r="223" s="245" customFormat="1" ht="202" customHeight="1" spans="1:93">
      <c r="A223" s="1122">
        <v>220</v>
      </c>
      <c r="B223" s="70" t="s">
        <v>632</v>
      </c>
      <c r="C223" s="1123" t="s">
        <v>283</v>
      </c>
      <c r="D223" s="1088" t="s">
        <v>216</v>
      </c>
      <c r="E223" s="1088" t="s">
        <v>555</v>
      </c>
      <c r="F223" s="1124" t="s">
        <v>101</v>
      </c>
      <c r="G223" s="1443" t="s">
        <v>633</v>
      </c>
      <c r="H223" s="1125"/>
      <c r="I223" s="1125"/>
      <c r="J223" s="1289"/>
      <c r="K223" s="1289"/>
      <c r="L223" s="1290"/>
      <c r="M223" s="1290">
        <v>217132.08</v>
      </c>
      <c r="N223" s="295">
        <f t="shared" si="566"/>
        <v>25332.076</v>
      </c>
      <c r="O223" s="295">
        <v>5000</v>
      </c>
      <c r="P223" s="295"/>
      <c r="Q223" s="295"/>
      <c r="R223" s="295">
        <v>2500</v>
      </c>
      <c r="S223" s="295"/>
      <c r="T223" s="295"/>
      <c r="U223" s="295"/>
      <c r="V223" s="295"/>
      <c r="W223" s="295"/>
      <c r="X223" s="295"/>
      <c r="Y223" s="295"/>
      <c r="Z223" s="295">
        <v>2500</v>
      </c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1140"/>
      <c r="AM223" s="295">
        <f t="shared" si="503"/>
        <v>4342.6416</v>
      </c>
      <c r="AN223" s="295">
        <v>500</v>
      </c>
      <c r="AO223" s="1302"/>
      <c r="AP223" s="1302"/>
      <c r="AQ223" s="1303"/>
      <c r="AR223" s="1303"/>
      <c r="AS223" s="1304"/>
      <c r="AT223" s="1303"/>
      <c r="AU223" s="1303"/>
      <c r="AV223" s="1151"/>
      <c r="AW223" s="1151">
        <v>1000</v>
      </c>
      <c r="AX223" s="1303"/>
      <c r="AY223" s="1161"/>
      <c r="AZ223" s="1151"/>
      <c r="BA223" s="295">
        <v>0</v>
      </c>
      <c r="BB223" s="295"/>
      <c r="BC223" s="295"/>
      <c r="BD223" s="295"/>
      <c r="BE223" s="724">
        <v>1000</v>
      </c>
      <c r="BF223" s="724"/>
      <c r="BG223" s="724"/>
      <c r="BH223" s="724">
        <f t="shared" si="568"/>
        <v>5049.28312</v>
      </c>
      <c r="BI223" s="1166"/>
      <c r="BJ223" s="1166"/>
      <c r="BK223" s="724">
        <v>29580.64</v>
      </c>
      <c r="BL223" s="724">
        <f t="shared" si="567"/>
        <v>252464.156</v>
      </c>
      <c r="BM223" s="724">
        <f t="shared" si="570"/>
        <v>41472.56472</v>
      </c>
      <c r="BN223" s="724"/>
      <c r="BO223" s="724"/>
      <c r="BP223" s="724">
        <f t="shared" si="569"/>
        <v>210991.59128</v>
      </c>
      <c r="BQ223" s="1320"/>
      <c r="BR223" s="1321"/>
      <c r="BS223" s="1322"/>
      <c r="BT223" s="1323"/>
      <c r="BU223" s="1329"/>
      <c r="BV223" s="1321"/>
      <c r="BW223" s="1322"/>
      <c r="BX223" s="1322"/>
      <c r="BY223" s="1322"/>
      <c r="BZ223" s="1322"/>
      <c r="CA223" s="1322"/>
      <c r="CB223" s="1322"/>
      <c r="CC223" s="1320"/>
      <c r="CD223" s="1322"/>
      <c r="CE223" s="321"/>
      <c r="CF223" s="322"/>
      <c r="CG223" s="1321"/>
      <c r="CH223" s="1339"/>
      <c r="CI223" s="1322"/>
      <c r="CJ223" s="1329"/>
      <c r="CK223" s="1329"/>
      <c r="CL223" s="335"/>
      <c r="CN223" s="1263"/>
      <c r="CO223" s="1258"/>
    </row>
    <row r="224" s="245" customFormat="1" ht="202" customHeight="1" spans="1:93">
      <c r="A224" s="1122">
        <v>221</v>
      </c>
      <c r="B224" s="70" t="s">
        <v>634</v>
      </c>
      <c r="C224" s="1123" t="s">
        <v>635</v>
      </c>
      <c r="D224" s="1088" t="s">
        <v>216</v>
      </c>
      <c r="E224" s="1088" t="s">
        <v>555</v>
      </c>
      <c r="F224" s="1124" t="s">
        <v>93</v>
      </c>
      <c r="G224" s="1443" t="s">
        <v>636</v>
      </c>
      <c r="H224" s="1125"/>
      <c r="I224" s="1125"/>
      <c r="J224" s="1289"/>
      <c r="K224" s="1289"/>
      <c r="L224" s="1290"/>
      <c r="M224" s="1290">
        <v>217132.08</v>
      </c>
      <c r="N224" s="295">
        <f t="shared" si="566"/>
        <v>25332.076</v>
      </c>
      <c r="O224" s="295">
        <v>5000</v>
      </c>
      <c r="P224" s="295"/>
      <c r="Q224" s="295"/>
      <c r="R224" s="295">
        <v>2500</v>
      </c>
      <c r="S224" s="295"/>
      <c r="T224" s="295"/>
      <c r="U224" s="295"/>
      <c r="V224" s="295"/>
      <c r="W224" s="295"/>
      <c r="X224" s="295"/>
      <c r="Y224" s="295"/>
      <c r="Z224" s="295">
        <v>2500</v>
      </c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1140"/>
      <c r="AM224" s="295">
        <f t="shared" ref="AM224:AM286" si="571">M224*0.02</f>
        <v>4342.6416</v>
      </c>
      <c r="AN224" s="295">
        <v>500</v>
      </c>
      <c r="AO224" s="1302"/>
      <c r="AP224" s="1302"/>
      <c r="AQ224" s="1303"/>
      <c r="AR224" s="1303"/>
      <c r="AS224" s="1304"/>
      <c r="AT224" s="1303"/>
      <c r="AU224" s="1303"/>
      <c r="AV224" s="1151"/>
      <c r="AW224" s="1151"/>
      <c r="AX224" s="1303"/>
      <c r="AY224" s="1161">
        <v>2000</v>
      </c>
      <c r="AZ224" s="1151"/>
      <c r="BA224" s="295">
        <v>0</v>
      </c>
      <c r="BB224" s="295"/>
      <c r="BC224" s="295"/>
      <c r="BD224" s="295"/>
      <c r="BE224" s="724">
        <v>1000</v>
      </c>
      <c r="BF224" s="724"/>
      <c r="BG224" s="724"/>
      <c r="BH224" s="724">
        <f t="shared" si="568"/>
        <v>5049.28312</v>
      </c>
      <c r="BI224" s="1166"/>
      <c r="BJ224" s="1166"/>
      <c r="BK224" s="724">
        <v>29580.64</v>
      </c>
      <c r="BL224" s="724">
        <f t="shared" si="567"/>
        <v>252464.156</v>
      </c>
      <c r="BM224" s="724">
        <f t="shared" si="570"/>
        <v>42472.56472</v>
      </c>
      <c r="BN224" s="724"/>
      <c r="BO224" s="724"/>
      <c r="BP224" s="724">
        <f t="shared" si="569"/>
        <v>209991.59128</v>
      </c>
      <c r="BQ224" s="1320"/>
      <c r="BR224" s="1321"/>
      <c r="BS224" s="1322"/>
      <c r="BT224" s="1323"/>
      <c r="BU224" s="1329"/>
      <c r="BV224" s="1321"/>
      <c r="BW224" s="1322"/>
      <c r="BX224" s="1322"/>
      <c r="BY224" s="1322"/>
      <c r="BZ224" s="1322"/>
      <c r="CA224" s="1322"/>
      <c r="CB224" s="1322"/>
      <c r="CC224" s="1320"/>
      <c r="CD224" s="1322"/>
      <c r="CE224" s="321"/>
      <c r="CF224" s="322"/>
      <c r="CG224" s="1321"/>
      <c r="CH224" s="1339"/>
      <c r="CI224" s="1322"/>
      <c r="CJ224" s="1329"/>
      <c r="CK224" s="1329"/>
      <c r="CL224" s="335"/>
      <c r="CN224" s="1263"/>
      <c r="CO224" s="1258"/>
    </row>
    <row r="225" s="245" customFormat="1" ht="202" customHeight="1" spans="1:93">
      <c r="A225" s="1122">
        <v>222</v>
      </c>
      <c r="B225" s="70" t="s">
        <v>637</v>
      </c>
      <c r="C225" s="1123" t="s">
        <v>638</v>
      </c>
      <c r="D225" s="1088" t="s">
        <v>216</v>
      </c>
      <c r="E225" s="1088" t="s">
        <v>199</v>
      </c>
      <c r="F225" s="1124" t="s">
        <v>113</v>
      </c>
      <c r="G225" s="1443" t="s">
        <v>639</v>
      </c>
      <c r="H225" s="1125"/>
      <c r="I225" s="1125"/>
      <c r="J225" s="1289"/>
      <c r="K225" s="1289"/>
      <c r="L225" s="1290"/>
      <c r="M225" s="1290">
        <v>192875.25</v>
      </c>
      <c r="N225" s="295">
        <f t="shared" si="566"/>
        <v>22502.1125</v>
      </c>
      <c r="O225" s="295">
        <v>5000</v>
      </c>
      <c r="P225" s="295"/>
      <c r="Q225" s="295"/>
      <c r="R225" s="295">
        <v>2500</v>
      </c>
      <c r="S225" s="295"/>
      <c r="T225" s="295"/>
      <c r="U225" s="295"/>
      <c r="V225" s="295"/>
      <c r="W225" s="295"/>
      <c r="X225" s="295"/>
      <c r="Y225" s="295"/>
      <c r="Z225" s="295">
        <v>2500</v>
      </c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1140"/>
      <c r="AM225" s="295">
        <f t="shared" si="571"/>
        <v>3857.505</v>
      </c>
      <c r="AN225" s="295">
        <v>500</v>
      </c>
      <c r="AO225" s="1302"/>
      <c r="AP225" s="1302"/>
      <c r="AQ225" s="1303"/>
      <c r="AR225" s="1303"/>
      <c r="AS225" s="1304"/>
      <c r="AT225" s="1303"/>
      <c r="AU225" s="1303"/>
      <c r="AV225" s="1151"/>
      <c r="AW225" s="1151"/>
      <c r="AX225" s="1303"/>
      <c r="AY225" s="1161"/>
      <c r="AZ225" s="1151"/>
      <c r="BA225" s="295">
        <v>0</v>
      </c>
      <c r="BB225" s="295"/>
      <c r="BC225" s="295"/>
      <c r="BD225" s="295"/>
      <c r="BE225" s="724">
        <v>1000</v>
      </c>
      <c r="BF225" s="724"/>
      <c r="BG225" s="724"/>
      <c r="BH225" s="724">
        <f t="shared" si="568"/>
        <v>4507.54725</v>
      </c>
      <c r="BI225" s="1166"/>
      <c r="BJ225" s="1166"/>
      <c r="BK225" s="724">
        <v>29580.64</v>
      </c>
      <c r="BL225" s="724">
        <f t="shared" si="567"/>
        <v>225377.3625</v>
      </c>
      <c r="BM225" s="724">
        <f t="shared" si="570"/>
        <v>39445.69225</v>
      </c>
      <c r="BN225" s="724"/>
      <c r="BO225" s="724"/>
      <c r="BP225" s="724">
        <f t="shared" si="569"/>
        <v>185931.67025</v>
      </c>
      <c r="BQ225" s="1320"/>
      <c r="BR225" s="1321"/>
      <c r="BS225" s="1322"/>
      <c r="BT225" s="1323"/>
      <c r="BU225" s="1329"/>
      <c r="BV225" s="1321"/>
      <c r="BW225" s="1322"/>
      <c r="BX225" s="1322"/>
      <c r="BY225" s="1322"/>
      <c r="BZ225" s="1322"/>
      <c r="CA225" s="1322"/>
      <c r="CB225" s="1322"/>
      <c r="CC225" s="1320"/>
      <c r="CD225" s="1322"/>
      <c r="CE225" s="321"/>
      <c r="CF225" s="322"/>
      <c r="CG225" s="1321"/>
      <c r="CH225" s="1339"/>
      <c r="CI225" s="1322"/>
      <c r="CJ225" s="1329"/>
      <c r="CK225" s="1329"/>
      <c r="CL225" s="335"/>
      <c r="CN225" s="1263"/>
      <c r="CO225" s="1258"/>
    </row>
    <row r="226" s="245" customFormat="1" ht="202" customHeight="1" spans="1:93">
      <c r="A226" s="1122">
        <v>223</v>
      </c>
      <c r="B226" s="70" t="s">
        <v>640</v>
      </c>
      <c r="C226" s="1123" t="s">
        <v>177</v>
      </c>
      <c r="D226" s="1088" t="s">
        <v>216</v>
      </c>
      <c r="E226" s="1088" t="s">
        <v>555</v>
      </c>
      <c r="F226" s="1124" t="s">
        <v>209</v>
      </c>
      <c r="G226" s="1443" t="s">
        <v>641</v>
      </c>
      <c r="H226" s="1125"/>
      <c r="I226" s="1125"/>
      <c r="J226" s="1289"/>
      <c r="K226" s="1289"/>
      <c r="L226" s="1290"/>
      <c r="M226" s="1290">
        <v>217132.08</v>
      </c>
      <c r="N226" s="295">
        <f t="shared" si="566"/>
        <v>25332.076</v>
      </c>
      <c r="O226" s="295">
        <v>5000</v>
      </c>
      <c r="P226" s="295"/>
      <c r="Q226" s="295"/>
      <c r="R226" s="295">
        <v>2500</v>
      </c>
      <c r="S226" s="295"/>
      <c r="T226" s="295"/>
      <c r="U226" s="295"/>
      <c r="V226" s="295"/>
      <c r="W226" s="295"/>
      <c r="X226" s="295"/>
      <c r="Y226" s="295"/>
      <c r="Z226" s="295">
        <v>2500</v>
      </c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1140"/>
      <c r="AM226" s="295">
        <f t="shared" si="571"/>
        <v>4342.6416</v>
      </c>
      <c r="AN226" s="295">
        <v>500</v>
      </c>
      <c r="AO226" s="1302"/>
      <c r="AP226" s="1302"/>
      <c r="AQ226" s="1303"/>
      <c r="AR226" s="1303"/>
      <c r="AS226" s="1304"/>
      <c r="AT226" s="1303"/>
      <c r="AU226" s="1303"/>
      <c r="AV226" s="1151">
        <v>5000</v>
      </c>
      <c r="AW226" s="1151">
        <v>1000</v>
      </c>
      <c r="AX226" s="1303"/>
      <c r="AY226" s="1161"/>
      <c r="AZ226" s="1151"/>
      <c r="BA226" s="295">
        <v>0</v>
      </c>
      <c r="BB226" s="295"/>
      <c r="BC226" s="295"/>
      <c r="BD226" s="295"/>
      <c r="BE226" s="724">
        <v>1000</v>
      </c>
      <c r="BF226" s="724"/>
      <c r="BG226" s="724"/>
      <c r="BH226" s="724">
        <f t="shared" si="568"/>
        <v>5049.28312</v>
      </c>
      <c r="BI226" s="1166"/>
      <c r="BJ226" s="1166"/>
      <c r="BK226" s="724">
        <v>29580.64</v>
      </c>
      <c r="BL226" s="724">
        <f t="shared" si="567"/>
        <v>252464.156</v>
      </c>
      <c r="BM226" s="724">
        <f t="shared" si="570"/>
        <v>46472.56472</v>
      </c>
      <c r="BN226" s="724"/>
      <c r="BO226" s="724"/>
      <c r="BP226" s="724">
        <f t="shared" si="569"/>
        <v>205991.59128</v>
      </c>
      <c r="BQ226" s="1320"/>
      <c r="BR226" s="1321"/>
      <c r="BS226" s="1322"/>
      <c r="BT226" s="1323"/>
      <c r="BU226" s="1329"/>
      <c r="BV226" s="1321"/>
      <c r="BW226" s="1322"/>
      <c r="BX226" s="1322"/>
      <c r="BY226" s="1322"/>
      <c r="BZ226" s="1322"/>
      <c r="CA226" s="1322"/>
      <c r="CB226" s="1322"/>
      <c r="CC226" s="1320"/>
      <c r="CD226" s="1322"/>
      <c r="CE226" s="321"/>
      <c r="CF226" s="322"/>
      <c r="CG226" s="1321"/>
      <c r="CH226" s="1339"/>
      <c r="CI226" s="1322"/>
      <c r="CJ226" s="1329"/>
      <c r="CK226" s="1329"/>
      <c r="CL226" s="335"/>
      <c r="CN226" s="1263"/>
      <c r="CO226" s="1258"/>
    </row>
    <row r="227" s="245" customFormat="1" ht="202" customHeight="1" spans="1:93">
      <c r="A227" s="1122">
        <v>224</v>
      </c>
      <c r="B227" s="70" t="s">
        <v>642</v>
      </c>
      <c r="C227" s="1123" t="s">
        <v>283</v>
      </c>
      <c r="D227" s="1088" t="s">
        <v>216</v>
      </c>
      <c r="E227" s="1088" t="s">
        <v>555</v>
      </c>
      <c r="F227" s="1124" t="s">
        <v>113</v>
      </c>
      <c r="G227" s="1443" t="s">
        <v>643</v>
      </c>
      <c r="H227" s="1125"/>
      <c r="I227" s="1125"/>
      <c r="J227" s="1289"/>
      <c r="K227" s="1289"/>
      <c r="L227" s="1290"/>
      <c r="M227" s="1290">
        <v>217132.08</v>
      </c>
      <c r="N227" s="295">
        <f t="shared" si="566"/>
        <v>25332.076</v>
      </c>
      <c r="O227" s="295">
        <v>5000</v>
      </c>
      <c r="P227" s="295"/>
      <c r="Q227" s="295"/>
      <c r="R227" s="295">
        <v>2500</v>
      </c>
      <c r="S227" s="295"/>
      <c r="T227" s="295"/>
      <c r="U227" s="295"/>
      <c r="V227" s="295"/>
      <c r="W227" s="295"/>
      <c r="X227" s="295"/>
      <c r="Y227" s="295"/>
      <c r="Z227" s="295">
        <v>2500</v>
      </c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1140"/>
      <c r="AM227" s="295">
        <f t="shared" si="571"/>
        <v>4342.6416</v>
      </c>
      <c r="AN227" s="295">
        <v>500</v>
      </c>
      <c r="AO227" s="1302"/>
      <c r="AP227" s="1302"/>
      <c r="AQ227" s="1303"/>
      <c r="AR227" s="1303"/>
      <c r="AS227" s="1304"/>
      <c r="AT227" s="1303"/>
      <c r="AU227" s="1303"/>
      <c r="AV227" s="1151"/>
      <c r="AW227" s="1151">
        <v>1000</v>
      </c>
      <c r="AX227" s="1303"/>
      <c r="AY227" s="1161"/>
      <c r="AZ227" s="1151"/>
      <c r="BA227" s="295">
        <v>0</v>
      </c>
      <c r="BB227" s="295"/>
      <c r="BC227" s="295"/>
      <c r="BD227" s="295"/>
      <c r="BE227" s="724">
        <v>1000</v>
      </c>
      <c r="BF227" s="724"/>
      <c r="BG227" s="724"/>
      <c r="BH227" s="724">
        <f t="shared" si="568"/>
        <v>5049.28312</v>
      </c>
      <c r="BI227" s="1166"/>
      <c r="BJ227" s="1166"/>
      <c r="BK227" s="724">
        <v>29580.64</v>
      </c>
      <c r="BL227" s="724">
        <f t="shared" si="567"/>
        <v>252464.156</v>
      </c>
      <c r="BM227" s="724">
        <f t="shared" si="570"/>
        <v>41472.56472</v>
      </c>
      <c r="BN227" s="724"/>
      <c r="BO227" s="724"/>
      <c r="BP227" s="724">
        <f t="shared" si="569"/>
        <v>210991.59128</v>
      </c>
      <c r="BQ227" s="1320"/>
      <c r="BR227" s="1321"/>
      <c r="BS227" s="1322"/>
      <c r="BT227" s="1323"/>
      <c r="BU227" s="1329"/>
      <c r="BV227" s="1321"/>
      <c r="BW227" s="1322"/>
      <c r="BX227" s="1322"/>
      <c r="BY227" s="1322"/>
      <c r="BZ227" s="1322"/>
      <c r="CA227" s="1322"/>
      <c r="CB227" s="1322"/>
      <c r="CC227" s="1320"/>
      <c r="CD227" s="1322"/>
      <c r="CE227" s="321"/>
      <c r="CF227" s="322"/>
      <c r="CG227" s="1321"/>
      <c r="CH227" s="1339"/>
      <c r="CI227" s="1322"/>
      <c r="CJ227" s="1329"/>
      <c r="CK227" s="1329"/>
      <c r="CL227" s="335"/>
      <c r="CN227" s="1263"/>
      <c r="CO227" s="1258"/>
    </row>
    <row r="228" s="245" customFormat="1" ht="202" customHeight="1" spans="1:93">
      <c r="A228" s="1122">
        <v>225</v>
      </c>
      <c r="B228" s="70" t="s">
        <v>644</v>
      </c>
      <c r="C228" s="1123" t="s">
        <v>537</v>
      </c>
      <c r="D228" s="1088" t="s">
        <v>216</v>
      </c>
      <c r="E228" s="1088" t="s">
        <v>555</v>
      </c>
      <c r="F228" s="1124" t="s">
        <v>313</v>
      </c>
      <c r="G228" s="1443" t="s">
        <v>645</v>
      </c>
      <c r="H228" s="1125"/>
      <c r="I228" s="1125"/>
      <c r="J228" s="1289"/>
      <c r="K228" s="1289"/>
      <c r="L228" s="1290"/>
      <c r="M228" s="1290">
        <v>217132.08</v>
      </c>
      <c r="N228" s="295">
        <f t="shared" si="566"/>
        <v>25332.076</v>
      </c>
      <c r="O228" s="295">
        <v>5000</v>
      </c>
      <c r="P228" s="295"/>
      <c r="Q228" s="295"/>
      <c r="R228" s="295">
        <v>2500</v>
      </c>
      <c r="S228" s="295"/>
      <c r="T228" s="295"/>
      <c r="U228" s="295"/>
      <c r="V228" s="295"/>
      <c r="W228" s="295"/>
      <c r="X228" s="295"/>
      <c r="Y228" s="295"/>
      <c r="Z228" s="295">
        <v>2500</v>
      </c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1140"/>
      <c r="AM228" s="295">
        <f t="shared" si="571"/>
        <v>4342.6416</v>
      </c>
      <c r="AN228" s="295">
        <v>500</v>
      </c>
      <c r="AO228" s="1302"/>
      <c r="AP228" s="1302"/>
      <c r="AQ228" s="1303"/>
      <c r="AR228" s="1303"/>
      <c r="AS228" s="1304"/>
      <c r="AT228" s="1303"/>
      <c r="AU228" s="1303"/>
      <c r="AV228" s="1151"/>
      <c r="AW228" s="1151"/>
      <c r="AX228" s="1303"/>
      <c r="AY228" s="1161"/>
      <c r="AZ228" s="1151"/>
      <c r="BA228" s="295">
        <v>0</v>
      </c>
      <c r="BB228" s="295"/>
      <c r="BC228" s="295"/>
      <c r="BD228" s="295"/>
      <c r="BE228" s="724">
        <v>1000</v>
      </c>
      <c r="BF228" s="724"/>
      <c r="BG228" s="724"/>
      <c r="BH228" s="724">
        <f t="shared" si="568"/>
        <v>5049.28312</v>
      </c>
      <c r="BI228" s="1166"/>
      <c r="BJ228" s="1166"/>
      <c r="BK228" s="724">
        <v>29580.64</v>
      </c>
      <c r="BL228" s="724">
        <f t="shared" si="567"/>
        <v>252464.156</v>
      </c>
      <c r="BM228" s="724">
        <f t="shared" si="570"/>
        <v>40472.56472</v>
      </c>
      <c r="BN228" s="724"/>
      <c r="BO228" s="724"/>
      <c r="BP228" s="724">
        <f t="shared" si="569"/>
        <v>211991.59128</v>
      </c>
      <c r="BQ228" s="1320"/>
      <c r="BR228" s="1321"/>
      <c r="BS228" s="1322"/>
      <c r="BT228" s="1323"/>
      <c r="BU228" s="1329"/>
      <c r="BV228" s="1321"/>
      <c r="BW228" s="1322"/>
      <c r="BX228" s="1322"/>
      <c r="BY228" s="1322"/>
      <c r="BZ228" s="1322"/>
      <c r="CA228" s="1322"/>
      <c r="CB228" s="1322"/>
      <c r="CC228" s="1320"/>
      <c r="CD228" s="1322"/>
      <c r="CE228" s="321"/>
      <c r="CF228" s="322"/>
      <c r="CG228" s="1321"/>
      <c r="CH228" s="1339"/>
      <c r="CI228" s="1322"/>
      <c r="CJ228" s="1329"/>
      <c r="CK228" s="1329"/>
      <c r="CL228" s="335"/>
      <c r="CN228" s="1263"/>
      <c r="CO228" s="1258"/>
    </row>
    <row r="229" s="245" customFormat="1" ht="202" customHeight="1" spans="1:93">
      <c r="A229" s="1122">
        <v>226</v>
      </c>
      <c r="B229" s="70" t="s">
        <v>646</v>
      </c>
      <c r="C229" s="1123" t="s">
        <v>398</v>
      </c>
      <c r="D229" s="1088" t="s">
        <v>216</v>
      </c>
      <c r="E229" s="1088" t="s">
        <v>555</v>
      </c>
      <c r="F229" s="1124" t="s">
        <v>113</v>
      </c>
      <c r="G229" s="1443" t="s">
        <v>647</v>
      </c>
      <c r="H229" s="1125"/>
      <c r="I229" s="1125"/>
      <c r="J229" s="1289"/>
      <c r="K229" s="1289"/>
      <c r="L229" s="1290"/>
      <c r="M229" s="1290">
        <v>217132.08</v>
      </c>
      <c r="N229" s="295">
        <f t="shared" si="566"/>
        <v>25332.076</v>
      </c>
      <c r="O229" s="295">
        <v>5000</v>
      </c>
      <c r="P229" s="295"/>
      <c r="Q229" s="295"/>
      <c r="R229" s="295">
        <v>2500</v>
      </c>
      <c r="S229" s="295"/>
      <c r="T229" s="295"/>
      <c r="U229" s="295"/>
      <c r="V229" s="295"/>
      <c r="W229" s="295"/>
      <c r="X229" s="295"/>
      <c r="Y229" s="295"/>
      <c r="Z229" s="295">
        <v>2500</v>
      </c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1140"/>
      <c r="AM229" s="295">
        <f t="shared" si="571"/>
        <v>4342.6416</v>
      </c>
      <c r="AN229" s="295">
        <v>500</v>
      </c>
      <c r="AO229" s="1302"/>
      <c r="AP229" s="1302"/>
      <c r="AQ229" s="1303"/>
      <c r="AR229" s="1303"/>
      <c r="AS229" s="1304"/>
      <c r="AT229" s="1303"/>
      <c r="AU229" s="1303"/>
      <c r="AV229" s="1151"/>
      <c r="AW229" s="1151"/>
      <c r="AX229" s="1303">
        <v>1000</v>
      </c>
      <c r="AY229" s="1161"/>
      <c r="AZ229" s="1151"/>
      <c r="BA229" s="295">
        <v>0</v>
      </c>
      <c r="BB229" s="295"/>
      <c r="BC229" s="295"/>
      <c r="BD229" s="295"/>
      <c r="BE229" s="724">
        <v>1000</v>
      </c>
      <c r="BF229" s="724"/>
      <c r="BG229" s="724"/>
      <c r="BH229" s="724">
        <f t="shared" si="568"/>
        <v>5049.28312</v>
      </c>
      <c r="BI229" s="1166"/>
      <c r="BJ229" s="1166"/>
      <c r="BK229" s="724">
        <v>29580.64</v>
      </c>
      <c r="BL229" s="724">
        <f t="shared" si="567"/>
        <v>252464.156</v>
      </c>
      <c r="BM229" s="724">
        <f t="shared" si="570"/>
        <v>41472.56472</v>
      </c>
      <c r="BN229" s="724"/>
      <c r="BO229" s="724"/>
      <c r="BP229" s="724">
        <f t="shared" si="569"/>
        <v>210991.59128</v>
      </c>
      <c r="BQ229" s="1320"/>
      <c r="BR229" s="1321"/>
      <c r="BS229" s="1322"/>
      <c r="BT229" s="1323"/>
      <c r="BU229" s="1329"/>
      <c r="BV229" s="1321"/>
      <c r="BW229" s="1322"/>
      <c r="BX229" s="1322"/>
      <c r="BY229" s="1322"/>
      <c r="BZ229" s="1322"/>
      <c r="CA229" s="1322"/>
      <c r="CB229" s="1322"/>
      <c r="CC229" s="1320"/>
      <c r="CD229" s="1322"/>
      <c r="CE229" s="321"/>
      <c r="CF229" s="322"/>
      <c r="CG229" s="1321"/>
      <c r="CH229" s="1339"/>
      <c r="CI229" s="1322"/>
      <c r="CJ229" s="1329"/>
      <c r="CK229" s="1329"/>
      <c r="CL229" s="335"/>
      <c r="CN229" s="1263"/>
      <c r="CO229" s="1258"/>
    </row>
    <row r="230" s="245" customFormat="1" ht="202" customHeight="1" spans="1:93">
      <c r="A230" s="1122">
        <v>227</v>
      </c>
      <c r="B230" s="70" t="s">
        <v>648</v>
      </c>
      <c r="C230" s="1123" t="s">
        <v>537</v>
      </c>
      <c r="D230" s="1088" t="s">
        <v>216</v>
      </c>
      <c r="E230" s="1088" t="s">
        <v>555</v>
      </c>
      <c r="F230" s="1124" t="s">
        <v>97</v>
      </c>
      <c r="G230" s="1443" t="s">
        <v>649</v>
      </c>
      <c r="H230" s="1125"/>
      <c r="I230" s="1125"/>
      <c r="J230" s="1289"/>
      <c r="K230" s="1289"/>
      <c r="L230" s="1290"/>
      <c r="M230" s="1290">
        <v>217132.08</v>
      </c>
      <c r="N230" s="295">
        <f t="shared" si="566"/>
        <v>25332.076</v>
      </c>
      <c r="O230" s="295">
        <v>5000</v>
      </c>
      <c r="P230" s="295"/>
      <c r="Q230" s="295"/>
      <c r="R230" s="295">
        <v>2500</v>
      </c>
      <c r="S230" s="295"/>
      <c r="T230" s="295"/>
      <c r="U230" s="295"/>
      <c r="V230" s="295"/>
      <c r="W230" s="295"/>
      <c r="X230" s="295"/>
      <c r="Y230" s="295"/>
      <c r="Z230" s="295">
        <v>2500</v>
      </c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1140"/>
      <c r="AM230" s="295">
        <f t="shared" si="571"/>
        <v>4342.6416</v>
      </c>
      <c r="AN230" s="295">
        <v>500</v>
      </c>
      <c r="AO230" s="1302"/>
      <c r="AP230" s="1302"/>
      <c r="AQ230" s="1303"/>
      <c r="AR230" s="1303"/>
      <c r="AS230" s="1304"/>
      <c r="AT230" s="1303"/>
      <c r="AU230" s="1303"/>
      <c r="AV230" s="1151"/>
      <c r="AW230" s="1151"/>
      <c r="AX230" s="1303"/>
      <c r="AY230" s="1161"/>
      <c r="AZ230" s="1151"/>
      <c r="BA230" s="295">
        <v>0</v>
      </c>
      <c r="BB230" s="295"/>
      <c r="BC230" s="295"/>
      <c r="BD230" s="295"/>
      <c r="BE230" s="724">
        <v>1000</v>
      </c>
      <c r="BF230" s="724"/>
      <c r="BG230" s="724"/>
      <c r="BH230" s="724">
        <f t="shared" si="568"/>
        <v>5049.28312</v>
      </c>
      <c r="BI230" s="1166"/>
      <c r="BJ230" s="1166"/>
      <c r="BK230" s="724">
        <v>29580.64</v>
      </c>
      <c r="BL230" s="724">
        <f t="shared" si="567"/>
        <v>252464.156</v>
      </c>
      <c r="BM230" s="724">
        <f t="shared" si="570"/>
        <v>40472.56472</v>
      </c>
      <c r="BN230" s="724"/>
      <c r="BO230" s="724"/>
      <c r="BP230" s="724">
        <f t="shared" si="569"/>
        <v>211991.59128</v>
      </c>
      <c r="BQ230" s="1320"/>
      <c r="BR230" s="1321"/>
      <c r="BS230" s="1322"/>
      <c r="BT230" s="1323"/>
      <c r="BU230" s="1329"/>
      <c r="BV230" s="1321"/>
      <c r="BW230" s="1322"/>
      <c r="BX230" s="1322"/>
      <c r="BY230" s="1322"/>
      <c r="BZ230" s="1322"/>
      <c r="CA230" s="1322"/>
      <c r="CB230" s="1322"/>
      <c r="CC230" s="1320"/>
      <c r="CD230" s="1322"/>
      <c r="CE230" s="321"/>
      <c r="CF230" s="322"/>
      <c r="CG230" s="1321"/>
      <c r="CH230" s="1339"/>
      <c r="CI230" s="1322"/>
      <c r="CJ230" s="1329"/>
      <c r="CK230" s="1329"/>
      <c r="CL230" s="335"/>
      <c r="CN230" s="1263"/>
      <c r="CO230" s="1258"/>
    </row>
    <row r="231" s="245" customFormat="1" ht="202" customHeight="1" spans="1:93">
      <c r="A231" s="1122">
        <v>228</v>
      </c>
      <c r="B231" s="70" t="s">
        <v>650</v>
      </c>
      <c r="C231" s="1123" t="s">
        <v>110</v>
      </c>
      <c r="D231" s="1088" t="s">
        <v>216</v>
      </c>
      <c r="E231" s="1088" t="s">
        <v>555</v>
      </c>
      <c r="F231" s="1124" t="s">
        <v>93</v>
      </c>
      <c r="G231" s="1443" t="s">
        <v>651</v>
      </c>
      <c r="H231" s="1125"/>
      <c r="I231" s="1125"/>
      <c r="J231" s="1289"/>
      <c r="K231" s="1289"/>
      <c r="L231" s="1290"/>
      <c r="M231" s="1290">
        <v>217132.08</v>
      </c>
      <c r="N231" s="295">
        <f t="shared" si="566"/>
        <v>25332.076</v>
      </c>
      <c r="O231" s="295">
        <v>5000</v>
      </c>
      <c r="P231" s="295"/>
      <c r="Q231" s="295"/>
      <c r="R231" s="295">
        <v>2500</v>
      </c>
      <c r="S231" s="295"/>
      <c r="T231" s="295"/>
      <c r="U231" s="295"/>
      <c r="V231" s="295"/>
      <c r="W231" s="295"/>
      <c r="X231" s="295"/>
      <c r="Y231" s="295"/>
      <c r="Z231" s="295">
        <v>2500</v>
      </c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1140"/>
      <c r="AM231" s="295">
        <f t="shared" si="571"/>
        <v>4342.6416</v>
      </c>
      <c r="AN231" s="295">
        <v>500</v>
      </c>
      <c r="AO231" s="1302"/>
      <c r="AP231" s="1302"/>
      <c r="AQ231" s="1303">
        <v>1000</v>
      </c>
      <c r="AR231" s="1303"/>
      <c r="AS231" s="1304"/>
      <c r="AT231" s="1303"/>
      <c r="AU231" s="1303"/>
      <c r="AV231" s="1151"/>
      <c r="AW231" s="1151"/>
      <c r="AX231" s="1303"/>
      <c r="AY231" s="1161"/>
      <c r="AZ231" s="1151"/>
      <c r="BA231" s="295">
        <v>20000</v>
      </c>
      <c r="BB231" s="295"/>
      <c r="BC231" s="295"/>
      <c r="BD231" s="295"/>
      <c r="BE231" s="724">
        <v>1000</v>
      </c>
      <c r="BF231" s="724"/>
      <c r="BG231" s="724"/>
      <c r="BH231" s="724">
        <f t="shared" si="568"/>
        <v>5049.28312</v>
      </c>
      <c r="BI231" s="1166"/>
      <c r="BJ231" s="1166"/>
      <c r="BK231" s="724">
        <v>29580.64</v>
      </c>
      <c r="BL231" s="724">
        <f t="shared" si="567"/>
        <v>252464.156</v>
      </c>
      <c r="BM231" s="724">
        <f t="shared" si="570"/>
        <v>61472.56472</v>
      </c>
      <c r="BN231" s="724"/>
      <c r="BO231" s="724"/>
      <c r="BP231" s="724">
        <f t="shared" si="569"/>
        <v>190991.59128</v>
      </c>
      <c r="BQ231" s="1320"/>
      <c r="BR231" s="1321"/>
      <c r="BS231" s="1322"/>
      <c r="BT231" s="1323"/>
      <c r="BU231" s="1329"/>
      <c r="BV231" s="1321"/>
      <c r="BW231" s="1322"/>
      <c r="BX231" s="1322"/>
      <c r="BY231" s="1322"/>
      <c r="BZ231" s="1322"/>
      <c r="CA231" s="1322"/>
      <c r="CB231" s="1322"/>
      <c r="CC231" s="1320"/>
      <c r="CD231" s="1322"/>
      <c r="CE231" s="321"/>
      <c r="CF231" s="322"/>
      <c r="CG231" s="1321"/>
      <c r="CH231" s="1339"/>
      <c r="CI231" s="1322"/>
      <c r="CJ231" s="1329"/>
      <c r="CK231" s="1329"/>
      <c r="CL231" s="335"/>
      <c r="CN231" s="1263"/>
      <c r="CO231" s="1258"/>
    </row>
    <row r="232" s="245" customFormat="1" ht="202" customHeight="1" spans="1:93">
      <c r="A232" s="1122">
        <v>229</v>
      </c>
      <c r="B232" s="70" t="s">
        <v>652</v>
      </c>
      <c r="C232" s="1123" t="s">
        <v>653</v>
      </c>
      <c r="D232" s="1088" t="s">
        <v>654</v>
      </c>
      <c r="E232" s="1088" t="s">
        <v>465</v>
      </c>
      <c r="F232" s="1124" t="s">
        <v>97</v>
      </c>
      <c r="G232" s="1443" t="s">
        <v>655</v>
      </c>
      <c r="H232" s="1125"/>
      <c r="I232" s="1125"/>
      <c r="J232" s="1289"/>
      <c r="K232" s="1289"/>
      <c r="L232" s="1290"/>
      <c r="M232" s="1290">
        <v>236319.33</v>
      </c>
      <c r="N232" s="295">
        <f t="shared" si="566"/>
        <v>27570.5885</v>
      </c>
      <c r="O232" s="295">
        <v>5000</v>
      </c>
      <c r="P232" s="295"/>
      <c r="Q232" s="295"/>
      <c r="R232" s="295">
        <v>2500</v>
      </c>
      <c r="S232" s="295"/>
      <c r="T232" s="295"/>
      <c r="U232" s="295"/>
      <c r="V232" s="295"/>
      <c r="W232" s="295"/>
      <c r="X232" s="295"/>
      <c r="Y232" s="295"/>
      <c r="Z232" s="295">
        <v>2500</v>
      </c>
      <c r="AA232" s="295"/>
      <c r="AB232" s="295"/>
      <c r="AC232" s="295"/>
      <c r="AD232" s="295"/>
      <c r="AE232" s="295"/>
      <c r="AF232" s="295"/>
      <c r="AG232" s="295"/>
      <c r="AH232" s="295"/>
      <c r="AI232" s="295"/>
      <c r="AJ232" s="295"/>
      <c r="AK232" s="295"/>
      <c r="AL232" s="1140"/>
      <c r="AM232" s="295">
        <f t="shared" si="571"/>
        <v>4726.3866</v>
      </c>
      <c r="AN232" s="295">
        <v>500</v>
      </c>
      <c r="AO232" s="1302"/>
      <c r="AP232" s="1302"/>
      <c r="AQ232" s="1303">
        <v>1000</v>
      </c>
      <c r="AR232" s="1303"/>
      <c r="AS232" s="1304"/>
      <c r="AT232" s="1303"/>
      <c r="AU232" s="1303"/>
      <c r="AV232" s="1151">
        <v>5000</v>
      </c>
      <c r="AW232" s="1151"/>
      <c r="AX232" s="1303"/>
      <c r="AY232" s="1161">
        <v>2000</v>
      </c>
      <c r="AZ232" s="1151"/>
      <c r="BA232" s="295">
        <v>10000</v>
      </c>
      <c r="BB232" s="295"/>
      <c r="BC232" s="295"/>
      <c r="BD232" s="295"/>
      <c r="BE232" s="724">
        <v>1000</v>
      </c>
      <c r="BF232" s="724"/>
      <c r="BG232" s="724"/>
      <c r="BH232" s="724">
        <f t="shared" si="568"/>
        <v>5477.79837</v>
      </c>
      <c r="BI232" s="1166"/>
      <c r="BJ232" s="1166"/>
      <c r="BK232" s="724">
        <v>33180.1729746667</v>
      </c>
      <c r="BL232" s="724">
        <f t="shared" si="567"/>
        <v>273889.9185</v>
      </c>
      <c r="BM232" s="724">
        <f t="shared" si="570"/>
        <v>62884.3579446667</v>
      </c>
      <c r="BN232" s="724"/>
      <c r="BO232" s="724"/>
      <c r="BP232" s="724">
        <f t="shared" si="569"/>
        <v>211005.560555333</v>
      </c>
      <c r="BQ232" s="1320"/>
      <c r="BR232" s="1321"/>
      <c r="BS232" s="1322"/>
      <c r="BT232" s="1323"/>
      <c r="BU232" s="1329"/>
      <c r="BV232" s="1321"/>
      <c r="BW232" s="1322"/>
      <c r="BX232" s="1322"/>
      <c r="BY232" s="1322"/>
      <c r="BZ232" s="1322"/>
      <c r="CA232" s="1322"/>
      <c r="CB232" s="1322"/>
      <c r="CC232" s="1320"/>
      <c r="CD232" s="1322"/>
      <c r="CE232" s="321"/>
      <c r="CF232" s="322"/>
      <c r="CG232" s="1321"/>
      <c r="CH232" s="1339"/>
      <c r="CI232" s="1322"/>
      <c r="CJ232" s="1329"/>
      <c r="CK232" s="1329"/>
      <c r="CL232" s="335"/>
      <c r="CN232" s="1263"/>
      <c r="CO232" s="1258"/>
    </row>
    <row r="233" s="245" customFormat="1" ht="202" customHeight="1" spans="1:93">
      <c r="A233" s="1122">
        <v>230</v>
      </c>
      <c r="B233" s="70" t="s">
        <v>656</v>
      </c>
      <c r="C233" s="1123" t="s">
        <v>657</v>
      </c>
      <c r="D233" s="1088" t="s">
        <v>216</v>
      </c>
      <c r="E233" s="1088" t="s">
        <v>555</v>
      </c>
      <c r="F233" s="1124" t="s">
        <v>313</v>
      </c>
      <c r="G233" s="1443" t="s">
        <v>658</v>
      </c>
      <c r="H233" s="1125"/>
      <c r="I233" s="1125"/>
      <c r="J233" s="1289"/>
      <c r="K233" s="1289"/>
      <c r="L233" s="1290"/>
      <c r="M233" s="1290">
        <v>217132.08</v>
      </c>
      <c r="N233" s="295">
        <f t="shared" si="566"/>
        <v>25332.076</v>
      </c>
      <c r="O233" s="295">
        <v>5000</v>
      </c>
      <c r="P233" s="295"/>
      <c r="Q233" s="295"/>
      <c r="R233" s="295">
        <v>2500</v>
      </c>
      <c r="S233" s="295"/>
      <c r="T233" s="295"/>
      <c r="U233" s="295"/>
      <c r="V233" s="295"/>
      <c r="W233" s="295"/>
      <c r="X233" s="295"/>
      <c r="Y233" s="295"/>
      <c r="Z233" s="295">
        <v>2500</v>
      </c>
      <c r="AA233" s="295"/>
      <c r="AB233" s="295"/>
      <c r="AC233" s="295"/>
      <c r="AD233" s="295"/>
      <c r="AE233" s="295"/>
      <c r="AF233" s="295"/>
      <c r="AG233" s="295"/>
      <c r="AH233" s="295"/>
      <c r="AI233" s="295"/>
      <c r="AJ233" s="295"/>
      <c r="AK233" s="295"/>
      <c r="AL233" s="1140"/>
      <c r="AM233" s="295">
        <f t="shared" si="571"/>
        <v>4342.6416</v>
      </c>
      <c r="AN233" s="295">
        <v>500</v>
      </c>
      <c r="AO233" s="1302"/>
      <c r="AP233" s="1302"/>
      <c r="AQ233" s="1303">
        <v>1000</v>
      </c>
      <c r="AR233" s="1303"/>
      <c r="AS233" s="1304"/>
      <c r="AT233" s="1303"/>
      <c r="AU233" s="1303"/>
      <c r="AV233" s="1151"/>
      <c r="AW233" s="1151"/>
      <c r="AX233" s="1303"/>
      <c r="AY233" s="1161"/>
      <c r="AZ233" s="1151"/>
      <c r="BA233" s="295">
        <v>0</v>
      </c>
      <c r="BB233" s="295"/>
      <c r="BC233" s="295"/>
      <c r="BD233" s="295"/>
      <c r="BE233" s="724">
        <v>1000</v>
      </c>
      <c r="BF233" s="724"/>
      <c r="BG233" s="724"/>
      <c r="BH233" s="724">
        <f t="shared" si="568"/>
        <v>5049.28312</v>
      </c>
      <c r="BI233" s="1166"/>
      <c r="BJ233" s="1166"/>
      <c r="BK233" s="724">
        <v>29580.64</v>
      </c>
      <c r="BL233" s="724">
        <f t="shared" si="567"/>
        <v>252464.156</v>
      </c>
      <c r="BM233" s="724">
        <f t="shared" si="570"/>
        <v>41472.56472</v>
      </c>
      <c r="BN233" s="724"/>
      <c r="BO233" s="724"/>
      <c r="BP233" s="724">
        <f t="shared" si="569"/>
        <v>210991.59128</v>
      </c>
      <c r="BQ233" s="1320"/>
      <c r="BR233" s="1321"/>
      <c r="BS233" s="1322"/>
      <c r="BT233" s="1323"/>
      <c r="BU233" s="1329"/>
      <c r="BV233" s="1321"/>
      <c r="BW233" s="1322"/>
      <c r="BX233" s="1322"/>
      <c r="BY233" s="1322"/>
      <c r="BZ233" s="1322"/>
      <c r="CA233" s="1322"/>
      <c r="CB233" s="1322"/>
      <c r="CC233" s="1320"/>
      <c r="CD233" s="1322"/>
      <c r="CE233" s="321"/>
      <c r="CF233" s="322"/>
      <c r="CG233" s="1321"/>
      <c r="CH233" s="1339"/>
      <c r="CI233" s="1322"/>
      <c r="CJ233" s="1329"/>
      <c r="CK233" s="1329"/>
      <c r="CL233" s="335"/>
      <c r="CN233" s="1263"/>
      <c r="CO233" s="1258"/>
    </row>
    <row r="234" s="245" customFormat="1" ht="202" customHeight="1" spans="1:93">
      <c r="A234" s="1122">
        <v>231</v>
      </c>
      <c r="B234" s="70" t="s">
        <v>659</v>
      </c>
      <c r="C234" s="1123" t="s">
        <v>660</v>
      </c>
      <c r="D234" s="1088" t="s">
        <v>216</v>
      </c>
      <c r="E234" s="1088" t="s">
        <v>555</v>
      </c>
      <c r="F234" s="1124" t="s">
        <v>113</v>
      </c>
      <c r="G234" s="1443" t="s">
        <v>661</v>
      </c>
      <c r="H234" s="1125"/>
      <c r="I234" s="1125"/>
      <c r="J234" s="1289"/>
      <c r="K234" s="1289"/>
      <c r="L234" s="1290"/>
      <c r="M234" s="1290">
        <v>217132.08</v>
      </c>
      <c r="N234" s="295">
        <f t="shared" si="566"/>
        <v>25332.076</v>
      </c>
      <c r="O234" s="295">
        <v>5000</v>
      </c>
      <c r="P234" s="295"/>
      <c r="Q234" s="295"/>
      <c r="R234" s="295">
        <v>2500</v>
      </c>
      <c r="S234" s="295"/>
      <c r="T234" s="295"/>
      <c r="U234" s="295"/>
      <c r="V234" s="295"/>
      <c r="W234" s="295"/>
      <c r="X234" s="295"/>
      <c r="Y234" s="295"/>
      <c r="Z234" s="295">
        <v>2500</v>
      </c>
      <c r="AA234" s="295"/>
      <c r="AB234" s="295"/>
      <c r="AC234" s="295"/>
      <c r="AD234" s="295"/>
      <c r="AE234" s="295"/>
      <c r="AF234" s="295"/>
      <c r="AG234" s="295"/>
      <c r="AH234" s="295"/>
      <c r="AI234" s="295"/>
      <c r="AJ234" s="295"/>
      <c r="AK234" s="295"/>
      <c r="AL234" s="1140"/>
      <c r="AM234" s="295">
        <f t="shared" si="571"/>
        <v>4342.6416</v>
      </c>
      <c r="AN234" s="295">
        <v>500</v>
      </c>
      <c r="AO234" s="1302"/>
      <c r="AP234" s="1302"/>
      <c r="AQ234" s="1303">
        <v>1000</v>
      </c>
      <c r="AR234" s="1303"/>
      <c r="AS234" s="1304"/>
      <c r="AT234" s="1303"/>
      <c r="AU234" s="1303"/>
      <c r="AV234" s="1151"/>
      <c r="AW234" s="1151"/>
      <c r="AX234" s="1303"/>
      <c r="AY234" s="1161">
        <v>2000</v>
      </c>
      <c r="AZ234" s="1151"/>
      <c r="BA234" s="295">
        <v>0</v>
      </c>
      <c r="BB234" s="295"/>
      <c r="BC234" s="295"/>
      <c r="BD234" s="295"/>
      <c r="BE234" s="724">
        <v>1000</v>
      </c>
      <c r="BF234" s="724"/>
      <c r="BG234" s="724"/>
      <c r="BH234" s="724">
        <f t="shared" si="568"/>
        <v>5049.28312</v>
      </c>
      <c r="BI234" s="1166"/>
      <c r="BJ234" s="1166"/>
      <c r="BK234" s="724">
        <v>32111.1</v>
      </c>
      <c r="BL234" s="724">
        <f t="shared" si="567"/>
        <v>252464.156</v>
      </c>
      <c r="BM234" s="724">
        <f t="shared" si="570"/>
        <v>46003.02472</v>
      </c>
      <c r="BN234" s="724"/>
      <c r="BO234" s="724"/>
      <c r="BP234" s="724">
        <f t="shared" si="569"/>
        <v>206461.13128</v>
      </c>
      <c r="BQ234" s="1320"/>
      <c r="BR234" s="1321"/>
      <c r="BS234" s="1322"/>
      <c r="BT234" s="1323"/>
      <c r="BU234" s="1329"/>
      <c r="BV234" s="1321"/>
      <c r="BW234" s="1322"/>
      <c r="BX234" s="1322"/>
      <c r="BY234" s="1322"/>
      <c r="BZ234" s="1322"/>
      <c r="CA234" s="1322"/>
      <c r="CB234" s="1322"/>
      <c r="CC234" s="1320"/>
      <c r="CD234" s="1322"/>
      <c r="CE234" s="321"/>
      <c r="CF234" s="322"/>
      <c r="CG234" s="1321"/>
      <c r="CH234" s="1339"/>
      <c r="CI234" s="1322"/>
      <c r="CJ234" s="1329"/>
      <c r="CK234" s="1329"/>
      <c r="CL234" s="335"/>
      <c r="CN234" s="1263"/>
      <c r="CO234" s="1258"/>
    </row>
    <row r="235" s="245" customFormat="1" ht="202" customHeight="1" spans="1:93">
      <c r="A235" s="1122">
        <v>232</v>
      </c>
      <c r="B235" s="70" t="s">
        <v>662</v>
      </c>
      <c r="C235" s="1123" t="s">
        <v>104</v>
      </c>
      <c r="D235" s="1088" t="s">
        <v>216</v>
      </c>
      <c r="E235" s="1088" t="s">
        <v>555</v>
      </c>
      <c r="F235" s="1124" t="s">
        <v>113</v>
      </c>
      <c r="G235" s="1443" t="s">
        <v>663</v>
      </c>
      <c r="H235" s="1125"/>
      <c r="I235" s="1125"/>
      <c r="J235" s="1289"/>
      <c r="K235" s="1289"/>
      <c r="L235" s="1290"/>
      <c r="M235" s="1290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5"/>
      <c r="AG235" s="295"/>
      <c r="AH235" s="295"/>
      <c r="AI235" s="295"/>
      <c r="AJ235" s="295"/>
      <c r="AK235" s="295"/>
      <c r="AL235" s="1140"/>
      <c r="AM235" s="295">
        <f t="shared" si="571"/>
        <v>0</v>
      </c>
      <c r="AN235" s="295"/>
      <c r="AO235" s="1302"/>
      <c r="AP235" s="1302"/>
      <c r="AQ235" s="1303">
        <v>1000</v>
      </c>
      <c r="AR235" s="1303"/>
      <c r="AS235" s="1304"/>
      <c r="AT235" s="1303"/>
      <c r="AU235" s="1303"/>
      <c r="AV235" s="1151"/>
      <c r="AW235" s="1151"/>
      <c r="AX235" s="1303"/>
      <c r="AY235" s="1161"/>
      <c r="AZ235" s="1151"/>
      <c r="BA235" s="295"/>
      <c r="BB235" s="295"/>
      <c r="BC235" s="295"/>
      <c r="BD235" s="295"/>
      <c r="BE235" s="724"/>
      <c r="BF235" s="724"/>
      <c r="BG235" s="724"/>
      <c r="BH235" s="724"/>
      <c r="BI235" s="1166"/>
      <c r="BJ235" s="1166"/>
      <c r="BK235" s="724"/>
      <c r="BL235" s="724"/>
      <c r="BM235" s="724"/>
      <c r="BN235" s="724"/>
      <c r="BO235" s="724"/>
      <c r="BP235" s="724"/>
      <c r="BQ235" s="1320"/>
      <c r="BR235" s="1321"/>
      <c r="BS235" s="1322"/>
      <c r="BT235" s="1323"/>
      <c r="BU235" s="1329"/>
      <c r="BV235" s="1321"/>
      <c r="BW235" s="1322"/>
      <c r="BX235" s="1322"/>
      <c r="BY235" s="1322"/>
      <c r="BZ235" s="1322"/>
      <c r="CA235" s="1322"/>
      <c r="CB235" s="1322"/>
      <c r="CC235" s="1320"/>
      <c r="CD235" s="1322"/>
      <c r="CE235" s="321"/>
      <c r="CF235" s="322"/>
      <c r="CG235" s="1321"/>
      <c r="CH235" s="1339"/>
      <c r="CI235" s="1322"/>
      <c r="CJ235" s="1329"/>
      <c r="CK235" s="1329"/>
      <c r="CL235" s="335"/>
      <c r="CN235" s="1393" t="s">
        <v>664</v>
      </c>
      <c r="CO235" s="1258"/>
    </row>
    <row r="236" s="245" customFormat="1" ht="202" customHeight="1" spans="1:93">
      <c r="A236" s="1122">
        <v>233</v>
      </c>
      <c r="B236" s="70" t="s">
        <v>665</v>
      </c>
      <c r="C236" s="1123" t="s">
        <v>666</v>
      </c>
      <c r="D236" s="1088" t="s">
        <v>216</v>
      </c>
      <c r="E236" s="1088" t="s">
        <v>555</v>
      </c>
      <c r="F236" s="1124" t="s">
        <v>93</v>
      </c>
      <c r="G236" s="1443" t="s">
        <v>667</v>
      </c>
      <c r="H236" s="1125"/>
      <c r="I236" s="1125"/>
      <c r="J236" s="1289"/>
      <c r="K236" s="1289"/>
      <c r="L236" s="1290"/>
      <c r="M236" s="1290">
        <v>217132.08</v>
      </c>
      <c r="N236" s="295">
        <f t="shared" si="566"/>
        <v>25332.076</v>
      </c>
      <c r="O236" s="295">
        <v>5000</v>
      </c>
      <c r="P236" s="295"/>
      <c r="Q236" s="295"/>
      <c r="R236" s="295">
        <v>2500</v>
      </c>
      <c r="S236" s="295"/>
      <c r="T236" s="295"/>
      <c r="U236" s="295"/>
      <c r="V236" s="295"/>
      <c r="W236" s="295"/>
      <c r="X236" s="295"/>
      <c r="Y236" s="295"/>
      <c r="Z236" s="295">
        <v>2500</v>
      </c>
      <c r="AA236" s="295"/>
      <c r="AB236" s="295"/>
      <c r="AC236" s="295"/>
      <c r="AD236" s="295"/>
      <c r="AE236" s="295"/>
      <c r="AF236" s="295"/>
      <c r="AG236" s="295"/>
      <c r="AH236" s="295"/>
      <c r="AI236" s="295"/>
      <c r="AJ236" s="295"/>
      <c r="AK236" s="295"/>
      <c r="AL236" s="1140"/>
      <c r="AM236" s="295">
        <f t="shared" si="571"/>
        <v>4342.6416</v>
      </c>
      <c r="AN236" s="295">
        <v>500</v>
      </c>
      <c r="AO236" s="1302"/>
      <c r="AP236" s="1302"/>
      <c r="AQ236" s="1303">
        <v>1000</v>
      </c>
      <c r="AR236" s="1303"/>
      <c r="AS236" s="1304"/>
      <c r="AT236" s="1303"/>
      <c r="AU236" s="1303"/>
      <c r="AV236" s="1151"/>
      <c r="AW236" s="1151"/>
      <c r="AX236" s="1303"/>
      <c r="AY236" s="1161"/>
      <c r="AZ236" s="1151"/>
      <c r="BA236" s="295">
        <v>20000</v>
      </c>
      <c r="BB236" s="295"/>
      <c r="BC236" s="295"/>
      <c r="BD236" s="295"/>
      <c r="BE236" s="724">
        <v>1000</v>
      </c>
      <c r="BF236" s="724"/>
      <c r="BG236" s="724"/>
      <c r="BH236" s="724">
        <f t="shared" si="568"/>
        <v>5049.28312</v>
      </c>
      <c r="BI236" s="1166"/>
      <c r="BJ236" s="1166"/>
      <c r="BK236" s="724">
        <v>32111.1</v>
      </c>
      <c r="BL236" s="724">
        <f t="shared" si="567"/>
        <v>252464.156</v>
      </c>
      <c r="BM236" s="724">
        <f t="shared" si="570"/>
        <v>64003.02472</v>
      </c>
      <c r="BN236" s="724"/>
      <c r="BO236" s="724"/>
      <c r="BP236" s="724">
        <f t="shared" si="569"/>
        <v>188461.13128</v>
      </c>
      <c r="BQ236" s="1320"/>
      <c r="BR236" s="1321"/>
      <c r="BS236" s="1322"/>
      <c r="BT236" s="1323"/>
      <c r="BU236" s="1329"/>
      <c r="BV236" s="1321"/>
      <c r="BW236" s="1322"/>
      <c r="BX236" s="1322"/>
      <c r="BY236" s="1322"/>
      <c r="BZ236" s="1322"/>
      <c r="CA236" s="1322"/>
      <c r="CB236" s="1322"/>
      <c r="CC236" s="1320"/>
      <c r="CD236" s="1322"/>
      <c r="CE236" s="321"/>
      <c r="CF236" s="322"/>
      <c r="CG236" s="1321"/>
      <c r="CH236" s="1339"/>
      <c r="CI236" s="1322"/>
      <c r="CJ236" s="1329"/>
      <c r="CK236" s="1329"/>
      <c r="CL236" s="335"/>
      <c r="CN236" s="1263"/>
      <c r="CO236" s="1258"/>
    </row>
    <row r="237" s="245" customFormat="1" ht="202" customHeight="1" spans="1:93">
      <c r="A237" s="1122">
        <v>234</v>
      </c>
      <c r="B237" s="70" t="s">
        <v>668</v>
      </c>
      <c r="C237" s="1123" t="s">
        <v>546</v>
      </c>
      <c r="D237" s="1088" t="s">
        <v>216</v>
      </c>
      <c r="E237" s="1088" t="s">
        <v>555</v>
      </c>
      <c r="F237" s="1124" t="s">
        <v>165</v>
      </c>
      <c r="G237" s="1443" t="s">
        <v>669</v>
      </c>
      <c r="H237" s="1125"/>
      <c r="I237" s="1125"/>
      <c r="J237" s="1289"/>
      <c r="K237" s="1289"/>
      <c r="L237" s="1290"/>
      <c r="M237" s="1290">
        <v>217132.08</v>
      </c>
      <c r="N237" s="295">
        <f t="shared" si="566"/>
        <v>25332.076</v>
      </c>
      <c r="O237" s="295">
        <v>5000</v>
      </c>
      <c r="P237" s="295"/>
      <c r="Q237" s="295"/>
      <c r="R237" s="295">
        <v>2500</v>
      </c>
      <c r="S237" s="295"/>
      <c r="T237" s="295"/>
      <c r="U237" s="295"/>
      <c r="V237" s="295"/>
      <c r="W237" s="295"/>
      <c r="X237" s="295"/>
      <c r="Y237" s="295"/>
      <c r="Z237" s="295">
        <v>2500</v>
      </c>
      <c r="AA237" s="295"/>
      <c r="AB237" s="295"/>
      <c r="AC237" s="295"/>
      <c r="AD237" s="295"/>
      <c r="AE237" s="295"/>
      <c r="AF237" s="295"/>
      <c r="AG237" s="295"/>
      <c r="AH237" s="295"/>
      <c r="AI237" s="295"/>
      <c r="AJ237" s="295"/>
      <c r="AK237" s="295"/>
      <c r="AL237" s="1140"/>
      <c r="AM237" s="295">
        <f t="shared" si="571"/>
        <v>4342.6416</v>
      </c>
      <c r="AN237" s="295">
        <v>500</v>
      </c>
      <c r="AO237" s="1302"/>
      <c r="AP237" s="1302"/>
      <c r="AQ237" s="1303">
        <v>1000</v>
      </c>
      <c r="AR237" s="1303"/>
      <c r="AS237" s="1304"/>
      <c r="AT237" s="1303"/>
      <c r="AU237" s="1303"/>
      <c r="AV237" s="1151"/>
      <c r="AW237" s="1151"/>
      <c r="AX237" s="1303"/>
      <c r="AY237" s="1161"/>
      <c r="AZ237" s="1151"/>
      <c r="BA237" s="295">
        <v>0</v>
      </c>
      <c r="BB237" s="295"/>
      <c r="BC237" s="295"/>
      <c r="BD237" s="295"/>
      <c r="BE237" s="724">
        <v>1000</v>
      </c>
      <c r="BF237" s="724"/>
      <c r="BG237" s="724"/>
      <c r="BH237" s="724">
        <f t="shared" si="568"/>
        <v>5049.28312</v>
      </c>
      <c r="BI237" s="1166"/>
      <c r="BJ237" s="1166"/>
      <c r="BK237" s="724">
        <v>29580.64</v>
      </c>
      <c r="BL237" s="724">
        <f t="shared" si="567"/>
        <v>252464.156</v>
      </c>
      <c r="BM237" s="724">
        <f t="shared" si="570"/>
        <v>41472.56472</v>
      </c>
      <c r="BN237" s="724"/>
      <c r="BO237" s="724"/>
      <c r="BP237" s="724">
        <f t="shared" si="569"/>
        <v>210991.59128</v>
      </c>
      <c r="BQ237" s="1320"/>
      <c r="BR237" s="1321"/>
      <c r="BS237" s="1322"/>
      <c r="BT237" s="1323"/>
      <c r="BU237" s="1329"/>
      <c r="BV237" s="1321"/>
      <c r="BW237" s="1322"/>
      <c r="BX237" s="1322"/>
      <c r="BY237" s="1322"/>
      <c r="BZ237" s="1322"/>
      <c r="CA237" s="1322"/>
      <c r="CB237" s="1322"/>
      <c r="CC237" s="1320"/>
      <c r="CD237" s="1322"/>
      <c r="CE237" s="321"/>
      <c r="CF237" s="322"/>
      <c r="CG237" s="1321"/>
      <c r="CH237" s="1339"/>
      <c r="CI237" s="1322"/>
      <c r="CJ237" s="1329"/>
      <c r="CK237" s="1329"/>
      <c r="CL237" s="335"/>
      <c r="CN237" s="1263"/>
      <c r="CO237" s="1258"/>
    </row>
    <row r="238" s="245" customFormat="1" ht="202" customHeight="1" spans="1:93">
      <c r="A238" s="1122">
        <v>235</v>
      </c>
      <c r="B238" s="70" t="s">
        <v>670</v>
      </c>
      <c r="C238" s="1123" t="s">
        <v>133</v>
      </c>
      <c r="D238" s="1088" t="s">
        <v>204</v>
      </c>
      <c r="E238" s="1088" t="s">
        <v>208</v>
      </c>
      <c r="F238" s="1124" t="s">
        <v>127</v>
      </c>
      <c r="G238" s="1443" t="s">
        <v>671</v>
      </c>
      <c r="H238" s="1125"/>
      <c r="I238" s="1125"/>
      <c r="J238" s="1289"/>
      <c r="K238" s="1289"/>
      <c r="L238" s="1290"/>
      <c r="M238" s="1290">
        <v>242018.08</v>
      </c>
      <c r="N238" s="295">
        <f t="shared" si="566"/>
        <v>28235.4426666667</v>
      </c>
      <c r="O238" s="295">
        <v>5000</v>
      </c>
      <c r="P238" s="295"/>
      <c r="Q238" s="295"/>
      <c r="R238" s="295">
        <v>2500</v>
      </c>
      <c r="S238" s="295">
        <v>11861.45</v>
      </c>
      <c r="T238" s="295"/>
      <c r="U238" s="295"/>
      <c r="V238" s="295"/>
      <c r="W238" s="295"/>
      <c r="X238" s="295"/>
      <c r="Y238" s="295"/>
      <c r="Z238" s="295">
        <v>2500</v>
      </c>
      <c r="AA238" s="295"/>
      <c r="AB238" s="295"/>
      <c r="AC238" s="295"/>
      <c r="AD238" s="295"/>
      <c r="AE238" s="295"/>
      <c r="AF238" s="295"/>
      <c r="AG238" s="295"/>
      <c r="AH238" s="295"/>
      <c r="AI238" s="295">
        <v>41666.66</v>
      </c>
      <c r="AJ238" s="295"/>
      <c r="AK238" s="295"/>
      <c r="AL238" s="1140"/>
      <c r="AM238" s="295">
        <f t="shared" si="571"/>
        <v>4840.3616</v>
      </c>
      <c r="AN238" s="295">
        <v>500</v>
      </c>
      <c r="AO238" s="1302"/>
      <c r="AP238" s="1302"/>
      <c r="AQ238" s="1303">
        <v>1000</v>
      </c>
      <c r="AR238" s="1303"/>
      <c r="AS238" s="1304"/>
      <c r="AT238" s="1303"/>
      <c r="AU238" s="1303"/>
      <c r="AV238" s="1151">
        <v>5000</v>
      </c>
      <c r="AW238" s="1151"/>
      <c r="AX238" s="1303"/>
      <c r="AY238" s="1161"/>
      <c r="AZ238" s="1151"/>
      <c r="BA238" s="295">
        <v>10000</v>
      </c>
      <c r="BB238" s="295"/>
      <c r="BC238" s="295">
        <v>9680.7232</v>
      </c>
      <c r="BD238" s="295">
        <v>7500</v>
      </c>
      <c r="BE238" s="724">
        <v>1000</v>
      </c>
      <c r="BF238" s="724"/>
      <c r="BG238" s="724"/>
      <c r="BH238" s="724">
        <f t="shared" si="568"/>
        <v>5842.29945333333</v>
      </c>
      <c r="BI238" s="1166"/>
      <c r="BJ238" s="1166"/>
      <c r="BK238" s="724">
        <v>34249.26</v>
      </c>
      <c r="BL238" s="724">
        <f t="shared" si="567"/>
        <v>292114.972666667</v>
      </c>
      <c r="BM238" s="724">
        <f t="shared" si="570"/>
        <v>121279.304253333</v>
      </c>
      <c r="BN238" s="724"/>
      <c r="BO238" s="724"/>
      <c r="BP238" s="724">
        <f t="shared" si="569"/>
        <v>170835.668413333</v>
      </c>
      <c r="BQ238" s="1320"/>
      <c r="BR238" s="1321"/>
      <c r="BS238" s="1322"/>
      <c r="BT238" s="1323"/>
      <c r="BU238" s="1329"/>
      <c r="BV238" s="1321"/>
      <c r="BW238" s="1322"/>
      <c r="BX238" s="1322"/>
      <c r="BY238" s="1322"/>
      <c r="BZ238" s="1322"/>
      <c r="CA238" s="1322"/>
      <c r="CB238" s="1322"/>
      <c r="CC238" s="1320"/>
      <c r="CD238" s="1322"/>
      <c r="CE238" s="321"/>
      <c r="CF238" s="322"/>
      <c r="CG238" s="1321"/>
      <c r="CH238" s="1339"/>
      <c r="CI238" s="1322"/>
      <c r="CJ238" s="1329"/>
      <c r="CK238" s="1329"/>
      <c r="CL238" s="335"/>
      <c r="CN238" s="1391" t="s">
        <v>672</v>
      </c>
      <c r="CO238" s="1258"/>
    </row>
    <row r="239" s="245" customFormat="1" ht="202" customHeight="1" spans="1:93">
      <c r="A239" s="1122">
        <v>236</v>
      </c>
      <c r="B239" s="70" t="s">
        <v>673</v>
      </c>
      <c r="C239" s="1123" t="s">
        <v>674</v>
      </c>
      <c r="D239" s="1088" t="s">
        <v>204</v>
      </c>
      <c r="E239" s="1088" t="s">
        <v>208</v>
      </c>
      <c r="F239" s="1124" t="s">
        <v>675</v>
      </c>
      <c r="G239" s="1443" t="s">
        <v>676</v>
      </c>
      <c r="H239" s="1125"/>
      <c r="I239" s="1125"/>
      <c r="J239" s="1289"/>
      <c r="K239" s="1289"/>
      <c r="L239" s="1290"/>
      <c r="M239" s="1290">
        <v>242018.08</v>
      </c>
      <c r="N239" s="295">
        <f t="shared" si="566"/>
        <v>28235.4426666667</v>
      </c>
      <c r="O239" s="295">
        <v>5000</v>
      </c>
      <c r="P239" s="295"/>
      <c r="Q239" s="295"/>
      <c r="R239" s="295">
        <v>2500</v>
      </c>
      <c r="S239" s="295"/>
      <c r="T239" s="295"/>
      <c r="U239" s="295"/>
      <c r="V239" s="295"/>
      <c r="W239" s="295"/>
      <c r="X239" s="295"/>
      <c r="Y239" s="295"/>
      <c r="Z239" s="295">
        <v>2500</v>
      </c>
      <c r="AA239" s="295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1140"/>
      <c r="AM239" s="295">
        <f t="shared" si="571"/>
        <v>4840.3616</v>
      </c>
      <c r="AN239" s="295">
        <v>500</v>
      </c>
      <c r="AO239" s="1302"/>
      <c r="AP239" s="1302"/>
      <c r="AQ239" s="1303">
        <v>1000</v>
      </c>
      <c r="AR239" s="1303"/>
      <c r="AS239" s="1304"/>
      <c r="AT239" s="1303"/>
      <c r="AU239" s="1303"/>
      <c r="AV239" s="1151"/>
      <c r="AW239" s="1151"/>
      <c r="AX239" s="1303"/>
      <c r="AY239" s="1161"/>
      <c r="AZ239" s="1151"/>
      <c r="BA239" s="295">
        <v>0</v>
      </c>
      <c r="BB239" s="295"/>
      <c r="BC239" s="295"/>
      <c r="BD239" s="295"/>
      <c r="BE239" s="724">
        <v>1000</v>
      </c>
      <c r="BF239" s="724"/>
      <c r="BG239" s="724"/>
      <c r="BH239" s="724">
        <f t="shared" si="568"/>
        <v>5605.07045333333</v>
      </c>
      <c r="BI239" s="1166"/>
      <c r="BJ239" s="1166"/>
      <c r="BK239" s="724">
        <v>34249.26</v>
      </c>
      <c r="BL239" s="724">
        <f t="shared" si="567"/>
        <v>280253.522666667</v>
      </c>
      <c r="BM239" s="724">
        <f t="shared" si="570"/>
        <v>47194.6920533333</v>
      </c>
      <c r="BN239" s="724"/>
      <c r="BO239" s="724"/>
      <c r="BP239" s="724">
        <f t="shared" si="569"/>
        <v>233058.830613333</v>
      </c>
      <c r="BQ239" s="1320"/>
      <c r="BR239" s="1321"/>
      <c r="BS239" s="1322"/>
      <c r="BT239" s="1323"/>
      <c r="BU239" s="1329"/>
      <c r="BV239" s="1321"/>
      <c r="BW239" s="1322"/>
      <c r="BX239" s="1322"/>
      <c r="BY239" s="1322"/>
      <c r="BZ239" s="1322"/>
      <c r="CA239" s="1322"/>
      <c r="CB239" s="1322"/>
      <c r="CC239" s="1320"/>
      <c r="CD239" s="1322"/>
      <c r="CE239" s="321"/>
      <c r="CF239" s="322"/>
      <c r="CG239" s="1321"/>
      <c r="CH239" s="1339"/>
      <c r="CI239" s="1322"/>
      <c r="CJ239" s="1329"/>
      <c r="CK239" s="1329"/>
      <c r="CL239" s="335"/>
      <c r="CN239" s="1263"/>
      <c r="CO239" s="1258"/>
    </row>
    <row r="240" s="245" customFormat="1" ht="202" customHeight="1" spans="1:93">
      <c r="A240" s="1122">
        <v>237</v>
      </c>
      <c r="B240" s="70" t="s">
        <v>677</v>
      </c>
      <c r="C240" s="1123" t="s">
        <v>678</v>
      </c>
      <c r="D240" s="1088" t="s">
        <v>204</v>
      </c>
      <c r="E240" s="1088" t="s">
        <v>208</v>
      </c>
      <c r="F240" s="1124" t="s">
        <v>165</v>
      </c>
      <c r="G240" s="1443" t="s">
        <v>679</v>
      </c>
      <c r="H240" s="1125"/>
      <c r="I240" s="1125"/>
      <c r="J240" s="1289"/>
      <c r="K240" s="1289"/>
      <c r="L240" s="1290"/>
      <c r="M240" s="1290">
        <v>242018.08</v>
      </c>
      <c r="N240" s="295">
        <f t="shared" ref="N240:N302" si="572">M240*0.35/3</f>
        <v>28235.4426666667</v>
      </c>
      <c r="O240" s="295">
        <v>5000</v>
      </c>
      <c r="P240" s="295"/>
      <c r="Q240" s="295"/>
      <c r="R240" s="295">
        <v>2500</v>
      </c>
      <c r="S240" s="295"/>
      <c r="T240" s="295"/>
      <c r="U240" s="295"/>
      <c r="V240" s="295"/>
      <c r="W240" s="295"/>
      <c r="X240" s="295"/>
      <c r="Y240" s="295"/>
      <c r="Z240" s="295">
        <v>2500</v>
      </c>
      <c r="AA240" s="295"/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1140"/>
      <c r="AM240" s="295">
        <f t="shared" si="571"/>
        <v>4840.3616</v>
      </c>
      <c r="AN240" s="295">
        <v>500</v>
      </c>
      <c r="AO240" s="1302"/>
      <c r="AP240" s="1302"/>
      <c r="AQ240" s="1303">
        <v>1000</v>
      </c>
      <c r="AR240" s="1303"/>
      <c r="AS240" s="1304"/>
      <c r="AT240" s="1303"/>
      <c r="AU240" s="1303"/>
      <c r="AV240" s="1151">
        <v>5000</v>
      </c>
      <c r="AW240" s="1151"/>
      <c r="AX240" s="1303"/>
      <c r="AY240" s="1161"/>
      <c r="AZ240" s="1151"/>
      <c r="BA240" s="295">
        <v>20000</v>
      </c>
      <c r="BB240" s="295"/>
      <c r="BC240" s="295"/>
      <c r="BD240" s="295"/>
      <c r="BE240" s="724">
        <v>1000</v>
      </c>
      <c r="BF240" s="724"/>
      <c r="BG240" s="724"/>
      <c r="BH240" s="724">
        <f t="shared" si="568"/>
        <v>5605.07045333333</v>
      </c>
      <c r="BI240" s="1166"/>
      <c r="BJ240" s="1166"/>
      <c r="BK240" s="724">
        <v>34249.26</v>
      </c>
      <c r="BL240" s="724">
        <f t="shared" si="567"/>
        <v>280253.522666667</v>
      </c>
      <c r="BM240" s="724">
        <f t="shared" si="570"/>
        <v>72194.6920533333</v>
      </c>
      <c r="BN240" s="724"/>
      <c r="BO240" s="724"/>
      <c r="BP240" s="724">
        <f t="shared" si="569"/>
        <v>208058.830613333</v>
      </c>
      <c r="BQ240" s="1320"/>
      <c r="BR240" s="1321"/>
      <c r="BS240" s="1322"/>
      <c r="BT240" s="1323"/>
      <c r="BU240" s="1329"/>
      <c r="BV240" s="1321"/>
      <c r="BW240" s="1322"/>
      <c r="BX240" s="1322"/>
      <c r="BY240" s="1322"/>
      <c r="BZ240" s="1322"/>
      <c r="CA240" s="1322"/>
      <c r="CB240" s="1322"/>
      <c r="CC240" s="1320"/>
      <c r="CD240" s="1322"/>
      <c r="CE240" s="321"/>
      <c r="CF240" s="322"/>
      <c r="CG240" s="1321"/>
      <c r="CH240" s="1339"/>
      <c r="CI240" s="1322"/>
      <c r="CJ240" s="1329"/>
      <c r="CK240" s="1329"/>
      <c r="CL240" s="335"/>
      <c r="CN240" s="1263"/>
      <c r="CO240" s="1258"/>
    </row>
    <row r="241" s="245" customFormat="1" ht="202" customHeight="1" spans="1:93">
      <c r="A241" s="1122">
        <v>238</v>
      </c>
      <c r="B241" s="70" t="s">
        <v>680</v>
      </c>
      <c r="C241" s="1123" t="s">
        <v>191</v>
      </c>
      <c r="D241" s="1088" t="s">
        <v>204</v>
      </c>
      <c r="E241" s="1088" t="s">
        <v>208</v>
      </c>
      <c r="F241" s="1124" t="s">
        <v>675</v>
      </c>
      <c r="G241" s="1443" t="s">
        <v>681</v>
      </c>
      <c r="H241" s="1125"/>
      <c r="I241" s="1125"/>
      <c r="J241" s="1289"/>
      <c r="K241" s="1289"/>
      <c r="L241" s="1290"/>
      <c r="M241" s="1290">
        <v>242018.08</v>
      </c>
      <c r="N241" s="295">
        <f t="shared" si="572"/>
        <v>28235.4426666667</v>
      </c>
      <c r="O241" s="295">
        <v>5000</v>
      </c>
      <c r="P241" s="295"/>
      <c r="Q241" s="295"/>
      <c r="R241" s="295">
        <v>2500</v>
      </c>
      <c r="S241" s="295"/>
      <c r="T241" s="295"/>
      <c r="U241" s="295"/>
      <c r="V241" s="295"/>
      <c r="W241" s="295"/>
      <c r="X241" s="295"/>
      <c r="Y241" s="295"/>
      <c r="Z241" s="295">
        <v>2500</v>
      </c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L241" s="1140"/>
      <c r="AM241" s="295">
        <f t="shared" si="571"/>
        <v>4840.3616</v>
      </c>
      <c r="AN241" s="295">
        <v>500</v>
      </c>
      <c r="AO241" s="1302"/>
      <c r="AP241" s="1302"/>
      <c r="AQ241" s="1303"/>
      <c r="AR241" s="1303"/>
      <c r="AS241" s="1304">
        <v>1000</v>
      </c>
      <c r="AT241" s="1303"/>
      <c r="AU241" s="1303"/>
      <c r="AV241" s="1151"/>
      <c r="AW241" s="1151"/>
      <c r="AX241" s="1303"/>
      <c r="AY241" s="1161"/>
      <c r="AZ241" s="1151"/>
      <c r="BA241" s="295">
        <v>40000</v>
      </c>
      <c r="BB241" s="295"/>
      <c r="BC241" s="295"/>
      <c r="BD241" s="295"/>
      <c r="BE241" s="724">
        <v>1000</v>
      </c>
      <c r="BF241" s="724"/>
      <c r="BG241" s="724"/>
      <c r="BH241" s="724">
        <f t="shared" si="568"/>
        <v>5605.07045333333</v>
      </c>
      <c r="BI241" s="1166"/>
      <c r="BJ241" s="1166"/>
      <c r="BK241" s="724">
        <v>34249.26</v>
      </c>
      <c r="BL241" s="724">
        <f t="shared" ref="BL241:BL303" si="573">M241+N241+O241+P241+R241+S241+T241+U241+V241+W241+Y241+Z241+AA241</f>
        <v>280253.522666667</v>
      </c>
      <c r="BM241" s="724">
        <f t="shared" si="570"/>
        <v>87194.6920533333</v>
      </c>
      <c r="BN241" s="724"/>
      <c r="BO241" s="724"/>
      <c r="BP241" s="724">
        <f t="shared" si="569"/>
        <v>193058.830613333</v>
      </c>
      <c r="BQ241" s="1320"/>
      <c r="BR241" s="1321"/>
      <c r="BS241" s="1322"/>
      <c r="BT241" s="1323"/>
      <c r="BU241" s="1329"/>
      <c r="BV241" s="1321"/>
      <c r="BW241" s="1322"/>
      <c r="BX241" s="1322"/>
      <c r="BY241" s="1322"/>
      <c r="BZ241" s="1322"/>
      <c r="CA241" s="1322"/>
      <c r="CB241" s="1322"/>
      <c r="CC241" s="1320"/>
      <c r="CD241" s="1322"/>
      <c r="CE241" s="321"/>
      <c r="CF241" s="322"/>
      <c r="CG241" s="1321"/>
      <c r="CH241" s="1339"/>
      <c r="CI241" s="1322"/>
      <c r="CJ241" s="1329"/>
      <c r="CK241" s="1329"/>
      <c r="CL241" s="335"/>
      <c r="CN241" s="1263"/>
      <c r="CO241" s="1258"/>
    </row>
    <row r="242" s="1103" customFormat="1" ht="202" customHeight="1" spans="1:93">
      <c r="A242" s="1122">
        <v>239</v>
      </c>
      <c r="B242" s="1356" t="s">
        <v>682</v>
      </c>
      <c r="C242" s="1357" t="s">
        <v>164</v>
      </c>
      <c r="D242" s="1358" t="s">
        <v>195</v>
      </c>
      <c r="E242" s="1358" t="s">
        <v>495</v>
      </c>
      <c r="F242" s="1359" t="s">
        <v>93</v>
      </c>
      <c r="G242" s="1360"/>
      <c r="H242" s="1361"/>
      <c r="I242" s="1361"/>
      <c r="J242" s="1365"/>
      <c r="K242" s="1365"/>
      <c r="L242" s="1366"/>
      <c r="M242" s="1366">
        <v>211887.25</v>
      </c>
      <c r="N242" s="1367">
        <f t="shared" si="572"/>
        <v>24720.1791666667</v>
      </c>
      <c r="O242" s="1367">
        <v>5000</v>
      </c>
      <c r="P242" s="1367"/>
      <c r="Q242" s="1367"/>
      <c r="R242" s="1367">
        <v>2500</v>
      </c>
      <c r="S242" s="1367"/>
      <c r="T242" s="1367"/>
      <c r="U242" s="1367"/>
      <c r="V242" s="1367"/>
      <c r="W242" s="1367"/>
      <c r="X242" s="1367"/>
      <c r="Y242" s="1367"/>
      <c r="Z242" s="1367">
        <v>2500</v>
      </c>
      <c r="AA242" s="1367"/>
      <c r="AB242" s="1367"/>
      <c r="AC242" s="1367"/>
      <c r="AD242" s="1367"/>
      <c r="AE242" s="1367"/>
      <c r="AF242" s="1367"/>
      <c r="AG242" s="1367"/>
      <c r="AH242" s="1367"/>
      <c r="AI242" s="1367"/>
      <c r="AJ242" s="1367"/>
      <c r="AK242" s="1367"/>
      <c r="AL242" s="1140"/>
      <c r="AM242" s="1367">
        <f t="shared" si="571"/>
        <v>4237.745</v>
      </c>
      <c r="AN242" s="1367">
        <v>500</v>
      </c>
      <c r="AO242" s="1368"/>
      <c r="AP242" s="1368"/>
      <c r="AQ242" s="1369"/>
      <c r="AR242" s="1369"/>
      <c r="AS242" s="1304">
        <v>1000</v>
      </c>
      <c r="AT242" s="1369"/>
      <c r="AU242" s="1369"/>
      <c r="AV242" s="1370"/>
      <c r="AW242" s="1370"/>
      <c r="AX242" s="1369"/>
      <c r="AY242" s="1371"/>
      <c r="AZ242" s="1370"/>
      <c r="BA242" s="1367">
        <v>35000</v>
      </c>
      <c r="BB242" s="1367"/>
      <c r="BC242" s="1367"/>
      <c r="BD242" s="1367"/>
      <c r="BE242" s="1372">
        <v>1000</v>
      </c>
      <c r="BF242" s="1372"/>
      <c r="BG242" s="1372"/>
      <c r="BH242" s="1372">
        <f t="shared" si="568"/>
        <v>4932.14858333333</v>
      </c>
      <c r="BI242" s="1373"/>
      <c r="BJ242" s="1373"/>
      <c r="BK242" s="1372">
        <v>28596.71</v>
      </c>
      <c r="BL242" s="1372">
        <f t="shared" si="573"/>
        <v>246607.429166667</v>
      </c>
      <c r="BM242" s="1372">
        <f t="shared" si="570"/>
        <v>75266.6035833333</v>
      </c>
      <c r="BN242" s="1372"/>
      <c r="BO242" s="1372"/>
      <c r="BP242" s="1372">
        <f t="shared" si="569"/>
        <v>171340.825583333</v>
      </c>
      <c r="BQ242" s="1378"/>
      <c r="BR242" s="1379"/>
      <c r="BS242" s="1380"/>
      <c r="BT242" s="1381"/>
      <c r="BU242" s="1383"/>
      <c r="BV242" s="1379"/>
      <c r="BW242" s="1380"/>
      <c r="BX242" s="1380"/>
      <c r="BY242" s="1380"/>
      <c r="BZ242" s="1380"/>
      <c r="CA242" s="1380"/>
      <c r="CB242" s="1380"/>
      <c r="CC242" s="1378"/>
      <c r="CD242" s="1380"/>
      <c r="CE242" s="1387"/>
      <c r="CF242" s="1388"/>
      <c r="CG242" s="1379"/>
      <c r="CH242" s="1389"/>
      <c r="CI242" s="1380"/>
      <c r="CJ242" s="1383"/>
      <c r="CK242" s="1383"/>
      <c r="CL242" s="1394"/>
      <c r="CN242" s="1395"/>
      <c r="CO242" s="1396"/>
    </row>
    <row r="243" s="245" customFormat="1" ht="202" customHeight="1" spans="1:93">
      <c r="A243" s="1122">
        <v>240</v>
      </c>
      <c r="B243" s="70" t="s">
        <v>683</v>
      </c>
      <c r="C243" s="1123" t="s">
        <v>666</v>
      </c>
      <c r="D243" s="1088" t="s">
        <v>216</v>
      </c>
      <c r="E243" s="1088" t="s">
        <v>555</v>
      </c>
      <c r="F243" s="1124" t="s">
        <v>165</v>
      </c>
      <c r="G243" s="1443" t="s">
        <v>684</v>
      </c>
      <c r="H243" s="1125"/>
      <c r="I243" s="1125"/>
      <c r="J243" s="1289"/>
      <c r="K243" s="1289"/>
      <c r="L243" s="1290"/>
      <c r="M243" s="1290">
        <v>217132.08</v>
      </c>
      <c r="N243" s="295">
        <f t="shared" si="572"/>
        <v>25332.076</v>
      </c>
      <c r="O243" s="295">
        <v>5000</v>
      </c>
      <c r="P243" s="295"/>
      <c r="Q243" s="295"/>
      <c r="R243" s="295">
        <v>2500</v>
      </c>
      <c r="S243" s="295"/>
      <c r="T243" s="295"/>
      <c r="U243" s="295"/>
      <c r="V243" s="295"/>
      <c r="W243" s="295"/>
      <c r="X243" s="295"/>
      <c r="Y243" s="295"/>
      <c r="Z243" s="295">
        <v>2500</v>
      </c>
      <c r="AA243" s="295"/>
      <c r="AB243" s="295"/>
      <c r="AC243" s="295"/>
      <c r="AD243" s="295"/>
      <c r="AE243" s="295"/>
      <c r="AF243" s="295"/>
      <c r="AG243" s="295"/>
      <c r="AH243" s="295"/>
      <c r="AI243" s="295"/>
      <c r="AJ243" s="295"/>
      <c r="AK243" s="295"/>
      <c r="AL243" s="1140"/>
      <c r="AM243" s="295">
        <f t="shared" si="571"/>
        <v>4342.6416</v>
      </c>
      <c r="AN243" s="295">
        <v>500</v>
      </c>
      <c r="AO243" s="1302"/>
      <c r="AP243" s="1302"/>
      <c r="AQ243" s="1303">
        <v>1000</v>
      </c>
      <c r="AR243" s="1303"/>
      <c r="AS243" s="1304"/>
      <c r="AT243" s="1303"/>
      <c r="AU243" s="1303"/>
      <c r="AV243" s="1151"/>
      <c r="AW243" s="1151"/>
      <c r="AX243" s="1303"/>
      <c r="AY243" s="1161"/>
      <c r="AZ243" s="1151"/>
      <c r="BA243" s="295">
        <v>20000</v>
      </c>
      <c r="BB243" s="295"/>
      <c r="BC243" s="295"/>
      <c r="BD243" s="295"/>
      <c r="BE243" s="724">
        <v>1000</v>
      </c>
      <c r="BF243" s="724"/>
      <c r="BG243" s="724"/>
      <c r="BH243" s="724">
        <f t="shared" si="568"/>
        <v>5049.28312</v>
      </c>
      <c r="BI243" s="1166"/>
      <c r="BJ243" s="1166"/>
      <c r="BK243" s="724">
        <v>29580.64</v>
      </c>
      <c r="BL243" s="724">
        <f t="shared" si="573"/>
        <v>252464.156</v>
      </c>
      <c r="BM243" s="724">
        <f t="shared" si="570"/>
        <v>61472.56472</v>
      </c>
      <c r="BN243" s="724"/>
      <c r="BO243" s="724"/>
      <c r="BP243" s="724">
        <f t="shared" si="569"/>
        <v>190991.59128</v>
      </c>
      <c r="BQ243" s="1320"/>
      <c r="BR243" s="1321"/>
      <c r="BS243" s="1322"/>
      <c r="BT243" s="1323"/>
      <c r="BU243" s="1329"/>
      <c r="BV243" s="1321"/>
      <c r="BW243" s="1322"/>
      <c r="BX243" s="1322"/>
      <c r="BY243" s="1322"/>
      <c r="BZ243" s="1322"/>
      <c r="CA243" s="1322"/>
      <c r="CB243" s="1322"/>
      <c r="CC243" s="1320"/>
      <c r="CD243" s="1322"/>
      <c r="CE243" s="321"/>
      <c r="CF243" s="322"/>
      <c r="CG243" s="1321"/>
      <c r="CH243" s="1339"/>
      <c r="CI243" s="1322"/>
      <c r="CJ243" s="1329"/>
      <c r="CK243" s="1329"/>
      <c r="CL243" s="335"/>
      <c r="CN243" s="1263"/>
      <c r="CO243" s="1258"/>
    </row>
    <row r="244" s="245" customFormat="1" ht="202" customHeight="1" spans="1:93">
      <c r="A244" s="1122">
        <v>241</v>
      </c>
      <c r="B244" s="70" t="s">
        <v>685</v>
      </c>
      <c r="C244" s="1123" t="s">
        <v>653</v>
      </c>
      <c r="D244" s="1088" t="s">
        <v>216</v>
      </c>
      <c r="E244" s="1088" t="s">
        <v>555</v>
      </c>
      <c r="F244" s="1124" t="s">
        <v>313</v>
      </c>
      <c r="G244" s="1443" t="s">
        <v>686</v>
      </c>
      <c r="H244" s="1125"/>
      <c r="I244" s="1125"/>
      <c r="J244" s="1289"/>
      <c r="K244" s="1289"/>
      <c r="L244" s="1290"/>
      <c r="M244" s="1290">
        <v>217132.08</v>
      </c>
      <c r="N244" s="295">
        <f t="shared" si="572"/>
        <v>25332.076</v>
      </c>
      <c r="O244" s="295">
        <v>5000</v>
      </c>
      <c r="P244" s="295"/>
      <c r="Q244" s="295"/>
      <c r="R244" s="295">
        <v>2500</v>
      </c>
      <c r="S244" s="295"/>
      <c r="T244" s="295"/>
      <c r="U244" s="295"/>
      <c r="V244" s="295"/>
      <c r="W244" s="295"/>
      <c r="X244" s="295"/>
      <c r="Y244" s="295"/>
      <c r="Z244" s="295">
        <v>2500</v>
      </c>
      <c r="AA244" s="295"/>
      <c r="AB244" s="295"/>
      <c r="AC244" s="295"/>
      <c r="AD244" s="295"/>
      <c r="AE244" s="295"/>
      <c r="AF244" s="295"/>
      <c r="AG244" s="295"/>
      <c r="AH244" s="295"/>
      <c r="AI244" s="295"/>
      <c r="AJ244" s="295"/>
      <c r="AK244" s="295"/>
      <c r="AL244" s="1140"/>
      <c r="AM244" s="295">
        <f t="shared" si="571"/>
        <v>4342.6416</v>
      </c>
      <c r="AN244" s="295">
        <v>500</v>
      </c>
      <c r="AO244" s="1302"/>
      <c r="AP244" s="1302"/>
      <c r="AQ244" s="1303">
        <v>1000</v>
      </c>
      <c r="AR244" s="1303"/>
      <c r="AS244" s="1304"/>
      <c r="AT244" s="1303"/>
      <c r="AU244" s="1303"/>
      <c r="AV244" s="1151"/>
      <c r="AW244" s="1151"/>
      <c r="AX244" s="1303"/>
      <c r="AY244" s="1161"/>
      <c r="AZ244" s="1151"/>
      <c r="BA244" s="295">
        <v>0</v>
      </c>
      <c r="BB244" s="295"/>
      <c r="BC244" s="295"/>
      <c r="BD244" s="295"/>
      <c r="BE244" s="724">
        <v>1000</v>
      </c>
      <c r="BF244" s="724"/>
      <c r="BG244" s="724"/>
      <c r="BH244" s="724">
        <f t="shared" si="568"/>
        <v>5049.28312</v>
      </c>
      <c r="BI244" s="1166"/>
      <c r="BJ244" s="1166"/>
      <c r="BK244" s="724">
        <v>29580.64</v>
      </c>
      <c r="BL244" s="724">
        <f t="shared" si="573"/>
        <v>252464.156</v>
      </c>
      <c r="BM244" s="724">
        <f t="shared" si="570"/>
        <v>41472.56472</v>
      </c>
      <c r="BN244" s="724"/>
      <c r="BO244" s="724"/>
      <c r="BP244" s="724">
        <f t="shared" si="569"/>
        <v>210991.59128</v>
      </c>
      <c r="BQ244" s="1320"/>
      <c r="BR244" s="1321"/>
      <c r="BS244" s="1322"/>
      <c r="BT244" s="1323"/>
      <c r="BU244" s="1329"/>
      <c r="BV244" s="1321"/>
      <c r="BW244" s="1322"/>
      <c r="BX244" s="1322"/>
      <c r="BY244" s="1322"/>
      <c r="BZ244" s="1322"/>
      <c r="CA244" s="1322"/>
      <c r="CB244" s="1322"/>
      <c r="CC244" s="1320"/>
      <c r="CD244" s="1322"/>
      <c r="CE244" s="321"/>
      <c r="CF244" s="322"/>
      <c r="CG244" s="1321"/>
      <c r="CH244" s="1339"/>
      <c r="CI244" s="1322"/>
      <c r="CJ244" s="1329"/>
      <c r="CK244" s="1329"/>
      <c r="CL244" s="335"/>
      <c r="CN244" s="1263"/>
      <c r="CO244" s="1258"/>
    </row>
    <row r="245" s="245" customFormat="1" ht="202" customHeight="1" spans="1:93">
      <c r="A245" s="1122">
        <v>242</v>
      </c>
      <c r="B245" s="70" t="s">
        <v>687</v>
      </c>
      <c r="C245" s="1123" t="s">
        <v>674</v>
      </c>
      <c r="D245" s="1088" t="s">
        <v>216</v>
      </c>
      <c r="E245" s="1088" t="s">
        <v>555</v>
      </c>
      <c r="F245" s="1362" t="s">
        <v>122</v>
      </c>
      <c r="G245" s="1443" t="s">
        <v>688</v>
      </c>
      <c r="H245" s="1125"/>
      <c r="I245" s="1125"/>
      <c r="J245" s="1289"/>
      <c r="K245" s="1289"/>
      <c r="L245" s="1290"/>
      <c r="M245" s="1290">
        <v>217132.08</v>
      </c>
      <c r="N245" s="295">
        <f t="shared" si="572"/>
        <v>25332.076</v>
      </c>
      <c r="O245" s="295">
        <v>5000</v>
      </c>
      <c r="P245" s="295"/>
      <c r="Q245" s="295"/>
      <c r="R245" s="295">
        <v>2500</v>
      </c>
      <c r="S245" s="295"/>
      <c r="T245" s="295"/>
      <c r="U245" s="295"/>
      <c r="V245" s="295"/>
      <c r="W245" s="295"/>
      <c r="X245" s="295"/>
      <c r="Y245" s="295"/>
      <c r="Z245" s="295">
        <v>2500</v>
      </c>
      <c r="AA245" s="295"/>
      <c r="AB245" s="295"/>
      <c r="AC245" s="295"/>
      <c r="AD245" s="295"/>
      <c r="AE245" s="295"/>
      <c r="AF245" s="295"/>
      <c r="AG245" s="295"/>
      <c r="AH245" s="295"/>
      <c r="AI245" s="295"/>
      <c r="AJ245" s="295"/>
      <c r="AK245" s="295"/>
      <c r="AL245" s="1140"/>
      <c r="AM245" s="295">
        <f t="shared" si="571"/>
        <v>4342.6416</v>
      </c>
      <c r="AN245" s="295">
        <v>500</v>
      </c>
      <c r="AO245" s="1302"/>
      <c r="AP245" s="1302"/>
      <c r="AQ245" s="1303">
        <v>1000</v>
      </c>
      <c r="AR245" s="1303"/>
      <c r="AS245" s="1304"/>
      <c r="AT245" s="1303"/>
      <c r="AU245" s="1303"/>
      <c r="AV245" s="1151"/>
      <c r="AW245" s="1151"/>
      <c r="AX245" s="1303"/>
      <c r="AY245" s="1161"/>
      <c r="AZ245" s="1151"/>
      <c r="BA245" s="295">
        <v>0</v>
      </c>
      <c r="BB245" s="295"/>
      <c r="BC245" s="295"/>
      <c r="BD245" s="295"/>
      <c r="BE245" s="724">
        <v>1000</v>
      </c>
      <c r="BF245" s="724"/>
      <c r="BG245" s="724"/>
      <c r="BH245" s="724">
        <f t="shared" si="568"/>
        <v>5049.28312</v>
      </c>
      <c r="BI245" s="1166"/>
      <c r="BJ245" s="1166"/>
      <c r="BK245" s="724">
        <v>29580.64</v>
      </c>
      <c r="BL245" s="724">
        <f t="shared" si="573"/>
        <v>252464.156</v>
      </c>
      <c r="BM245" s="724">
        <f t="shared" si="570"/>
        <v>41472.56472</v>
      </c>
      <c r="BN245" s="724"/>
      <c r="BO245" s="724"/>
      <c r="BP245" s="724">
        <f t="shared" si="569"/>
        <v>210991.59128</v>
      </c>
      <c r="BQ245" s="1320"/>
      <c r="BR245" s="1321"/>
      <c r="BS245" s="1322"/>
      <c r="BT245" s="1323"/>
      <c r="BU245" s="1329"/>
      <c r="BV245" s="1321"/>
      <c r="BW245" s="1322"/>
      <c r="BX245" s="1322"/>
      <c r="BY245" s="1322"/>
      <c r="BZ245" s="1322"/>
      <c r="CA245" s="1322"/>
      <c r="CB245" s="1322"/>
      <c r="CC245" s="1320"/>
      <c r="CD245" s="1322"/>
      <c r="CE245" s="321"/>
      <c r="CF245" s="322"/>
      <c r="CG245" s="1321"/>
      <c r="CH245" s="1339"/>
      <c r="CI245" s="1322"/>
      <c r="CJ245" s="1329"/>
      <c r="CK245" s="1329"/>
      <c r="CL245" s="335"/>
      <c r="CN245" s="1263"/>
      <c r="CO245" s="1258"/>
    </row>
    <row r="246" s="245" customFormat="1" ht="202" customHeight="1" spans="1:93">
      <c r="A246" s="1122">
        <v>243</v>
      </c>
      <c r="B246" s="70" t="s">
        <v>689</v>
      </c>
      <c r="C246" s="1123" t="s">
        <v>133</v>
      </c>
      <c r="D246" s="1088" t="s">
        <v>216</v>
      </c>
      <c r="E246" s="1088" t="s">
        <v>555</v>
      </c>
      <c r="F246" s="1124" t="s">
        <v>127</v>
      </c>
      <c r="G246" s="1443" t="s">
        <v>690</v>
      </c>
      <c r="H246" s="1125"/>
      <c r="I246" s="1125"/>
      <c r="J246" s="1289"/>
      <c r="K246" s="1289"/>
      <c r="L246" s="1290"/>
      <c r="M246" s="1290">
        <v>217132.08</v>
      </c>
      <c r="N246" s="295">
        <f t="shared" si="572"/>
        <v>25332.076</v>
      </c>
      <c r="O246" s="295">
        <v>5000</v>
      </c>
      <c r="P246" s="295"/>
      <c r="Q246" s="295"/>
      <c r="R246" s="295">
        <v>2500</v>
      </c>
      <c r="S246" s="295"/>
      <c r="T246" s="295"/>
      <c r="U246" s="295"/>
      <c r="V246" s="295"/>
      <c r="W246" s="295"/>
      <c r="X246" s="295"/>
      <c r="Y246" s="295"/>
      <c r="Z246" s="295">
        <v>2500</v>
      </c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1140"/>
      <c r="AM246" s="295">
        <f t="shared" si="571"/>
        <v>4342.6416</v>
      </c>
      <c r="AN246" s="295">
        <v>500</v>
      </c>
      <c r="AO246" s="1302"/>
      <c r="AP246" s="1302"/>
      <c r="AQ246" s="1303">
        <v>1000</v>
      </c>
      <c r="AR246" s="1303"/>
      <c r="AS246" s="1304"/>
      <c r="AT246" s="1303"/>
      <c r="AU246" s="1303"/>
      <c r="AV246" s="1151"/>
      <c r="AW246" s="1151"/>
      <c r="AX246" s="1303"/>
      <c r="AY246" s="1161"/>
      <c r="AZ246" s="1151"/>
      <c r="BA246" s="295">
        <v>10000</v>
      </c>
      <c r="BB246" s="295"/>
      <c r="BC246" s="295"/>
      <c r="BD246" s="295"/>
      <c r="BE246" s="724">
        <v>1000</v>
      </c>
      <c r="BF246" s="724"/>
      <c r="BG246" s="724"/>
      <c r="BH246" s="724">
        <f t="shared" si="568"/>
        <v>5049.28312</v>
      </c>
      <c r="BI246" s="1166"/>
      <c r="BJ246" s="1166"/>
      <c r="BK246" s="724">
        <v>29580.64</v>
      </c>
      <c r="BL246" s="724">
        <f t="shared" si="573"/>
        <v>252464.156</v>
      </c>
      <c r="BM246" s="724">
        <f t="shared" si="570"/>
        <v>51472.56472</v>
      </c>
      <c r="BN246" s="724"/>
      <c r="BO246" s="724"/>
      <c r="BP246" s="724">
        <f t="shared" si="569"/>
        <v>200991.59128</v>
      </c>
      <c r="BQ246" s="1320"/>
      <c r="BR246" s="1321"/>
      <c r="BS246" s="1322"/>
      <c r="BT246" s="1323"/>
      <c r="BU246" s="1329"/>
      <c r="BV246" s="1321"/>
      <c r="BW246" s="1322"/>
      <c r="BX246" s="1322"/>
      <c r="BY246" s="1322"/>
      <c r="BZ246" s="1322"/>
      <c r="CA246" s="1322"/>
      <c r="CB246" s="1322"/>
      <c r="CC246" s="1320"/>
      <c r="CD246" s="1322"/>
      <c r="CE246" s="321"/>
      <c r="CF246" s="322"/>
      <c r="CG246" s="1321"/>
      <c r="CH246" s="1339"/>
      <c r="CI246" s="1322"/>
      <c r="CJ246" s="1329"/>
      <c r="CK246" s="1329"/>
      <c r="CL246" s="335"/>
      <c r="CN246" s="1263"/>
      <c r="CO246" s="1258"/>
    </row>
    <row r="247" s="245" customFormat="1" ht="202" customHeight="1" spans="1:93">
      <c r="A247" s="1122">
        <v>244</v>
      </c>
      <c r="B247" s="70" t="s">
        <v>691</v>
      </c>
      <c r="C247" s="1123" t="s">
        <v>660</v>
      </c>
      <c r="D247" s="1088" t="s">
        <v>216</v>
      </c>
      <c r="E247" s="1088" t="s">
        <v>555</v>
      </c>
      <c r="F247" s="1124" t="s">
        <v>313</v>
      </c>
      <c r="G247" s="1443" t="s">
        <v>692</v>
      </c>
      <c r="H247" s="1125"/>
      <c r="I247" s="1125"/>
      <c r="J247" s="1289"/>
      <c r="K247" s="1289"/>
      <c r="L247" s="1290"/>
      <c r="M247" s="1290">
        <v>217132.08</v>
      </c>
      <c r="N247" s="295">
        <f t="shared" si="572"/>
        <v>25332.076</v>
      </c>
      <c r="O247" s="295">
        <v>5000</v>
      </c>
      <c r="P247" s="295"/>
      <c r="Q247" s="295"/>
      <c r="R247" s="295">
        <v>2500</v>
      </c>
      <c r="S247" s="295"/>
      <c r="T247" s="295"/>
      <c r="U247" s="295"/>
      <c r="V247" s="295"/>
      <c r="W247" s="295"/>
      <c r="X247" s="295"/>
      <c r="Y247" s="295"/>
      <c r="Z247" s="295">
        <v>2500</v>
      </c>
      <c r="AA247" s="295"/>
      <c r="AB247" s="295"/>
      <c r="AC247" s="295"/>
      <c r="AD247" s="295"/>
      <c r="AE247" s="295"/>
      <c r="AF247" s="295"/>
      <c r="AG247" s="295"/>
      <c r="AH247" s="295"/>
      <c r="AI247" s="295"/>
      <c r="AJ247" s="295"/>
      <c r="AK247" s="295"/>
      <c r="AL247" s="1140"/>
      <c r="AM247" s="295">
        <f t="shared" si="571"/>
        <v>4342.6416</v>
      </c>
      <c r="AN247" s="295">
        <v>500</v>
      </c>
      <c r="AO247" s="1302"/>
      <c r="AP247" s="1302"/>
      <c r="AQ247" s="1303">
        <v>1000</v>
      </c>
      <c r="AR247" s="1303"/>
      <c r="AS247" s="1304"/>
      <c r="AT247" s="1303"/>
      <c r="AU247" s="1303"/>
      <c r="AV247" s="1151"/>
      <c r="AW247" s="1151"/>
      <c r="AX247" s="1303"/>
      <c r="AY247" s="1161"/>
      <c r="AZ247" s="1151"/>
      <c r="BA247" s="295">
        <v>0</v>
      </c>
      <c r="BB247" s="295"/>
      <c r="BC247" s="295"/>
      <c r="BD247" s="295"/>
      <c r="BE247" s="724">
        <v>1000</v>
      </c>
      <c r="BF247" s="724"/>
      <c r="BG247" s="724"/>
      <c r="BH247" s="724">
        <f t="shared" si="568"/>
        <v>5049.28312</v>
      </c>
      <c r="BI247" s="1166"/>
      <c r="BJ247" s="1166"/>
      <c r="BK247" s="724">
        <v>29580.64</v>
      </c>
      <c r="BL247" s="724">
        <f t="shared" si="573"/>
        <v>252464.156</v>
      </c>
      <c r="BM247" s="724">
        <f t="shared" si="570"/>
        <v>41472.56472</v>
      </c>
      <c r="BN247" s="724"/>
      <c r="BO247" s="724"/>
      <c r="BP247" s="724">
        <f t="shared" si="569"/>
        <v>210991.59128</v>
      </c>
      <c r="BQ247" s="1320"/>
      <c r="BR247" s="1321"/>
      <c r="BS247" s="1322"/>
      <c r="BT247" s="1323"/>
      <c r="BU247" s="1329"/>
      <c r="BV247" s="1321"/>
      <c r="BW247" s="1322"/>
      <c r="BX247" s="1322"/>
      <c r="BY247" s="1322"/>
      <c r="BZ247" s="1322"/>
      <c r="CA247" s="1322"/>
      <c r="CB247" s="1322"/>
      <c r="CC247" s="1320"/>
      <c r="CD247" s="1322"/>
      <c r="CE247" s="321"/>
      <c r="CF247" s="322"/>
      <c r="CG247" s="1321"/>
      <c r="CH247" s="1339"/>
      <c r="CI247" s="1322"/>
      <c r="CJ247" s="1329"/>
      <c r="CK247" s="1329"/>
      <c r="CL247" s="335"/>
      <c r="CN247" s="1263"/>
      <c r="CO247" s="1258"/>
    </row>
    <row r="248" s="245" customFormat="1" ht="202" customHeight="1" spans="1:93">
      <c r="A248" s="1122">
        <v>245</v>
      </c>
      <c r="B248" s="70" t="s">
        <v>693</v>
      </c>
      <c r="C248" s="1123" t="s">
        <v>398</v>
      </c>
      <c r="D248" s="1088" t="s">
        <v>216</v>
      </c>
      <c r="E248" s="1088" t="s">
        <v>555</v>
      </c>
      <c r="F248" s="1124" t="s">
        <v>113</v>
      </c>
      <c r="G248" s="1443" t="s">
        <v>694</v>
      </c>
      <c r="H248" s="1125"/>
      <c r="I248" s="1125"/>
      <c r="J248" s="1289"/>
      <c r="K248" s="1289"/>
      <c r="L248" s="1290"/>
      <c r="M248" s="1290">
        <v>217132.08</v>
      </c>
      <c r="N248" s="295">
        <f t="shared" si="572"/>
        <v>25332.076</v>
      </c>
      <c r="O248" s="295">
        <v>5000</v>
      </c>
      <c r="P248" s="295"/>
      <c r="Q248" s="295"/>
      <c r="R248" s="295">
        <v>2500</v>
      </c>
      <c r="S248" s="295"/>
      <c r="T248" s="295"/>
      <c r="U248" s="295"/>
      <c r="V248" s="295"/>
      <c r="W248" s="295"/>
      <c r="X248" s="295"/>
      <c r="Y248" s="295"/>
      <c r="Z248" s="295">
        <v>2500</v>
      </c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1140"/>
      <c r="AM248" s="295">
        <f t="shared" si="571"/>
        <v>4342.6416</v>
      </c>
      <c r="AN248" s="295">
        <v>500</v>
      </c>
      <c r="AO248" s="1302"/>
      <c r="AP248" s="1302"/>
      <c r="AQ248" s="1303"/>
      <c r="AR248" s="1303"/>
      <c r="AS248" s="1304"/>
      <c r="AT248" s="1303"/>
      <c r="AU248" s="1303"/>
      <c r="AV248" s="1151"/>
      <c r="AW248" s="1151"/>
      <c r="AX248" s="1303">
        <v>1000</v>
      </c>
      <c r="AY248" s="1161"/>
      <c r="AZ248" s="1151"/>
      <c r="BA248" s="295">
        <v>30000</v>
      </c>
      <c r="BB248" s="295"/>
      <c r="BC248" s="295"/>
      <c r="BD248" s="295"/>
      <c r="BE248" s="724">
        <v>1000</v>
      </c>
      <c r="BF248" s="724"/>
      <c r="BG248" s="724"/>
      <c r="BH248" s="724">
        <f t="shared" si="568"/>
        <v>5049.28312</v>
      </c>
      <c r="BI248" s="1166"/>
      <c r="BJ248" s="1166"/>
      <c r="BK248" s="724">
        <v>29580.64</v>
      </c>
      <c r="BL248" s="724">
        <f t="shared" si="573"/>
        <v>252464.156</v>
      </c>
      <c r="BM248" s="724">
        <f t="shared" si="570"/>
        <v>71472.56472</v>
      </c>
      <c r="BN248" s="724"/>
      <c r="BO248" s="724"/>
      <c r="BP248" s="724">
        <f t="shared" si="569"/>
        <v>180991.59128</v>
      </c>
      <c r="BQ248" s="1320"/>
      <c r="BR248" s="1321"/>
      <c r="BS248" s="1322"/>
      <c r="BT248" s="1323"/>
      <c r="BU248" s="1329"/>
      <c r="BV248" s="1321"/>
      <c r="BW248" s="1322"/>
      <c r="BX248" s="1322"/>
      <c r="BY248" s="1322"/>
      <c r="BZ248" s="1322"/>
      <c r="CA248" s="1322"/>
      <c r="CB248" s="1322"/>
      <c r="CC248" s="1320"/>
      <c r="CD248" s="1322"/>
      <c r="CE248" s="321"/>
      <c r="CF248" s="322"/>
      <c r="CG248" s="1321"/>
      <c r="CH248" s="1339"/>
      <c r="CI248" s="1322"/>
      <c r="CJ248" s="1329"/>
      <c r="CK248" s="1329"/>
      <c r="CL248" s="335"/>
      <c r="CN248" s="1263"/>
      <c r="CO248" s="1258"/>
    </row>
    <row r="249" s="245" customFormat="1" ht="202" customHeight="1" spans="1:93">
      <c r="A249" s="1122">
        <v>246</v>
      </c>
      <c r="B249" s="70" t="s">
        <v>695</v>
      </c>
      <c r="C249" s="1123" t="s">
        <v>167</v>
      </c>
      <c r="D249" s="1088" t="s">
        <v>216</v>
      </c>
      <c r="E249" s="1088" t="s">
        <v>555</v>
      </c>
      <c r="F249" s="1124" t="s">
        <v>127</v>
      </c>
      <c r="G249" s="1443" t="s">
        <v>696</v>
      </c>
      <c r="H249" s="1125"/>
      <c r="I249" s="1125"/>
      <c r="J249" s="1289"/>
      <c r="K249" s="1289"/>
      <c r="L249" s="1290"/>
      <c r="M249" s="1290">
        <v>217132.08</v>
      </c>
      <c r="N249" s="295">
        <f t="shared" si="572"/>
        <v>25332.076</v>
      </c>
      <c r="O249" s="295">
        <v>5000</v>
      </c>
      <c r="P249" s="295"/>
      <c r="Q249" s="295"/>
      <c r="R249" s="295">
        <v>2500</v>
      </c>
      <c r="S249" s="295"/>
      <c r="T249" s="295"/>
      <c r="U249" s="295"/>
      <c r="V249" s="295"/>
      <c r="W249" s="295"/>
      <c r="X249" s="295"/>
      <c r="Y249" s="295"/>
      <c r="Z249" s="295">
        <v>2500</v>
      </c>
      <c r="AA249" s="295"/>
      <c r="AB249" s="295"/>
      <c r="AC249" s="295"/>
      <c r="AD249" s="295"/>
      <c r="AE249" s="295"/>
      <c r="AF249" s="295"/>
      <c r="AG249" s="295"/>
      <c r="AH249" s="295"/>
      <c r="AI249" s="295"/>
      <c r="AJ249" s="295"/>
      <c r="AK249" s="295"/>
      <c r="AL249" s="1140"/>
      <c r="AM249" s="295">
        <f t="shared" si="571"/>
        <v>4342.6416</v>
      </c>
      <c r="AN249" s="295">
        <v>500</v>
      </c>
      <c r="AO249" s="1302"/>
      <c r="AP249" s="1302"/>
      <c r="AQ249" s="1303"/>
      <c r="AR249" s="1303"/>
      <c r="AS249" s="1304"/>
      <c r="AT249" s="1303"/>
      <c r="AU249" s="1303"/>
      <c r="AV249" s="1151"/>
      <c r="AW249" s="1151">
        <v>1000</v>
      </c>
      <c r="AX249" s="1303"/>
      <c r="AY249" s="1161"/>
      <c r="AZ249" s="1151"/>
      <c r="BA249" s="295">
        <v>0</v>
      </c>
      <c r="BB249" s="295"/>
      <c r="BC249" s="295"/>
      <c r="BD249" s="295"/>
      <c r="BE249" s="724">
        <v>1000</v>
      </c>
      <c r="BF249" s="724"/>
      <c r="BG249" s="724"/>
      <c r="BH249" s="724">
        <f t="shared" si="568"/>
        <v>5049.28312</v>
      </c>
      <c r="BI249" s="1166"/>
      <c r="BJ249" s="1166"/>
      <c r="BK249" s="724">
        <v>29580.64</v>
      </c>
      <c r="BL249" s="724">
        <f t="shared" si="573"/>
        <v>252464.156</v>
      </c>
      <c r="BM249" s="724">
        <f t="shared" si="570"/>
        <v>41472.56472</v>
      </c>
      <c r="BN249" s="724"/>
      <c r="BO249" s="724"/>
      <c r="BP249" s="724">
        <f t="shared" si="569"/>
        <v>210991.59128</v>
      </c>
      <c r="BQ249" s="1320"/>
      <c r="BR249" s="1321"/>
      <c r="BS249" s="1322"/>
      <c r="BT249" s="1323"/>
      <c r="BU249" s="1329"/>
      <c r="BV249" s="1321"/>
      <c r="BW249" s="1322"/>
      <c r="BX249" s="1322"/>
      <c r="BY249" s="1322"/>
      <c r="BZ249" s="1322"/>
      <c r="CA249" s="1322"/>
      <c r="CB249" s="1322"/>
      <c r="CC249" s="1320"/>
      <c r="CD249" s="1322"/>
      <c r="CE249" s="321"/>
      <c r="CF249" s="322"/>
      <c r="CG249" s="1321"/>
      <c r="CH249" s="1339"/>
      <c r="CI249" s="1322"/>
      <c r="CJ249" s="1329"/>
      <c r="CK249" s="1329"/>
      <c r="CL249" s="335"/>
      <c r="CN249" s="1263"/>
      <c r="CO249" s="1258"/>
    </row>
    <row r="250" s="245" customFormat="1" ht="202" customHeight="1" spans="1:93">
      <c r="A250" s="1122">
        <v>247</v>
      </c>
      <c r="B250" s="70" t="s">
        <v>697</v>
      </c>
      <c r="C250" s="1123" t="s">
        <v>203</v>
      </c>
      <c r="D250" s="1088" t="s">
        <v>216</v>
      </c>
      <c r="E250" s="1088" t="s">
        <v>555</v>
      </c>
      <c r="F250" s="1124" t="s">
        <v>93</v>
      </c>
      <c r="G250" s="1443" t="s">
        <v>698</v>
      </c>
      <c r="H250" s="1125"/>
      <c r="I250" s="1125"/>
      <c r="J250" s="1289"/>
      <c r="K250" s="1289"/>
      <c r="L250" s="1290"/>
      <c r="M250" s="1290">
        <v>217132.08</v>
      </c>
      <c r="N250" s="295">
        <f t="shared" si="572"/>
        <v>25332.076</v>
      </c>
      <c r="O250" s="295">
        <v>5000</v>
      </c>
      <c r="P250" s="295"/>
      <c r="Q250" s="295"/>
      <c r="R250" s="295">
        <v>2500</v>
      </c>
      <c r="S250" s="295"/>
      <c r="T250" s="295"/>
      <c r="U250" s="295"/>
      <c r="V250" s="295"/>
      <c r="W250" s="295"/>
      <c r="X250" s="295"/>
      <c r="Y250" s="295"/>
      <c r="Z250" s="295">
        <v>2500</v>
      </c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1140"/>
      <c r="AM250" s="295">
        <f t="shared" si="571"/>
        <v>4342.6416</v>
      </c>
      <c r="AN250" s="295">
        <v>500</v>
      </c>
      <c r="AO250" s="1302"/>
      <c r="AP250" s="1302"/>
      <c r="AQ250" s="1303"/>
      <c r="AR250" s="1303"/>
      <c r="AS250" s="1304">
        <v>1000</v>
      </c>
      <c r="AT250" s="1303"/>
      <c r="AU250" s="1303"/>
      <c r="AV250" s="1151"/>
      <c r="AW250" s="1151"/>
      <c r="AX250" s="1303"/>
      <c r="AY250" s="1161"/>
      <c r="AZ250" s="1151"/>
      <c r="BA250" s="295">
        <v>0</v>
      </c>
      <c r="BB250" s="295"/>
      <c r="BC250" s="295"/>
      <c r="BD250" s="295"/>
      <c r="BE250" s="724">
        <v>1000</v>
      </c>
      <c r="BF250" s="724"/>
      <c r="BG250" s="724"/>
      <c r="BH250" s="724">
        <f t="shared" si="568"/>
        <v>5049.28312</v>
      </c>
      <c r="BI250" s="1166"/>
      <c r="BJ250" s="1166"/>
      <c r="BK250" s="724">
        <v>29580.64</v>
      </c>
      <c r="BL250" s="724">
        <f t="shared" si="573"/>
        <v>252464.156</v>
      </c>
      <c r="BM250" s="724">
        <f t="shared" si="570"/>
        <v>41472.56472</v>
      </c>
      <c r="BN250" s="724"/>
      <c r="BO250" s="724"/>
      <c r="BP250" s="724">
        <f t="shared" si="569"/>
        <v>210991.59128</v>
      </c>
      <c r="BQ250" s="1320"/>
      <c r="BR250" s="1321"/>
      <c r="BS250" s="1322"/>
      <c r="BT250" s="1323"/>
      <c r="BU250" s="1329"/>
      <c r="BV250" s="1321"/>
      <c r="BW250" s="1322"/>
      <c r="BX250" s="1322"/>
      <c r="BY250" s="1322"/>
      <c r="BZ250" s="1322"/>
      <c r="CA250" s="1322"/>
      <c r="CB250" s="1322"/>
      <c r="CC250" s="1320"/>
      <c r="CD250" s="1322"/>
      <c r="CE250" s="321"/>
      <c r="CF250" s="322"/>
      <c r="CG250" s="1321"/>
      <c r="CH250" s="1339"/>
      <c r="CI250" s="1322"/>
      <c r="CJ250" s="1329"/>
      <c r="CK250" s="1329"/>
      <c r="CL250" s="335"/>
      <c r="CN250" s="1263"/>
      <c r="CO250" s="1258"/>
    </row>
    <row r="251" s="245" customFormat="1" ht="202" customHeight="1" spans="1:93">
      <c r="A251" s="1122">
        <v>248</v>
      </c>
      <c r="B251" s="70" t="s">
        <v>699</v>
      </c>
      <c r="C251" s="1123" t="s">
        <v>185</v>
      </c>
      <c r="D251" s="1088" t="s">
        <v>216</v>
      </c>
      <c r="E251" s="1088" t="s">
        <v>555</v>
      </c>
      <c r="F251" s="1124" t="s">
        <v>422</v>
      </c>
      <c r="G251" s="1443" t="s">
        <v>700</v>
      </c>
      <c r="H251" s="1125"/>
      <c r="I251" s="1125"/>
      <c r="J251" s="1289"/>
      <c r="K251" s="1289"/>
      <c r="L251" s="1290"/>
      <c r="M251" s="1290">
        <v>217132.08</v>
      </c>
      <c r="N251" s="295">
        <f t="shared" si="572"/>
        <v>25332.076</v>
      </c>
      <c r="O251" s="295">
        <v>5000</v>
      </c>
      <c r="P251" s="295"/>
      <c r="Q251" s="295"/>
      <c r="R251" s="295">
        <v>2500</v>
      </c>
      <c r="S251" s="295"/>
      <c r="T251" s="295"/>
      <c r="U251" s="295"/>
      <c r="V251" s="295"/>
      <c r="W251" s="295"/>
      <c r="X251" s="295"/>
      <c r="Y251" s="295"/>
      <c r="Z251" s="295">
        <v>2500</v>
      </c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K251" s="295"/>
      <c r="AL251" s="1140"/>
      <c r="AM251" s="295">
        <f t="shared" si="571"/>
        <v>4342.6416</v>
      </c>
      <c r="AN251" s="295">
        <v>500</v>
      </c>
      <c r="AO251" s="1302"/>
      <c r="AP251" s="1302"/>
      <c r="AQ251" s="1303"/>
      <c r="AR251" s="1303"/>
      <c r="AS251" s="1304">
        <v>1000</v>
      </c>
      <c r="AT251" s="1303"/>
      <c r="AU251" s="1303"/>
      <c r="AV251" s="1151"/>
      <c r="AW251" s="1151"/>
      <c r="AX251" s="1303"/>
      <c r="AY251" s="1161"/>
      <c r="AZ251" s="1151"/>
      <c r="BA251" s="295">
        <v>0</v>
      </c>
      <c r="BB251" s="295"/>
      <c r="BC251" s="295"/>
      <c r="BD251" s="295"/>
      <c r="BE251" s="724">
        <v>1000</v>
      </c>
      <c r="BF251" s="724"/>
      <c r="BG251" s="724"/>
      <c r="BH251" s="724">
        <f t="shared" si="568"/>
        <v>5049.28312</v>
      </c>
      <c r="BI251" s="1166"/>
      <c r="BJ251" s="1166"/>
      <c r="BK251" s="724">
        <v>29580.64</v>
      </c>
      <c r="BL251" s="724">
        <f t="shared" si="573"/>
        <v>252464.156</v>
      </c>
      <c r="BM251" s="724">
        <f t="shared" si="570"/>
        <v>41472.56472</v>
      </c>
      <c r="BN251" s="724"/>
      <c r="BO251" s="724"/>
      <c r="BP251" s="724">
        <f t="shared" si="569"/>
        <v>210991.59128</v>
      </c>
      <c r="BQ251" s="1320"/>
      <c r="BR251" s="1321"/>
      <c r="BS251" s="1322"/>
      <c r="BT251" s="1323"/>
      <c r="BU251" s="1329"/>
      <c r="BV251" s="1321"/>
      <c r="BW251" s="1322"/>
      <c r="BX251" s="1322"/>
      <c r="BY251" s="1322"/>
      <c r="BZ251" s="1322"/>
      <c r="CA251" s="1322"/>
      <c r="CB251" s="1322"/>
      <c r="CC251" s="1320"/>
      <c r="CD251" s="1322"/>
      <c r="CE251" s="321"/>
      <c r="CF251" s="322"/>
      <c r="CG251" s="1321"/>
      <c r="CH251" s="1339"/>
      <c r="CI251" s="1322"/>
      <c r="CJ251" s="1329"/>
      <c r="CK251" s="1329"/>
      <c r="CL251" s="335"/>
      <c r="CN251" s="1263"/>
      <c r="CO251" s="1258"/>
    </row>
    <row r="252" s="245" customFormat="1" ht="202" customHeight="1" spans="1:93">
      <c r="A252" s="1122">
        <v>249</v>
      </c>
      <c r="B252" s="70" t="s">
        <v>701</v>
      </c>
      <c r="C252" s="1123" t="s">
        <v>185</v>
      </c>
      <c r="D252" s="1088" t="s">
        <v>216</v>
      </c>
      <c r="E252" s="1088" t="s">
        <v>555</v>
      </c>
      <c r="F252" s="1124" t="s">
        <v>93</v>
      </c>
      <c r="G252" s="1443" t="s">
        <v>702</v>
      </c>
      <c r="H252" s="1125"/>
      <c r="I252" s="1125"/>
      <c r="J252" s="1289"/>
      <c r="K252" s="1289"/>
      <c r="L252" s="1290"/>
      <c r="M252" s="1290">
        <v>217132.08</v>
      </c>
      <c r="N252" s="295">
        <f t="shared" si="572"/>
        <v>25332.076</v>
      </c>
      <c r="O252" s="295">
        <v>5000</v>
      </c>
      <c r="P252" s="295"/>
      <c r="Q252" s="295"/>
      <c r="R252" s="295">
        <v>2500</v>
      </c>
      <c r="S252" s="295"/>
      <c r="T252" s="295"/>
      <c r="U252" s="295"/>
      <c r="V252" s="295"/>
      <c r="W252" s="295"/>
      <c r="X252" s="295"/>
      <c r="Y252" s="295"/>
      <c r="Z252" s="295">
        <v>2500</v>
      </c>
      <c r="AA252" s="295"/>
      <c r="AB252" s="295"/>
      <c r="AC252" s="295"/>
      <c r="AD252" s="295"/>
      <c r="AE252" s="295"/>
      <c r="AF252" s="295"/>
      <c r="AG252" s="295"/>
      <c r="AH252" s="295"/>
      <c r="AI252" s="295"/>
      <c r="AJ252" s="295"/>
      <c r="AK252" s="295"/>
      <c r="AL252" s="1140"/>
      <c r="AM252" s="295">
        <f t="shared" si="571"/>
        <v>4342.6416</v>
      </c>
      <c r="AN252" s="295">
        <v>500</v>
      </c>
      <c r="AO252" s="1302"/>
      <c r="AP252" s="1302"/>
      <c r="AQ252" s="1303"/>
      <c r="AR252" s="1303"/>
      <c r="AS252" s="1304">
        <v>1000</v>
      </c>
      <c r="AT252" s="1303"/>
      <c r="AU252" s="1303"/>
      <c r="AV252" s="1151"/>
      <c r="AW252" s="1151"/>
      <c r="AX252" s="1303"/>
      <c r="AY252" s="1161"/>
      <c r="AZ252" s="1151"/>
      <c r="BA252" s="295">
        <v>0</v>
      </c>
      <c r="BB252" s="295"/>
      <c r="BC252" s="295"/>
      <c r="BD252" s="295"/>
      <c r="BE252" s="724">
        <v>1000</v>
      </c>
      <c r="BF252" s="724"/>
      <c r="BG252" s="724"/>
      <c r="BH252" s="724">
        <f t="shared" ref="BH252:BH314" si="574">BL252*0.02</f>
        <v>5049.28312</v>
      </c>
      <c r="BI252" s="1166"/>
      <c r="BJ252" s="1166"/>
      <c r="BK252" s="724">
        <v>29580.64</v>
      </c>
      <c r="BL252" s="724">
        <f t="shared" si="573"/>
        <v>252464.156</v>
      </c>
      <c r="BM252" s="724">
        <f t="shared" si="570"/>
        <v>41472.56472</v>
      </c>
      <c r="BN252" s="724"/>
      <c r="BO252" s="724"/>
      <c r="BP252" s="724">
        <f t="shared" si="569"/>
        <v>210991.59128</v>
      </c>
      <c r="BQ252" s="1320"/>
      <c r="BR252" s="1321"/>
      <c r="BS252" s="1322"/>
      <c r="BT252" s="1323"/>
      <c r="BU252" s="1329"/>
      <c r="BV252" s="1321"/>
      <c r="BW252" s="1322"/>
      <c r="BX252" s="1322"/>
      <c r="BY252" s="1322"/>
      <c r="BZ252" s="1322"/>
      <c r="CA252" s="1322"/>
      <c r="CB252" s="1322"/>
      <c r="CC252" s="1320"/>
      <c r="CD252" s="1322"/>
      <c r="CE252" s="321"/>
      <c r="CF252" s="322"/>
      <c r="CG252" s="1321"/>
      <c r="CH252" s="1339"/>
      <c r="CI252" s="1322"/>
      <c r="CJ252" s="1329"/>
      <c r="CK252" s="1329"/>
      <c r="CL252" s="335"/>
      <c r="CN252" s="1263"/>
      <c r="CO252" s="1258"/>
    </row>
    <row r="253" s="245" customFormat="1" ht="202" customHeight="1" spans="1:93">
      <c r="A253" s="1122">
        <v>250</v>
      </c>
      <c r="B253" s="70" t="s">
        <v>703</v>
      </c>
      <c r="C253" s="1123" t="s">
        <v>249</v>
      </c>
      <c r="D253" s="1088" t="s">
        <v>216</v>
      </c>
      <c r="E253" s="1088" t="s">
        <v>555</v>
      </c>
      <c r="F253" s="1124" t="s">
        <v>145</v>
      </c>
      <c r="G253" s="1443" t="s">
        <v>704</v>
      </c>
      <c r="H253" s="1125"/>
      <c r="I253" s="1125"/>
      <c r="J253" s="1289"/>
      <c r="K253" s="1289"/>
      <c r="L253" s="1290"/>
      <c r="M253" s="1290">
        <v>217132.08</v>
      </c>
      <c r="N253" s="295">
        <f t="shared" si="572"/>
        <v>25332.076</v>
      </c>
      <c r="O253" s="295">
        <v>5000</v>
      </c>
      <c r="P253" s="295"/>
      <c r="Q253" s="295"/>
      <c r="R253" s="295">
        <v>2500</v>
      </c>
      <c r="S253" s="295"/>
      <c r="T253" s="295"/>
      <c r="U253" s="295"/>
      <c r="V253" s="295"/>
      <c r="W253" s="295"/>
      <c r="X253" s="295"/>
      <c r="Y253" s="295"/>
      <c r="Z253" s="295">
        <v>2500</v>
      </c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1140"/>
      <c r="AM253" s="295">
        <f t="shared" si="571"/>
        <v>4342.6416</v>
      </c>
      <c r="AN253" s="295">
        <v>500</v>
      </c>
      <c r="AO253" s="1302"/>
      <c r="AP253" s="1302"/>
      <c r="AQ253" s="1303"/>
      <c r="AR253" s="1303"/>
      <c r="AS253" s="1304"/>
      <c r="AT253" s="1303"/>
      <c r="AU253" s="1303"/>
      <c r="AV253" s="1151"/>
      <c r="AW253" s="1151"/>
      <c r="AX253" s="1303"/>
      <c r="AY253" s="1161"/>
      <c r="AZ253" s="1151"/>
      <c r="BA253" s="295">
        <v>0</v>
      </c>
      <c r="BB253" s="295"/>
      <c r="BC253" s="295"/>
      <c r="BD253" s="295"/>
      <c r="BE253" s="724">
        <v>1000</v>
      </c>
      <c r="BF253" s="724"/>
      <c r="BG253" s="724"/>
      <c r="BH253" s="724">
        <f t="shared" si="574"/>
        <v>5049.28312</v>
      </c>
      <c r="BI253" s="1166"/>
      <c r="BJ253" s="1166"/>
      <c r="BK253" s="724">
        <v>29580.64</v>
      </c>
      <c r="BL253" s="724">
        <f t="shared" si="573"/>
        <v>252464.156</v>
      </c>
      <c r="BM253" s="724">
        <f t="shared" si="570"/>
        <v>40472.56472</v>
      </c>
      <c r="BN253" s="724"/>
      <c r="BO253" s="724"/>
      <c r="BP253" s="724">
        <f t="shared" si="569"/>
        <v>211991.59128</v>
      </c>
      <c r="BQ253" s="1320"/>
      <c r="BR253" s="1321"/>
      <c r="BS253" s="1322"/>
      <c r="BT253" s="1323"/>
      <c r="BU253" s="1329"/>
      <c r="BV253" s="1321"/>
      <c r="BW253" s="1322"/>
      <c r="BX253" s="1322"/>
      <c r="BY253" s="1322"/>
      <c r="BZ253" s="1322"/>
      <c r="CA253" s="1322"/>
      <c r="CB253" s="1322"/>
      <c r="CC253" s="1320"/>
      <c r="CD253" s="1322"/>
      <c r="CE253" s="321"/>
      <c r="CF253" s="322"/>
      <c r="CG253" s="1321"/>
      <c r="CH253" s="1339"/>
      <c r="CI253" s="1322"/>
      <c r="CJ253" s="1329"/>
      <c r="CK253" s="1329"/>
      <c r="CL253" s="335"/>
      <c r="CN253" s="1263"/>
      <c r="CO253" s="1258"/>
    </row>
    <row r="254" s="245" customFormat="1" ht="202" customHeight="1" spans="1:93">
      <c r="A254" s="1122">
        <v>251</v>
      </c>
      <c r="B254" s="70" t="s">
        <v>705</v>
      </c>
      <c r="C254" s="1123" t="s">
        <v>554</v>
      </c>
      <c r="D254" s="1088" t="s">
        <v>216</v>
      </c>
      <c r="E254" s="1088" t="s">
        <v>555</v>
      </c>
      <c r="F254" s="1124" t="s">
        <v>259</v>
      </c>
      <c r="G254" s="1443" t="s">
        <v>706</v>
      </c>
      <c r="H254" s="1125"/>
      <c r="I254" s="1125"/>
      <c r="J254" s="1289"/>
      <c r="K254" s="1289"/>
      <c r="L254" s="1290"/>
      <c r="M254" s="1290">
        <v>217132.08</v>
      </c>
      <c r="N254" s="295">
        <f t="shared" si="572"/>
        <v>25332.076</v>
      </c>
      <c r="O254" s="295">
        <v>5000</v>
      </c>
      <c r="P254" s="295"/>
      <c r="Q254" s="295"/>
      <c r="R254" s="295">
        <v>2500</v>
      </c>
      <c r="S254" s="295"/>
      <c r="T254" s="295"/>
      <c r="U254" s="295"/>
      <c r="V254" s="295"/>
      <c r="W254" s="295"/>
      <c r="X254" s="295"/>
      <c r="Y254" s="295"/>
      <c r="Z254" s="295">
        <v>2500</v>
      </c>
      <c r="AA254" s="295"/>
      <c r="AB254" s="295"/>
      <c r="AC254" s="295"/>
      <c r="AD254" s="295"/>
      <c r="AE254" s="295"/>
      <c r="AF254" s="295"/>
      <c r="AG254" s="295"/>
      <c r="AH254" s="295"/>
      <c r="AI254" s="295"/>
      <c r="AJ254" s="295"/>
      <c r="AK254" s="295"/>
      <c r="AL254" s="1140"/>
      <c r="AM254" s="295">
        <f t="shared" si="571"/>
        <v>4342.6416</v>
      </c>
      <c r="AN254" s="295">
        <v>500</v>
      </c>
      <c r="AO254" s="1302"/>
      <c r="AP254" s="1302"/>
      <c r="AQ254" s="1303"/>
      <c r="AR254" s="1303"/>
      <c r="AS254" s="1304"/>
      <c r="AT254" s="1303"/>
      <c r="AU254" s="1303"/>
      <c r="AV254" s="1151"/>
      <c r="AW254" s="1151"/>
      <c r="AX254" s="1303"/>
      <c r="AY254" s="1161"/>
      <c r="AZ254" s="1151"/>
      <c r="BA254" s="295">
        <v>0</v>
      </c>
      <c r="BB254" s="295"/>
      <c r="BC254" s="295"/>
      <c r="BD254" s="295"/>
      <c r="BE254" s="724">
        <v>1000</v>
      </c>
      <c r="BF254" s="724"/>
      <c r="BG254" s="724"/>
      <c r="BH254" s="724">
        <f t="shared" si="574"/>
        <v>5049.28312</v>
      </c>
      <c r="BI254" s="1166"/>
      <c r="BJ254" s="1166"/>
      <c r="BK254" s="724">
        <v>29580.64</v>
      </c>
      <c r="BL254" s="724">
        <f t="shared" si="573"/>
        <v>252464.156</v>
      </c>
      <c r="BM254" s="724">
        <f t="shared" si="570"/>
        <v>40472.56472</v>
      </c>
      <c r="BN254" s="724"/>
      <c r="BO254" s="724"/>
      <c r="BP254" s="724">
        <f t="shared" si="569"/>
        <v>211991.59128</v>
      </c>
      <c r="BQ254" s="1320"/>
      <c r="BR254" s="1321"/>
      <c r="BS254" s="1322"/>
      <c r="BT254" s="1323"/>
      <c r="BU254" s="1329"/>
      <c r="BV254" s="1321"/>
      <c r="BW254" s="1322"/>
      <c r="BX254" s="1322"/>
      <c r="BY254" s="1322"/>
      <c r="BZ254" s="1322"/>
      <c r="CA254" s="1322"/>
      <c r="CB254" s="1322"/>
      <c r="CC254" s="1320"/>
      <c r="CD254" s="1322"/>
      <c r="CE254" s="321"/>
      <c r="CF254" s="322"/>
      <c r="CG254" s="1321"/>
      <c r="CH254" s="1339"/>
      <c r="CI254" s="1322"/>
      <c r="CJ254" s="1329"/>
      <c r="CK254" s="1329"/>
      <c r="CL254" s="335"/>
      <c r="CN254" s="1263"/>
      <c r="CO254" s="1258"/>
    </row>
    <row r="255" s="245" customFormat="1" ht="202" customHeight="1" spans="1:93">
      <c r="A255" s="1122">
        <v>252</v>
      </c>
      <c r="B255" s="70" t="s">
        <v>707</v>
      </c>
      <c r="C255" s="1123" t="s">
        <v>674</v>
      </c>
      <c r="D255" s="1088" t="s">
        <v>216</v>
      </c>
      <c r="E255" s="1088" t="s">
        <v>555</v>
      </c>
      <c r="F255" s="1124" t="s">
        <v>127</v>
      </c>
      <c r="G255" s="1443" t="s">
        <v>708</v>
      </c>
      <c r="H255" s="1125"/>
      <c r="I255" s="1125"/>
      <c r="J255" s="1289"/>
      <c r="K255" s="1289"/>
      <c r="L255" s="1290"/>
      <c r="M255" s="1290">
        <v>217132.08</v>
      </c>
      <c r="N255" s="295">
        <f t="shared" si="572"/>
        <v>25332.076</v>
      </c>
      <c r="O255" s="295">
        <v>5000</v>
      </c>
      <c r="P255" s="295"/>
      <c r="Q255" s="295"/>
      <c r="R255" s="295">
        <v>2500</v>
      </c>
      <c r="S255" s="295"/>
      <c r="T255" s="295"/>
      <c r="U255" s="295"/>
      <c r="V255" s="295"/>
      <c r="W255" s="295"/>
      <c r="X255" s="295"/>
      <c r="Y255" s="295"/>
      <c r="Z255" s="295">
        <v>2500</v>
      </c>
      <c r="AA255" s="295"/>
      <c r="AB255" s="295"/>
      <c r="AC255" s="295"/>
      <c r="AD255" s="295"/>
      <c r="AE255" s="295"/>
      <c r="AF255" s="295"/>
      <c r="AG255" s="295"/>
      <c r="AH255" s="295"/>
      <c r="AI255" s="295"/>
      <c r="AJ255" s="295"/>
      <c r="AK255" s="295"/>
      <c r="AL255" s="1140"/>
      <c r="AM255" s="295">
        <f t="shared" si="571"/>
        <v>4342.6416</v>
      </c>
      <c r="AN255" s="295">
        <v>500</v>
      </c>
      <c r="AO255" s="1302"/>
      <c r="AP255" s="1302"/>
      <c r="AQ255" s="1303">
        <v>1000</v>
      </c>
      <c r="AR255" s="1303"/>
      <c r="AS255" s="1304"/>
      <c r="AT255" s="1303"/>
      <c r="AU255" s="1303"/>
      <c r="AV255" s="1151"/>
      <c r="AW255" s="1151"/>
      <c r="AX255" s="1303"/>
      <c r="AY255" s="1161"/>
      <c r="AZ255" s="1151"/>
      <c r="BA255" s="295">
        <v>0</v>
      </c>
      <c r="BB255" s="295"/>
      <c r="BC255" s="295"/>
      <c r="BD255" s="295"/>
      <c r="BE255" s="724">
        <v>1000</v>
      </c>
      <c r="BF255" s="724"/>
      <c r="BG255" s="724"/>
      <c r="BH255" s="724">
        <f t="shared" si="574"/>
        <v>5049.28312</v>
      </c>
      <c r="BI255" s="1166"/>
      <c r="BJ255" s="1166"/>
      <c r="BK255" s="724">
        <v>29580.64</v>
      </c>
      <c r="BL255" s="724">
        <f t="shared" si="573"/>
        <v>252464.156</v>
      </c>
      <c r="BM255" s="724">
        <f t="shared" si="570"/>
        <v>41472.56472</v>
      </c>
      <c r="BN255" s="724"/>
      <c r="BO255" s="724"/>
      <c r="BP255" s="724">
        <f t="shared" si="569"/>
        <v>210991.59128</v>
      </c>
      <c r="BQ255" s="1320"/>
      <c r="BR255" s="1321"/>
      <c r="BS255" s="1322"/>
      <c r="BT255" s="1323"/>
      <c r="BU255" s="1329"/>
      <c r="BV255" s="1321"/>
      <c r="BW255" s="1322"/>
      <c r="BX255" s="1322"/>
      <c r="BY255" s="1322"/>
      <c r="BZ255" s="1322"/>
      <c r="CA255" s="1322"/>
      <c r="CB255" s="1322"/>
      <c r="CC255" s="1320"/>
      <c r="CD255" s="1322"/>
      <c r="CE255" s="321"/>
      <c r="CF255" s="322"/>
      <c r="CG255" s="1321"/>
      <c r="CH255" s="1339"/>
      <c r="CI255" s="1322"/>
      <c r="CJ255" s="1329"/>
      <c r="CK255" s="1329"/>
      <c r="CL255" s="335"/>
      <c r="CN255" s="1263"/>
      <c r="CO255" s="1258"/>
    </row>
    <row r="256" s="245" customFormat="1" ht="202" customHeight="1" spans="1:93">
      <c r="A256" s="1122">
        <v>253</v>
      </c>
      <c r="B256" s="70" t="s">
        <v>709</v>
      </c>
      <c r="C256" s="1123" t="s">
        <v>710</v>
      </c>
      <c r="D256" s="1088" t="s">
        <v>216</v>
      </c>
      <c r="E256" s="1088" t="s">
        <v>555</v>
      </c>
      <c r="F256" s="1124" t="s">
        <v>113</v>
      </c>
      <c r="G256" s="1443" t="s">
        <v>711</v>
      </c>
      <c r="H256" s="1125"/>
      <c r="I256" s="1125"/>
      <c r="J256" s="1289"/>
      <c r="K256" s="1289"/>
      <c r="L256" s="1290"/>
      <c r="M256" s="1290">
        <v>217132.08</v>
      </c>
      <c r="N256" s="295">
        <f t="shared" si="572"/>
        <v>25332.076</v>
      </c>
      <c r="O256" s="295">
        <v>5000</v>
      </c>
      <c r="P256" s="295"/>
      <c r="Q256" s="295"/>
      <c r="R256" s="295">
        <v>2500</v>
      </c>
      <c r="S256" s="295"/>
      <c r="T256" s="295"/>
      <c r="U256" s="295"/>
      <c r="V256" s="295"/>
      <c r="W256" s="295"/>
      <c r="X256" s="295"/>
      <c r="Y256" s="295"/>
      <c r="Z256" s="295">
        <v>2500</v>
      </c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1140"/>
      <c r="AM256" s="295">
        <f t="shared" si="571"/>
        <v>4342.6416</v>
      </c>
      <c r="AN256" s="295">
        <v>500</v>
      </c>
      <c r="AO256" s="1302"/>
      <c r="AP256" s="1302"/>
      <c r="AQ256" s="1303"/>
      <c r="AR256" s="1303"/>
      <c r="AS256" s="1304"/>
      <c r="AT256" s="1303"/>
      <c r="AU256" s="1303"/>
      <c r="AV256" s="1151"/>
      <c r="AW256" s="1151"/>
      <c r="AX256" s="1303"/>
      <c r="AY256" s="1161"/>
      <c r="AZ256" s="1151"/>
      <c r="BA256" s="295">
        <v>0</v>
      </c>
      <c r="BB256" s="295"/>
      <c r="BC256" s="295"/>
      <c r="BD256" s="295"/>
      <c r="BE256" s="724">
        <v>1000</v>
      </c>
      <c r="BF256" s="724"/>
      <c r="BG256" s="724"/>
      <c r="BH256" s="724">
        <f t="shared" si="574"/>
        <v>5049.28312</v>
      </c>
      <c r="BI256" s="1166"/>
      <c r="BJ256" s="1166"/>
      <c r="BK256" s="724">
        <v>29580.64</v>
      </c>
      <c r="BL256" s="724">
        <f t="shared" si="573"/>
        <v>252464.156</v>
      </c>
      <c r="BM256" s="724">
        <f t="shared" si="570"/>
        <v>40472.56472</v>
      </c>
      <c r="BN256" s="724"/>
      <c r="BO256" s="724"/>
      <c r="BP256" s="724">
        <f t="shared" si="569"/>
        <v>211991.59128</v>
      </c>
      <c r="BQ256" s="1320"/>
      <c r="BR256" s="1321"/>
      <c r="BS256" s="1322"/>
      <c r="BT256" s="1323"/>
      <c r="BU256" s="1329"/>
      <c r="BV256" s="1321"/>
      <c r="BW256" s="1322"/>
      <c r="BX256" s="1322"/>
      <c r="BY256" s="1322"/>
      <c r="BZ256" s="1322"/>
      <c r="CA256" s="1322"/>
      <c r="CB256" s="1322"/>
      <c r="CC256" s="1320"/>
      <c r="CD256" s="1322"/>
      <c r="CE256" s="321"/>
      <c r="CF256" s="322"/>
      <c r="CG256" s="1321"/>
      <c r="CH256" s="1339"/>
      <c r="CI256" s="1322"/>
      <c r="CJ256" s="1329"/>
      <c r="CK256" s="1329"/>
      <c r="CL256" s="335"/>
      <c r="CN256" s="1263"/>
      <c r="CO256" s="1258"/>
    </row>
    <row r="257" s="245" customFormat="1" ht="202" customHeight="1" spans="1:93">
      <c r="A257" s="1122">
        <v>254</v>
      </c>
      <c r="B257" s="70" t="s">
        <v>712</v>
      </c>
      <c r="C257" s="1123" t="s">
        <v>713</v>
      </c>
      <c r="D257" s="1088" t="s">
        <v>216</v>
      </c>
      <c r="E257" s="1088" t="s">
        <v>555</v>
      </c>
      <c r="F257" s="1124" t="s">
        <v>113</v>
      </c>
      <c r="G257" s="1443" t="s">
        <v>714</v>
      </c>
      <c r="H257" s="1125"/>
      <c r="I257" s="1125"/>
      <c r="J257" s="1289"/>
      <c r="K257" s="1289"/>
      <c r="L257" s="1290"/>
      <c r="M257" s="1290">
        <v>217132.08</v>
      </c>
      <c r="N257" s="295">
        <f t="shared" si="572"/>
        <v>25332.076</v>
      </c>
      <c r="O257" s="295">
        <v>5000</v>
      </c>
      <c r="P257" s="295"/>
      <c r="Q257" s="295"/>
      <c r="R257" s="295">
        <v>2500</v>
      </c>
      <c r="S257" s="295"/>
      <c r="T257" s="295"/>
      <c r="U257" s="295"/>
      <c r="V257" s="295"/>
      <c r="W257" s="295"/>
      <c r="X257" s="295"/>
      <c r="Y257" s="295"/>
      <c r="Z257" s="295">
        <v>2500</v>
      </c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1140"/>
      <c r="AM257" s="295">
        <f t="shared" si="571"/>
        <v>4342.6416</v>
      </c>
      <c r="AN257" s="295">
        <v>500</v>
      </c>
      <c r="AO257" s="1302"/>
      <c r="AP257" s="1302"/>
      <c r="AQ257" s="1303"/>
      <c r="AR257" s="1303"/>
      <c r="AS257" s="1304"/>
      <c r="AT257" s="1303"/>
      <c r="AU257" s="1303"/>
      <c r="AV257" s="1151"/>
      <c r="AW257" s="1151"/>
      <c r="AX257" s="1303"/>
      <c r="AY257" s="1161"/>
      <c r="AZ257" s="1151"/>
      <c r="BA257" s="295">
        <v>0</v>
      </c>
      <c r="BB257" s="295"/>
      <c r="BC257" s="295">
        <v>8685.2832</v>
      </c>
      <c r="BD257" s="295">
        <v>7500</v>
      </c>
      <c r="BE257" s="724">
        <v>1000</v>
      </c>
      <c r="BF257" s="724"/>
      <c r="BG257" s="724"/>
      <c r="BH257" s="724">
        <f t="shared" si="574"/>
        <v>5049.28312</v>
      </c>
      <c r="BI257" s="1166"/>
      <c r="BJ257" s="1166"/>
      <c r="BK257" s="724">
        <v>29580.64</v>
      </c>
      <c r="BL257" s="724">
        <f t="shared" si="573"/>
        <v>252464.156</v>
      </c>
      <c r="BM257" s="724">
        <f t="shared" si="570"/>
        <v>56657.84792</v>
      </c>
      <c r="BN257" s="724"/>
      <c r="BO257" s="724"/>
      <c r="BP257" s="724">
        <f t="shared" si="569"/>
        <v>195806.30808</v>
      </c>
      <c r="BQ257" s="1320"/>
      <c r="BR257" s="1321"/>
      <c r="BS257" s="1322"/>
      <c r="BT257" s="1323"/>
      <c r="BU257" s="1329"/>
      <c r="BV257" s="1321"/>
      <c r="BW257" s="1322"/>
      <c r="BX257" s="1322"/>
      <c r="BY257" s="1322"/>
      <c r="BZ257" s="1322"/>
      <c r="CA257" s="1322"/>
      <c r="CB257" s="1322"/>
      <c r="CC257" s="1320"/>
      <c r="CD257" s="1322"/>
      <c r="CE257" s="321"/>
      <c r="CF257" s="322"/>
      <c r="CG257" s="1321"/>
      <c r="CH257" s="1339"/>
      <c r="CI257" s="1322"/>
      <c r="CJ257" s="1329"/>
      <c r="CK257" s="1329"/>
      <c r="CL257" s="335"/>
      <c r="CN257" s="1263"/>
      <c r="CO257" s="1258"/>
    </row>
    <row r="258" s="245" customFormat="1" ht="202" customHeight="1" spans="1:93">
      <c r="A258" s="1122">
        <v>255</v>
      </c>
      <c r="B258" s="70" t="s">
        <v>715</v>
      </c>
      <c r="C258" s="1123" t="s">
        <v>713</v>
      </c>
      <c r="D258" s="1088" t="s">
        <v>216</v>
      </c>
      <c r="E258" s="1088" t="s">
        <v>555</v>
      </c>
      <c r="F258" s="1124" t="s">
        <v>127</v>
      </c>
      <c r="G258" s="1443" t="s">
        <v>716</v>
      </c>
      <c r="H258" s="1125"/>
      <c r="I258" s="1125"/>
      <c r="J258" s="1289"/>
      <c r="K258" s="1289"/>
      <c r="L258" s="1290"/>
      <c r="M258" s="1290">
        <v>217132.08</v>
      </c>
      <c r="N258" s="295">
        <f t="shared" si="572"/>
        <v>25332.076</v>
      </c>
      <c r="O258" s="295">
        <v>5000</v>
      </c>
      <c r="P258" s="295"/>
      <c r="Q258" s="295"/>
      <c r="R258" s="295">
        <v>2500</v>
      </c>
      <c r="S258" s="295"/>
      <c r="T258" s="295"/>
      <c r="U258" s="295"/>
      <c r="V258" s="295"/>
      <c r="W258" s="295"/>
      <c r="X258" s="295"/>
      <c r="Y258" s="295"/>
      <c r="Z258" s="295">
        <v>2500</v>
      </c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1140"/>
      <c r="AM258" s="295">
        <f t="shared" si="571"/>
        <v>4342.6416</v>
      </c>
      <c r="AN258" s="295">
        <v>500</v>
      </c>
      <c r="AO258" s="1302"/>
      <c r="AP258" s="1302"/>
      <c r="AQ258" s="1303"/>
      <c r="AR258" s="1303"/>
      <c r="AS258" s="1304"/>
      <c r="AT258" s="1303"/>
      <c r="AU258" s="1303"/>
      <c r="AV258" s="1151"/>
      <c r="AW258" s="1151"/>
      <c r="AX258" s="1303"/>
      <c r="AY258" s="1161"/>
      <c r="AZ258" s="1151"/>
      <c r="BA258" s="295">
        <v>0</v>
      </c>
      <c r="BB258" s="295"/>
      <c r="BC258" s="295"/>
      <c r="BD258" s="295"/>
      <c r="BE258" s="724">
        <v>1000</v>
      </c>
      <c r="BF258" s="724"/>
      <c r="BG258" s="724"/>
      <c r="BH258" s="724">
        <f t="shared" si="574"/>
        <v>5049.28312</v>
      </c>
      <c r="BI258" s="1166"/>
      <c r="BJ258" s="1166"/>
      <c r="BK258" s="724">
        <v>29580.64</v>
      </c>
      <c r="BL258" s="724">
        <f t="shared" si="573"/>
        <v>252464.156</v>
      </c>
      <c r="BM258" s="724">
        <f t="shared" si="570"/>
        <v>40472.56472</v>
      </c>
      <c r="BN258" s="724"/>
      <c r="BO258" s="724"/>
      <c r="BP258" s="724">
        <f t="shared" si="569"/>
        <v>211991.59128</v>
      </c>
      <c r="BQ258" s="1320"/>
      <c r="BR258" s="1321"/>
      <c r="BS258" s="1322"/>
      <c r="BT258" s="1323"/>
      <c r="BU258" s="1329"/>
      <c r="BV258" s="1321"/>
      <c r="BW258" s="1322"/>
      <c r="BX258" s="1322"/>
      <c r="BY258" s="1322"/>
      <c r="BZ258" s="1322"/>
      <c r="CA258" s="1322"/>
      <c r="CB258" s="1322"/>
      <c r="CC258" s="1320"/>
      <c r="CD258" s="1322"/>
      <c r="CE258" s="321"/>
      <c r="CF258" s="322"/>
      <c r="CG258" s="1321"/>
      <c r="CH258" s="1339"/>
      <c r="CI258" s="1322"/>
      <c r="CJ258" s="1329"/>
      <c r="CK258" s="1329"/>
      <c r="CL258" s="335"/>
      <c r="CN258" s="1263"/>
      <c r="CO258" s="1258"/>
    </row>
    <row r="259" s="245" customFormat="1" ht="202" customHeight="1" spans="1:93">
      <c r="A259" s="1122">
        <v>256</v>
      </c>
      <c r="B259" s="70" t="s">
        <v>717</v>
      </c>
      <c r="C259" s="1123" t="s">
        <v>713</v>
      </c>
      <c r="D259" s="1088" t="s">
        <v>216</v>
      </c>
      <c r="E259" s="1088" t="s">
        <v>555</v>
      </c>
      <c r="F259" s="1124" t="s">
        <v>127</v>
      </c>
      <c r="G259" s="1443" t="s">
        <v>718</v>
      </c>
      <c r="H259" s="1125"/>
      <c r="I259" s="1125"/>
      <c r="J259" s="1289"/>
      <c r="K259" s="1289"/>
      <c r="L259" s="1290"/>
      <c r="M259" s="1290">
        <v>217132.08</v>
      </c>
      <c r="N259" s="295">
        <f t="shared" si="572"/>
        <v>25332.076</v>
      </c>
      <c r="O259" s="295">
        <v>5000</v>
      </c>
      <c r="P259" s="295"/>
      <c r="Q259" s="295"/>
      <c r="R259" s="295">
        <v>2500</v>
      </c>
      <c r="S259" s="295"/>
      <c r="T259" s="295"/>
      <c r="U259" s="295"/>
      <c r="V259" s="295"/>
      <c r="W259" s="295"/>
      <c r="X259" s="295"/>
      <c r="Y259" s="295"/>
      <c r="Z259" s="295">
        <v>2500</v>
      </c>
      <c r="AA259" s="295"/>
      <c r="AB259" s="295"/>
      <c r="AC259" s="295"/>
      <c r="AD259" s="295"/>
      <c r="AE259" s="295"/>
      <c r="AF259" s="295"/>
      <c r="AG259" s="295"/>
      <c r="AH259" s="295"/>
      <c r="AI259" s="295"/>
      <c r="AJ259" s="295"/>
      <c r="AK259" s="295"/>
      <c r="AL259" s="1140"/>
      <c r="AM259" s="295">
        <f t="shared" si="571"/>
        <v>4342.6416</v>
      </c>
      <c r="AN259" s="295">
        <v>500</v>
      </c>
      <c r="AO259" s="1302"/>
      <c r="AP259" s="1302"/>
      <c r="AQ259" s="1303"/>
      <c r="AR259" s="1303"/>
      <c r="AS259" s="1304"/>
      <c r="AT259" s="1303"/>
      <c r="AU259" s="1303"/>
      <c r="AV259" s="1151"/>
      <c r="AW259" s="1151"/>
      <c r="AX259" s="1303"/>
      <c r="AY259" s="1161"/>
      <c r="AZ259" s="1151"/>
      <c r="BA259" s="295">
        <v>0</v>
      </c>
      <c r="BB259" s="295"/>
      <c r="BC259" s="295"/>
      <c r="BD259" s="295"/>
      <c r="BE259" s="724">
        <v>1000</v>
      </c>
      <c r="BF259" s="724"/>
      <c r="BG259" s="724"/>
      <c r="BH259" s="724">
        <f t="shared" si="574"/>
        <v>5049.28312</v>
      </c>
      <c r="BI259" s="1166"/>
      <c r="BJ259" s="1166"/>
      <c r="BK259" s="724">
        <v>29580.64</v>
      </c>
      <c r="BL259" s="724">
        <f t="shared" si="573"/>
        <v>252464.156</v>
      </c>
      <c r="BM259" s="724">
        <f t="shared" si="570"/>
        <v>40472.56472</v>
      </c>
      <c r="BN259" s="724"/>
      <c r="BO259" s="724"/>
      <c r="BP259" s="724">
        <f t="shared" si="569"/>
        <v>211991.59128</v>
      </c>
      <c r="BQ259" s="1320"/>
      <c r="BR259" s="1321"/>
      <c r="BS259" s="1322"/>
      <c r="BT259" s="1323"/>
      <c r="BU259" s="1329"/>
      <c r="BV259" s="1321"/>
      <c r="BW259" s="1322"/>
      <c r="BX259" s="1322"/>
      <c r="BY259" s="1322"/>
      <c r="BZ259" s="1322"/>
      <c r="CA259" s="1322"/>
      <c r="CB259" s="1322"/>
      <c r="CC259" s="1320"/>
      <c r="CD259" s="1322"/>
      <c r="CE259" s="321"/>
      <c r="CF259" s="322"/>
      <c r="CG259" s="1321"/>
      <c r="CH259" s="1339"/>
      <c r="CI259" s="1322"/>
      <c r="CJ259" s="1329"/>
      <c r="CK259" s="1329"/>
      <c r="CL259" s="335"/>
      <c r="CN259" s="1263"/>
      <c r="CO259" s="1258"/>
    </row>
    <row r="260" s="1104" customFormat="1" ht="202" customHeight="1" spans="1:93">
      <c r="A260" s="1122">
        <v>257</v>
      </c>
      <c r="B260" s="1397" t="s">
        <v>719</v>
      </c>
      <c r="C260" s="1398" t="s">
        <v>666</v>
      </c>
      <c r="D260" s="1399" t="s">
        <v>204</v>
      </c>
      <c r="E260" s="1399" t="s">
        <v>208</v>
      </c>
      <c r="F260" s="1400" t="s">
        <v>113</v>
      </c>
      <c r="G260" s="1446" t="s">
        <v>720</v>
      </c>
      <c r="H260" s="1402"/>
      <c r="I260" s="1402"/>
      <c r="J260" s="1405"/>
      <c r="K260" s="1405"/>
      <c r="L260" s="1406"/>
      <c r="M260" s="1290">
        <v>242018.08</v>
      </c>
      <c r="N260" s="295">
        <f t="shared" si="572"/>
        <v>28235.4426666667</v>
      </c>
      <c r="O260" s="295">
        <v>5000</v>
      </c>
      <c r="P260" s="295"/>
      <c r="Q260" s="295"/>
      <c r="R260" s="295">
        <v>2500</v>
      </c>
      <c r="S260" s="295"/>
      <c r="T260" s="295"/>
      <c r="U260" s="295"/>
      <c r="V260" s="295"/>
      <c r="W260" s="295"/>
      <c r="X260" s="295"/>
      <c r="Y260" s="295"/>
      <c r="Z260" s="295">
        <v>2500</v>
      </c>
      <c r="AA260" s="295"/>
      <c r="AB260" s="295"/>
      <c r="AC260" s="295"/>
      <c r="AD260" s="295"/>
      <c r="AE260" s="295"/>
      <c r="AF260" s="295"/>
      <c r="AG260" s="295"/>
      <c r="AH260" s="295"/>
      <c r="AI260" s="295"/>
      <c r="AJ260" s="295"/>
      <c r="AK260" s="295"/>
      <c r="AL260" s="1140"/>
      <c r="AM260" s="295">
        <f t="shared" si="571"/>
        <v>4840.3616</v>
      </c>
      <c r="AN260" s="295">
        <v>500</v>
      </c>
      <c r="AO260" s="1302"/>
      <c r="AP260" s="1173">
        <v>11000</v>
      </c>
      <c r="AQ260" s="1303"/>
      <c r="AR260" s="1303"/>
      <c r="AS260" s="1304"/>
      <c r="AT260" s="1303"/>
      <c r="AU260" s="1303"/>
      <c r="AV260" s="1151"/>
      <c r="AW260" s="1151"/>
      <c r="AX260" s="1303"/>
      <c r="AY260" s="1161"/>
      <c r="AZ260" s="1151"/>
      <c r="BA260" s="295">
        <v>15000</v>
      </c>
      <c r="BB260" s="295"/>
      <c r="BC260" s="295"/>
      <c r="BD260" s="295"/>
      <c r="BE260" s="724">
        <v>1000</v>
      </c>
      <c r="BF260" s="724"/>
      <c r="BG260" s="724"/>
      <c r="BH260" s="724">
        <f t="shared" si="574"/>
        <v>5605.07045333333</v>
      </c>
      <c r="BI260" s="1166"/>
      <c r="BJ260" s="1166"/>
      <c r="BK260" s="724">
        <v>34249.26</v>
      </c>
      <c r="BL260" s="724">
        <f t="shared" si="573"/>
        <v>280253.522666667</v>
      </c>
      <c r="BM260" s="724">
        <f t="shared" si="570"/>
        <v>72194.6920533333</v>
      </c>
      <c r="BN260" s="724"/>
      <c r="BO260" s="724"/>
      <c r="BP260" s="724">
        <f t="shared" ref="BP260:BP316" si="575">BL260-BM260</f>
        <v>208058.830613333</v>
      </c>
      <c r="BQ260" s="1409"/>
      <c r="BR260" s="1410"/>
      <c r="BS260" s="1411"/>
      <c r="BT260" s="1412"/>
      <c r="BU260" s="1413"/>
      <c r="BV260" s="1410"/>
      <c r="BW260" s="1411"/>
      <c r="BX260" s="1411"/>
      <c r="BY260" s="1411"/>
      <c r="BZ260" s="1411"/>
      <c r="CA260" s="1411"/>
      <c r="CB260" s="1411"/>
      <c r="CC260" s="1409"/>
      <c r="CD260" s="1411"/>
      <c r="CE260" s="1414"/>
      <c r="CF260" s="1415"/>
      <c r="CG260" s="1410"/>
      <c r="CH260" s="1416"/>
      <c r="CI260" s="1411"/>
      <c r="CJ260" s="1413"/>
      <c r="CK260" s="1413"/>
      <c r="CL260" s="1417"/>
      <c r="CN260" s="1393"/>
      <c r="CO260" s="1418"/>
    </row>
    <row r="261" s="245" customFormat="1" ht="202" customHeight="1" spans="1:93">
      <c r="A261" s="1122">
        <v>258</v>
      </c>
      <c r="B261" s="70" t="s">
        <v>721</v>
      </c>
      <c r="C261" s="1123" t="s">
        <v>713</v>
      </c>
      <c r="D261" s="1088" t="s">
        <v>216</v>
      </c>
      <c r="E261" s="1088" t="s">
        <v>555</v>
      </c>
      <c r="F261" s="1124" t="s">
        <v>97</v>
      </c>
      <c r="G261" s="1443" t="s">
        <v>722</v>
      </c>
      <c r="H261" s="1125"/>
      <c r="I261" s="1125"/>
      <c r="J261" s="1289"/>
      <c r="K261" s="1289"/>
      <c r="L261" s="1290"/>
      <c r="M261" s="1290">
        <v>217134.08</v>
      </c>
      <c r="N261" s="295">
        <f t="shared" si="572"/>
        <v>25332.3093333333</v>
      </c>
      <c r="O261" s="295">
        <v>5000</v>
      </c>
      <c r="P261" s="295"/>
      <c r="Q261" s="295"/>
      <c r="R261" s="295">
        <v>2500</v>
      </c>
      <c r="S261" s="295"/>
      <c r="T261" s="295"/>
      <c r="U261" s="295"/>
      <c r="V261" s="295"/>
      <c r="W261" s="295"/>
      <c r="X261" s="295"/>
      <c r="Y261" s="295"/>
      <c r="Z261" s="295">
        <v>2500</v>
      </c>
      <c r="AA261" s="295"/>
      <c r="AB261" s="295"/>
      <c r="AC261" s="295"/>
      <c r="AD261" s="295"/>
      <c r="AE261" s="295"/>
      <c r="AF261" s="295"/>
      <c r="AG261" s="295"/>
      <c r="AH261" s="295"/>
      <c r="AI261" s="295"/>
      <c r="AJ261" s="295"/>
      <c r="AK261" s="295"/>
      <c r="AL261" s="1140"/>
      <c r="AM261" s="295">
        <f t="shared" si="571"/>
        <v>4342.6816</v>
      </c>
      <c r="AN261" s="295">
        <v>500</v>
      </c>
      <c r="AO261" s="1302"/>
      <c r="AP261" s="1302"/>
      <c r="AQ261" s="1303"/>
      <c r="AR261" s="1303"/>
      <c r="AS261" s="1304"/>
      <c r="AT261" s="1303"/>
      <c r="AU261" s="1303"/>
      <c r="AV261" s="1151"/>
      <c r="AW261" s="1151"/>
      <c r="AX261" s="1303"/>
      <c r="AY261" s="1161"/>
      <c r="AZ261" s="1151"/>
      <c r="BA261" s="295">
        <v>0</v>
      </c>
      <c r="BB261" s="295"/>
      <c r="BC261" s="295"/>
      <c r="BD261" s="295"/>
      <c r="BE261" s="724">
        <v>1000</v>
      </c>
      <c r="BF261" s="724"/>
      <c r="BG261" s="724"/>
      <c r="BH261" s="724">
        <f t="shared" si="574"/>
        <v>5049.32778666667</v>
      </c>
      <c r="BI261" s="1166"/>
      <c r="BJ261" s="1166"/>
      <c r="BK261" s="724">
        <v>29580.64</v>
      </c>
      <c r="BL261" s="724">
        <f t="shared" si="573"/>
        <v>252466.389333333</v>
      </c>
      <c r="BM261" s="724">
        <f t="shared" si="570"/>
        <v>40472.6493866667</v>
      </c>
      <c r="BN261" s="724"/>
      <c r="BO261" s="724"/>
      <c r="BP261" s="724">
        <f t="shared" si="575"/>
        <v>211993.739946667</v>
      </c>
      <c r="BQ261" s="1320"/>
      <c r="BR261" s="1321"/>
      <c r="BS261" s="1322"/>
      <c r="BT261" s="1323"/>
      <c r="BU261" s="1329"/>
      <c r="BV261" s="1321"/>
      <c r="BW261" s="1322"/>
      <c r="BX261" s="1322"/>
      <c r="BY261" s="1322"/>
      <c r="BZ261" s="1322"/>
      <c r="CA261" s="1322"/>
      <c r="CB261" s="1322"/>
      <c r="CC261" s="1320"/>
      <c r="CD261" s="1322"/>
      <c r="CE261" s="321"/>
      <c r="CF261" s="322"/>
      <c r="CG261" s="1321"/>
      <c r="CH261" s="1339"/>
      <c r="CI261" s="1322"/>
      <c r="CJ261" s="1329"/>
      <c r="CK261" s="1329"/>
      <c r="CL261" s="335"/>
      <c r="CN261" s="1263"/>
      <c r="CO261" s="1258"/>
    </row>
    <row r="262" s="245" customFormat="1" ht="202" customHeight="1" spans="1:93">
      <c r="A262" s="1122">
        <v>259</v>
      </c>
      <c r="B262" s="70" t="s">
        <v>723</v>
      </c>
      <c r="C262" s="1123" t="s">
        <v>110</v>
      </c>
      <c r="D262" s="1088" t="s">
        <v>204</v>
      </c>
      <c r="E262" s="1088" t="s">
        <v>208</v>
      </c>
      <c r="F262" s="1124" t="s">
        <v>93</v>
      </c>
      <c r="G262" s="1443" t="s">
        <v>724</v>
      </c>
      <c r="H262" s="1125"/>
      <c r="I262" s="1125"/>
      <c r="J262" s="1289"/>
      <c r="K262" s="1289"/>
      <c r="L262" s="1290"/>
      <c r="M262" s="1290">
        <v>242018.08</v>
      </c>
      <c r="N262" s="295">
        <f t="shared" si="572"/>
        <v>28235.4426666667</v>
      </c>
      <c r="O262" s="295">
        <v>5000</v>
      </c>
      <c r="P262" s="295"/>
      <c r="Q262" s="295"/>
      <c r="R262" s="295">
        <v>2500</v>
      </c>
      <c r="S262" s="295"/>
      <c r="T262" s="295"/>
      <c r="U262" s="295"/>
      <c r="V262" s="295"/>
      <c r="W262" s="295"/>
      <c r="X262" s="295"/>
      <c r="Y262" s="295"/>
      <c r="Z262" s="295">
        <v>2500</v>
      </c>
      <c r="AA262" s="295"/>
      <c r="AB262" s="295"/>
      <c r="AC262" s="295"/>
      <c r="AD262" s="295"/>
      <c r="AE262" s="295"/>
      <c r="AF262" s="295"/>
      <c r="AG262" s="295"/>
      <c r="AH262" s="295"/>
      <c r="AI262" s="295"/>
      <c r="AJ262" s="295"/>
      <c r="AK262" s="295"/>
      <c r="AL262" s="1140"/>
      <c r="AM262" s="295">
        <f t="shared" si="571"/>
        <v>4840.3616</v>
      </c>
      <c r="AN262" s="295">
        <v>500</v>
      </c>
      <c r="AO262" s="1302"/>
      <c r="AP262" s="1302"/>
      <c r="AQ262" s="1303">
        <v>1000</v>
      </c>
      <c r="AR262" s="1303"/>
      <c r="AS262" s="1304"/>
      <c r="AT262" s="1303"/>
      <c r="AU262" s="1303"/>
      <c r="AV262" s="1151"/>
      <c r="AW262" s="1151"/>
      <c r="AX262" s="1303"/>
      <c r="AY262" s="1161"/>
      <c r="AZ262" s="1151"/>
      <c r="BA262" s="295">
        <v>0</v>
      </c>
      <c r="BB262" s="295"/>
      <c r="BC262" s="295"/>
      <c r="BD262" s="295"/>
      <c r="BE262" s="724">
        <v>1000</v>
      </c>
      <c r="BF262" s="724"/>
      <c r="BG262" s="724"/>
      <c r="BH262" s="724">
        <f t="shared" si="574"/>
        <v>5605.07045333333</v>
      </c>
      <c r="BI262" s="1166"/>
      <c r="BJ262" s="1166"/>
      <c r="BK262" s="724">
        <v>34249.26</v>
      </c>
      <c r="BL262" s="724">
        <f t="shared" si="573"/>
        <v>280253.522666667</v>
      </c>
      <c r="BM262" s="724">
        <f t="shared" si="570"/>
        <v>47194.6920533333</v>
      </c>
      <c r="BN262" s="724"/>
      <c r="BO262" s="724"/>
      <c r="BP262" s="724">
        <f t="shared" si="575"/>
        <v>233058.830613333</v>
      </c>
      <c r="BQ262" s="1320"/>
      <c r="BR262" s="1321"/>
      <c r="BS262" s="1322"/>
      <c r="BT262" s="1323"/>
      <c r="BU262" s="1329"/>
      <c r="BV262" s="1321"/>
      <c r="BW262" s="1322"/>
      <c r="BX262" s="1322"/>
      <c r="BY262" s="1322"/>
      <c r="BZ262" s="1322"/>
      <c r="CA262" s="1322"/>
      <c r="CB262" s="1322"/>
      <c r="CC262" s="1320"/>
      <c r="CD262" s="1322"/>
      <c r="CE262" s="321"/>
      <c r="CF262" s="322"/>
      <c r="CG262" s="1321"/>
      <c r="CH262" s="1339"/>
      <c r="CI262" s="1322"/>
      <c r="CJ262" s="1329"/>
      <c r="CK262" s="1329"/>
      <c r="CL262" s="335"/>
      <c r="CN262" s="1263"/>
      <c r="CO262" s="1258"/>
    </row>
    <row r="263" s="245" customFormat="1" ht="202" customHeight="1" spans="1:93">
      <c r="A263" s="1122">
        <v>260</v>
      </c>
      <c r="B263" s="70" t="s">
        <v>725</v>
      </c>
      <c r="C263" s="1123" t="s">
        <v>191</v>
      </c>
      <c r="D263" s="1088" t="s">
        <v>195</v>
      </c>
      <c r="E263" s="1088" t="s">
        <v>555</v>
      </c>
      <c r="F263" s="1124" t="s">
        <v>313</v>
      </c>
      <c r="G263" s="1443" t="s">
        <v>726</v>
      </c>
      <c r="H263" s="1125"/>
      <c r="I263" s="1125"/>
      <c r="J263" s="1289"/>
      <c r="K263" s="1289"/>
      <c r="L263" s="1290"/>
      <c r="M263" s="1290">
        <v>217132.08</v>
      </c>
      <c r="N263" s="295">
        <f t="shared" si="572"/>
        <v>25332.076</v>
      </c>
      <c r="O263" s="295">
        <v>5000</v>
      </c>
      <c r="P263" s="295"/>
      <c r="Q263" s="295"/>
      <c r="R263" s="295">
        <v>2500</v>
      </c>
      <c r="S263" s="295"/>
      <c r="T263" s="295"/>
      <c r="U263" s="295"/>
      <c r="V263" s="295"/>
      <c r="W263" s="295"/>
      <c r="X263" s="295"/>
      <c r="Y263" s="295"/>
      <c r="Z263" s="295">
        <v>2500</v>
      </c>
      <c r="AA263" s="295"/>
      <c r="AB263" s="295"/>
      <c r="AC263" s="295"/>
      <c r="AD263" s="295"/>
      <c r="AE263" s="295"/>
      <c r="AF263" s="295"/>
      <c r="AG263" s="295"/>
      <c r="AH263" s="295"/>
      <c r="AI263" s="295"/>
      <c r="AJ263" s="295"/>
      <c r="AK263" s="295"/>
      <c r="AL263" s="1140"/>
      <c r="AM263" s="295">
        <f t="shared" si="571"/>
        <v>4342.6416</v>
      </c>
      <c r="AN263" s="295">
        <v>500</v>
      </c>
      <c r="AO263" s="1302"/>
      <c r="AP263" s="1302"/>
      <c r="AQ263" s="1303"/>
      <c r="AR263" s="1303"/>
      <c r="AS263" s="1304">
        <v>1000</v>
      </c>
      <c r="AT263" s="1303"/>
      <c r="AU263" s="1303"/>
      <c r="AV263" s="1151"/>
      <c r="AW263" s="1151"/>
      <c r="AX263" s="1303"/>
      <c r="AY263" s="1161"/>
      <c r="AZ263" s="1151"/>
      <c r="BA263" s="295">
        <v>57500</v>
      </c>
      <c r="BB263" s="295"/>
      <c r="BC263" s="295"/>
      <c r="BD263" s="295"/>
      <c r="BE263" s="724">
        <v>1500</v>
      </c>
      <c r="BF263" s="724"/>
      <c r="BG263" s="724"/>
      <c r="BH263" s="724">
        <f t="shared" si="574"/>
        <v>5049.28312</v>
      </c>
      <c r="BI263" s="1166"/>
      <c r="BJ263" s="1166"/>
      <c r="BK263" s="724">
        <v>29580.64</v>
      </c>
      <c r="BL263" s="724">
        <f t="shared" si="573"/>
        <v>252464.156</v>
      </c>
      <c r="BM263" s="724">
        <f t="shared" ref="BM263:BM316" si="576">AI263+AJ263+AK263+AL263+AM263+AN263+AP263++AQ263+AR263+AS263+AT263+AU263+AV263+AW263+AX263+AY263+AZ263+BA263+BB263+BC263+BD263+BE263+BG263+BH263+BK263</f>
        <v>99472.56472</v>
      </c>
      <c r="BN263" s="724"/>
      <c r="BO263" s="724"/>
      <c r="BP263" s="724">
        <f t="shared" si="575"/>
        <v>152991.59128</v>
      </c>
      <c r="BQ263" s="1320"/>
      <c r="BR263" s="1321"/>
      <c r="BS263" s="1322"/>
      <c r="BT263" s="1323"/>
      <c r="BU263" s="1329"/>
      <c r="BV263" s="1321"/>
      <c r="BW263" s="1322"/>
      <c r="BX263" s="1322"/>
      <c r="BY263" s="1322"/>
      <c r="BZ263" s="1322"/>
      <c r="CA263" s="1322"/>
      <c r="CB263" s="1322"/>
      <c r="CC263" s="1320"/>
      <c r="CD263" s="1322"/>
      <c r="CE263" s="321"/>
      <c r="CF263" s="322"/>
      <c r="CG263" s="1321"/>
      <c r="CH263" s="1339"/>
      <c r="CI263" s="1322"/>
      <c r="CJ263" s="1329"/>
      <c r="CK263" s="1329"/>
      <c r="CL263" s="335"/>
      <c r="CN263" s="1263"/>
      <c r="CO263" s="1258"/>
    </row>
    <row r="264" s="245" customFormat="1" ht="202" customHeight="1" spans="1:93">
      <c r="A264" s="1122">
        <v>261</v>
      </c>
      <c r="B264" s="70" t="s">
        <v>727</v>
      </c>
      <c r="C264" s="1123" t="s">
        <v>531</v>
      </c>
      <c r="D264" s="1088" t="s">
        <v>204</v>
      </c>
      <c r="E264" s="1088" t="s">
        <v>208</v>
      </c>
      <c r="F264" s="1124" t="s">
        <v>165</v>
      </c>
      <c r="G264" s="1443" t="s">
        <v>728</v>
      </c>
      <c r="H264" s="1125"/>
      <c r="I264" s="1125"/>
      <c r="J264" s="1289"/>
      <c r="K264" s="1289"/>
      <c r="L264" s="1290"/>
      <c r="M264" s="1290">
        <v>242018.08</v>
      </c>
      <c r="N264" s="295">
        <f t="shared" si="572"/>
        <v>28235.4426666667</v>
      </c>
      <c r="O264" s="295">
        <v>5000</v>
      </c>
      <c r="P264" s="295"/>
      <c r="Q264" s="295"/>
      <c r="R264" s="295">
        <v>2500</v>
      </c>
      <c r="S264" s="295"/>
      <c r="T264" s="295"/>
      <c r="U264" s="295"/>
      <c r="V264" s="295"/>
      <c r="W264" s="295"/>
      <c r="X264" s="295"/>
      <c r="Y264" s="295"/>
      <c r="Z264" s="295">
        <v>2500</v>
      </c>
      <c r="AA264" s="295"/>
      <c r="AB264" s="295"/>
      <c r="AC264" s="295"/>
      <c r="AD264" s="295"/>
      <c r="AE264" s="295"/>
      <c r="AF264" s="295"/>
      <c r="AG264" s="295"/>
      <c r="AH264" s="295"/>
      <c r="AI264" s="295"/>
      <c r="AJ264" s="295"/>
      <c r="AK264" s="295"/>
      <c r="AL264" s="1140"/>
      <c r="AM264" s="295">
        <f t="shared" si="571"/>
        <v>4840.3616</v>
      </c>
      <c r="AN264" s="295">
        <v>500</v>
      </c>
      <c r="AO264" s="1302"/>
      <c r="AP264" s="1302"/>
      <c r="AQ264" s="1303">
        <v>1000</v>
      </c>
      <c r="AR264" s="1303"/>
      <c r="AS264" s="1304"/>
      <c r="AT264" s="1303"/>
      <c r="AU264" s="1303"/>
      <c r="AV264" s="1151"/>
      <c r="AW264" s="1151"/>
      <c r="AX264" s="1303"/>
      <c r="AY264" s="1161"/>
      <c r="AZ264" s="1151"/>
      <c r="BA264" s="295">
        <v>0</v>
      </c>
      <c r="BB264" s="295"/>
      <c r="BC264" s="295"/>
      <c r="BD264" s="295"/>
      <c r="BE264" s="724">
        <v>1500</v>
      </c>
      <c r="BF264" s="724"/>
      <c r="BG264" s="724"/>
      <c r="BH264" s="724">
        <f t="shared" si="574"/>
        <v>5605.07045333333</v>
      </c>
      <c r="BI264" s="1166"/>
      <c r="BJ264" s="1166"/>
      <c r="BK264" s="724">
        <v>34249.26</v>
      </c>
      <c r="BL264" s="724">
        <f t="shared" si="573"/>
        <v>280253.522666667</v>
      </c>
      <c r="BM264" s="724">
        <f t="shared" si="576"/>
        <v>47694.6920533333</v>
      </c>
      <c r="BN264" s="724"/>
      <c r="BO264" s="724"/>
      <c r="BP264" s="724">
        <f t="shared" si="575"/>
        <v>232558.830613333</v>
      </c>
      <c r="BQ264" s="1320"/>
      <c r="BR264" s="1321"/>
      <c r="BS264" s="1322"/>
      <c r="BT264" s="1323"/>
      <c r="BU264" s="1329"/>
      <c r="BV264" s="1321"/>
      <c r="BW264" s="1322"/>
      <c r="BX264" s="1322"/>
      <c r="BY264" s="1322"/>
      <c r="BZ264" s="1322"/>
      <c r="CA264" s="1322"/>
      <c r="CB264" s="1322"/>
      <c r="CC264" s="1320"/>
      <c r="CD264" s="1322"/>
      <c r="CE264" s="321"/>
      <c r="CF264" s="322"/>
      <c r="CG264" s="1321"/>
      <c r="CH264" s="1339"/>
      <c r="CI264" s="1322"/>
      <c r="CJ264" s="1329"/>
      <c r="CK264" s="1329"/>
      <c r="CL264" s="335"/>
      <c r="CN264" s="1263"/>
      <c r="CO264" s="1258"/>
    </row>
    <row r="265" s="245" customFormat="1" ht="202" customHeight="1" spans="1:93">
      <c r="A265" s="1122">
        <v>262</v>
      </c>
      <c r="B265" s="70" t="s">
        <v>729</v>
      </c>
      <c r="C265" s="1123" t="s">
        <v>534</v>
      </c>
      <c r="D265" s="1088" t="s">
        <v>204</v>
      </c>
      <c r="E265" s="1088" t="s">
        <v>208</v>
      </c>
      <c r="F265" s="1124" t="s">
        <v>101</v>
      </c>
      <c r="G265" s="1443" t="s">
        <v>730</v>
      </c>
      <c r="H265" s="1125"/>
      <c r="I265" s="1125"/>
      <c r="J265" s="1289"/>
      <c r="K265" s="1289"/>
      <c r="L265" s="1290"/>
      <c r="M265" s="1290">
        <v>242018.08</v>
      </c>
      <c r="N265" s="295">
        <f t="shared" si="572"/>
        <v>28235.4426666667</v>
      </c>
      <c r="O265" s="295">
        <v>5000</v>
      </c>
      <c r="P265" s="295"/>
      <c r="Q265" s="295"/>
      <c r="R265" s="295">
        <v>2500</v>
      </c>
      <c r="S265" s="295"/>
      <c r="T265" s="295"/>
      <c r="U265" s="295"/>
      <c r="V265" s="295"/>
      <c r="W265" s="295"/>
      <c r="X265" s="295"/>
      <c r="Y265" s="295"/>
      <c r="Z265" s="295">
        <v>2500</v>
      </c>
      <c r="AA265" s="295"/>
      <c r="AB265" s="295"/>
      <c r="AC265" s="295"/>
      <c r="AD265" s="295"/>
      <c r="AE265" s="295"/>
      <c r="AF265" s="295"/>
      <c r="AG265" s="295"/>
      <c r="AH265" s="295"/>
      <c r="AI265" s="295"/>
      <c r="AJ265" s="295"/>
      <c r="AK265" s="295"/>
      <c r="AL265" s="1140"/>
      <c r="AM265" s="295">
        <f t="shared" si="571"/>
        <v>4840.3616</v>
      </c>
      <c r="AN265" s="295">
        <v>500</v>
      </c>
      <c r="AO265" s="1302"/>
      <c r="AP265" s="1302"/>
      <c r="AQ265" s="1303">
        <v>1000</v>
      </c>
      <c r="AR265" s="1303"/>
      <c r="AS265" s="1304"/>
      <c r="AT265" s="1303"/>
      <c r="AU265" s="1303"/>
      <c r="AV265" s="1151"/>
      <c r="AW265" s="1151"/>
      <c r="AX265" s="1303"/>
      <c r="AY265" s="1161"/>
      <c r="AZ265" s="1151"/>
      <c r="BA265" s="295">
        <v>0</v>
      </c>
      <c r="BB265" s="295"/>
      <c r="BC265" s="295"/>
      <c r="BD265" s="295"/>
      <c r="BE265" s="724">
        <v>1500</v>
      </c>
      <c r="BF265" s="724"/>
      <c r="BG265" s="724"/>
      <c r="BH265" s="724">
        <f t="shared" si="574"/>
        <v>5605.07045333333</v>
      </c>
      <c r="BI265" s="1166"/>
      <c r="BJ265" s="1166"/>
      <c r="BK265" s="724">
        <v>34249.26</v>
      </c>
      <c r="BL265" s="724">
        <f t="shared" si="573"/>
        <v>280253.522666667</v>
      </c>
      <c r="BM265" s="724">
        <f t="shared" si="576"/>
        <v>47694.6920533333</v>
      </c>
      <c r="BN265" s="724"/>
      <c r="BO265" s="724"/>
      <c r="BP265" s="724">
        <f t="shared" si="575"/>
        <v>232558.830613333</v>
      </c>
      <c r="BQ265" s="1320"/>
      <c r="BR265" s="1321"/>
      <c r="BS265" s="1322"/>
      <c r="BT265" s="1323"/>
      <c r="BU265" s="1329"/>
      <c r="BV265" s="1321"/>
      <c r="BW265" s="1322"/>
      <c r="BX265" s="1322"/>
      <c r="BY265" s="1322"/>
      <c r="BZ265" s="1322"/>
      <c r="CA265" s="1322"/>
      <c r="CB265" s="1322"/>
      <c r="CC265" s="1320"/>
      <c r="CD265" s="1322"/>
      <c r="CE265" s="321"/>
      <c r="CF265" s="322"/>
      <c r="CG265" s="1321"/>
      <c r="CH265" s="1339"/>
      <c r="CI265" s="1322"/>
      <c r="CJ265" s="1329"/>
      <c r="CK265" s="1329"/>
      <c r="CL265" s="335"/>
      <c r="CN265" s="1263"/>
      <c r="CO265" s="1258"/>
    </row>
    <row r="266" s="245" customFormat="1" ht="202" customHeight="1" spans="1:93">
      <c r="A266" s="1122">
        <v>263</v>
      </c>
      <c r="B266" s="70" t="s">
        <v>731</v>
      </c>
      <c r="C266" s="1123" t="s">
        <v>164</v>
      </c>
      <c r="D266" s="1088" t="s">
        <v>204</v>
      </c>
      <c r="E266" s="1088" t="s">
        <v>208</v>
      </c>
      <c r="F266" s="1124" t="s">
        <v>97</v>
      </c>
      <c r="G266" s="1443" t="s">
        <v>732</v>
      </c>
      <c r="H266" s="1125"/>
      <c r="I266" s="1125"/>
      <c r="J266" s="1289"/>
      <c r="K266" s="1289"/>
      <c r="L266" s="1290"/>
      <c r="M266" s="1290">
        <v>242018.08</v>
      </c>
      <c r="N266" s="295">
        <f t="shared" si="572"/>
        <v>28235.4426666667</v>
      </c>
      <c r="O266" s="295">
        <v>5000</v>
      </c>
      <c r="P266" s="295"/>
      <c r="Q266" s="295"/>
      <c r="R266" s="295">
        <v>2500</v>
      </c>
      <c r="S266" s="295"/>
      <c r="T266" s="295"/>
      <c r="U266" s="295"/>
      <c r="V266" s="295"/>
      <c r="W266" s="295"/>
      <c r="X266" s="295"/>
      <c r="Y266" s="295"/>
      <c r="Z266" s="295">
        <v>2500</v>
      </c>
      <c r="AA266" s="295"/>
      <c r="AB266" s="295"/>
      <c r="AC266" s="295"/>
      <c r="AD266" s="295"/>
      <c r="AE266" s="295"/>
      <c r="AF266" s="295"/>
      <c r="AG266" s="295"/>
      <c r="AH266" s="295"/>
      <c r="AI266" s="295"/>
      <c r="AJ266" s="295"/>
      <c r="AK266" s="295"/>
      <c r="AL266" s="1140"/>
      <c r="AM266" s="295">
        <f t="shared" si="571"/>
        <v>4840.3616</v>
      </c>
      <c r="AN266" s="295">
        <v>500</v>
      </c>
      <c r="AO266" s="1302"/>
      <c r="AP266" s="1302"/>
      <c r="AQ266" s="1303"/>
      <c r="AR266" s="1303"/>
      <c r="AS266" s="1304"/>
      <c r="AT266" s="1303"/>
      <c r="AU266" s="1303"/>
      <c r="AV266" s="1151"/>
      <c r="AW266" s="1151"/>
      <c r="AX266" s="1303"/>
      <c r="AY266" s="1161"/>
      <c r="AZ266" s="1151"/>
      <c r="BA266" s="295">
        <v>0</v>
      </c>
      <c r="BB266" s="295"/>
      <c r="BC266" s="295"/>
      <c r="BD266" s="295"/>
      <c r="BE266" s="724">
        <v>1500</v>
      </c>
      <c r="BF266" s="724"/>
      <c r="BG266" s="724"/>
      <c r="BH266" s="724">
        <f t="shared" si="574"/>
        <v>5605.07045333333</v>
      </c>
      <c r="BI266" s="1166"/>
      <c r="BJ266" s="1166"/>
      <c r="BK266" s="724">
        <v>34249.26</v>
      </c>
      <c r="BL266" s="724">
        <f t="shared" si="573"/>
        <v>280253.522666667</v>
      </c>
      <c r="BM266" s="724">
        <f t="shared" si="576"/>
        <v>46694.6920533333</v>
      </c>
      <c r="BN266" s="724"/>
      <c r="BO266" s="724"/>
      <c r="BP266" s="724">
        <f t="shared" si="575"/>
        <v>233558.830613333</v>
      </c>
      <c r="BQ266" s="1320"/>
      <c r="BR266" s="1321"/>
      <c r="BS266" s="1322"/>
      <c r="BT266" s="1323"/>
      <c r="BU266" s="1329"/>
      <c r="BV266" s="1321"/>
      <c r="BW266" s="1322"/>
      <c r="BX266" s="1322"/>
      <c r="BY266" s="1322"/>
      <c r="BZ266" s="1322"/>
      <c r="CA266" s="1322"/>
      <c r="CB266" s="1322"/>
      <c r="CC266" s="1320"/>
      <c r="CD266" s="1322"/>
      <c r="CE266" s="321"/>
      <c r="CF266" s="322"/>
      <c r="CG266" s="1321"/>
      <c r="CH266" s="1339"/>
      <c r="CI266" s="1322"/>
      <c r="CJ266" s="1329"/>
      <c r="CK266" s="1329"/>
      <c r="CL266" s="335"/>
      <c r="CN266" s="1263"/>
      <c r="CO266" s="1258"/>
    </row>
    <row r="267" s="245" customFormat="1" ht="202" customHeight="1" spans="1:93">
      <c r="A267" s="1122">
        <v>264</v>
      </c>
      <c r="B267" s="70" t="s">
        <v>733</v>
      </c>
      <c r="C267" s="1123" t="s">
        <v>534</v>
      </c>
      <c r="D267" s="1088" t="s">
        <v>204</v>
      </c>
      <c r="E267" s="1088" t="s">
        <v>208</v>
      </c>
      <c r="F267" s="1124" t="s">
        <v>113</v>
      </c>
      <c r="G267" s="1443" t="s">
        <v>734</v>
      </c>
      <c r="H267" s="1125"/>
      <c r="I267" s="1125"/>
      <c r="J267" s="1289"/>
      <c r="K267" s="1289"/>
      <c r="L267" s="1290"/>
      <c r="M267" s="1290">
        <v>242018.08</v>
      </c>
      <c r="N267" s="295">
        <f t="shared" si="572"/>
        <v>28235.4426666667</v>
      </c>
      <c r="O267" s="295">
        <v>5000</v>
      </c>
      <c r="P267" s="295"/>
      <c r="Q267" s="295"/>
      <c r="R267" s="295">
        <v>2500</v>
      </c>
      <c r="S267" s="295"/>
      <c r="T267" s="295"/>
      <c r="U267" s="295"/>
      <c r="V267" s="295"/>
      <c r="W267" s="295"/>
      <c r="X267" s="295"/>
      <c r="Y267" s="295"/>
      <c r="Z267" s="295">
        <v>2500</v>
      </c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1140"/>
      <c r="AM267" s="295">
        <f t="shared" si="571"/>
        <v>4840.3616</v>
      </c>
      <c r="AN267" s="295">
        <v>500</v>
      </c>
      <c r="AO267" s="1302"/>
      <c r="AP267" s="1302"/>
      <c r="AQ267" s="1303">
        <v>1000</v>
      </c>
      <c r="AR267" s="1303"/>
      <c r="AS267" s="1304"/>
      <c r="AT267" s="1303"/>
      <c r="AU267" s="1303"/>
      <c r="AV267" s="1151"/>
      <c r="AW267" s="1151"/>
      <c r="AX267" s="1303"/>
      <c r="AY267" s="1161"/>
      <c r="AZ267" s="1151"/>
      <c r="BA267" s="295">
        <v>0</v>
      </c>
      <c r="BB267" s="295"/>
      <c r="BC267" s="295"/>
      <c r="BD267" s="295"/>
      <c r="BE267" s="724">
        <v>1500</v>
      </c>
      <c r="BF267" s="724"/>
      <c r="BG267" s="724"/>
      <c r="BH267" s="724">
        <f t="shared" si="574"/>
        <v>5605.07045333333</v>
      </c>
      <c r="BI267" s="1166"/>
      <c r="BJ267" s="1166"/>
      <c r="BK267" s="724">
        <v>34249.26</v>
      </c>
      <c r="BL267" s="724">
        <f t="shared" si="573"/>
        <v>280253.522666667</v>
      </c>
      <c r="BM267" s="724">
        <f t="shared" si="576"/>
        <v>47694.6920533333</v>
      </c>
      <c r="BN267" s="724"/>
      <c r="BO267" s="724"/>
      <c r="BP267" s="724">
        <f t="shared" si="575"/>
        <v>232558.830613333</v>
      </c>
      <c r="BQ267" s="1320"/>
      <c r="BR267" s="1321"/>
      <c r="BS267" s="1322"/>
      <c r="BT267" s="1323"/>
      <c r="BU267" s="1329"/>
      <c r="BV267" s="1321"/>
      <c r="BW267" s="1322"/>
      <c r="BX267" s="1322"/>
      <c r="BY267" s="1322"/>
      <c r="BZ267" s="1322"/>
      <c r="CA267" s="1322"/>
      <c r="CB267" s="1322"/>
      <c r="CC267" s="1320"/>
      <c r="CD267" s="1322"/>
      <c r="CE267" s="321"/>
      <c r="CF267" s="322"/>
      <c r="CG267" s="1321"/>
      <c r="CH267" s="1339"/>
      <c r="CI267" s="1322"/>
      <c r="CJ267" s="1329"/>
      <c r="CK267" s="1329"/>
      <c r="CL267" s="335"/>
      <c r="CN267" s="1263"/>
      <c r="CO267" s="1258"/>
    </row>
    <row r="268" s="245" customFormat="1" ht="202" customHeight="1" spans="1:93">
      <c r="A268" s="1122">
        <v>265</v>
      </c>
      <c r="B268" s="70" t="s">
        <v>735</v>
      </c>
      <c r="C268" s="1123" t="s">
        <v>710</v>
      </c>
      <c r="D268" s="1088" t="s">
        <v>204</v>
      </c>
      <c r="E268" s="1088" t="s">
        <v>208</v>
      </c>
      <c r="F268" s="1124" t="s">
        <v>113</v>
      </c>
      <c r="G268" s="1443" t="s">
        <v>736</v>
      </c>
      <c r="H268" s="1125"/>
      <c r="I268" s="1125"/>
      <c r="J268" s="1289"/>
      <c r="K268" s="1289"/>
      <c r="L268" s="1290"/>
      <c r="M268" s="1290">
        <v>242018.08</v>
      </c>
      <c r="N268" s="295">
        <f t="shared" si="572"/>
        <v>28235.4426666667</v>
      </c>
      <c r="O268" s="295">
        <v>5000</v>
      </c>
      <c r="P268" s="295"/>
      <c r="Q268" s="295"/>
      <c r="R268" s="295">
        <v>2500</v>
      </c>
      <c r="S268" s="295"/>
      <c r="T268" s="295"/>
      <c r="U268" s="295"/>
      <c r="V268" s="295"/>
      <c r="W268" s="295"/>
      <c r="X268" s="295"/>
      <c r="Y268" s="295"/>
      <c r="Z268" s="295">
        <v>2500</v>
      </c>
      <c r="AA268" s="295"/>
      <c r="AB268" s="295"/>
      <c r="AC268" s="295"/>
      <c r="AD268" s="295"/>
      <c r="AE268" s="295"/>
      <c r="AF268" s="295"/>
      <c r="AG268" s="295"/>
      <c r="AH268" s="295"/>
      <c r="AI268" s="295"/>
      <c r="AJ268" s="295"/>
      <c r="AK268" s="295"/>
      <c r="AL268" s="1140"/>
      <c r="AM268" s="295">
        <f t="shared" si="571"/>
        <v>4840.3616</v>
      </c>
      <c r="AN268" s="295">
        <v>500</v>
      </c>
      <c r="AO268" s="1302"/>
      <c r="AP268" s="1302"/>
      <c r="AQ268" s="1303"/>
      <c r="AR268" s="1303"/>
      <c r="AS268" s="1304"/>
      <c r="AT268" s="1303"/>
      <c r="AU268" s="1303"/>
      <c r="AV268" s="1151"/>
      <c r="AW268" s="1151"/>
      <c r="AX268" s="1303"/>
      <c r="AY268" s="1161"/>
      <c r="AZ268" s="1151"/>
      <c r="BA268" s="295">
        <v>0</v>
      </c>
      <c r="BB268" s="295"/>
      <c r="BC268" s="295"/>
      <c r="BD268" s="295"/>
      <c r="BE268" s="724">
        <v>1500</v>
      </c>
      <c r="BF268" s="724"/>
      <c r="BG268" s="724"/>
      <c r="BH268" s="724">
        <f t="shared" si="574"/>
        <v>5605.07045333333</v>
      </c>
      <c r="BI268" s="1166"/>
      <c r="BJ268" s="1166"/>
      <c r="BK268" s="724">
        <v>34249.26</v>
      </c>
      <c r="BL268" s="724">
        <f t="shared" si="573"/>
        <v>280253.522666667</v>
      </c>
      <c r="BM268" s="724">
        <f t="shared" si="576"/>
        <v>46694.6920533333</v>
      </c>
      <c r="BN268" s="724"/>
      <c r="BO268" s="724"/>
      <c r="BP268" s="724">
        <f t="shared" si="575"/>
        <v>233558.830613333</v>
      </c>
      <c r="BQ268" s="1320"/>
      <c r="BR268" s="1321"/>
      <c r="BS268" s="1322"/>
      <c r="BT268" s="1323"/>
      <c r="BU268" s="1329"/>
      <c r="BV268" s="1321"/>
      <c r="BW268" s="1322"/>
      <c r="BX268" s="1322"/>
      <c r="BY268" s="1322"/>
      <c r="BZ268" s="1322"/>
      <c r="CA268" s="1322"/>
      <c r="CB268" s="1322"/>
      <c r="CC268" s="1320"/>
      <c r="CD268" s="1322"/>
      <c r="CE268" s="321"/>
      <c r="CF268" s="322"/>
      <c r="CG268" s="1321"/>
      <c r="CH268" s="1339"/>
      <c r="CI268" s="1322"/>
      <c r="CJ268" s="1329"/>
      <c r="CK268" s="1329"/>
      <c r="CL268" s="335"/>
      <c r="CN268" s="1263"/>
      <c r="CO268" s="1258"/>
    </row>
    <row r="269" s="245" customFormat="1" ht="202" customHeight="1" spans="1:93">
      <c r="A269" s="1122">
        <v>266</v>
      </c>
      <c r="B269" s="70" t="s">
        <v>737</v>
      </c>
      <c r="C269" s="1123" t="s">
        <v>118</v>
      </c>
      <c r="D269" s="1088" t="s">
        <v>204</v>
      </c>
      <c r="E269" s="1088" t="s">
        <v>208</v>
      </c>
      <c r="F269" s="1124" t="s">
        <v>127</v>
      </c>
      <c r="G269" s="1443" t="s">
        <v>738</v>
      </c>
      <c r="H269" s="1125"/>
      <c r="I269" s="1125"/>
      <c r="J269" s="1289"/>
      <c r="K269" s="1289"/>
      <c r="L269" s="1290"/>
      <c r="M269" s="1290">
        <v>242018.08</v>
      </c>
      <c r="N269" s="295">
        <f t="shared" si="572"/>
        <v>28235.4426666667</v>
      </c>
      <c r="O269" s="295">
        <v>5000</v>
      </c>
      <c r="P269" s="295"/>
      <c r="Q269" s="295"/>
      <c r="R269" s="295">
        <v>2500</v>
      </c>
      <c r="S269" s="295"/>
      <c r="T269" s="295"/>
      <c r="U269" s="295"/>
      <c r="V269" s="295"/>
      <c r="W269" s="295"/>
      <c r="X269" s="295"/>
      <c r="Y269" s="295"/>
      <c r="Z269" s="295">
        <v>2500</v>
      </c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1140"/>
      <c r="AM269" s="295">
        <f t="shared" si="571"/>
        <v>4840.3616</v>
      </c>
      <c r="AN269" s="295">
        <v>500</v>
      </c>
      <c r="AO269" s="1302"/>
      <c r="AP269" s="1302"/>
      <c r="AQ269" s="1303"/>
      <c r="AR269" s="1303"/>
      <c r="AS269" s="1304">
        <v>1000</v>
      </c>
      <c r="AT269" s="1303"/>
      <c r="AU269" s="1303"/>
      <c r="AV269" s="1151"/>
      <c r="AW269" s="1151"/>
      <c r="AX269" s="1303"/>
      <c r="AY269" s="1161">
        <v>2000</v>
      </c>
      <c r="AZ269" s="1151"/>
      <c r="BA269" s="295">
        <v>5000</v>
      </c>
      <c r="BB269" s="295"/>
      <c r="BC269" s="295"/>
      <c r="BD269" s="295"/>
      <c r="BE269" s="724">
        <v>1500</v>
      </c>
      <c r="BF269" s="724"/>
      <c r="BG269" s="724"/>
      <c r="BH269" s="724">
        <f t="shared" si="574"/>
        <v>5605.07045333333</v>
      </c>
      <c r="BI269" s="1166"/>
      <c r="BJ269" s="1166"/>
      <c r="BK269" s="724">
        <v>34249.26</v>
      </c>
      <c r="BL269" s="724">
        <f t="shared" si="573"/>
        <v>280253.522666667</v>
      </c>
      <c r="BM269" s="724">
        <f t="shared" si="576"/>
        <v>54694.6920533333</v>
      </c>
      <c r="BN269" s="724"/>
      <c r="BO269" s="724"/>
      <c r="BP269" s="724">
        <f t="shared" si="575"/>
        <v>225558.830613333</v>
      </c>
      <c r="BQ269" s="1320"/>
      <c r="BR269" s="1321"/>
      <c r="BS269" s="1322"/>
      <c r="BT269" s="1323"/>
      <c r="BU269" s="1329"/>
      <c r="BV269" s="1321"/>
      <c r="BW269" s="1322"/>
      <c r="BX269" s="1322"/>
      <c r="BY269" s="1322"/>
      <c r="BZ269" s="1322"/>
      <c r="CA269" s="1322"/>
      <c r="CB269" s="1322"/>
      <c r="CC269" s="1320"/>
      <c r="CD269" s="1322"/>
      <c r="CE269" s="321"/>
      <c r="CF269" s="322"/>
      <c r="CG269" s="1321"/>
      <c r="CH269" s="1339"/>
      <c r="CI269" s="1322"/>
      <c r="CJ269" s="1329"/>
      <c r="CK269" s="1329"/>
      <c r="CL269" s="335"/>
      <c r="CN269" s="1263"/>
      <c r="CO269" s="1258"/>
    </row>
    <row r="270" s="245" customFormat="1" ht="202" customHeight="1" spans="1:93">
      <c r="A270" s="1122">
        <v>267</v>
      </c>
      <c r="B270" s="70" t="s">
        <v>739</v>
      </c>
      <c r="C270" s="1123" t="s">
        <v>191</v>
      </c>
      <c r="D270" s="1088" t="s">
        <v>204</v>
      </c>
      <c r="E270" s="1088" t="s">
        <v>208</v>
      </c>
      <c r="F270" s="1124" t="s">
        <v>113</v>
      </c>
      <c r="G270" s="1443" t="s">
        <v>740</v>
      </c>
      <c r="H270" s="1125"/>
      <c r="I270" s="1125"/>
      <c r="J270" s="1289"/>
      <c r="K270" s="1289"/>
      <c r="L270" s="1290"/>
      <c r="M270" s="1290">
        <v>242018.08</v>
      </c>
      <c r="N270" s="295">
        <f t="shared" si="572"/>
        <v>28235.4426666667</v>
      </c>
      <c r="O270" s="295">
        <v>5000</v>
      </c>
      <c r="P270" s="295"/>
      <c r="Q270" s="295"/>
      <c r="R270" s="295">
        <v>2500</v>
      </c>
      <c r="S270" s="295"/>
      <c r="T270" s="295"/>
      <c r="U270" s="295"/>
      <c r="V270" s="295"/>
      <c r="W270" s="295"/>
      <c r="X270" s="295"/>
      <c r="Y270" s="295"/>
      <c r="Z270" s="295">
        <v>2500</v>
      </c>
      <c r="AA270" s="295"/>
      <c r="AB270" s="295"/>
      <c r="AC270" s="295"/>
      <c r="AD270" s="295"/>
      <c r="AE270" s="295"/>
      <c r="AF270" s="295"/>
      <c r="AG270" s="295"/>
      <c r="AH270" s="295"/>
      <c r="AI270" s="295"/>
      <c r="AJ270" s="295"/>
      <c r="AK270" s="295"/>
      <c r="AL270" s="1140"/>
      <c r="AM270" s="295">
        <f t="shared" si="571"/>
        <v>4840.3616</v>
      </c>
      <c r="AN270" s="295">
        <v>500</v>
      </c>
      <c r="AO270" s="1302"/>
      <c r="AP270" s="1302"/>
      <c r="AQ270" s="1303"/>
      <c r="AR270" s="1303"/>
      <c r="AS270" s="1304">
        <v>1000</v>
      </c>
      <c r="AT270" s="1303"/>
      <c r="AU270" s="1303"/>
      <c r="AV270" s="1151"/>
      <c r="AW270" s="1151"/>
      <c r="AX270" s="1303"/>
      <c r="AY270" s="1161"/>
      <c r="AZ270" s="1151"/>
      <c r="BA270" s="295">
        <v>30000</v>
      </c>
      <c r="BB270" s="295"/>
      <c r="BC270" s="295"/>
      <c r="BD270" s="295"/>
      <c r="BE270" s="724">
        <v>1500</v>
      </c>
      <c r="BF270" s="724"/>
      <c r="BG270" s="724"/>
      <c r="BH270" s="724">
        <f t="shared" si="574"/>
        <v>5605.07045333333</v>
      </c>
      <c r="BI270" s="1166"/>
      <c r="BJ270" s="1166"/>
      <c r="BK270" s="724">
        <v>34249.26</v>
      </c>
      <c r="BL270" s="724">
        <f t="shared" si="573"/>
        <v>280253.522666667</v>
      </c>
      <c r="BM270" s="724">
        <f t="shared" si="576"/>
        <v>77694.6920533333</v>
      </c>
      <c r="BN270" s="724"/>
      <c r="BO270" s="724"/>
      <c r="BP270" s="724">
        <f t="shared" si="575"/>
        <v>202558.830613333</v>
      </c>
      <c r="BQ270" s="1320"/>
      <c r="BR270" s="1321"/>
      <c r="BS270" s="1322"/>
      <c r="BT270" s="1323"/>
      <c r="BU270" s="1329"/>
      <c r="BV270" s="1321"/>
      <c r="BW270" s="1322"/>
      <c r="BX270" s="1322"/>
      <c r="BY270" s="1322"/>
      <c r="BZ270" s="1322"/>
      <c r="CA270" s="1322"/>
      <c r="CB270" s="1322"/>
      <c r="CC270" s="1320"/>
      <c r="CD270" s="1322"/>
      <c r="CE270" s="321"/>
      <c r="CF270" s="322"/>
      <c r="CG270" s="1321"/>
      <c r="CH270" s="1339"/>
      <c r="CI270" s="1322"/>
      <c r="CJ270" s="1329"/>
      <c r="CK270" s="1329"/>
      <c r="CL270" s="335"/>
      <c r="CN270" s="1263"/>
      <c r="CO270" s="1258"/>
    </row>
    <row r="271" s="245" customFormat="1" ht="202" customHeight="1" spans="1:93">
      <c r="A271" s="1122">
        <v>268</v>
      </c>
      <c r="B271" s="70" t="s">
        <v>741</v>
      </c>
      <c r="C271" s="1123" t="s">
        <v>713</v>
      </c>
      <c r="D271" s="1088" t="s">
        <v>204</v>
      </c>
      <c r="E271" s="1088" t="s">
        <v>555</v>
      </c>
      <c r="F271" s="1124" t="s">
        <v>165</v>
      </c>
      <c r="G271" s="1443" t="s">
        <v>742</v>
      </c>
      <c r="H271" s="1125"/>
      <c r="I271" s="1125"/>
      <c r="J271" s="1289"/>
      <c r="K271" s="1289"/>
      <c r="L271" s="1290"/>
      <c r="M271" s="1290">
        <v>217132.08</v>
      </c>
      <c r="N271" s="295">
        <f t="shared" si="572"/>
        <v>25332.076</v>
      </c>
      <c r="O271" s="295">
        <v>5000</v>
      </c>
      <c r="P271" s="295"/>
      <c r="Q271" s="295"/>
      <c r="R271" s="295">
        <v>2500</v>
      </c>
      <c r="S271" s="295"/>
      <c r="T271" s="295"/>
      <c r="U271" s="295"/>
      <c r="V271" s="295"/>
      <c r="W271" s="295"/>
      <c r="X271" s="295"/>
      <c r="Y271" s="295"/>
      <c r="Z271" s="295">
        <v>2500</v>
      </c>
      <c r="AA271" s="295"/>
      <c r="AB271" s="295"/>
      <c r="AC271" s="295"/>
      <c r="AD271" s="295"/>
      <c r="AE271" s="295"/>
      <c r="AF271" s="295"/>
      <c r="AG271" s="295"/>
      <c r="AH271" s="295"/>
      <c r="AI271" s="295"/>
      <c r="AJ271" s="295"/>
      <c r="AK271" s="295"/>
      <c r="AL271" s="1140"/>
      <c r="AM271" s="295">
        <f t="shared" si="571"/>
        <v>4342.6416</v>
      </c>
      <c r="AN271" s="295">
        <v>500</v>
      </c>
      <c r="AO271" s="1302"/>
      <c r="AP271" s="1302"/>
      <c r="AQ271" s="1303"/>
      <c r="AR271" s="1303"/>
      <c r="AS271" s="1304"/>
      <c r="AT271" s="1303"/>
      <c r="AU271" s="1303"/>
      <c r="AV271" s="1151">
        <v>5000</v>
      </c>
      <c r="AW271" s="1151"/>
      <c r="AX271" s="1303"/>
      <c r="AY271" s="1161"/>
      <c r="AZ271" s="1151"/>
      <c r="BA271" s="295">
        <v>20000</v>
      </c>
      <c r="BB271" s="295"/>
      <c r="BC271" s="295"/>
      <c r="BD271" s="295"/>
      <c r="BE271" s="724">
        <v>1500</v>
      </c>
      <c r="BF271" s="724"/>
      <c r="BG271" s="724"/>
      <c r="BH271" s="724">
        <f t="shared" si="574"/>
        <v>5049.28312</v>
      </c>
      <c r="BI271" s="1166"/>
      <c r="BJ271" s="1166"/>
      <c r="BK271" s="724">
        <v>29580.64</v>
      </c>
      <c r="BL271" s="724">
        <f t="shared" si="573"/>
        <v>252464.156</v>
      </c>
      <c r="BM271" s="724">
        <f t="shared" si="576"/>
        <v>65972.56472</v>
      </c>
      <c r="BN271" s="724"/>
      <c r="BO271" s="724"/>
      <c r="BP271" s="724">
        <f t="shared" si="575"/>
        <v>186491.59128</v>
      </c>
      <c r="BQ271" s="1320"/>
      <c r="BR271" s="1321"/>
      <c r="BS271" s="1322"/>
      <c r="BT271" s="1323"/>
      <c r="BU271" s="1329"/>
      <c r="BV271" s="1321"/>
      <c r="BW271" s="1322"/>
      <c r="BX271" s="1322"/>
      <c r="BY271" s="1322"/>
      <c r="BZ271" s="1322"/>
      <c r="CA271" s="1322"/>
      <c r="CB271" s="1322"/>
      <c r="CC271" s="1320"/>
      <c r="CD271" s="1322"/>
      <c r="CE271" s="321"/>
      <c r="CF271" s="322"/>
      <c r="CG271" s="1321"/>
      <c r="CH271" s="1339"/>
      <c r="CI271" s="1322"/>
      <c r="CJ271" s="1329"/>
      <c r="CK271" s="1329"/>
      <c r="CL271" s="335"/>
      <c r="CN271" s="1263"/>
      <c r="CO271" s="1258"/>
    </row>
    <row r="272" s="245" customFormat="1" ht="191" customHeight="1" spans="1:93">
      <c r="A272" s="1122">
        <v>269</v>
      </c>
      <c r="B272" s="70" t="s">
        <v>743</v>
      </c>
      <c r="C272" s="1123" t="s">
        <v>160</v>
      </c>
      <c r="D272" s="1088" t="s">
        <v>204</v>
      </c>
      <c r="E272" s="1088" t="s">
        <v>208</v>
      </c>
      <c r="F272" s="1124" t="s">
        <v>127</v>
      </c>
      <c r="G272" s="1443" t="s">
        <v>744</v>
      </c>
      <c r="H272" s="1125"/>
      <c r="I272" s="1125"/>
      <c r="J272" s="1289"/>
      <c r="K272" s="1289"/>
      <c r="L272" s="1290"/>
      <c r="M272" s="1290">
        <v>242018.08</v>
      </c>
      <c r="N272" s="295">
        <f t="shared" si="572"/>
        <v>28235.4426666667</v>
      </c>
      <c r="O272" s="295">
        <v>5000</v>
      </c>
      <c r="P272" s="295"/>
      <c r="Q272" s="295"/>
      <c r="R272" s="295">
        <v>2500</v>
      </c>
      <c r="S272" s="295"/>
      <c r="T272" s="295"/>
      <c r="U272" s="295"/>
      <c r="V272" s="295"/>
      <c r="W272" s="295"/>
      <c r="X272" s="295"/>
      <c r="Y272" s="295"/>
      <c r="Z272" s="295">
        <v>2500</v>
      </c>
      <c r="AA272" s="295"/>
      <c r="AB272" s="295"/>
      <c r="AC272" s="295"/>
      <c r="AD272" s="295"/>
      <c r="AE272" s="295"/>
      <c r="AF272" s="295"/>
      <c r="AG272" s="295"/>
      <c r="AH272" s="295"/>
      <c r="AI272" s="295"/>
      <c r="AJ272" s="295"/>
      <c r="AK272" s="295"/>
      <c r="AL272" s="1140"/>
      <c r="AM272" s="295">
        <f t="shared" si="571"/>
        <v>4840.3616</v>
      </c>
      <c r="AN272" s="295">
        <v>500</v>
      </c>
      <c r="AO272" s="1302"/>
      <c r="AP272" s="1302"/>
      <c r="AQ272" s="1303"/>
      <c r="AR272" s="1303"/>
      <c r="AS272" s="1304"/>
      <c r="AT272" s="1303"/>
      <c r="AU272" s="1303"/>
      <c r="AV272" s="1151"/>
      <c r="AW272" s="1151">
        <v>1000</v>
      </c>
      <c r="AX272" s="1303"/>
      <c r="AY272" s="1161"/>
      <c r="AZ272" s="1151"/>
      <c r="BA272" s="295">
        <v>0</v>
      </c>
      <c r="BB272" s="295"/>
      <c r="BC272" s="295"/>
      <c r="BD272" s="295"/>
      <c r="BE272" s="724">
        <v>1500</v>
      </c>
      <c r="BF272" s="724"/>
      <c r="BG272" s="724"/>
      <c r="BH272" s="724">
        <f t="shared" si="574"/>
        <v>5605.07045333333</v>
      </c>
      <c r="BI272" s="1166"/>
      <c r="BJ272" s="1166"/>
      <c r="BK272" s="724">
        <v>34249.26</v>
      </c>
      <c r="BL272" s="724">
        <f t="shared" si="573"/>
        <v>280253.522666667</v>
      </c>
      <c r="BM272" s="724">
        <f t="shared" si="576"/>
        <v>47694.6920533333</v>
      </c>
      <c r="BN272" s="724"/>
      <c r="BO272" s="724"/>
      <c r="BP272" s="724">
        <f t="shared" si="575"/>
        <v>232558.830613333</v>
      </c>
      <c r="BQ272" s="1320"/>
      <c r="BR272" s="1321"/>
      <c r="BS272" s="1322"/>
      <c r="BT272" s="1323"/>
      <c r="BU272" s="1329"/>
      <c r="BV272" s="1321"/>
      <c r="BW272" s="1322"/>
      <c r="BX272" s="1322"/>
      <c r="BY272" s="1322"/>
      <c r="BZ272" s="1322"/>
      <c r="CA272" s="1322"/>
      <c r="CB272" s="1322"/>
      <c r="CC272" s="1320"/>
      <c r="CD272" s="1322"/>
      <c r="CE272" s="321"/>
      <c r="CF272" s="322"/>
      <c r="CG272" s="1321"/>
      <c r="CH272" s="1339"/>
      <c r="CI272" s="1322"/>
      <c r="CJ272" s="1329"/>
      <c r="CK272" s="1329"/>
      <c r="CL272" s="335"/>
      <c r="CN272" s="1263"/>
      <c r="CO272" s="1258"/>
    </row>
    <row r="273" s="245" customFormat="1" ht="202" customHeight="1" spans="1:93">
      <c r="A273" s="1122">
        <v>270</v>
      </c>
      <c r="B273" s="70" t="s">
        <v>745</v>
      </c>
      <c r="C273" s="1123" t="s">
        <v>51</v>
      </c>
      <c r="D273" s="1088" t="s">
        <v>204</v>
      </c>
      <c r="E273" s="1088" t="s">
        <v>208</v>
      </c>
      <c r="F273" s="1124" t="s">
        <v>165</v>
      </c>
      <c r="G273" s="1443" t="s">
        <v>746</v>
      </c>
      <c r="H273" s="1125"/>
      <c r="I273" s="1125"/>
      <c r="J273" s="1289"/>
      <c r="K273" s="1289"/>
      <c r="L273" s="1290"/>
      <c r="M273" s="1290">
        <v>242018.08</v>
      </c>
      <c r="N273" s="295">
        <f t="shared" si="572"/>
        <v>28235.4426666667</v>
      </c>
      <c r="O273" s="295">
        <v>5000</v>
      </c>
      <c r="P273" s="295"/>
      <c r="Q273" s="295"/>
      <c r="R273" s="295">
        <v>2500</v>
      </c>
      <c r="S273" s="295"/>
      <c r="T273" s="295"/>
      <c r="U273" s="295"/>
      <c r="V273" s="295"/>
      <c r="W273" s="295"/>
      <c r="X273" s="295"/>
      <c r="Y273" s="295"/>
      <c r="Z273" s="295">
        <v>2500</v>
      </c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1140"/>
      <c r="AM273" s="295">
        <f t="shared" si="571"/>
        <v>4840.3616</v>
      </c>
      <c r="AN273" s="295">
        <v>500</v>
      </c>
      <c r="AO273" s="1302"/>
      <c r="AP273" s="1302"/>
      <c r="AQ273" s="1303"/>
      <c r="AR273" s="1303"/>
      <c r="AS273" s="1304"/>
      <c r="AT273" s="1303"/>
      <c r="AU273" s="1303"/>
      <c r="AV273" s="1151"/>
      <c r="AW273" s="1151"/>
      <c r="AX273" s="1303">
        <v>1000</v>
      </c>
      <c r="AY273" s="1161"/>
      <c r="AZ273" s="1151">
        <v>1000</v>
      </c>
      <c r="BA273" s="295">
        <v>0</v>
      </c>
      <c r="BB273" s="295"/>
      <c r="BC273" s="295"/>
      <c r="BD273" s="295"/>
      <c r="BE273" s="724">
        <v>1500</v>
      </c>
      <c r="BF273" s="724"/>
      <c r="BG273" s="724"/>
      <c r="BH273" s="724">
        <f t="shared" si="574"/>
        <v>5605.07045333333</v>
      </c>
      <c r="BI273" s="1166"/>
      <c r="BJ273" s="1166"/>
      <c r="BK273" s="724">
        <v>34249.26</v>
      </c>
      <c r="BL273" s="724">
        <f t="shared" si="573"/>
        <v>280253.522666667</v>
      </c>
      <c r="BM273" s="724">
        <f t="shared" si="576"/>
        <v>48694.6920533333</v>
      </c>
      <c r="BN273" s="724"/>
      <c r="BO273" s="724"/>
      <c r="BP273" s="724">
        <f t="shared" si="575"/>
        <v>231558.830613333</v>
      </c>
      <c r="BQ273" s="1320"/>
      <c r="BR273" s="1321"/>
      <c r="BS273" s="1322"/>
      <c r="BT273" s="1323"/>
      <c r="BU273" s="1329"/>
      <c r="BV273" s="1321"/>
      <c r="BW273" s="1322"/>
      <c r="BX273" s="1322"/>
      <c r="BY273" s="1322"/>
      <c r="BZ273" s="1322"/>
      <c r="CA273" s="1322"/>
      <c r="CB273" s="1322"/>
      <c r="CC273" s="1320"/>
      <c r="CD273" s="1322"/>
      <c r="CE273" s="321"/>
      <c r="CF273" s="322"/>
      <c r="CG273" s="1321"/>
      <c r="CH273" s="1339"/>
      <c r="CI273" s="1322"/>
      <c r="CJ273" s="1329"/>
      <c r="CK273" s="1329"/>
      <c r="CL273" s="335"/>
      <c r="CN273" s="1263"/>
      <c r="CO273" s="1258"/>
    </row>
    <row r="274" s="1104" customFormat="1" ht="202" customHeight="1" spans="1:93">
      <c r="A274" s="1122">
        <v>271</v>
      </c>
      <c r="B274" s="1397" t="s">
        <v>747</v>
      </c>
      <c r="C274" s="1398" t="s">
        <v>398</v>
      </c>
      <c r="D274" s="1399" t="s">
        <v>125</v>
      </c>
      <c r="E274" s="1399" t="s">
        <v>208</v>
      </c>
      <c r="F274" s="1400" t="s">
        <v>165</v>
      </c>
      <c r="G274" s="1446" t="s">
        <v>748</v>
      </c>
      <c r="H274" s="1402"/>
      <c r="I274" s="1402"/>
      <c r="J274" s="1405"/>
      <c r="K274" s="1405"/>
      <c r="L274" s="1406"/>
      <c r="M274" s="1290">
        <v>242018.08</v>
      </c>
      <c r="N274" s="295">
        <f t="shared" si="572"/>
        <v>28235.4426666667</v>
      </c>
      <c r="O274" s="295">
        <v>5000</v>
      </c>
      <c r="P274" s="295"/>
      <c r="Q274" s="295"/>
      <c r="R274" s="295">
        <v>2500</v>
      </c>
      <c r="S274" s="295"/>
      <c r="T274" s="295"/>
      <c r="U274" s="295"/>
      <c r="V274" s="295"/>
      <c r="W274" s="295"/>
      <c r="X274" s="295"/>
      <c r="Y274" s="295"/>
      <c r="Z274" s="295">
        <v>2500</v>
      </c>
      <c r="AA274" s="295"/>
      <c r="AB274" s="295"/>
      <c r="AC274" s="295"/>
      <c r="AD274" s="295"/>
      <c r="AE274" s="295"/>
      <c r="AF274" s="295"/>
      <c r="AG274" s="295"/>
      <c r="AH274" s="295"/>
      <c r="AI274" s="295"/>
      <c r="AJ274" s="295"/>
      <c r="AK274" s="295"/>
      <c r="AL274" s="1140"/>
      <c r="AM274" s="295">
        <f t="shared" si="571"/>
        <v>4840.3616</v>
      </c>
      <c r="AN274" s="295">
        <v>500</v>
      </c>
      <c r="AO274" s="1302"/>
      <c r="AP274" s="1302"/>
      <c r="AQ274" s="1303"/>
      <c r="AR274" s="1303"/>
      <c r="AS274" s="1304"/>
      <c r="AT274" s="1303"/>
      <c r="AU274" s="1303"/>
      <c r="AV274" s="1151"/>
      <c r="AW274" s="1151"/>
      <c r="AX274" s="1303">
        <v>1000</v>
      </c>
      <c r="AY274" s="1161">
        <v>2000</v>
      </c>
      <c r="AZ274" s="1151"/>
      <c r="BA274" s="295">
        <v>20000</v>
      </c>
      <c r="BB274" s="295"/>
      <c r="BC274" s="295"/>
      <c r="BD274" s="295"/>
      <c r="BE274" s="724">
        <v>1500</v>
      </c>
      <c r="BF274" s="724"/>
      <c r="BG274" s="724"/>
      <c r="BH274" s="724">
        <f t="shared" si="574"/>
        <v>5605.07045333333</v>
      </c>
      <c r="BI274" s="1166"/>
      <c r="BJ274" s="1166"/>
      <c r="BK274" s="724">
        <v>34249.26</v>
      </c>
      <c r="BL274" s="724">
        <f t="shared" si="573"/>
        <v>280253.522666667</v>
      </c>
      <c r="BM274" s="724">
        <f t="shared" si="576"/>
        <v>69694.6920533333</v>
      </c>
      <c r="BN274" s="724"/>
      <c r="BO274" s="724"/>
      <c r="BP274" s="724">
        <f t="shared" si="575"/>
        <v>210558.830613333</v>
      </c>
      <c r="BQ274" s="1409"/>
      <c r="BR274" s="1410"/>
      <c r="BS274" s="1411"/>
      <c r="BT274" s="1412"/>
      <c r="BU274" s="1413"/>
      <c r="BV274" s="1410"/>
      <c r="BW274" s="1411"/>
      <c r="BX274" s="1411"/>
      <c r="BY274" s="1411"/>
      <c r="BZ274" s="1411"/>
      <c r="CA274" s="1411"/>
      <c r="CB274" s="1411"/>
      <c r="CC274" s="1409"/>
      <c r="CD274" s="1411"/>
      <c r="CE274" s="1414"/>
      <c r="CF274" s="1415"/>
      <c r="CG274" s="1410"/>
      <c r="CH274" s="1416"/>
      <c r="CI274" s="1411"/>
      <c r="CJ274" s="1413"/>
      <c r="CK274" s="1413"/>
      <c r="CL274" s="1417"/>
      <c r="CN274" s="1393"/>
      <c r="CO274" s="1418"/>
    </row>
    <row r="275" s="245" customFormat="1" ht="202" customHeight="1" spans="1:93">
      <c r="A275" s="1122">
        <v>272</v>
      </c>
      <c r="B275" s="70" t="s">
        <v>749</v>
      </c>
      <c r="C275" s="1123" t="s">
        <v>51</v>
      </c>
      <c r="D275" s="1088" t="s">
        <v>204</v>
      </c>
      <c r="E275" s="1088" t="s">
        <v>208</v>
      </c>
      <c r="F275" s="1124" t="s">
        <v>127</v>
      </c>
      <c r="G275" s="1443" t="s">
        <v>750</v>
      </c>
      <c r="H275" s="1125"/>
      <c r="I275" s="1125"/>
      <c r="J275" s="1289"/>
      <c r="K275" s="1289"/>
      <c r="L275" s="1290"/>
      <c r="M275" s="1290">
        <v>242018.08</v>
      </c>
      <c r="N275" s="295">
        <f t="shared" si="572"/>
        <v>28235.4426666667</v>
      </c>
      <c r="O275" s="295">
        <v>5000</v>
      </c>
      <c r="P275" s="295"/>
      <c r="Q275" s="295"/>
      <c r="R275" s="295">
        <v>2500</v>
      </c>
      <c r="S275" s="295"/>
      <c r="T275" s="295"/>
      <c r="U275" s="295"/>
      <c r="V275" s="295"/>
      <c r="W275" s="295"/>
      <c r="X275" s="295"/>
      <c r="Y275" s="295"/>
      <c r="Z275" s="295">
        <v>2500</v>
      </c>
      <c r="AA275" s="295"/>
      <c r="AB275" s="295"/>
      <c r="AC275" s="295"/>
      <c r="AD275" s="295"/>
      <c r="AE275" s="295"/>
      <c r="AF275" s="295"/>
      <c r="AG275" s="295"/>
      <c r="AH275" s="295"/>
      <c r="AI275" s="295"/>
      <c r="AJ275" s="295"/>
      <c r="AK275" s="295"/>
      <c r="AL275" s="1140"/>
      <c r="AM275" s="295">
        <f t="shared" si="571"/>
        <v>4840.3616</v>
      </c>
      <c r="AN275" s="295">
        <v>500</v>
      </c>
      <c r="AO275" s="1302"/>
      <c r="AP275" s="1302"/>
      <c r="AQ275" s="1303"/>
      <c r="AR275" s="1303"/>
      <c r="AS275" s="1304"/>
      <c r="AT275" s="1303"/>
      <c r="AU275" s="1303"/>
      <c r="AV275" s="1151"/>
      <c r="AW275" s="1151"/>
      <c r="AX275" s="1303">
        <v>1000</v>
      </c>
      <c r="AY275" s="1161"/>
      <c r="AZ275" s="1151">
        <v>1000</v>
      </c>
      <c r="BA275" s="295">
        <v>5000</v>
      </c>
      <c r="BB275" s="295"/>
      <c r="BC275" s="295"/>
      <c r="BD275" s="295"/>
      <c r="BE275" s="724">
        <v>1500</v>
      </c>
      <c r="BF275" s="724"/>
      <c r="BG275" s="724"/>
      <c r="BH275" s="724">
        <f t="shared" si="574"/>
        <v>5605.07045333333</v>
      </c>
      <c r="BI275" s="1166"/>
      <c r="BJ275" s="1166"/>
      <c r="BK275" s="724">
        <v>34249.26</v>
      </c>
      <c r="BL275" s="724">
        <f t="shared" si="573"/>
        <v>280253.522666667</v>
      </c>
      <c r="BM275" s="724">
        <f t="shared" si="576"/>
        <v>53694.6920533333</v>
      </c>
      <c r="BN275" s="724"/>
      <c r="BO275" s="724"/>
      <c r="BP275" s="724">
        <f t="shared" si="575"/>
        <v>226558.830613333</v>
      </c>
      <c r="BQ275" s="1320"/>
      <c r="BR275" s="1321"/>
      <c r="BS275" s="1322"/>
      <c r="BT275" s="1323"/>
      <c r="BU275" s="1329"/>
      <c r="BV275" s="1321"/>
      <c r="BW275" s="1322"/>
      <c r="BX275" s="1322"/>
      <c r="BY275" s="1322"/>
      <c r="BZ275" s="1322"/>
      <c r="CA275" s="1322"/>
      <c r="CB275" s="1322"/>
      <c r="CC275" s="1320"/>
      <c r="CD275" s="1322"/>
      <c r="CE275" s="321"/>
      <c r="CF275" s="322"/>
      <c r="CG275" s="1321"/>
      <c r="CH275" s="1339"/>
      <c r="CI275" s="1322"/>
      <c r="CJ275" s="1329"/>
      <c r="CK275" s="1329"/>
      <c r="CL275" s="335"/>
      <c r="CN275" s="1263"/>
      <c r="CO275" s="1258"/>
    </row>
    <row r="276" s="245" customFormat="1" ht="202" customHeight="1" spans="1:93">
      <c r="A276" s="1122">
        <v>273</v>
      </c>
      <c r="B276" s="70" t="s">
        <v>751</v>
      </c>
      <c r="C276" s="1123" t="s">
        <v>606</v>
      </c>
      <c r="D276" s="1088" t="s">
        <v>204</v>
      </c>
      <c r="E276" s="1088" t="s">
        <v>208</v>
      </c>
      <c r="F276" s="1124" t="s">
        <v>127</v>
      </c>
      <c r="G276" s="1443" t="s">
        <v>752</v>
      </c>
      <c r="H276" s="1125"/>
      <c r="I276" s="1125"/>
      <c r="J276" s="1289"/>
      <c r="K276" s="1289"/>
      <c r="L276" s="1290"/>
      <c r="M276" s="1290">
        <v>242018.08</v>
      </c>
      <c r="N276" s="295">
        <f t="shared" si="572"/>
        <v>28235.4426666667</v>
      </c>
      <c r="O276" s="295">
        <v>5000</v>
      </c>
      <c r="P276" s="295"/>
      <c r="Q276" s="295"/>
      <c r="R276" s="295">
        <v>2500</v>
      </c>
      <c r="S276" s="295"/>
      <c r="T276" s="295"/>
      <c r="U276" s="295"/>
      <c r="V276" s="295"/>
      <c r="W276" s="295"/>
      <c r="X276" s="295"/>
      <c r="Y276" s="295"/>
      <c r="Z276" s="295">
        <v>2500</v>
      </c>
      <c r="AA276" s="295"/>
      <c r="AB276" s="295"/>
      <c r="AC276" s="295"/>
      <c r="AD276" s="295"/>
      <c r="AE276" s="295"/>
      <c r="AF276" s="295"/>
      <c r="AG276" s="295"/>
      <c r="AH276" s="295"/>
      <c r="AI276" s="295"/>
      <c r="AJ276" s="295"/>
      <c r="AK276" s="295"/>
      <c r="AL276" s="1140"/>
      <c r="AM276" s="295">
        <f t="shared" si="571"/>
        <v>4840.3616</v>
      </c>
      <c r="AN276" s="295">
        <v>500</v>
      </c>
      <c r="AO276" s="1302"/>
      <c r="AP276" s="1302"/>
      <c r="AQ276" s="1303"/>
      <c r="AR276" s="1303"/>
      <c r="AS276" s="1304"/>
      <c r="AT276" s="1303"/>
      <c r="AU276" s="1303"/>
      <c r="AV276" s="1151"/>
      <c r="AW276" s="1151">
        <v>1000</v>
      </c>
      <c r="AX276" s="1303"/>
      <c r="AY276" s="1161"/>
      <c r="AZ276" s="1151"/>
      <c r="BA276" s="295">
        <v>10000</v>
      </c>
      <c r="BB276" s="295"/>
      <c r="BC276" s="295"/>
      <c r="BD276" s="295"/>
      <c r="BE276" s="724">
        <v>1500</v>
      </c>
      <c r="BF276" s="724"/>
      <c r="BG276" s="724"/>
      <c r="BH276" s="724">
        <f t="shared" si="574"/>
        <v>5605.07045333333</v>
      </c>
      <c r="BI276" s="1166"/>
      <c r="BJ276" s="1166"/>
      <c r="BK276" s="724">
        <v>34249.26</v>
      </c>
      <c r="BL276" s="724">
        <f t="shared" si="573"/>
        <v>280253.522666667</v>
      </c>
      <c r="BM276" s="724">
        <f t="shared" si="576"/>
        <v>57694.6920533333</v>
      </c>
      <c r="BN276" s="724"/>
      <c r="BO276" s="724"/>
      <c r="BP276" s="724">
        <f t="shared" si="575"/>
        <v>222558.830613333</v>
      </c>
      <c r="BQ276" s="1320"/>
      <c r="BR276" s="1321"/>
      <c r="BS276" s="1322"/>
      <c r="BT276" s="1323"/>
      <c r="BU276" s="1329"/>
      <c r="BV276" s="1321"/>
      <c r="BW276" s="1322"/>
      <c r="BX276" s="1322"/>
      <c r="BY276" s="1322"/>
      <c r="BZ276" s="1322"/>
      <c r="CA276" s="1322"/>
      <c r="CB276" s="1322"/>
      <c r="CC276" s="1320"/>
      <c r="CD276" s="1322"/>
      <c r="CE276" s="321"/>
      <c r="CF276" s="322"/>
      <c r="CG276" s="1321"/>
      <c r="CH276" s="1339"/>
      <c r="CI276" s="1322"/>
      <c r="CJ276" s="1329"/>
      <c r="CK276" s="1329"/>
      <c r="CL276" s="335"/>
      <c r="CN276" s="1263"/>
      <c r="CO276" s="1258"/>
    </row>
    <row r="277" s="245" customFormat="1" ht="202" customHeight="1" spans="1:93">
      <c r="A277" s="1122">
        <v>274</v>
      </c>
      <c r="B277" s="70" t="s">
        <v>753</v>
      </c>
      <c r="C277" s="1123" t="s">
        <v>561</v>
      </c>
      <c r="D277" s="1088" t="s">
        <v>204</v>
      </c>
      <c r="E277" s="1088" t="s">
        <v>208</v>
      </c>
      <c r="F277" s="1124" t="s">
        <v>101</v>
      </c>
      <c r="G277" s="1443" t="s">
        <v>754</v>
      </c>
      <c r="H277" s="1125"/>
      <c r="I277" s="1125"/>
      <c r="J277" s="1289"/>
      <c r="K277" s="1289"/>
      <c r="L277" s="1290"/>
      <c r="M277" s="1290">
        <v>242018.08</v>
      </c>
      <c r="N277" s="295">
        <f t="shared" si="572"/>
        <v>28235.4426666667</v>
      </c>
      <c r="O277" s="295">
        <v>5000</v>
      </c>
      <c r="P277" s="295"/>
      <c r="Q277" s="295"/>
      <c r="R277" s="295">
        <v>2500</v>
      </c>
      <c r="S277" s="295"/>
      <c r="T277" s="295"/>
      <c r="U277" s="295"/>
      <c r="V277" s="295"/>
      <c r="W277" s="295"/>
      <c r="X277" s="295"/>
      <c r="Y277" s="295"/>
      <c r="Z277" s="295">
        <v>2500</v>
      </c>
      <c r="AA277" s="295"/>
      <c r="AB277" s="295"/>
      <c r="AC277" s="295"/>
      <c r="AD277" s="295"/>
      <c r="AE277" s="295"/>
      <c r="AF277" s="295"/>
      <c r="AG277" s="295"/>
      <c r="AH277" s="295"/>
      <c r="AI277" s="295"/>
      <c r="AJ277" s="295"/>
      <c r="AK277" s="295"/>
      <c r="AL277" s="1140"/>
      <c r="AM277" s="295">
        <f t="shared" si="571"/>
        <v>4840.3616</v>
      </c>
      <c r="AN277" s="295">
        <v>500</v>
      </c>
      <c r="AO277" s="1302"/>
      <c r="AP277" s="1302"/>
      <c r="AQ277" s="1303"/>
      <c r="AR277" s="1303"/>
      <c r="AS277" s="1304"/>
      <c r="AT277" s="1303"/>
      <c r="AU277" s="1303"/>
      <c r="AV277" s="1151"/>
      <c r="AW277" s="1151"/>
      <c r="AX277" s="1303"/>
      <c r="AY277" s="1161"/>
      <c r="AZ277" s="1151"/>
      <c r="BA277" s="295">
        <v>0</v>
      </c>
      <c r="BB277" s="295"/>
      <c r="BC277" s="295"/>
      <c r="BD277" s="295"/>
      <c r="BE277" s="724">
        <v>1500</v>
      </c>
      <c r="BF277" s="724"/>
      <c r="BG277" s="724"/>
      <c r="BH277" s="724">
        <f t="shared" si="574"/>
        <v>5605.07045333333</v>
      </c>
      <c r="BI277" s="1166"/>
      <c r="BJ277" s="1166"/>
      <c r="BK277" s="724">
        <v>34249.26</v>
      </c>
      <c r="BL277" s="724">
        <f t="shared" si="573"/>
        <v>280253.522666667</v>
      </c>
      <c r="BM277" s="724">
        <f t="shared" si="576"/>
        <v>46694.6920533333</v>
      </c>
      <c r="BN277" s="724"/>
      <c r="BO277" s="724"/>
      <c r="BP277" s="724">
        <f t="shared" si="575"/>
        <v>233558.830613333</v>
      </c>
      <c r="BQ277" s="1320"/>
      <c r="BR277" s="1321"/>
      <c r="BS277" s="1322"/>
      <c r="BT277" s="1323"/>
      <c r="BU277" s="1329"/>
      <c r="BV277" s="1321"/>
      <c r="BW277" s="1322"/>
      <c r="BX277" s="1322"/>
      <c r="BY277" s="1322"/>
      <c r="BZ277" s="1322"/>
      <c r="CA277" s="1322"/>
      <c r="CB277" s="1322"/>
      <c r="CC277" s="1320"/>
      <c r="CD277" s="1322"/>
      <c r="CE277" s="321"/>
      <c r="CF277" s="322"/>
      <c r="CG277" s="1321"/>
      <c r="CH277" s="1339"/>
      <c r="CI277" s="1322"/>
      <c r="CJ277" s="1329"/>
      <c r="CK277" s="1329"/>
      <c r="CL277" s="335"/>
      <c r="CN277" s="1263"/>
      <c r="CO277" s="1258"/>
    </row>
    <row r="278" s="245" customFormat="1" ht="202" customHeight="1" spans="1:93">
      <c r="A278" s="1122">
        <v>275</v>
      </c>
      <c r="B278" s="70" t="s">
        <v>755</v>
      </c>
      <c r="C278" s="1123" t="s">
        <v>590</v>
      </c>
      <c r="D278" s="1088" t="s">
        <v>204</v>
      </c>
      <c r="E278" s="1088" t="s">
        <v>208</v>
      </c>
      <c r="F278" s="1124" t="s">
        <v>101</v>
      </c>
      <c r="G278" s="1443" t="s">
        <v>756</v>
      </c>
      <c r="H278" s="1125"/>
      <c r="I278" s="1125"/>
      <c r="J278" s="1289"/>
      <c r="K278" s="1289"/>
      <c r="L278" s="1290"/>
      <c r="M278" s="1290">
        <v>242018.08</v>
      </c>
      <c r="N278" s="295">
        <f t="shared" si="572"/>
        <v>28235.4426666667</v>
      </c>
      <c r="O278" s="295">
        <v>5000</v>
      </c>
      <c r="P278" s="295"/>
      <c r="Q278" s="295"/>
      <c r="R278" s="295">
        <v>2500</v>
      </c>
      <c r="S278" s="295"/>
      <c r="T278" s="295"/>
      <c r="U278" s="295"/>
      <c r="V278" s="295"/>
      <c r="W278" s="295"/>
      <c r="X278" s="295"/>
      <c r="Y278" s="295"/>
      <c r="Z278" s="295">
        <v>2500</v>
      </c>
      <c r="AA278" s="295"/>
      <c r="AB278" s="295"/>
      <c r="AC278" s="295"/>
      <c r="AD278" s="295"/>
      <c r="AE278" s="295"/>
      <c r="AF278" s="295"/>
      <c r="AG278" s="295"/>
      <c r="AH278" s="295"/>
      <c r="AI278" s="295"/>
      <c r="AJ278" s="295"/>
      <c r="AK278" s="295"/>
      <c r="AL278" s="1140"/>
      <c r="AM278" s="295">
        <f t="shared" si="571"/>
        <v>4840.3616</v>
      </c>
      <c r="AN278" s="295">
        <v>500</v>
      </c>
      <c r="AO278" s="1302"/>
      <c r="AP278" s="1302"/>
      <c r="AQ278" s="1303"/>
      <c r="AR278" s="1303"/>
      <c r="AS278" s="1304"/>
      <c r="AT278" s="1303"/>
      <c r="AU278" s="1303"/>
      <c r="AV278" s="1151"/>
      <c r="AW278" s="1151">
        <v>1000</v>
      </c>
      <c r="AX278" s="1303"/>
      <c r="AY278" s="1161"/>
      <c r="AZ278" s="1151"/>
      <c r="BA278" s="295">
        <v>0</v>
      </c>
      <c r="BB278" s="295"/>
      <c r="BC278" s="295"/>
      <c r="BD278" s="295"/>
      <c r="BE278" s="724">
        <v>1500</v>
      </c>
      <c r="BF278" s="724"/>
      <c r="BG278" s="724"/>
      <c r="BH278" s="724">
        <f t="shared" si="574"/>
        <v>5605.07045333333</v>
      </c>
      <c r="BI278" s="1166"/>
      <c r="BJ278" s="1166"/>
      <c r="BK278" s="724">
        <v>34249.26</v>
      </c>
      <c r="BL278" s="724">
        <f t="shared" si="573"/>
        <v>280253.522666667</v>
      </c>
      <c r="BM278" s="724">
        <f t="shared" si="576"/>
        <v>47694.6920533333</v>
      </c>
      <c r="BN278" s="724"/>
      <c r="BO278" s="724"/>
      <c r="BP278" s="724">
        <f t="shared" si="575"/>
        <v>232558.830613333</v>
      </c>
      <c r="BQ278" s="1320"/>
      <c r="BR278" s="1321"/>
      <c r="BS278" s="1322"/>
      <c r="BT278" s="1323"/>
      <c r="BU278" s="1329"/>
      <c r="BV278" s="1321"/>
      <c r="BW278" s="1322"/>
      <c r="BX278" s="1322"/>
      <c r="BY278" s="1322"/>
      <c r="BZ278" s="1322"/>
      <c r="CA278" s="1322"/>
      <c r="CB278" s="1322"/>
      <c r="CC278" s="1320"/>
      <c r="CD278" s="1322"/>
      <c r="CE278" s="321"/>
      <c r="CF278" s="322"/>
      <c r="CG278" s="1321"/>
      <c r="CH278" s="1339"/>
      <c r="CI278" s="1322"/>
      <c r="CJ278" s="1329"/>
      <c r="CK278" s="1329"/>
      <c r="CL278" s="335"/>
      <c r="CN278" s="1263"/>
      <c r="CO278" s="1258"/>
    </row>
    <row r="279" s="245" customFormat="1" ht="202" customHeight="1" spans="1:93">
      <c r="A279" s="1122">
        <v>276</v>
      </c>
      <c r="B279" s="70" t="s">
        <v>757</v>
      </c>
      <c r="C279" s="1123" t="s">
        <v>51</v>
      </c>
      <c r="D279" s="1088" t="s">
        <v>204</v>
      </c>
      <c r="E279" s="1088" t="s">
        <v>208</v>
      </c>
      <c r="F279" s="1124" t="s">
        <v>113</v>
      </c>
      <c r="G279" s="1443" t="s">
        <v>758</v>
      </c>
      <c r="H279" s="1125"/>
      <c r="I279" s="1125"/>
      <c r="J279" s="1289"/>
      <c r="K279" s="1289"/>
      <c r="L279" s="1290"/>
      <c r="M279" s="1290">
        <v>242018.08</v>
      </c>
      <c r="N279" s="295">
        <f t="shared" si="572"/>
        <v>28235.4426666667</v>
      </c>
      <c r="O279" s="295">
        <v>5000</v>
      </c>
      <c r="P279" s="295"/>
      <c r="Q279" s="295"/>
      <c r="R279" s="295">
        <v>2500</v>
      </c>
      <c r="S279" s="295"/>
      <c r="T279" s="295"/>
      <c r="U279" s="295"/>
      <c r="V279" s="295"/>
      <c r="W279" s="295"/>
      <c r="X279" s="295"/>
      <c r="Y279" s="295"/>
      <c r="Z279" s="295">
        <v>2500</v>
      </c>
      <c r="AA279" s="295"/>
      <c r="AB279" s="295"/>
      <c r="AC279" s="295"/>
      <c r="AD279" s="295"/>
      <c r="AE279" s="295"/>
      <c r="AF279" s="295"/>
      <c r="AG279" s="295"/>
      <c r="AH279" s="295"/>
      <c r="AI279" s="295"/>
      <c r="AJ279" s="295"/>
      <c r="AK279" s="295"/>
      <c r="AL279" s="1140"/>
      <c r="AM279" s="295">
        <f t="shared" si="571"/>
        <v>4840.3616</v>
      </c>
      <c r="AN279" s="295">
        <v>500</v>
      </c>
      <c r="AO279" s="1302"/>
      <c r="AP279" s="1407">
        <v>40000</v>
      </c>
      <c r="AQ279" s="1303"/>
      <c r="AR279" s="1303"/>
      <c r="AS279" s="1304"/>
      <c r="AT279" s="1303"/>
      <c r="AU279" s="1303"/>
      <c r="AV279" s="1151"/>
      <c r="AW279" s="1151"/>
      <c r="AX279" s="1303"/>
      <c r="AY279" s="1161"/>
      <c r="AZ279" s="1151">
        <v>1000</v>
      </c>
      <c r="BA279" s="295">
        <v>10000</v>
      </c>
      <c r="BB279" s="295"/>
      <c r="BC279" s="295"/>
      <c r="BD279" s="295"/>
      <c r="BE279" s="724">
        <v>1500</v>
      </c>
      <c r="BF279" s="724"/>
      <c r="BG279" s="724"/>
      <c r="BH279" s="724">
        <f t="shared" si="574"/>
        <v>5605.07045333333</v>
      </c>
      <c r="BI279" s="1166"/>
      <c r="BJ279" s="1166"/>
      <c r="BK279" s="724">
        <v>34249.26</v>
      </c>
      <c r="BL279" s="724">
        <f t="shared" si="573"/>
        <v>280253.522666667</v>
      </c>
      <c r="BM279" s="724">
        <f t="shared" si="576"/>
        <v>97694.6920533333</v>
      </c>
      <c r="BN279" s="724"/>
      <c r="BO279" s="724"/>
      <c r="BP279" s="724">
        <f t="shared" si="575"/>
        <v>182558.830613333</v>
      </c>
      <c r="BQ279" s="1320"/>
      <c r="BR279" s="1321"/>
      <c r="BS279" s="1322"/>
      <c r="BT279" s="1323"/>
      <c r="BU279" s="1329"/>
      <c r="BV279" s="1321"/>
      <c r="BW279" s="1322"/>
      <c r="BX279" s="1322"/>
      <c r="BY279" s="1322"/>
      <c r="BZ279" s="1322"/>
      <c r="CA279" s="1322"/>
      <c r="CB279" s="1322"/>
      <c r="CC279" s="1320"/>
      <c r="CD279" s="1322"/>
      <c r="CE279" s="321"/>
      <c r="CF279" s="322"/>
      <c r="CG279" s="1321"/>
      <c r="CH279" s="1339"/>
      <c r="CI279" s="1322"/>
      <c r="CJ279" s="1329"/>
      <c r="CK279" s="1329"/>
      <c r="CL279" s="335"/>
      <c r="CN279" s="1263"/>
      <c r="CO279" s="1258"/>
    </row>
    <row r="280" s="245" customFormat="1" ht="202" customHeight="1" spans="1:93">
      <c r="A280" s="1122">
        <v>277</v>
      </c>
      <c r="B280" s="70" t="s">
        <v>759</v>
      </c>
      <c r="C280" s="1123" t="s">
        <v>160</v>
      </c>
      <c r="D280" s="1088" t="s">
        <v>204</v>
      </c>
      <c r="E280" s="1088" t="s">
        <v>208</v>
      </c>
      <c r="F280" s="1124" t="s">
        <v>127</v>
      </c>
      <c r="G280" s="1443" t="s">
        <v>760</v>
      </c>
      <c r="H280" s="1125"/>
      <c r="I280" s="1125"/>
      <c r="J280" s="1289"/>
      <c r="K280" s="1289"/>
      <c r="L280" s="1290"/>
      <c r="M280" s="1290">
        <v>242018.08</v>
      </c>
      <c r="N280" s="295">
        <f t="shared" si="572"/>
        <v>28235.4426666667</v>
      </c>
      <c r="O280" s="295">
        <v>5000</v>
      </c>
      <c r="P280" s="295"/>
      <c r="Q280" s="295"/>
      <c r="R280" s="295">
        <v>2500</v>
      </c>
      <c r="S280" s="295"/>
      <c r="T280" s="295"/>
      <c r="U280" s="295"/>
      <c r="V280" s="295"/>
      <c r="W280" s="295"/>
      <c r="X280" s="295"/>
      <c r="Y280" s="295"/>
      <c r="Z280" s="295">
        <v>2500</v>
      </c>
      <c r="AA280" s="295"/>
      <c r="AB280" s="295"/>
      <c r="AC280" s="295"/>
      <c r="AD280" s="295"/>
      <c r="AE280" s="295"/>
      <c r="AF280" s="295"/>
      <c r="AG280" s="295"/>
      <c r="AH280" s="295"/>
      <c r="AI280" s="295"/>
      <c r="AJ280" s="295"/>
      <c r="AK280" s="295"/>
      <c r="AL280" s="1140"/>
      <c r="AM280" s="295">
        <f t="shared" si="571"/>
        <v>4840.3616</v>
      </c>
      <c r="AN280" s="295">
        <v>500</v>
      </c>
      <c r="AO280" s="1302"/>
      <c r="AP280" s="1302"/>
      <c r="AQ280" s="1303"/>
      <c r="AR280" s="1303"/>
      <c r="AS280" s="1304"/>
      <c r="AT280" s="1303"/>
      <c r="AU280" s="1303"/>
      <c r="AV280" s="1151"/>
      <c r="AW280" s="1151">
        <v>1000</v>
      </c>
      <c r="AX280" s="1303"/>
      <c r="AY280" s="1161"/>
      <c r="AZ280" s="1151"/>
      <c r="BA280" s="295">
        <v>0</v>
      </c>
      <c r="BB280" s="295"/>
      <c r="BC280" s="295"/>
      <c r="BD280" s="295"/>
      <c r="BE280" s="724">
        <v>1500</v>
      </c>
      <c r="BF280" s="724"/>
      <c r="BG280" s="724"/>
      <c r="BH280" s="724">
        <f t="shared" si="574"/>
        <v>5605.07045333333</v>
      </c>
      <c r="BI280" s="1166"/>
      <c r="BJ280" s="1166"/>
      <c r="BK280" s="724">
        <v>34249.26</v>
      </c>
      <c r="BL280" s="724">
        <f t="shared" si="573"/>
        <v>280253.522666667</v>
      </c>
      <c r="BM280" s="724">
        <f t="shared" si="576"/>
        <v>47694.6920533333</v>
      </c>
      <c r="BN280" s="724"/>
      <c r="BO280" s="724"/>
      <c r="BP280" s="724">
        <f t="shared" si="575"/>
        <v>232558.830613333</v>
      </c>
      <c r="BQ280" s="1320"/>
      <c r="BR280" s="1321"/>
      <c r="BS280" s="1322"/>
      <c r="BT280" s="1323"/>
      <c r="BU280" s="1329"/>
      <c r="BV280" s="1321"/>
      <c r="BW280" s="1322"/>
      <c r="BX280" s="1322"/>
      <c r="BY280" s="1322"/>
      <c r="BZ280" s="1322"/>
      <c r="CA280" s="1322"/>
      <c r="CB280" s="1322"/>
      <c r="CC280" s="1320"/>
      <c r="CD280" s="1322"/>
      <c r="CE280" s="321"/>
      <c r="CF280" s="322"/>
      <c r="CG280" s="1321"/>
      <c r="CH280" s="1339"/>
      <c r="CI280" s="1322"/>
      <c r="CJ280" s="1329"/>
      <c r="CK280" s="1329"/>
      <c r="CL280" s="335"/>
      <c r="CN280" s="1263"/>
      <c r="CO280" s="1258"/>
    </row>
    <row r="281" s="245" customFormat="1" ht="202" customHeight="1" spans="1:93">
      <c r="A281" s="1122">
        <v>278</v>
      </c>
      <c r="B281" s="70" t="s">
        <v>761</v>
      </c>
      <c r="C281" s="1123" t="s">
        <v>398</v>
      </c>
      <c r="D281" s="1088" t="s">
        <v>130</v>
      </c>
      <c r="E281" s="1088" t="s">
        <v>272</v>
      </c>
      <c r="F281" s="1124" t="s">
        <v>93</v>
      </c>
      <c r="G281" s="1443" t="s">
        <v>762</v>
      </c>
      <c r="H281" s="1125"/>
      <c r="I281" s="1125"/>
      <c r="J281" s="1289"/>
      <c r="K281" s="1289"/>
      <c r="L281" s="1290"/>
      <c r="M281" s="1290">
        <v>300883.83</v>
      </c>
      <c r="N281" s="295">
        <f t="shared" si="572"/>
        <v>35103.1135</v>
      </c>
      <c r="O281" s="295">
        <v>5000</v>
      </c>
      <c r="P281" s="295"/>
      <c r="Q281" s="295"/>
      <c r="R281" s="295">
        <v>2500</v>
      </c>
      <c r="S281" s="295"/>
      <c r="T281" s="295"/>
      <c r="U281" s="295"/>
      <c r="V281" s="295"/>
      <c r="W281" s="295"/>
      <c r="X281" s="295"/>
      <c r="Y281" s="295"/>
      <c r="Z281" s="295">
        <v>2500</v>
      </c>
      <c r="AA281" s="295"/>
      <c r="AB281" s="295"/>
      <c r="AC281" s="295"/>
      <c r="AD281" s="295"/>
      <c r="AE281" s="295"/>
      <c r="AF281" s="295"/>
      <c r="AG281" s="295"/>
      <c r="AH281" s="295"/>
      <c r="AI281" s="295"/>
      <c r="AJ281" s="295"/>
      <c r="AK281" s="295"/>
      <c r="AL281" s="1140"/>
      <c r="AM281" s="295">
        <f t="shared" si="571"/>
        <v>6017.6766</v>
      </c>
      <c r="AN281" s="295">
        <v>500</v>
      </c>
      <c r="AO281" s="1302"/>
      <c r="AP281" s="1302"/>
      <c r="AQ281" s="1303"/>
      <c r="AR281" s="1303"/>
      <c r="AS281" s="1304"/>
      <c r="AT281" s="1303"/>
      <c r="AU281" s="1303"/>
      <c r="AV281" s="1151"/>
      <c r="AW281" s="1151"/>
      <c r="AX281" s="1303">
        <v>1000</v>
      </c>
      <c r="AY281" s="1161"/>
      <c r="AZ281" s="1151"/>
      <c r="BA281" s="295">
        <v>0</v>
      </c>
      <c r="BB281" s="295"/>
      <c r="BC281" s="295"/>
      <c r="BD281" s="295"/>
      <c r="BE281" s="724">
        <v>1500</v>
      </c>
      <c r="BF281" s="724"/>
      <c r="BG281" s="724"/>
      <c r="BH281" s="724">
        <f t="shared" si="574"/>
        <v>6919.73887</v>
      </c>
      <c r="BI281" s="1166"/>
      <c r="BJ281" s="1166"/>
      <c r="BK281" s="724">
        <v>45292.47</v>
      </c>
      <c r="BL281" s="724">
        <f t="shared" si="573"/>
        <v>345986.9435</v>
      </c>
      <c r="BM281" s="724">
        <f t="shared" si="576"/>
        <v>61229.88547</v>
      </c>
      <c r="BN281" s="724"/>
      <c r="BO281" s="724"/>
      <c r="BP281" s="724">
        <f t="shared" si="575"/>
        <v>284757.05803</v>
      </c>
      <c r="BQ281" s="1320"/>
      <c r="BR281" s="1321"/>
      <c r="BS281" s="1322"/>
      <c r="BT281" s="1323"/>
      <c r="BU281" s="1329"/>
      <c r="BV281" s="1321"/>
      <c r="BW281" s="1322"/>
      <c r="BX281" s="1322"/>
      <c r="BY281" s="1322"/>
      <c r="BZ281" s="1322"/>
      <c r="CA281" s="1322"/>
      <c r="CB281" s="1322"/>
      <c r="CC281" s="1320"/>
      <c r="CD281" s="1322"/>
      <c r="CE281" s="321"/>
      <c r="CF281" s="322"/>
      <c r="CG281" s="1321"/>
      <c r="CH281" s="1339"/>
      <c r="CI281" s="1322"/>
      <c r="CJ281" s="1329"/>
      <c r="CK281" s="1329"/>
      <c r="CL281" s="335"/>
      <c r="CN281" s="1263"/>
      <c r="CO281" s="1258"/>
    </row>
    <row r="282" s="245" customFormat="1" ht="202" customHeight="1" spans="1:93">
      <c r="A282" s="1122">
        <v>279</v>
      </c>
      <c r="B282" s="70" t="s">
        <v>763</v>
      </c>
      <c r="C282" s="1123" t="s">
        <v>657</v>
      </c>
      <c r="D282" s="1088" t="s">
        <v>130</v>
      </c>
      <c r="E282" s="1088" t="s">
        <v>218</v>
      </c>
      <c r="F282" s="1124" t="s">
        <v>113</v>
      </c>
      <c r="G282" s="1443" t="s">
        <v>764</v>
      </c>
      <c r="H282" s="1125"/>
      <c r="I282" s="1125"/>
      <c r="J282" s="1289"/>
      <c r="K282" s="1289"/>
      <c r="L282" s="1290"/>
      <c r="M282" s="1290">
        <v>291750.83</v>
      </c>
      <c r="N282" s="295">
        <f t="shared" si="572"/>
        <v>34037.5968333333</v>
      </c>
      <c r="O282" s="295">
        <v>5000</v>
      </c>
      <c r="P282" s="295"/>
      <c r="Q282" s="295"/>
      <c r="R282" s="295">
        <v>2500</v>
      </c>
      <c r="S282" s="295"/>
      <c r="T282" s="295"/>
      <c r="U282" s="295"/>
      <c r="V282" s="295"/>
      <c r="W282" s="295"/>
      <c r="X282" s="295"/>
      <c r="Y282" s="295"/>
      <c r="Z282" s="295">
        <v>2500</v>
      </c>
      <c r="AA282" s="295"/>
      <c r="AB282" s="295"/>
      <c r="AC282" s="295"/>
      <c r="AD282" s="295"/>
      <c r="AE282" s="295"/>
      <c r="AF282" s="295"/>
      <c r="AG282" s="295"/>
      <c r="AH282" s="295"/>
      <c r="AI282" s="295"/>
      <c r="AJ282" s="295"/>
      <c r="AK282" s="295"/>
      <c r="AL282" s="1140"/>
      <c r="AM282" s="295">
        <f t="shared" si="571"/>
        <v>5835.0166</v>
      </c>
      <c r="AN282" s="295">
        <v>500</v>
      </c>
      <c r="AO282" s="1302"/>
      <c r="AP282" s="1302"/>
      <c r="AQ282" s="1303">
        <v>1000</v>
      </c>
      <c r="AR282" s="1303"/>
      <c r="AS282" s="1304"/>
      <c r="AT282" s="1303"/>
      <c r="AU282" s="1303"/>
      <c r="AV282" s="1151"/>
      <c r="AW282" s="1151"/>
      <c r="AX282" s="1303"/>
      <c r="AY282" s="1161"/>
      <c r="AZ282" s="1151"/>
      <c r="BA282" s="295">
        <v>0</v>
      </c>
      <c r="BB282" s="295"/>
      <c r="BC282" s="295"/>
      <c r="BD282" s="295"/>
      <c r="BE282" s="724">
        <v>1500</v>
      </c>
      <c r="BF282" s="724"/>
      <c r="BG282" s="724"/>
      <c r="BH282" s="724">
        <f t="shared" si="574"/>
        <v>6715.76853666667</v>
      </c>
      <c r="BI282" s="1166"/>
      <c r="BJ282" s="1166"/>
      <c r="BK282" s="724">
        <v>43579.12</v>
      </c>
      <c r="BL282" s="724">
        <f t="shared" si="573"/>
        <v>335788.426833333</v>
      </c>
      <c r="BM282" s="724">
        <f t="shared" si="576"/>
        <v>59129.9051366667</v>
      </c>
      <c r="BN282" s="724"/>
      <c r="BO282" s="724"/>
      <c r="BP282" s="724">
        <f t="shared" si="575"/>
        <v>276658.521696667</v>
      </c>
      <c r="BQ282" s="1320"/>
      <c r="BR282" s="1321"/>
      <c r="BS282" s="1322"/>
      <c r="BT282" s="1323"/>
      <c r="BU282" s="1329"/>
      <c r="BV282" s="1321"/>
      <c r="BW282" s="1322"/>
      <c r="BX282" s="1322"/>
      <c r="BY282" s="1322"/>
      <c r="BZ282" s="1322"/>
      <c r="CA282" s="1322"/>
      <c r="CB282" s="1322"/>
      <c r="CC282" s="1320"/>
      <c r="CD282" s="1322"/>
      <c r="CE282" s="321"/>
      <c r="CF282" s="322"/>
      <c r="CG282" s="1321"/>
      <c r="CH282" s="1339"/>
      <c r="CI282" s="1322"/>
      <c r="CJ282" s="1329"/>
      <c r="CK282" s="1329"/>
      <c r="CL282" s="335"/>
      <c r="CN282" s="1263"/>
      <c r="CO282" s="1258"/>
    </row>
    <row r="283" s="245" customFormat="1" ht="202" customHeight="1" spans="1:93">
      <c r="A283" s="1122">
        <v>280</v>
      </c>
      <c r="B283" s="70" t="s">
        <v>765</v>
      </c>
      <c r="C283" s="1123" t="s">
        <v>275</v>
      </c>
      <c r="D283" s="1088" t="s">
        <v>130</v>
      </c>
      <c r="E283" s="1088" t="s">
        <v>218</v>
      </c>
      <c r="F283" s="1124" t="s">
        <v>97</v>
      </c>
      <c r="G283" s="1443" t="s">
        <v>766</v>
      </c>
      <c r="H283" s="1125"/>
      <c r="I283" s="1125"/>
      <c r="J283" s="1289"/>
      <c r="K283" s="1289"/>
      <c r="L283" s="1290"/>
      <c r="M283" s="1290">
        <v>291750.83</v>
      </c>
      <c r="N283" s="295">
        <f t="shared" si="572"/>
        <v>34037.5968333333</v>
      </c>
      <c r="O283" s="295">
        <v>5000</v>
      </c>
      <c r="P283" s="295"/>
      <c r="Q283" s="295"/>
      <c r="R283" s="295">
        <v>2500</v>
      </c>
      <c r="S283" s="295"/>
      <c r="T283" s="295"/>
      <c r="U283" s="295"/>
      <c r="V283" s="295"/>
      <c r="W283" s="295"/>
      <c r="X283" s="295"/>
      <c r="Y283" s="295"/>
      <c r="Z283" s="295">
        <v>2500</v>
      </c>
      <c r="AA283" s="295"/>
      <c r="AB283" s="295"/>
      <c r="AC283" s="295"/>
      <c r="AD283" s="295"/>
      <c r="AE283" s="295"/>
      <c r="AF283" s="295"/>
      <c r="AG283" s="295"/>
      <c r="AH283" s="295"/>
      <c r="AI283" s="295"/>
      <c r="AJ283" s="295"/>
      <c r="AK283" s="295"/>
      <c r="AL283" s="1140"/>
      <c r="AM283" s="295">
        <f t="shared" si="571"/>
        <v>5835.0166</v>
      </c>
      <c r="AN283" s="295">
        <v>500</v>
      </c>
      <c r="AO283" s="1302"/>
      <c r="AP283" s="1302"/>
      <c r="AQ283" s="1303">
        <v>1000</v>
      </c>
      <c r="AR283" s="1303"/>
      <c r="AS283" s="1304"/>
      <c r="AT283" s="1303"/>
      <c r="AU283" s="1303"/>
      <c r="AV283" s="1151"/>
      <c r="AW283" s="1151"/>
      <c r="AX283" s="1303">
        <v>1000</v>
      </c>
      <c r="AY283" s="1161"/>
      <c r="AZ283" s="1151"/>
      <c r="BA283" s="295">
        <v>0</v>
      </c>
      <c r="BB283" s="295"/>
      <c r="BC283" s="295"/>
      <c r="BD283" s="295"/>
      <c r="BE283" s="724">
        <v>1500</v>
      </c>
      <c r="BF283" s="724"/>
      <c r="BG283" s="724"/>
      <c r="BH283" s="724">
        <f t="shared" si="574"/>
        <v>6715.76853666667</v>
      </c>
      <c r="BI283" s="1166"/>
      <c r="BJ283" s="1166"/>
      <c r="BK283" s="724">
        <v>43579.12</v>
      </c>
      <c r="BL283" s="724">
        <f t="shared" si="573"/>
        <v>335788.426833333</v>
      </c>
      <c r="BM283" s="724">
        <f t="shared" si="576"/>
        <v>60129.9051366667</v>
      </c>
      <c r="BN283" s="724"/>
      <c r="BO283" s="724"/>
      <c r="BP283" s="724">
        <f t="shared" si="575"/>
        <v>275658.521696667</v>
      </c>
      <c r="BQ283" s="1320"/>
      <c r="BR283" s="1321"/>
      <c r="BS283" s="1322"/>
      <c r="BT283" s="1323"/>
      <c r="BU283" s="1329"/>
      <c r="BV283" s="1321"/>
      <c r="BW283" s="1322"/>
      <c r="BX283" s="1322"/>
      <c r="BY283" s="1322"/>
      <c r="BZ283" s="1322"/>
      <c r="CA283" s="1322"/>
      <c r="CB283" s="1322"/>
      <c r="CC283" s="1320"/>
      <c r="CD283" s="1322"/>
      <c r="CE283" s="321"/>
      <c r="CF283" s="322"/>
      <c r="CG283" s="1321"/>
      <c r="CH283" s="1339"/>
      <c r="CI283" s="1322"/>
      <c r="CJ283" s="1329"/>
      <c r="CK283" s="1329"/>
      <c r="CL283" s="335"/>
      <c r="CN283" s="1263"/>
      <c r="CO283" s="1258"/>
    </row>
    <row r="284" s="245" customFormat="1" ht="202" customHeight="1" spans="1:93">
      <c r="A284" s="1122">
        <v>281</v>
      </c>
      <c r="B284" s="70" t="s">
        <v>767</v>
      </c>
      <c r="C284" s="1123" t="s">
        <v>283</v>
      </c>
      <c r="D284" s="1088" t="s">
        <v>204</v>
      </c>
      <c r="E284" s="1088" t="s">
        <v>208</v>
      </c>
      <c r="F284" s="1124" t="s">
        <v>113</v>
      </c>
      <c r="G284" s="1443" t="s">
        <v>768</v>
      </c>
      <c r="H284" s="1125"/>
      <c r="I284" s="1125"/>
      <c r="J284" s="1289"/>
      <c r="K284" s="1289"/>
      <c r="L284" s="1290"/>
      <c r="M284" s="1290">
        <v>242018.08</v>
      </c>
      <c r="N284" s="295">
        <f t="shared" si="572"/>
        <v>28235.4426666667</v>
      </c>
      <c r="O284" s="295">
        <v>5000</v>
      </c>
      <c r="P284" s="295"/>
      <c r="Q284" s="295"/>
      <c r="R284" s="295">
        <v>2500</v>
      </c>
      <c r="S284" s="295"/>
      <c r="T284" s="295"/>
      <c r="U284" s="295"/>
      <c r="V284" s="295"/>
      <c r="W284" s="295"/>
      <c r="X284" s="295"/>
      <c r="Y284" s="295"/>
      <c r="Z284" s="295">
        <v>2500</v>
      </c>
      <c r="AA284" s="295"/>
      <c r="AB284" s="295"/>
      <c r="AC284" s="295"/>
      <c r="AD284" s="295"/>
      <c r="AE284" s="295"/>
      <c r="AF284" s="295"/>
      <c r="AG284" s="295"/>
      <c r="AH284" s="295"/>
      <c r="AI284" s="295"/>
      <c r="AJ284" s="295"/>
      <c r="AK284" s="295"/>
      <c r="AL284" s="1140"/>
      <c r="AM284" s="295">
        <f t="shared" si="571"/>
        <v>4840.3616</v>
      </c>
      <c r="AN284" s="295">
        <v>500</v>
      </c>
      <c r="AO284" s="1302"/>
      <c r="AP284" s="1302"/>
      <c r="AQ284" s="1303"/>
      <c r="AR284" s="1303"/>
      <c r="AS284" s="1304"/>
      <c r="AT284" s="1303"/>
      <c r="AU284" s="1303"/>
      <c r="AV284" s="1151"/>
      <c r="AW284" s="1151">
        <v>1000</v>
      </c>
      <c r="AX284" s="1303"/>
      <c r="AY284" s="1161"/>
      <c r="AZ284" s="1151"/>
      <c r="BA284" s="295">
        <v>0</v>
      </c>
      <c r="BB284" s="295"/>
      <c r="BC284" s="295"/>
      <c r="BD284" s="295"/>
      <c r="BE284" s="724">
        <v>1500</v>
      </c>
      <c r="BF284" s="724"/>
      <c r="BG284" s="724"/>
      <c r="BH284" s="724">
        <f t="shared" si="574"/>
        <v>5605.07045333333</v>
      </c>
      <c r="BI284" s="1166"/>
      <c r="BJ284" s="1166"/>
      <c r="BK284" s="724">
        <v>34249.26</v>
      </c>
      <c r="BL284" s="724">
        <f t="shared" si="573"/>
        <v>280253.522666667</v>
      </c>
      <c r="BM284" s="724">
        <f t="shared" si="576"/>
        <v>47694.6920533333</v>
      </c>
      <c r="BN284" s="724"/>
      <c r="BO284" s="724"/>
      <c r="BP284" s="724">
        <f t="shared" si="575"/>
        <v>232558.830613333</v>
      </c>
      <c r="BQ284" s="1320"/>
      <c r="BR284" s="1321"/>
      <c r="BS284" s="1322"/>
      <c r="BT284" s="1323"/>
      <c r="BU284" s="1329"/>
      <c r="BV284" s="1321"/>
      <c r="BW284" s="1322"/>
      <c r="BX284" s="1322"/>
      <c r="BY284" s="1322"/>
      <c r="BZ284" s="1322"/>
      <c r="CA284" s="1322"/>
      <c r="CB284" s="1322"/>
      <c r="CC284" s="1320"/>
      <c r="CD284" s="1322"/>
      <c r="CE284" s="321"/>
      <c r="CF284" s="322"/>
      <c r="CG284" s="1321"/>
      <c r="CH284" s="1339"/>
      <c r="CI284" s="1322"/>
      <c r="CJ284" s="1329"/>
      <c r="CK284" s="1329"/>
      <c r="CL284" s="335"/>
      <c r="CN284" s="1263"/>
      <c r="CO284" s="1258"/>
    </row>
    <row r="285" s="245" customFormat="1" ht="202" customHeight="1" spans="1:93">
      <c r="A285" s="1122">
        <v>282</v>
      </c>
      <c r="B285" s="70" t="s">
        <v>769</v>
      </c>
      <c r="C285" s="1123" t="s">
        <v>191</v>
      </c>
      <c r="D285" s="1088" t="s">
        <v>204</v>
      </c>
      <c r="E285" s="1088" t="s">
        <v>208</v>
      </c>
      <c r="F285" s="1124" t="s">
        <v>122</v>
      </c>
      <c r="G285" s="1443" t="s">
        <v>770</v>
      </c>
      <c r="H285" s="1125"/>
      <c r="I285" s="1125"/>
      <c r="J285" s="1289"/>
      <c r="K285" s="1289"/>
      <c r="L285" s="1290"/>
      <c r="M285" s="1290">
        <v>242018.08</v>
      </c>
      <c r="N285" s="295">
        <f t="shared" si="572"/>
        <v>28235.4426666667</v>
      </c>
      <c r="O285" s="295">
        <v>5000</v>
      </c>
      <c r="P285" s="295"/>
      <c r="Q285" s="295"/>
      <c r="R285" s="295">
        <v>2500</v>
      </c>
      <c r="S285" s="295"/>
      <c r="T285" s="295"/>
      <c r="U285" s="295"/>
      <c r="V285" s="295"/>
      <c r="W285" s="295"/>
      <c r="X285" s="295"/>
      <c r="Y285" s="295"/>
      <c r="Z285" s="295">
        <v>2500</v>
      </c>
      <c r="AA285" s="295"/>
      <c r="AB285" s="295"/>
      <c r="AC285" s="295"/>
      <c r="AD285" s="295"/>
      <c r="AE285" s="295"/>
      <c r="AF285" s="295"/>
      <c r="AG285" s="295"/>
      <c r="AH285" s="295"/>
      <c r="AI285" s="295"/>
      <c r="AJ285" s="295"/>
      <c r="AK285" s="295"/>
      <c r="AL285" s="1140"/>
      <c r="AM285" s="295">
        <f t="shared" si="571"/>
        <v>4840.3616</v>
      </c>
      <c r="AN285" s="295">
        <v>500</v>
      </c>
      <c r="AO285" s="1302"/>
      <c r="AP285" s="1302"/>
      <c r="AQ285" s="1303"/>
      <c r="AR285" s="1303"/>
      <c r="AS285" s="1304">
        <v>1000</v>
      </c>
      <c r="AT285" s="1303"/>
      <c r="AU285" s="1303"/>
      <c r="AV285" s="1151"/>
      <c r="AW285" s="1151"/>
      <c r="AX285" s="1303"/>
      <c r="AY285" s="1161"/>
      <c r="AZ285" s="1151"/>
      <c r="BA285" s="295">
        <v>0</v>
      </c>
      <c r="BB285" s="295"/>
      <c r="BC285" s="295"/>
      <c r="BD285" s="295"/>
      <c r="BE285" s="724">
        <v>1500</v>
      </c>
      <c r="BF285" s="724"/>
      <c r="BG285" s="724"/>
      <c r="BH285" s="724">
        <f t="shared" si="574"/>
        <v>5605.07045333333</v>
      </c>
      <c r="BI285" s="1166"/>
      <c r="BJ285" s="1166"/>
      <c r="BK285" s="724">
        <v>34249.26</v>
      </c>
      <c r="BL285" s="724">
        <f t="shared" si="573"/>
        <v>280253.522666667</v>
      </c>
      <c r="BM285" s="724">
        <f t="shared" si="576"/>
        <v>47694.6920533333</v>
      </c>
      <c r="BN285" s="724"/>
      <c r="BO285" s="724"/>
      <c r="BP285" s="724">
        <f t="shared" si="575"/>
        <v>232558.830613333</v>
      </c>
      <c r="BQ285" s="1320"/>
      <c r="BR285" s="1321"/>
      <c r="BS285" s="1322"/>
      <c r="BT285" s="1323"/>
      <c r="BU285" s="1329"/>
      <c r="BV285" s="1321"/>
      <c r="BW285" s="1322"/>
      <c r="BX285" s="1322"/>
      <c r="BY285" s="1322"/>
      <c r="BZ285" s="1322"/>
      <c r="CA285" s="1322"/>
      <c r="CB285" s="1322"/>
      <c r="CC285" s="1320"/>
      <c r="CD285" s="1322"/>
      <c r="CE285" s="321"/>
      <c r="CF285" s="322"/>
      <c r="CG285" s="1321"/>
      <c r="CH285" s="1339"/>
      <c r="CI285" s="1322"/>
      <c r="CJ285" s="1329"/>
      <c r="CK285" s="1329"/>
      <c r="CL285" s="335"/>
      <c r="CN285" s="1263"/>
      <c r="CO285" s="1258"/>
    </row>
    <row r="286" s="245" customFormat="1" ht="202" customHeight="1" spans="1:93">
      <c r="A286" s="1122">
        <v>283</v>
      </c>
      <c r="B286" s="70" t="s">
        <v>771</v>
      </c>
      <c r="C286" s="1123" t="s">
        <v>90</v>
      </c>
      <c r="D286" s="1088" t="s">
        <v>204</v>
      </c>
      <c r="E286" s="1088" t="s">
        <v>208</v>
      </c>
      <c r="F286" s="1124" t="s">
        <v>93</v>
      </c>
      <c r="G286" s="1443" t="s">
        <v>772</v>
      </c>
      <c r="H286" s="1125"/>
      <c r="I286" s="1125"/>
      <c r="J286" s="1289"/>
      <c r="K286" s="1289"/>
      <c r="L286" s="1290"/>
      <c r="M286" s="1290">
        <v>242018.08</v>
      </c>
      <c r="N286" s="295">
        <f t="shared" si="572"/>
        <v>28235.4426666667</v>
      </c>
      <c r="O286" s="295">
        <v>5000</v>
      </c>
      <c r="P286" s="295"/>
      <c r="Q286" s="295"/>
      <c r="R286" s="295">
        <v>2500</v>
      </c>
      <c r="S286" s="295"/>
      <c r="T286" s="295"/>
      <c r="U286" s="295"/>
      <c r="V286" s="295"/>
      <c r="W286" s="295"/>
      <c r="X286" s="295"/>
      <c r="Y286" s="295"/>
      <c r="Z286" s="295">
        <v>2500</v>
      </c>
      <c r="AA286" s="295"/>
      <c r="AB286" s="295"/>
      <c r="AC286" s="295"/>
      <c r="AD286" s="295"/>
      <c r="AE286" s="295"/>
      <c r="AF286" s="295"/>
      <c r="AG286" s="295"/>
      <c r="AH286" s="295"/>
      <c r="AI286" s="295"/>
      <c r="AJ286" s="295"/>
      <c r="AK286" s="295"/>
      <c r="AL286" s="1140"/>
      <c r="AM286" s="295">
        <f t="shared" si="571"/>
        <v>4840.3616</v>
      </c>
      <c r="AN286" s="295">
        <v>500</v>
      </c>
      <c r="AO286" s="1302"/>
      <c r="AP286" s="1302"/>
      <c r="AQ286" s="1303"/>
      <c r="AR286" s="1303"/>
      <c r="AS286" s="1304">
        <v>1000</v>
      </c>
      <c r="AT286" s="1303"/>
      <c r="AU286" s="1303"/>
      <c r="AV286" s="1151"/>
      <c r="AW286" s="1151"/>
      <c r="AX286" s="1303"/>
      <c r="AY286" s="1161"/>
      <c r="AZ286" s="1151"/>
      <c r="BA286" s="295">
        <v>0</v>
      </c>
      <c r="BB286" s="295"/>
      <c r="BC286" s="295"/>
      <c r="BD286" s="295"/>
      <c r="BE286" s="724">
        <v>1500</v>
      </c>
      <c r="BF286" s="724"/>
      <c r="BG286" s="724"/>
      <c r="BH286" s="724">
        <f t="shared" si="574"/>
        <v>5605.07045333333</v>
      </c>
      <c r="BI286" s="1166"/>
      <c r="BJ286" s="1166"/>
      <c r="BK286" s="724">
        <v>34249.26</v>
      </c>
      <c r="BL286" s="724">
        <f t="shared" si="573"/>
        <v>280253.522666667</v>
      </c>
      <c r="BM286" s="724">
        <f t="shared" si="576"/>
        <v>47694.6920533333</v>
      </c>
      <c r="BN286" s="724"/>
      <c r="BO286" s="724"/>
      <c r="BP286" s="724">
        <f t="shared" si="575"/>
        <v>232558.830613333</v>
      </c>
      <c r="BQ286" s="1320"/>
      <c r="BR286" s="1321"/>
      <c r="BS286" s="1322"/>
      <c r="BT286" s="1323"/>
      <c r="BU286" s="1329"/>
      <c r="BV286" s="1321"/>
      <c r="BW286" s="1322"/>
      <c r="BX286" s="1322"/>
      <c r="BY286" s="1322"/>
      <c r="BZ286" s="1322"/>
      <c r="CA286" s="1322"/>
      <c r="CB286" s="1322"/>
      <c r="CC286" s="1320"/>
      <c r="CD286" s="1322"/>
      <c r="CE286" s="321"/>
      <c r="CF286" s="322"/>
      <c r="CG286" s="1321"/>
      <c r="CH286" s="1339"/>
      <c r="CI286" s="1322"/>
      <c r="CJ286" s="1329"/>
      <c r="CK286" s="1329"/>
      <c r="CL286" s="335"/>
      <c r="CN286" s="1263"/>
      <c r="CO286" s="1258"/>
    </row>
    <row r="287" s="245" customFormat="1" ht="202" customHeight="1" spans="1:93">
      <c r="A287" s="1122">
        <v>284</v>
      </c>
      <c r="B287" s="70" t="s">
        <v>773</v>
      </c>
      <c r="C287" s="1123" t="s">
        <v>90</v>
      </c>
      <c r="D287" s="1088" t="s">
        <v>204</v>
      </c>
      <c r="E287" s="1088" t="s">
        <v>208</v>
      </c>
      <c r="F287" s="1124" t="s">
        <v>127</v>
      </c>
      <c r="G287" s="1443" t="s">
        <v>774</v>
      </c>
      <c r="H287" s="1125"/>
      <c r="I287" s="1125"/>
      <c r="J287" s="1289"/>
      <c r="K287" s="1289"/>
      <c r="L287" s="1290"/>
      <c r="M287" s="1290">
        <v>242018.08</v>
      </c>
      <c r="N287" s="295">
        <f t="shared" si="572"/>
        <v>28235.4426666667</v>
      </c>
      <c r="O287" s="295">
        <v>5000</v>
      </c>
      <c r="P287" s="295"/>
      <c r="Q287" s="295"/>
      <c r="R287" s="295">
        <v>2500</v>
      </c>
      <c r="S287" s="295"/>
      <c r="T287" s="295"/>
      <c r="U287" s="295"/>
      <c r="V287" s="295"/>
      <c r="W287" s="295"/>
      <c r="X287" s="295"/>
      <c r="Y287" s="295"/>
      <c r="Z287" s="295">
        <v>2500</v>
      </c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1140"/>
      <c r="AM287" s="295">
        <f t="shared" ref="AM287:AM316" si="577">M287*0.02</f>
        <v>4840.3616</v>
      </c>
      <c r="AN287" s="295">
        <v>500</v>
      </c>
      <c r="AO287" s="1302"/>
      <c r="AP287" s="1302"/>
      <c r="AQ287" s="1303"/>
      <c r="AR287" s="1303"/>
      <c r="AS287" s="1304">
        <v>1000</v>
      </c>
      <c r="AT287" s="1303"/>
      <c r="AU287" s="1303"/>
      <c r="AV287" s="1151"/>
      <c r="AW287" s="1151"/>
      <c r="AX287" s="1303"/>
      <c r="AY287" s="1161"/>
      <c r="AZ287" s="1151"/>
      <c r="BA287" s="295">
        <v>0</v>
      </c>
      <c r="BB287" s="295"/>
      <c r="BC287" s="295"/>
      <c r="BD287" s="295"/>
      <c r="BE287" s="724">
        <v>1500</v>
      </c>
      <c r="BF287" s="724"/>
      <c r="BG287" s="724"/>
      <c r="BH287" s="724">
        <f t="shared" si="574"/>
        <v>5605.07045333333</v>
      </c>
      <c r="BI287" s="1166"/>
      <c r="BJ287" s="1166"/>
      <c r="BK287" s="724">
        <v>34249.26</v>
      </c>
      <c r="BL287" s="724">
        <f t="shared" si="573"/>
        <v>280253.522666667</v>
      </c>
      <c r="BM287" s="724">
        <f t="shared" si="576"/>
        <v>47694.6920533333</v>
      </c>
      <c r="BN287" s="724"/>
      <c r="BO287" s="724"/>
      <c r="BP287" s="724">
        <f t="shared" si="575"/>
        <v>232558.830613333</v>
      </c>
      <c r="BQ287" s="1320"/>
      <c r="BR287" s="1321"/>
      <c r="BS287" s="1322"/>
      <c r="BT287" s="1323"/>
      <c r="BU287" s="1329"/>
      <c r="BV287" s="1321"/>
      <c r="BW287" s="1322"/>
      <c r="BX287" s="1322"/>
      <c r="BY287" s="1322"/>
      <c r="BZ287" s="1322"/>
      <c r="CA287" s="1322"/>
      <c r="CB287" s="1322"/>
      <c r="CC287" s="1320"/>
      <c r="CD287" s="1322"/>
      <c r="CE287" s="321"/>
      <c r="CF287" s="322"/>
      <c r="CG287" s="1321"/>
      <c r="CH287" s="1339"/>
      <c r="CI287" s="1322"/>
      <c r="CJ287" s="1329"/>
      <c r="CK287" s="1329"/>
      <c r="CL287" s="335"/>
      <c r="CN287" s="1263"/>
      <c r="CO287" s="1258"/>
    </row>
    <row r="288" s="245" customFormat="1" ht="202" customHeight="1" spans="1:93">
      <c r="A288" s="1122">
        <v>285</v>
      </c>
      <c r="B288" s="70" t="s">
        <v>775</v>
      </c>
      <c r="C288" s="1123" t="s">
        <v>177</v>
      </c>
      <c r="D288" s="1088" t="s">
        <v>204</v>
      </c>
      <c r="E288" s="1088" t="s">
        <v>208</v>
      </c>
      <c r="F288" s="1124" t="s">
        <v>313</v>
      </c>
      <c r="G288" s="1443" t="s">
        <v>776</v>
      </c>
      <c r="H288" s="1125"/>
      <c r="I288" s="1125"/>
      <c r="J288" s="1289"/>
      <c r="K288" s="1289"/>
      <c r="L288" s="1290"/>
      <c r="M288" s="1290">
        <v>242018.08</v>
      </c>
      <c r="N288" s="295">
        <f t="shared" si="572"/>
        <v>28235.4426666667</v>
      </c>
      <c r="O288" s="295">
        <v>5000</v>
      </c>
      <c r="P288" s="295"/>
      <c r="Q288" s="295"/>
      <c r="R288" s="295">
        <v>2500</v>
      </c>
      <c r="S288" s="295"/>
      <c r="T288" s="295"/>
      <c r="U288" s="295"/>
      <c r="V288" s="295"/>
      <c r="W288" s="295"/>
      <c r="X288" s="295"/>
      <c r="Y288" s="295"/>
      <c r="Z288" s="295">
        <v>2500</v>
      </c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1140"/>
      <c r="AM288" s="295">
        <f t="shared" si="577"/>
        <v>4840.3616</v>
      </c>
      <c r="AN288" s="295">
        <v>500</v>
      </c>
      <c r="AO288" s="1302"/>
      <c r="AP288" s="1302"/>
      <c r="AQ288" s="1303"/>
      <c r="AR288" s="1303"/>
      <c r="AS288" s="1304"/>
      <c r="AT288" s="1303"/>
      <c r="AU288" s="1303"/>
      <c r="AV288" s="1151">
        <v>5000</v>
      </c>
      <c r="AW288" s="1151">
        <v>1000</v>
      </c>
      <c r="AX288" s="1303"/>
      <c r="AY288" s="1161"/>
      <c r="AZ288" s="1151"/>
      <c r="BA288" s="295">
        <v>15000</v>
      </c>
      <c r="BB288" s="295"/>
      <c r="BC288" s="295"/>
      <c r="BD288" s="295"/>
      <c r="BE288" s="724">
        <v>1500</v>
      </c>
      <c r="BF288" s="724"/>
      <c r="BG288" s="724"/>
      <c r="BH288" s="724">
        <f t="shared" si="574"/>
        <v>5605.07045333333</v>
      </c>
      <c r="BI288" s="1166"/>
      <c r="BJ288" s="1166"/>
      <c r="BK288" s="724">
        <v>34249.26</v>
      </c>
      <c r="BL288" s="724">
        <f t="shared" si="573"/>
        <v>280253.522666667</v>
      </c>
      <c r="BM288" s="724">
        <f t="shared" si="576"/>
        <v>67694.6920533333</v>
      </c>
      <c r="BN288" s="724"/>
      <c r="BO288" s="724"/>
      <c r="BP288" s="724">
        <f t="shared" si="575"/>
        <v>212558.830613333</v>
      </c>
      <c r="BQ288" s="1320"/>
      <c r="BR288" s="1321"/>
      <c r="BS288" s="1322"/>
      <c r="BT288" s="1323"/>
      <c r="BU288" s="1329"/>
      <c r="BV288" s="1321"/>
      <c r="BW288" s="1322"/>
      <c r="BX288" s="1322"/>
      <c r="BY288" s="1322"/>
      <c r="BZ288" s="1322"/>
      <c r="CA288" s="1322"/>
      <c r="CB288" s="1322"/>
      <c r="CC288" s="1320"/>
      <c r="CD288" s="1322"/>
      <c r="CE288" s="321"/>
      <c r="CF288" s="322"/>
      <c r="CG288" s="1321"/>
      <c r="CH288" s="1339"/>
      <c r="CI288" s="1322"/>
      <c r="CJ288" s="1329"/>
      <c r="CK288" s="1329"/>
      <c r="CL288" s="335"/>
      <c r="CN288" s="1263"/>
      <c r="CO288" s="1258"/>
    </row>
    <row r="289" s="245" customFormat="1" ht="202" customHeight="1" spans="1:93">
      <c r="A289" s="1122">
        <v>286</v>
      </c>
      <c r="B289" s="70" t="s">
        <v>777</v>
      </c>
      <c r="C289" s="1123" t="s">
        <v>177</v>
      </c>
      <c r="D289" s="1088" t="s">
        <v>204</v>
      </c>
      <c r="E289" s="1088" t="s">
        <v>208</v>
      </c>
      <c r="F289" s="1124" t="s">
        <v>127</v>
      </c>
      <c r="G289" s="1443" t="s">
        <v>778</v>
      </c>
      <c r="H289" s="1125"/>
      <c r="I289" s="1125"/>
      <c r="J289" s="1289"/>
      <c r="K289" s="1289"/>
      <c r="L289" s="1290"/>
      <c r="M289" s="1290">
        <v>242018.08</v>
      </c>
      <c r="N289" s="295">
        <f t="shared" si="572"/>
        <v>28235.4426666667</v>
      </c>
      <c r="O289" s="295">
        <v>5000</v>
      </c>
      <c r="P289" s="295"/>
      <c r="Q289" s="295"/>
      <c r="R289" s="295">
        <v>2500</v>
      </c>
      <c r="S289" s="295"/>
      <c r="T289" s="295"/>
      <c r="U289" s="295"/>
      <c r="V289" s="295"/>
      <c r="W289" s="295"/>
      <c r="X289" s="295"/>
      <c r="Y289" s="295"/>
      <c r="Z289" s="295">
        <v>2500</v>
      </c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1140"/>
      <c r="AM289" s="295">
        <f t="shared" si="577"/>
        <v>4840.3616</v>
      </c>
      <c r="AN289" s="295">
        <v>500</v>
      </c>
      <c r="AO289" s="1302"/>
      <c r="AP289" s="1302"/>
      <c r="AQ289" s="1303"/>
      <c r="AR289" s="1303"/>
      <c r="AS289" s="1304"/>
      <c r="AT289" s="1303"/>
      <c r="AU289" s="1303"/>
      <c r="AV289" s="1151"/>
      <c r="AW289" s="1151"/>
      <c r="AX289" s="1303">
        <v>1000</v>
      </c>
      <c r="AY289" s="1161"/>
      <c r="AZ289" s="1151"/>
      <c r="BA289" s="295">
        <v>0</v>
      </c>
      <c r="BB289" s="295"/>
      <c r="BC289" s="295"/>
      <c r="BD289" s="295"/>
      <c r="BE289" s="724">
        <v>1500</v>
      </c>
      <c r="BF289" s="724"/>
      <c r="BG289" s="724"/>
      <c r="BH289" s="724">
        <f t="shared" si="574"/>
        <v>5605.07045333333</v>
      </c>
      <c r="BI289" s="1166"/>
      <c r="BJ289" s="1166"/>
      <c r="BK289" s="724">
        <v>34249.26</v>
      </c>
      <c r="BL289" s="724">
        <f t="shared" si="573"/>
        <v>280253.522666667</v>
      </c>
      <c r="BM289" s="724">
        <f t="shared" si="576"/>
        <v>47694.6920533333</v>
      </c>
      <c r="BN289" s="724"/>
      <c r="BO289" s="724"/>
      <c r="BP289" s="724">
        <f t="shared" si="575"/>
        <v>232558.830613333</v>
      </c>
      <c r="BQ289" s="1320"/>
      <c r="BR289" s="1321"/>
      <c r="BS289" s="1322"/>
      <c r="BT289" s="1323"/>
      <c r="BU289" s="1329"/>
      <c r="BV289" s="1321"/>
      <c r="BW289" s="1322"/>
      <c r="BX289" s="1322"/>
      <c r="BY289" s="1322"/>
      <c r="BZ289" s="1322"/>
      <c r="CA289" s="1322"/>
      <c r="CB289" s="1322"/>
      <c r="CC289" s="1320"/>
      <c r="CD289" s="1322"/>
      <c r="CE289" s="321"/>
      <c r="CF289" s="322"/>
      <c r="CG289" s="1321"/>
      <c r="CH289" s="1339"/>
      <c r="CI289" s="1322"/>
      <c r="CJ289" s="1329"/>
      <c r="CK289" s="1329"/>
      <c r="CL289" s="335"/>
      <c r="CN289" s="1263"/>
      <c r="CO289" s="1258"/>
    </row>
    <row r="290" s="245" customFormat="1" ht="202" customHeight="1" spans="1:93">
      <c r="A290" s="1122">
        <v>287</v>
      </c>
      <c r="B290" s="70" t="s">
        <v>779</v>
      </c>
      <c r="C290" s="1123" t="s">
        <v>177</v>
      </c>
      <c r="D290" s="1088" t="s">
        <v>204</v>
      </c>
      <c r="E290" s="1088" t="s">
        <v>208</v>
      </c>
      <c r="F290" s="1124" t="s">
        <v>127</v>
      </c>
      <c r="G290" s="1443" t="s">
        <v>780</v>
      </c>
      <c r="H290" s="1125"/>
      <c r="I290" s="1125"/>
      <c r="J290" s="1289"/>
      <c r="K290" s="1289"/>
      <c r="L290" s="1290"/>
      <c r="M290" s="1290">
        <v>242018.08</v>
      </c>
      <c r="N290" s="295">
        <f t="shared" si="572"/>
        <v>28235.4426666667</v>
      </c>
      <c r="O290" s="295">
        <v>5000</v>
      </c>
      <c r="P290" s="295"/>
      <c r="Q290" s="295"/>
      <c r="R290" s="295">
        <v>2500</v>
      </c>
      <c r="S290" s="295"/>
      <c r="T290" s="295"/>
      <c r="U290" s="295"/>
      <c r="V290" s="295"/>
      <c r="W290" s="295"/>
      <c r="X290" s="295"/>
      <c r="Y290" s="295"/>
      <c r="Z290" s="295">
        <v>2500</v>
      </c>
      <c r="AA290" s="295"/>
      <c r="AB290" s="295"/>
      <c r="AC290" s="295"/>
      <c r="AD290" s="295"/>
      <c r="AE290" s="295"/>
      <c r="AF290" s="295"/>
      <c r="AG290" s="295"/>
      <c r="AH290" s="295"/>
      <c r="AI290" s="295"/>
      <c r="AJ290" s="295"/>
      <c r="AK290" s="295"/>
      <c r="AL290" s="1140"/>
      <c r="AM290" s="295">
        <f t="shared" si="577"/>
        <v>4840.3616</v>
      </c>
      <c r="AN290" s="295">
        <v>500</v>
      </c>
      <c r="AO290" s="1302"/>
      <c r="AP290" s="1302"/>
      <c r="AQ290" s="1303"/>
      <c r="AR290" s="1303"/>
      <c r="AS290" s="1304"/>
      <c r="AT290" s="1303"/>
      <c r="AU290" s="1303"/>
      <c r="AV290" s="1151"/>
      <c r="AW290" s="1151">
        <v>1000</v>
      </c>
      <c r="AX290" s="1303"/>
      <c r="AY290" s="1161"/>
      <c r="AZ290" s="1151"/>
      <c r="BA290" s="295">
        <v>20000</v>
      </c>
      <c r="BB290" s="295"/>
      <c r="BC290" s="295"/>
      <c r="BD290" s="295"/>
      <c r="BE290" s="724">
        <v>1500</v>
      </c>
      <c r="BF290" s="724"/>
      <c r="BG290" s="724"/>
      <c r="BH290" s="724">
        <f t="shared" si="574"/>
        <v>5605.07045333333</v>
      </c>
      <c r="BI290" s="1166"/>
      <c r="BJ290" s="1166"/>
      <c r="BK290" s="724">
        <v>34249.26</v>
      </c>
      <c r="BL290" s="724">
        <f t="shared" si="573"/>
        <v>280253.522666667</v>
      </c>
      <c r="BM290" s="724">
        <f t="shared" si="576"/>
        <v>67694.6920533333</v>
      </c>
      <c r="BN290" s="724"/>
      <c r="BO290" s="724"/>
      <c r="BP290" s="724">
        <f t="shared" si="575"/>
        <v>212558.830613333</v>
      </c>
      <c r="BQ290" s="1320"/>
      <c r="BR290" s="1321"/>
      <c r="BS290" s="1322"/>
      <c r="BT290" s="1323"/>
      <c r="BU290" s="1329"/>
      <c r="BV290" s="1321"/>
      <c r="BW290" s="1322"/>
      <c r="BX290" s="1322"/>
      <c r="BY290" s="1322"/>
      <c r="BZ290" s="1322"/>
      <c r="CA290" s="1322"/>
      <c r="CB290" s="1322"/>
      <c r="CC290" s="1320"/>
      <c r="CD290" s="1322"/>
      <c r="CE290" s="321"/>
      <c r="CF290" s="322"/>
      <c r="CG290" s="1321"/>
      <c r="CH290" s="1339"/>
      <c r="CI290" s="1322"/>
      <c r="CJ290" s="1329"/>
      <c r="CK290" s="1329"/>
      <c r="CL290" s="335"/>
      <c r="CN290" s="1263"/>
      <c r="CO290" s="1258"/>
    </row>
    <row r="291" s="245" customFormat="1" ht="202" customHeight="1" spans="1:93">
      <c r="A291" s="1122">
        <v>288</v>
      </c>
      <c r="B291" s="70" t="s">
        <v>781</v>
      </c>
      <c r="C291" s="1123" t="s">
        <v>283</v>
      </c>
      <c r="D291" s="1088" t="s">
        <v>204</v>
      </c>
      <c r="E291" s="1088" t="s">
        <v>208</v>
      </c>
      <c r="F291" s="1124" t="s">
        <v>97</v>
      </c>
      <c r="G291" s="1443" t="s">
        <v>782</v>
      </c>
      <c r="H291" s="1125"/>
      <c r="I291" s="1125"/>
      <c r="J291" s="1289"/>
      <c r="K291" s="1289"/>
      <c r="L291" s="1290"/>
      <c r="M291" s="1290">
        <v>242018.08</v>
      </c>
      <c r="N291" s="295">
        <f t="shared" si="572"/>
        <v>28235.4426666667</v>
      </c>
      <c r="O291" s="295">
        <v>5000</v>
      </c>
      <c r="P291" s="295"/>
      <c r="Q291" s="295"/>
      <c r="R291" s="295">
        <v>2500</v>
      </c>
      <c r="S291" s="295"/>
      <c r="T291" s="295"/>
      <c r="U291" s="295"/>
      <c r="V291" s="295"/>
      <c r="W291" s="295"/>
      <c r="X291" s="295"/>
      <c r="Y291" s="295"/>
      <c r="Z291" s="295">
        <v>2500</v>
      </c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1140"/>
      <c r="AM291" s="295">
        <f t="shared" si="577"/>
        <v>4840.3616</v>
      </c>
      <c r="AN291" s="295">
        <v>500</v>
      </c>
      <c r="AO291" s="1302"/>
      <c r="AP291" s="1302"/>
      <c r="AQ291" s="1303"/>
      <c r="AR291" s="1303"/>
      <c r="AS291" s="1304"/>
      <c r="AT291" s="1303"/>
      <c r="AU291" s="1303"/>
      <c r="AV291" s="1151"/>
      <c r="AW291" s="1151">
        <v>1000</v>
      </c>
      <c r="AX291" s="1303"/>
      <c r="AY291" s="1161"/>
      <c r="AZ291" s="1151"/>
      <c r="BA291" s="295">
        <v>0</v>
      </c>
      <c r="BB291" s="295"/>
      <c r="BC291" s="295"/>
      <c r="BD291" s="295"/>
      <c r="BE291" s="724">
        <v>1500</v>
      </c>
      <c r="BF291" s="724"/>
      <c r="BG291" s="724"/>
      <c r="BH291" s="724">
        <f t="shared" si="574"/>
        <v>5605.07045333333</v>
      </c>
      <c r="BI291" s="1166"/>
      <c r="BJ291" s="1166"/>
      <c r="BK291" s="724">
        <v>34249.26</v>
      </c>
      <c r="BL291" s="724">
        <f t="shared" si="573"/>
        <v>280253.522666667</v>
      </c>
      <c r="BM291" s="724">
        <f t="shared" si="576"/>
        <v>47694.6920533333</v>
      </c>
      <c r="BN291" s="724"/>
      <c r="BO291" s="724"/>
      <c r="BP291" s="724">
        <f t="shared" si="575"/>
        <v>232558.830613333</v>
      </c>
      <c r="BQ291" s="1320"/>
      <c r="BR291" s="1321"/>
      <c r="BS291" s="1322"/>
      <c r="BT291" s="1323"/>
      <c r="BU291" s="1329"/>
      <c r="BV291" s="1321"/>
      <c r="BW291" s="1322"/>
      <c r="BX291" s="1322"/>
      <c r="BY291" s="1322"/>
      <c r="BZ291" s="1322"/>
      <c r="CA291" s="1322"/>
      <c r="CB291" s="1322"/>
      <c r="CC291" s="1320"/>
      <c r="CD291" s="1322"/>
      <c r="CE291" s="321"/>
      <c r="CF291" s="322"/>
      <c r="CG291" s="1321"/>
      <c r="CH291" s="1339"/>
      <c r="CI291" s="1322"/>
      <c r="CJ291" s="1329"/>
      <c r="CK291" s="1329"/>
      <c r="CL291" s="335"/>
      <c r="CN291" s="1263"/>
      <c r="CO291" s="1258"/>
    </row>
    <row r="292" s="245" customFormat="1" ht="202" customHeight="1" spans="1:93">
      <c r="A292" s="1122">
        <v>289</v>
      </c>
      <c r="B292" s="70" t="s">
        <v>783</v>
      </c>
      <c r="C292" s="1123" t="s">
        <v>660</v>
      </c>
      <c r="D292" s="1088" t="s">
        <v>204</v>
      </c>
      <c r="E292" s="1088" t="s">
        <v>208</v>
      </c>
      <c r="F292" s="1124" t="s">
        <v>165</v>
      </c>
      <c r="G292" s="1443" t="s">
        <v>784</v>
      </c>
      <c r="H292" s="1125"/>
      <c r="I292" s="1125"/>
      <c r="J292" s="1289"/>
      <c r="K292" s="1289"/>
      <c r="L292" s="1290"/>
      <c r="M292" s="1290">
        <v>242018.08</v>
      </c>
      <c r="N292" s="295">
        <f t="shared" si="572"/>
        <v>28235.4426666667</v>
      </c>
      <c r="O292" s="295">
        <v>5000</v>
      </c>
      <c r="P292" s="295"/>
      <c r="Q292" s="295"/>
      <c r="R292" s="295">
        <v>2500</v>
      </c>
      <c r="S292" s="295"/>
      <c r="T292" s="295"/>
      <c r="U292" s="295"/>
      <c r="V292" s="295"/>
      <c r="W292" s="295"/>
      <c r="X292" s="295"/>
      <c r="Y292" s="295"/>
      <c r="Z292" s="295">
        <v>2500</v>
      </c>
      <c r="AA292" s="295"/>
      <c r="AB292" s="295"/>
      <c r="AC292" s="295"/>
      <c r="AD292" s="295"/>
      <c r="AE292" s="295"/>
      <c r="AF292" s="295"/>
      <c r="AG292" s="295"/>
      <c r="AH292" s="295"/>
      <c r="AI292" s="295"/>
      <c r="AJ292" s="295"/>
      <c r="AK292" s="295"/>
      <c r="AL292" s="1140"/>
      <c r="AM292" s="295">
        <f t="shared" si="577"/>
        <v>4840.3616</v>
      </c>
      <c r="AN292" s="295">
        <v>500</v>
      </c>
      <c r="AO292" s="1302"/>
      <c r="AP292" s="1302"/>
      <c r="AQ292" s="1303">
        <v>1000</v>
      </c>
      <c r="AR292" s="1303"/>
      <c r="AS292" s="1304"/>
      <c r="AT292" s="1303"/>
      <c r="AU292" s="1303"/>
      <c r="AV292" s="1151"/>
      <c r="AW292" s="1151"/>
      <c r="AX292" s="1303"/>
      <c r="AY292" s="1161"/>
      <c r="AZ292" s="1151"/>
      <c r="BA292" s="295">
        <v>0</v>
      </c>
      <c r="BB292" s="295"/>
      <c r="BC292" s="295">
        <v>9680.7232</v>
      </c>
      <c r="BD292" s="295">
        <v>7500</v>
      </c>
      <c r="BE292" s="724">
        <v>1500</v>
      </c>
      <c r="BF292" s="724"/>
      <c r="BG292" s="724"/>
      <c r="BH292" s="724">
        <f t="shared" si="574"/>
        <v>5605.07045333333</v>
      </c>
      <c r="BI292" s="1166"/>
      <c r="BJ292" s="1166"/>
      <c r="BK292" s="724">
        <v>34249.26</v>
      </c>
      <c r="BL292" s="724">
        <f t="shared" si="573"/>
        <v>280253.522666667</v>
      </c>
      <c r="BM292" s="724">
        <f t="shared" si="576"/>
        <v>64875.4152533333</v>
      </c>
      <c r="BN292" s="724"/>
      <c r="BO292" s="724"/>
      <c r="BP292" s="724">
        <f t="shared" si="575"/>
        <v>215378.107413333</v>
      </c>
      <c r="BQ292" s="1320"/>
      <c r="BR292" s="1321"/>
      <c r="BS292" s="1322"/>
      <c r="BT292" s="1323"/>
      <c r="BU292" s="1329"/>
      <c r="BV292" s="1321"/>
      <c r="BW292" s="1322"/>
      <c r="BX292" s="1322"/>
      <c r="BY292" s="1322"/>
      <c r="BZ292" s="1322"/>
      <c r="CA292" s="1322"/>
      <c r="CB292" s="1322"/>
      <c r="CC292" s="1320"/>
      <c r="CD292" s="1322"/>
      <c r="CE292" s="321"/>
      <c r="CF292" s="322"/>
      <c r="CG292" s="1321"/>
      <c r="CH292" s="1339"/>
      <c r="CI292" s="1322"/>
      <c r="CJ292" s="1329"/>
      <c r="CK292" s="1329"/>
      <c r="CL292" s="335"/>
      <c r="CN292" s="1263"/>
      <c r="CO292" s="1258"/>
    </row>
    <row r="293" s="245" customFormat="1" ht="202" customHeight="1" spans="1:93">
      <c r="A293" s="1122">
        <v>290</v>
      </c>
      <c r="B293" s="70" t="s">
        <v>785</v>
      </c>
      <c r="C293" s="1123" t="s">
        <v>531</v>
      </c>
      <c r="D293" s="1088" t="s">
        <v>204</v>
      </c>
      <c r="E293" s="1088" t="s">
        <v>208</v>
      </c>
      <c r="F293" s="1124" t="s">
        <v>97</v>
      </c>
      <c r="G293" s="1443" t="s">
        <v>786</v>
      </c>
      <c r="H293" s="1125"/>
      <c r="I293" s="1125"/>
      <c r="J293" s="1289"/>
      <c r="K293" s="1289"/>
      <c r="L293" s="1290"/>
      <c r="M293" s="1290">
        <v>242018.08</v>
      </c>
      <c r="N293" s="295">
        <f t="shared" si="572"/>
        <v>28235.4426666667</v>
      </c>
      <c r="O293" s="295">
        <v>5000</v>
      </c>
      <c r="P293" s="295"/>
      <c r="Q293" s="295"/>
      <c r="R293" s="295">
        <v>2500</v>
      </c>
      <c r="S293" s="295"/>
      <c r="T293" s="295"/>
      <c r="U293" s="295"/>
      <c r="V293" s="295"/>
      <c r="W293" s="295"/>
      <c r="X293" s="295"/>
      <c r="Y293" s="295"/>
      <c r="Z293" s="295">
        <v>2500</v>
      </c>
      <c r="AA293" s="295"/>
      <c r="AB293" s="295"/>
      <c r="AC293" s="295"/>
      <c r="AD293" s="295"/>
      <c r="AE293" s="295"/>
      <c r="AF293" s="295"/>
      <c r="AG293" s="295"/>
      <c r="AH293" s="295"/>
      <c r="AI293" s="295"/>
      <c r="AJ293" s="295"/>
      <c r="AK293" s="295"/>
      <c r="AL293" s="1140"/>
      <c r="AM293" s="295">
        <f t="shared" si="577"/>
        <v>4840.3616</v>
      </c>
      <c r="AN293" s="295">
        <v>500</v>
      </c>
      <c r="AO293" s="1302"/>
      <c r="AP293" s="1302"/>
      <c r="AQ293" s="1303">
        <v>1000</v>
      </c>
      <c r="AR293" s="1303"/>
      <c r="AS293" s="1304"/>
      <c r="AT293" s="1303"/>
      <c r="AU293" s="1303"/>
      <c r="AV293" s="1151"/>
      <c r="AW293" s="1151"/>
      <c r="AX293" s="1303"/>
      <c r="AY293" s="1161"/>
      <c r="AZ293" s="1151"/>
      <c r="BA293" s="295">
        <v>0</v>
      </c>
      <c r="BB293" s="295"/>
      <c r="BC293" s="295"/>
      <c r="BD293" s="295"/>
      <c r="BE293" s="724">
        <v>1500</v>
      </c>
      <c r="BF293" s="724"/>
      <c r="BG293" s="724"/>
      <c r="BH293" s="724">
        <f t="shared" si="574"/>
        <v>5605.07045333333</v>
      </c>
      <c r="BI293" s="1166"/>
      <c r="BJ293" s="1166"/>
      <c r="BK293" s="724">
        <v>34249.26</v>
      </c>
      <c r="BL293" s="724">
        <f t="shared" si="573"/>
        <v>280253.522666667</v>
      </c>
      <c r="BM293" s="724">
        <f t="shared" si="576"/>
        <v>47694.6920533333</v>
      </c>
      <c r="BN293" s="724"/>
      <c r="BO293" s="724"/>
      <c r="BP293" s="724">
        <f t="shared" si="575"/>
        <v>232558.830613333</v>
      </c>
      <c r="BQ293" s="1320"/>
      <c r="BR293" s="1321"/>
      <c r="BS293" s="1322"/>
      <c r="BT293" s="1323"/>
      <c r="BU293" s="1329"/>
      <c r="BV293" s="1321"/>
      <c r="BW293" s="1322"/>
      <c r="BX293" s="1322"/>
      <c r="BY293" s="1322"/>
      <c r="BZ293" s="1322"/>
      <c r="CA293" s="1322"/>
      <c r="CB293" s="1322"/>
      <c r="CC293" s="1320"/>
      <c r="CD293" s="1322"/>
      <c r="CE293" s="321"/>
      <c r="CF293" s="322"/>
      <c r="CG293" s="1321"/>
      <c r="CH293" s="1339"/>
      <c r="CI293" s="1322"/>
      <c r="CJ293" s="1329"/>
      <c r="CK293" s="1329"/>
      <c r="CL293" s="335"/>
      <c r="CN293" s="1263"/>
      <c r="CO293" s="1258"/>
    </row>
    <row r="294" s="245" customFormat="1" ht="202" customHeight="1" spans="1:93">
      <c r="A294" s="1122">
        <v>291</v>
      </c>
      <c r="B294" s="70" t="s">
        <v>787</v>
      </c>
      <c r="C294" s="1123" t="s">
        <v>531</v>
      </c>
      <c r="D294" s="1088" t="s">
        <v>204</v>
      </c>
      <c r="E294" s="1088" t="s">
        <v>208</v>
      </c>
      <c r="F294" s="1124" t="s">
        <v>145</v>
      </c>
      <c r="G294" s="1443" t="s">
        <v>788</v>
      </c>
      <c r="H294" s="1125"/>
      <c r="I294" s="1125"/>
      <c r="J294" s="1289"/>
      <c r="K294" s="1289"/>
      <c r="L294" s="1290"/>
      <c r="M294" s="1290">
        <v>242018.08</v>
      </c>
      <c r="N294" s="295">
        <f t="shared" si="572"/>
        <v>28235.4426666667</v>
      </c>
      <c r="O294" s="295">
        <v>5000</v>
      </c>
      <c r="P294" s="295"/>
      <c r="Q294" s="295"/>
      <c r="R294" s="295">
        <v>2500</v>
      </c>
      <c r="S294" s="295"/>
      <c r="T294" s="295"/>
      <c r="U294" s="295"/>
      <c r="V294" s="295"/>
      <c r="W294" s="295"/>
      <c r="X294" s="295"/>
      <c r="Y294" s="295"/>
      <c r="Z294" s="295">
        <v>2500</v>
      </c>
      <c r="AA294" s="295"/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1140"/>
      <c r="AM294" s="295">
        <f t="shared" si="577"/>
        <v>4840.3616</v>
      </c>
      <c r="AN294" s="295">
        <v>500</v>
      </c>
      <c r="AO294" s="1302"/>
      <c r="AP294" s="1302"/>
      <c r="AQ294" s="1303">
        <v>1000</v>
      </c>
      <c r="AR294" s="1303"/>
      <c r="AS294" s="1304"/>
      <c r="AT294" s="1303"/>
      <c r="AU294" s="1303"/>
      <c r="AV294" s="1151">
        <v>5000</v>
      </c>
      <c r="AW294" s="1151"/>
      <c r="AX294" s="1303"/>
      <c r="AY294" s="1161">
        <v>2000</v>
      </c>
      <c r="AZ294" s="1151"/>
      <c r="BA294" s="295">
        <v>0</v>
      </c>
      <c r="BB294" s="295"/>
      <c r="BC294" s="295"/>
      <c r="BD294" s="295"/>
      <c r="BE294" s="724">
        <v>1500</v>
      </c>
      <c r="BF294" s="724"/>
      <c r="BG294" s="724"/>
      <c r="BH294" s="724">
        <f t="shared" si="574"/>
        <v>5605.07045333333</v>
      </c>
      <c r="BI294" s="1166"/>
      <c r="BJ294" s="1166"/>
      <c r="BK294" s="724">
        <v>34249.26</v>
      </c>
      <c r="BL294" s="724">
        <f t="shared" si="573"/>
        <v>280253.522666667</v>
      </c>
      <c r="BM294" s="724">
        <f t="shared" si="576"/>
        <v>54694.6920533333</v>
      </c>
      <c r="BN294" s="724"/>
      <c r="BO294" s="724"/>
      <c r="BP294" s="724">
        <f t="shared" si="575"/>
        <v>225558.830613333</v>
      </c>
      <c r="BQ294" s="1320"/>
      <c r="BR294" s="1321"/>
      <c r="BS294" s="1322"/>
      <c r="BT294" s="1323"/>
      <c r="BU294" s="1329"/>
      <c r="BV294" s="1321"/>
      <c r="BW294" s="1322"/>
      <c r="BX294" s="1322"/>
      <c r="BY294" s="1322"/>
      <c r="BZ294" s="1322"/>
      <c r="CA294" s="1322"/>
      <c r="CB294" s="1322"/>
      <c r="CC294" s="1320"/>
      <c r="CD294" s="1322"/>
      <c r="CE294" s="321"/>
      <c r="CF294" s="322"/>
      <c r="CG294" s="1321"/>
      <c r="CH294" s="1339"/>
      <c r="CI294" s="1322"/>
      <c r="CJ294" s="1329"/>
      <c r="CK294" s="1329"/>
      <c r="CL294" s="335"/>
      <c r="CN294" s="1263"/>
      <c r="CO294" s="1258"/>
    </row>
    <row r="295" s="245" customFormat="1" ht="202" customHeight="1" spans="1:93">
      <c r="A295" s="1122">
        <v>292</v>
      </c>
      <c r="B295" s="70" t="s">
        <v>789</v>
      </c>
      <c r="C295" s="1123" t="s">
        <v>398</v>
      </c>
      <c r="D295" s="1088" t="s">
        <v>204</v>
      </c>
      <c r="E295" s="1088" t="s">
        <v>208</v>
      </c>
      <c r="F295" s="1403" t="s">
        <v>151</v>
      </c>
      <c r="G295" s="1443" t="s">
        <v>790</v>
      </c>
      <c r="H295" s="1125"/>
      <c r="I295" s="1125"/>
      <c r="J295" s="1289"/>
      <c r="K295" s="1289"/>
      <c r="L295" s="1290"/>
      <c r="M295" s="1290">
        <v>242018.08</v>
      </c>
      <c r="N295" s="295">
        <f t="shared" si="572"/>
        <v>28235.4426666667</v>
      </c>
      <c r="O295" s="295">
        <v>5000</v>
      </c>
      <c r="P295" s="295"/>
      <c r="Q295" s="295"/>
      <c r="R295" s="295">
        <v>2500</v>
      </c>
      <c r="S295" s="295"/>
      <c r="T295" s="295"/>
      <c r="U295" s="295"/>
      <c r="V295" s="295"/>
      <c r="W295" s="295"/>
      <c r="X295" s="295"/>
      <c r="Y295" s="295"/>
      <c r="Z295" s="295">
        <v>2500</v>
      </c>
      <c r="AA295" s="295"/>
      <c r="AB295" s="295"/>
      <c r="AC295" s="295"/>
      <c r="AD295" s="295"/>
      <c r="AE295" s="295"/>
      <c r="AF295" s="295"/>
      <c r="AG295" s="295"/>
      <c r="AH295" s="295"/>
      <c r="AI295" s="295"/>
      <c r="AJ295" s="295"/>
      <c r="AK295" s="295"/>
      <c r="AL295" s="1140">
        <v>93334</v>
      </c>
      <c r="AM295" s="295">
        <f t="shared" si="577"/>
        <v>4840.3616</v>
      </c>
      <c r="AN295" s="295">
        <v>500</v>
      </c>
      <c r="AO295" s="1302"/>
      <c r="AP295" s="1302"/>
      <c r="AQ295" s="1303"/>
      <c r="AR295" s="1303"/>
      <c r="AS295" s="1304"/>
      <c r="AT295" s="1303"/>
      <c r="AU295" s="1303"/>
      <c r="AV295" s="1151">
        <v>5000</v>
      </c>
      <c r="AW295" s="1151"/>
      <c r="AX295" s="1303">
        <v>1000</v>
      </c>
      <c r="AY295" s="1161"/>
      <c r="AZ295" s="1151"/>
      <c r="BA295" s="295">
        <v>0</v>
      </c>
      <c r="BB295" s="295"/>
      <c r="BC295" s="295"/>
      <c r="BD295" s="295"/>
      <c r="BE295" s="724">
        <v>1500</v>
      </c>
      <c r="BF295" s="724"/>
      <c r="BG295" s="724"/>
      <c r="BH295" s="724">
        <f t="shared" si="574"/>
        <v>5605.07045333333</v>
      </c>
      <c r="BI295" s="1166"/>
      <c r="BJ295" s="1166"/>
      <c r="BK295" s="724">
        <v>34249.26</v>
      </c>
      <c r="BL295" s="724">
        <f t="shared" si="573"/>
        <v>280253.522666667</v>
      </c>
      <c r="BM295" s="724">
        <f t="shared" si="576"/>
        <v>146028.692053333</v>
      </c>
      <c r="BN295" s="724"/>
      <c r="BO295" s="724"/>
      <c r="BP295" s="724">
        <f t="shared" si="575"/>
        <v>134224.830613333</v>
      </c>
      <c r="BQ295" s="1320"/>
      <c r="BR295" s="1321"/>
      <c r="BS295" s="1322"/>
      <c r="BT295" s="1323"/>
      <c r="BU295" s="1329"/>
      <c r="BV295" s="1321"/>
      <c r="BW295" s="1322"/>
      <c r="BX295" s="1322"/>
      <c r="BY295" s="1322"/>
      <c r="BZ295" s="1322"/>
      <c r="CA295" s="1322"/>
      <c r="CB295" s="1322"/>
      <c r="CC295" s="1320"/>
      <c r="CD295" s="1322"/>
      <c r="CE295" s="321"/>
      <c r="CF295" s="322"/>
      <c r="CG295" s="1321"/>
      <c r="CH295" s="1339"/>
      <c r="CI295" s="1322"/>
      <c r="CJ295" s="1329"/>
      <c r="CK295" s="1329"/>
      <c r="CL295" s="335"/>
      <c r="CN295" s="1263"/>
      <c r="CO295" s="1258"/>
    </row>
    <row r="296" s="245" customFormat="1" ht="202" customHeight="1" spans="1:93">
      <c r="A296" s="1122">
        <v>293</v>
      </c>
      <c r="B296" s="70" t="s">
        <v>791</v>
      </c>
      <c r="C296" s="1123" t="s">
        <v>188</v>
      </c>
      <c r="D296" s="1088" t="s">
        <v>204</v>
      </c>
      <c r="E296" s="1088" t="s">
        <v>208</v>
      </c>
      <c r="F296" s="1124" t="s">
        <v>361</v>
      </c>
      <c r="G296" s="1443" t="s">
        <v>792</v>
      </c>
      <c r="H296" s="1125"/>
      <c r="I296" s="1125"/>
      <c r="J296" s="1289"/>
      <c r="K296" s="1289"/>
      <c r="L296" s="1290"/>
      <c r="M296" s="1290">
        <v>242018.08</v>
      </c>
      <c r="N296" s="295">
        <f t="shared" si="572"/>
        <v>28235.4426666667</v>
      </c>
      <c r="O296" s="295">
        <v>5000</v>
      </c>
      <c r="P296" s="295"/>
      <c r="Q296" s="295"/>
      <c r="R296" s="295">
        <v>2500</v>
      </c>
      <c r="S296" s="295"/>
      <c r="T296" s="295"/>
      <c r="U296" s="295"/>
      <c r="V296" s="295"/>
      <c r="W296" s="295"/>
      <c r="X296" s="295"/>
      <c r="Y296" s="295"/>
      <c r="Z296" s="295">
        <v>2500</v>
      </c>
      <c r="AA296" s="295"/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1140"/>
      <c r="AM296" s="295">
        <f t="shared" si="577"/>
        <v>4840.3616</v>
      </c>
      <c r="AN296" s="295">
        <v>500</v>
      </c>
      <c r="AO296" s="1302"/>
      <c r="AP296" s="1302"/>
      <c r="AQ296" s="1303"/>
      <c r="AR296" s="1303"/>
      <c r="AS296" s="1304"/>
      <c r="AT296" s="1303"/>
      <c r="AU296" s="1303"/>
      <c r="AV296" s="1151">
        <v>5000</v>
      </c>
      <c r="AW296" s="1151"/>
      <c r="AX296" s="1303">
        <v>1000</v>
      </c>
      <c r="AY296" s="1161"/>
      <c r="AZ296" s="1151"/>
      <c r="BA296" s="295">
        <v>0</v>
      </c>
      <c r="BB296" s="295"/>
      <c r="BC296" s="295"/>
      <c r="BD296" s="295"/>
      <c r="BE296" s="724">
        <v>1500</v>
      </c>
      <c r="BF296" s="724"/>
      <c r="BG296" s="724"/>
      <c r="BH296" s="724">
        <f t="shared" si="574"/>
        <v>5605.07045333333</v>
      </c>
      <c r="BI296" s="1166"/>
      <c r="BJ296" s="1166"/>
      <c r="BK296" s="724">
        <v>34249.26</v>
      </c>
      <c r="BL296" s="724">
        <f t="shared" si="573"/>
        <v>280253.522666667</v>
      </c>
      <c r="BM296" s="724">
        <f t="shared" si="576"/>
        <v>52694.6920533333</v>
      </c>
      <c r="BN296" s="724"/>
      <c r="BO296" s="724"/>
      <c r="BP296" s="724">
        <f t="shared" si="575"/>
        <v>227558.830613333</v>
      </c>
      <c r="BQ296" s="1320"/>
      <c r="BR296" s="1321"/>
      <c r="BS296" s="1322"/>
      <c r="BT296" s="1323"/>
      <c r="BU296" s="1329"/>
      <c r="BV296" s="1321"/>
      <c r="BW296" s="1322"/>
      <c r="BX296" s="1322"/>
      <c r="BY296" s="1322"/>
      <c r="BZ296" s="1322"/>
      <c r="CA296" s="1322"/>
      <c r="CB296" s="1322"/>
      <c r="CC296" s="1320"/>
      <c r="CD296" s="1322"/>
      <c r="CE296" s="321"/>
      <c r="CF296" s="322"/>
      <c r="CG296" s="1321"/>
      <c r="CH296" s="1339"/>
      <c r="CI296" s="1322"/>
      <c r="CJ296" s="1329"/>
      <c r="CK296" s="1329"/>
      <c r="CL296" s="335"/>
      <c r="CN296" s="1263"/>
      <c r="CO296" s="1258"/>
    </row>
    <row r="297" s="245" customFormat="1" ht="202" customHeight="1" spans="1:93">
      <c r="A297" s="1122">
        <v>294</v>
      </c>
      <c r="B297" s="70" t="s">
        <v>793</v>
      </c>
      <c r="C297" s="1123" t="s">
        <v>554</v>
      </c>
      <c r="D297" s="1088" t="s">
        <v>125</v>
      </c>
      <c r="E297" s="1088" t="s">
        <v>208</v>
      </c>
      <c r="F297" s="1124" t="s">
        <v>97</v>
      </c>
      <c r="G297" s="1443" t="s">
        <v>794</v>
      </c>
      <c r="H297" s="1125"/>
      <c r="I297" s="1125"/>
      <c r="J297" s="1289"/>
      <c r="K297" s="1289"/>
      <c r="L297" s="1290"/>
      <c r="M297" s="1290">
        <v>242018.08</v>
      </c>
      <c r="N297" s="295">
        <f t="shared" si="572"/>
        <v>28235.4426666667</v>
      </c>
      <c r="O297" s="295">
        <v>5000</v>
      </c>
      <c r="P297" s="295"/>
      <c r="Q297" s="295"/>
      <c r="R297" s="295">
        <v>2500</v>
      </c>
      <c r="S297" s="295"/>
      <c r="T297" s="295"/>
      <c r="U297" s="295"/>
      <c r="V297" s="295"/>
      <c r="W297" s="295"/>
      <c r="X297" s="295"/>
      <c r="Y297" s="295"/>
      <c r="Z297" s="295">
        <v>2500</v>
      </c>
      <c r="AA297" s="295"/>
      <c r="AB297" s="295"/>
      <c r="AC297" s="295"/>
      <c r="AD297" s="295"/>
      <c r="AE297" s="295"/>
      <c r="AF297" s="295"/>
      <c r="AG297" s="295"/>
      <c r="AH297" s="295"/>
      <c r="AI297" s="295"/>
      <c r="AJ297" s="295"/>
      <c r="AK297" s="295"/>
      <c r="AL297" s="1140"/>
      <c r="AM297" s="295">
        <f t="shared" si="577"/>
        <v>4840.3616</v>
      </c>
      <c r="AN297" s="295">
        <v>500</v>
      </c>
      <c r="AO297" s="1302"/>
      <c r="AP297" s="1302"/>
      <c r="AQ297" s="1303"/>
      <c r="AR297" s="1303"/>
      <c r="AS297" s="1304"/>
      <c r="AT297" s="1303"/>
      <c r="AU297" s="1303"/>
      <c r="AV297" s="1151">
        <v>5000</v>
      </c>
      <c r="AW297" s="1151"/>
      <c r="AX297" s="1303"/>
      <c r="AY297" s="1161"/>
      <c r="AZ297" s="1151"/>
      <c r="BA297" s="295">
        <v>10000</v>
      </c>
      <c r="BB297" s="295"/>
      <c r="BC297" s="295"/>
      <c r="BD297" s="295"/>
      <c r="BE297" s="724">
        <v>1000</v>
      </c>
      <c r="BF297" s="724"/>
      <c r="BG297" s="724"/>
      <c r="BH297" s="724">
        <f t="shared" si="574"/>
        <v>5605.07045333333</v>
      </c>
      <c r="BI297" s="1166"/>
      <c r="BJ297" s="1166"/>
      <c r="BK297" s="724">
        <v>34249.26</v>
      </c>
      <c r="BL297" s="724">
        <f t="shared" si="573"/>
        <v>280253.522666667</v>
      </c>
      <c r="BM297" s="724">
        <f t="shared" si="576"/>
        <v>61194.6920533333</v>
      </c>
      <c r="BN297" s="724"/>
      <c r="BO297" s="724"/>
      <c r="BP297" s="724">
        <f t="shared" si="575"/>
        <v>219058.830613333</v>
      </c>
      <c r="BQ297" s="1320"/>
      <c r="BR297" s="1321"/>
      <c r="BS297" s="1322"/>
      <c r="BT297" s="1323"/>
      <c r="BU297" s="1329"/>
      <c r="BV297" s="1321"/>
      <c r="BW297" s="1322"/>
      <c r="BX297" s="1322"/>
      <c r="BY297" s="1322"/>
      <c r="BZ297" s="1322"/>
      <c r="CA297" s="1322"/>
      <c r="CB297" s="1322"/>
      <c r="CC297" s="1320"/>
      <c r="CD297" s="1322"/>
      <c r="CE297" s="321"/>
      <c r="CF297" s="322"/>
      <c r="CG297" s="1321"/>
      <c r="CH297" s="1339"/>
      <c r="CI297" s="1322"/>
      <c r="CJ297" s="1329"/>
      <c r="CK297" s="1329"/>
      <c r="CL297" s="335"/>
      <c r="CN297" s="1263"/>
      <c r="CO297" s="1258"/>
    </row>
    <row r="298" s="245" customFormat="1" ht="202" customHeight="1" spans="1:93">
      <c r="A298" s="1122">
        <v>295</v>
      </c>
      <c r="B298" s="70" t="s">
        <v>795</v>
      </c>
      <c r="C298" s="1123" t="s">
        <v>164</v>
      </c>
      <c r="D298" s="1088" t="s">
        <v>352</v>
      </c>
      <c r="E298" s="1088" t="s">
        <v>199</v>
      </c>
      <c r="F298" s="1124" t="s">
        <v>113</v>
      </c>
      <c r="G298" s="1443" t="s">
        <v>796</v>
      </c>
      <c r="H298" s="1125"/>
      <c r="I298" s="1125"/>
      <c r="J298" s="1289"/>
      <c r="K298" s="1289"/>
      <c r="L298" s="1290"/>
      <c r="M298" s="1290">
        <v>192875.25</v>
      </c>
      <c r="N298" s="295">
        <f t="shared" si="572"/>
        <v>22502.1125</v>
      </c>
      <c r="O298" s="295">
        <v>5000</v>
      </c>
      <c r="P298" s="295"/>
      <c r="Q298" s="295"/>
      <c r="R298" s="295">
        <v>2500</v>
      </c>
      <c r="S298" s="295"/>
      <c r="T298" s="295"/>
      <c r="U298" s="295"/>
      <c r="V298" s="295"/>
      <c r="W298" s="295"/>
      <c r="X298" s="295"/>
      <c r="Y298" s="295"/>
      <c r="Z298" s="295">
        <v>2500</v>
      </c>
      <c r="AA298" s="295"/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1140"/>
      <c r="AM298" s="295">
        <f t="shared" si="577"/>
        <v>3857.505</v>
      </c>
      <c r="AN298" s="295">
        <v>500</v>
      </c>
      <c r="AO298" s="1302"/>
      <c r="AP298" s="1302"/>
      <c r="AQ298" s="1303"/>
      <c r="AR298" s="1303"/>
      <c r="AS298" s="1304"/>
      <c r="AT298" s="1303"/>
      <c r="AU298" s="1303"/>
      <c r="AV298" s="1151"/>
      <c r="AW298" s="1151"/>
      <c r="AX298" s="1303"/>
      <c r="AY298" s="1161"/>
      <c r="AZ298" s="1151"/>
      <c r="BA298" s="295">
        <v>0</v>
      </c>
      <c r="BB298" s="295"/>
      <c r="BC298" s="295"/>
      <c r="BD298" s="295"/>
      <c r="BE298" s="724">
        <v>1000</v>
      </c>
      <c r="BF298" s="724"/>
      <c r="BG298" s="724"/>
      <c r="BH298" s="724">
        <f t="shared" si="574"/>
        <v>4507.54725</v>
      </c>
      <c r="BI298" s="1166"/>
      <c r="BJ298" s="1166"/>
      <c r="BK298" s="724">
        <v>25030.06</v>
      </c>
      <c r="BL298" s="724">
        <f t="shared" si="573"/>
        <v>225377.3625</v>
      </c>
      <c r="BM298" s="724">
        <f t="shared" si="576"/>
        <v>34895.11225</v>
      </c>
      <c r="BN298" s="724"/>
      <c r="BO298" s="724"/>
      <c r="BP298" s="724">
        <f t="shared" si="575"/>
        <v>190482.25025</v>
      </c>
      <c r="BQ298" s="1320"/>
      <c r="BR298" s="1321"/>
      <c r="BS298" s="1322"/>
      <c r="BT298" s="1323"/>
      <c r="BU298" s="1329"/>
      <c r="BV298" s="1321"/>
      <c r="BW298" s="1322"/>
      <c r="BX298" s="1322"/>
      <c r="BY298" s="1322"/>
      <c r="BZ298" s="1322"/>
      <c r="CA298" s="1322"/>
      <c r="CB298" s="1322"/>
      <c r="CC298" s="1320"/>
      <c r="CD298" s="1322"/>
      <c r="CE298" s="321"/>
      <c r="CF298" s="322"/>
      <c r="CG298" s="1321"/>
      <c r="CH298" s="1339"/>
      <c r="CI298" s="1322"/>
      <c r="CJ298" s="1329"/>
      <c r="CK298" s="1329"/>
      <c r="CL298" s="335"/>
      <c r="CN298" s="1263"/>
      <c r="CO298" s="1258"/>
    </row>
    <row r="299" s="245" customFormat="1" ht="202" customHeight="1" spans="1:93">
      <c r="A299" s="1122">
        <v>296</v>
      </c>
      <c r="B299" s="70" t="s">
        <v>797</v>
      </c>
      <c r="C299" s="1123" t="s">
        <v>275</v>
      </c>
      <c r="D299" s="1088" t="s">
        <v>352</v>
      </c>
      <c r="E299" s="1088" t="s">
        <v>199</v>
      </c>
      <c r="F299" s="1124" t="s">
        <v>135</v>
      </c>
      <c r="G299" s="1443" t="s">
        <v>798</v>
      </c>
      <c r="H299" s="1125"/>
      <c r="I299" s="1125"/>
      <c r="J299" s="1289"/>
      <c r="K299" s="1289"/>
      <c r="L299" s="1290"/>
      <c r="M299" s="1290">
        <v>192875.25</v>
      </c>
      <c r="N299" s="295">
        <f t="shared" si="572"/>
        <v>22502.1125</v>
      </c>
      <c r="O299" s="295">
        <v>5000</v>
      </c>
      <c r="P299" s="295"/>
      <c r="Q299" s="295"/>
      <c r="R299" s="295">
        <v>2500</v>
      </c>
      <c r="S299" s="295"/>
      <c r="T299" s="295"/>
      <c r="U299" s="295"/>
      <c r="V299" s="295"/>
      <c r="W299" s="295"/>
      <c r="X299" s="295"/>
      <c r="Y299" s="295"/>
      <c r="Z299" s="295">
        <v>2500</v>
      </c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1140"/>
      <c r="AM299" s="295">
        <f t="shared" si="577"/>
        <v>3857.505</v>
      </c>
      <c r="AN299" s="295">
        <v>500</v>
      </c>
      <c r="AO299" s="1302"/>
      <c r="AP299" s="1302"/>
      <c r="AQ299" s="1303"/>
      <c r="AR299" s="1303"/>
      <c r="AS299" s="1304"/>
      <c r="AT299" s="1303"/>
      <c r="AU299" s="1303"/>
      <c r="AV299" s="1151"/>
      <c r="AW299" s="1151"/>
      <c r="AX299" s="1303">
        <v>1000</v>
      </c>
      <c r="AY299" s="1161"/>
      <c r="AZ299" s="1151"/>
      <c r="BA299" s="295">
        <v>0</v>
      </c>
      <c r="BB299" s="295"/>
      <c r="BC299" s="295"/>
      <c r="BD299" s="295"/>
      <c r="BE299" s="724">
        <v>1000</v>
      </c>
      <c r="BF299" s="724"/>
      <c r="BG299" s="724"/>
      <c r="BH299" s="724">
        <f t="shared" si="574"/>
        <v>4507.54725</v>
      </c>
      <c r="BI299" s="1166"/>
      <c r="BJ299" s="1166"/>
      <c r="BK299" s="724">
        <v>25030.06</v>
      </c>
      <c r="BL299" s="724">
        <f t="shared" si="573"/>
        <v>225377.3625</v>
      </c>
      <c r="BM299" s="724">
        <f t="shared" si="576"/>
        <v>35895.11225</v>
      </c>
      <c r="BN299" s="724"/>
      <c r="BO299" s="724"/>
      <c r="BP299" s="724">
        <f t="shared" si="575"/>
        <v>189482.25025</v>
      </c>
      <c r="BQ299" s="1320"/>
      <c r="BR299" s="1321"/>
      <c r="BS299" s="1322"/>
      <c r="BT299" s="1323"/>
      <c r="BU299" s="1329"/>
      <c r="BV299" s="1321"/>
      <c r="BW299" s="1322"/>
      <c r="BX299" s="1322"/>
      <c r="BY299" s="1322"/>
      <c r="BZ299" s="1322"/>
      <c r="CA299" s="1322"/>
      <c r="CB299" s="1322"/>
      <c r="CC299" s="1320"/>
      <c r="CD299" s="1322"/>
      <c r="CE299" s="321"/>
      <c r="CF299" s="322"/>
      <c r="CG299" s="1321"/>
      <c r="CH299" s="1339"/>
      <c r="CI299" s="1322"/>
      <c r="CJ299" s="1329"/>
      <c r="CK299" s="1329"/>
      <c r="CL299" s="335"/>
      <c r="CN299" s="1263"/>
      <c r="CO299" s="1258"/>
    </row>
    <row r="300" s="245" customFormat="1" ht="202" customHeight="1" spans="1:93">
      <c r="A300" s="1122">
        <v>297</v>
      </c>
      <c r="B300" s="70" t="s">
        <v>799</v>
      </c>
      <c r="C300" s="1123" t="s">
        <v>164</v>
      </c>
      <c r="D300" s="1088" t="s">
        <v>352</v>
      </c>
      <c r="E300" s="1088" t="s">
        <v>199</v>
      </c>
      <c r="F300" s="1124" t="s">
        <v>113</v>
      </c>
      <c r="G300" s="1443" t="s">
        <v>800</v>
      </c>
      <c r="H300" s="1125"/>
      <c r="I300" s="1125"/>
      <c r="J300" s="1289"/>
      <c r="K300" s="1289"/>
      <c r="L300" s="1290"/>
      <c r="M300" s="1290">
        <v>192875.25</v>
      </c>
      <c r="N300" s="295">
        <f t="shared" si="572"/>
        <v>22502.1125</v>
      </c>
      <c r="O300" s="295">
        <v>5000</v>
      </c>
      <c r="P300" s="295"/>
      <c r="Q300" s="295"/>
      <c r="R300" s="295">
        <v>2500</v>
      </c>
      <c r="S300" s="295"/>
      <c r="T300" s="295"/>
      <c r="U300" s="295"/>
      <c r="V300" s="295"/>
      <c r="W300" s="295"/>
      <c r="X300" s="295"/>
      <c r="Y300" s="295"/>
      <c r="Z300" s="295">
        <v>2500</v>
      </c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1140"/>
      <c r="AM300" s="295">
        <f t="shared" si="577"/>
        <v>3857.505</v>
      </c>
      <c r="AN300" s="295">
        <v>500</v>
      </c>
      <c r="AO300" s="1302"/>
      <c r="AP300" s="1302"/>
      <c r="AQ300" s="1303"/>
      <c r="AR300" s="1303"/>
      <c r="AS300" s="1304"/>
      <c r="AT300" s="1303"/>
      <c r="AU300" s="1303"/>
      <c r="AV300" s="1151"/>
      <c r="AW300" s="1151"/>
      <c r="AX300" s="1303"/>
      <c r="AY300" s="1161"/>
      <c r="AZ300" s="1151"/>
      <c r="BA300" s="295">
        <v>0</v>
      </c>
      <c r="BB300" s="295"/>
      <c r="BC300" s="295"/>
      <c r="BD300" s="295"/>
      <c r="BE300" s="724">
        <v>1000</v>
      </c>
      <c r="BF300" s="724"/>
      <c r="BG300" s="724"/>
      <c r="BH300" s="724">
        <f t="shared" si="574"/>
        <v>4507.54725</v>
      </c>
      <c r="BI300" s="1166"/>
      <c r="BJ300" s="1166"/>
      <c r="BK300" s="724">
        <v>25030.06</v>
      </c>
      <c r="BL300" s="724">
        <f t="shared" si="573"/>
        <v>225377.3625</v>
      </c>
      <c r="BM300" s="724">
        <f t="shared" si="576"/>
        <v>34895.11225</v>
      </c>
      <c r="BN300" s="724"/>
      <c r="BO300" s="724"/>
      <c r="BP300" s="724">
        <f t="shared" si="575"/>
        <v>190482.25025</v>
      </c>
      <c r="BQ300" s="1320"/>
      <c r="BR300" s="1321"/>
      <c r="BS300" s="1322"/>
      <c r="BT300" s="1323"/>
      <c r="BU300" s="1329"/>
      <c r="BV300" s="1321"/>
      <c r="BW300" s="1322"/>
      <c r="BX300" s="1322"/>
      <c r="BY300" s="1322"/>
      <c r="BZ300" s="1322"/>
      <c r="CA300" s="1322"/>
      <c r="CB300" s="1322"/>
      <c r="CC300" s="1320"/>
      <c r="CD300" s="1322"/>
      <c r="CE300" s="321"/>
      <c r="CF300" s="322"/>
      <c r="CG300" s="1321"/>
      <c r="CH300" s="1339"/>
      <c r="CI300" s="1322"/>
      <c r="CJ300" s="1329"/>
      <c r="CK300" s="1329"/>
      <c r="CL300" s="335"/>
      <c r="CN300" s="1263"/>
      <c r="CO300" s="1258"/>
    </row>
    <row r="301" s="245" customFormat="1" ht="202" customHeight="1" spans="1:93">
      <c r="A301" s="1122">
        <v>298</v>
      </c>
      <c r="B301" s="70" t="s">
        <v>801</v>
      </c>
      <c r="C301" s="1123" t="s">
        <v>657</v>
      </c>
      <c r="D301" s="1088" t="s">
        <v>352</v>
      </c>
      <c r="E301" s="1088" t="s">
        <v>199</v>
      </c>
      <c r="F301" s="1124" t="s">
        <v>93</v>
      </c>
      <c r="G301" s="1443" t="s">
        <v>802</v>
      </c>
      <c r="H301" s="1125"/>
      <c r="I301" s="1125"/>
      <c r="J301" s="1289"/>
      <c r="K301" s="1289"/>
      <c r="L301" s="1290"/>
      <c r="M301" s="1290">
        <v>192875.25</v>
      </c>
      <c r="N301" s="295">
        <f t="shared" si="572"/>
        <v>22502.1125</v>
      </c>
      <c r="O301" s="295">
        <v>5000</v>
      </c>
      <c r="P301" s="295"/>
      <c r="Q301" s="295"/>
      <c r="R301" s="295">
        <v>2500</v>
      </c>
      <c r="S301" s="295"/>
      <c r="T301" s="295"/>
      <c r="U301" s="295"/>
      <c r="V301" s="295"/>
      <c r="W301" s="295"/>
      <c r="X301" s="295"/>
      <c r="Y301" s="295"/>
      <c r="Z301" s="295">
        <v>2500</v>
      </c>
      <c r="AA301" s="295"/>
      <c r="AB301" s="295"/>
      <c r="AC301" s="295"/>
      <c r="AD301" s="295"/>
      <c r="AE301" s="295"/>
      <c r="AF301" s="295"/>
      <c r="AG301" s="295"/>
      <c r="AH301" s="295"/>
      <c r="AI301" s="295">
        <v>41667</v>
      </c>
      <c r="AJ301" s="295"/>
      <c r="AK301" s="295"/>
      <c r="AL301" s="1140"/>
      <c r="AM301" s="295">
        <f t="shared" si="577"/>
        <v>3857.505</v>
      </c>
      <c r="AN301" s="295">
        <v>500</v>
      </c>
      <c r="AO301" s="1302"/>
      <c r="AP301" s="1302"/>
      <c r="AQ301" s="1303">
        <v>1000</v>
      </c>
      <c r="AR301" s="1303"/>
      <c r="AS301" s="1304"/>
      <c r="AT301" s="1303"/>
      <c r="AU301" s="1303"/>
      <c r="AV301" s="1151"/>
      <c r="AW301" s="1151"/>
      <c r="AX301" s="1303"/>
      <c r="AY301" s="1161"/>
      <c r="AZ301" s="1151"/>
      <c r="BA301" s="295">
        <v>0</v>
      </c>
      <c r="BB301" s="295"/>
      <c r="BC301" s="295"/>
      <c r="BD301" s="295"/>
      <c r="BE301" s="724">
        <v>1000</v>
      </c>
      <c r="BF301" s="724"/>
      <c r="BG301" s="724"/>
      <c r="BH301" s="724">
        <f t="shared" si="574"/>
        <v>4507.54725</v>
      </c>
      <c r="BI301" s="1166"/>
      <c r="BJ301" s="1166"/>
      <c r="BK301" s="724">
        <v>25030.06</v>
      </c>
      <c r="BL301" s="724">
        <f t="shared" si="573"/>
        <v>225377.3625</v>
      </c>
      <c r="BM301" s="724">
        <f t="shared" si="576"/>
        <v>77562.11225</v>
      </c>
      <c r="BN301" s="724"/>
      <c r="BO301" s="724"/>
      <c r="BP301" s="724">
        <f t="shared" si="575"/>
        <v>147815.25025</v>
      </c>
      <c r="BQ301" s="1320"/>
      <c r="BR301" s="1321"/>
      <c r="BS301" s="1322"/>
      <c r="BT301" s="1323"/>
      <c r="BU301" s="1329"/>
      <c r="BV301" s="1321"/>
      <c r="BW301" s="1322"/>
      <c r="BX301" s="1322"/>
      <c r="BY301" s="1322"/>
      <c r="BZ301" s="1322"/>
      <c r="CA301" s="1322"/>
      <c r="CB301" s="1322"/>
      <c r="CC301" s="1320"/>
      <c r="CD301" s="1322"/>
      <c r="CE301" s="321"/>
      <c r="CF301" s="322"/>
      <c r="CG301" s="1321"/>
      <c r="CH301" s="1339"/>
      <c r="CI301" s="1322"/>
      <c r="CJ301" s="1329"/>
      <c r="CK301" s="1329"/>
      <c r="CL301" s="335"/>
      <c r="CN301" s="1263"/>
      <c r="CO301" s="1258"/>
    </row>
    <row r="302" s="245" customFormat="1" ht="202" customHeight="1" spans="1:93">
      <c r="A302" s="1122">
        <v>299</v>
      </c>
      <c r="B302" s="70" t="s">
        <v>803</v>
      </c>
      <c r="C302" s="1123" t="s">
        <v>110</v>
      </c>
      <c r="D302" s="1088" t="s">
        <v>195</v>
      </c>
      <c r="E302" s="1088" t="s">
        <v>555</v>
      </c>
      <c r="F302" s="1124" t="s">
        <v>127</v>
      </c>
      <c r="G302" s="1443" t="s">
        <v>804</v>
      </c>
      <c r="H302" s="1125"/>
      <c r="I302" s="1125"/>
      <c r="J302" s="1289"/>
      <c r="K302" s="1289"/>
      <c r="L302" s="1290"/>
      <c r="M302" s="1290">
        <v>217132.08</v>
      </c>
      <c r="N302" s="295">
        <f t="shared" si="572"/>
        <v>25332.076</v>
      </c>
      <c r="O302" s="295">
        <v>5000</v>
      </c>
      <c r="P302" s="295"/>
      <c r="Q302" s="295"/>
      <c r="R302" s="295">
        <v>2500</v>
      </c>
      <c r="S302" s="295"/>
      <c r="T302" s="295"/>
      <c r="U302" s="295"/>
      <c r="V302" s="295"/>
      <c r="W302" s="295"/>
      <c r="X302" s="295"/>
      <c r="Y302" s="295"/>
      <c r="Z302" s="295">
        <v>2500</v>
      </c>
      <c r="AA302" s="295"/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1140"/>
      <c r="AM302" s="295">
        <f t="shared" si="577"/>
        <v>4342.6416</v>
      </c>
      <c r="AN302" s="295">
        <v>500</v>
      </c>
      <c r="AO302" s="1302"/>
      <c r="AP302" s="1302"/>
      <c r="AQ302" s="1303">
        <v>1000</v>
      </c>
      <c r="AR302" s="1303"/>
      <c r="AS302" s="1304"/>
      <c r="AT302" s="1303"/>
      <c r="AU302" s="1303"/>
      <c r="AV302" s="1151"/>
      <c r="AW302" s="1151"/>
      <c r="AX302" s="1303"/>
      <c r="AY302" s="1161"/>
      <c r="AZ302" s="1151"/>
      <c r="BA302" s="295">
        <v>10000</v>
      </c>
      <c r="BB302" s="295"/>
      <c r="BC302" s="295"/>
      <c r="BD302" s="295"/>
      <c r="BE302" s="724">
        <v>1000</v>
      </c>
      <c r="BF302" s="724"/>
      <c r="BG302" s="724"/>
      <c r="BH302" s="724">
        <f t="shared" si="574"/>
        <v>5049.28312</v>
      </c>
      <c r="BI302" s="1166"/>
      <c r="BJ302" s="1166"/>
      <c r="BK302" s="724">
        <v>25030.06</v>
      </c>
      <c r="BL302" s="724">
        <f t="shared" si="573"/>
        <v>252464.156</v>
      </c>
      <c r="BM302" s="724">
        <f t="shared" si="576"/>
        <v>46921.98472</v>
      </c>
      <c r="BN302" s="724"/>
      <c r="BO302" s="724"/>
      <c r="BP302" s="724">
        <f t="shared" si="575"/>
        <v>205542.17128</v>
      </c>
      <c r="BQ302" s="1320"/>
      <c r="BR302" s="1321"/>
      <c r="BS302" s="1322"/>
      <c r="BT302" s="1323"/>
      <c r="BU302" s="1329"/>
      <c r="BV302" s="1321"/>
      <c r="BW302" s="1322"/>
      <c r="BX302" s="1322"/>
      <c r="BY302" s="1322"/>
      <c r="BZ302" s="1322"/>
      <c r="CA302" s="1322"/>
      <c r="CB302" s="1322"/>
      <c r="CC302" s="1320"/>
      <c r="CD302" s="1322"/>
      <c r="CE302" s="321"/>
      <c r="CF302" s="322"/>
      <c r="CG302" s="1321"/>
      <c r="CH302" s="1339"/>
      <c r="CI302" s="1322"/>
      <c r="CJ302" s="1329"/>
      <c r="CK302" s="1329"/>
      <c r="CL302" s="335"/>
      <c r="CN302" s="1263"/>
      <c r="CO302" s="1258"/>
    </row>
    <row r="303" s="245" customFormat="1" ht="202" customHeight="1" spans="1:93">
      <c r="A303" s="1122">
        <v>300</v>
      </c>
      <c r="B303" s="70" t="s">
        <v>805</v>
      </c>
      <c r="C303" s="1123" t="s">
        <v>660</v>
      </c>
      <c r="D303" s="1088" t="s">
        <v>352</v>
      </c>
      <c r="E303" s="1088" t="s">
        <v>199</v>
      </c>
      <c r="F303" s="1124" t="s">
        <v>97</v>
      </c>
      <c r="G303" s="1443" t="s">
        <v>806</v>
      </c>
      <c r="H303" s="1125"/>
      <c r="I303" s="1125"/>
      <c r="J303" s="1289"/>
      <c r="K303" s="1289"/>
      <c r="L303" s="1290"/>
      <c r="M303" s="1290">
        <v>192875.25</v>
      </c>
      <c r="N303" s="295">
        <f t="shared" ref="N303:N329" si="578">M303*0.35/3</f>
        <v>22502.1125</v>
      </c>
      <c r="O303" s="295">
        <v>5000</v>
      </c>
      <c r="P303" s="295"/>
      <c r="Q303" s="295"/>
      <c r="R303" s="295">
        <v>2500</v>
      </c>
      <c r="S303" s="295"/>
      <c r="T303" s="295"/>
      <c r="U303" s="295"/>
      <c r="V303" s="295"/>
      <c r="W303" s="295"/>
      <c r="X303" s="295"/>
      <c r="Y303" s="295"/>
      <c r="Z303" s="295">
        <v>2500</v>
      </c>
      <c r="AA303" s="295"/>
      <c r="AB303" s="295"/>
      <c r="AC303" s="295"/>
      <c r="AD303" s="295"/>
      <c r="AE303" s="295"/>
      <c r="AF303" s="295"/>
      <c r="AG303" s="295"/>
      <c r="AH303" s="295"/>
      <c r="AI303" s="295"/>
      <c r="AJ303" s="295"/>
      <c r="AK303" s="295"/>
      <c r="AL303" s="1140"/>
      <c r="AM303" s="295">
        <f t="shared" si="577"/>
        <v>3857.505</v>
      </c>
      <c r="AN303" s="295">
        <v>500</v>
      </c>
      <c r="AO303" s="1302"/>
      <c r="AP303" s="1302"/>
      <c r="AQ303" s="1303">
        <v>1000</v>
      </c>
      <c r="AR303" s="1303"/>
      <c r="AS303" s="1304"/>
      <c r="AT303" s="1303"/>
      <c r="AU303" s="1303"/>
      <c r="AV303" s="1151"/>
      <c r="AW303" s="1151"/>
      <c r="AX303" s="1303"/>
      <c r="AY303" s="1161"/>
      <c r="AZ303" s="1151"/>
      <c r="BA303" s="295">
        <v>0</v>
      </c>
      <c r="BB303" s="295"/>
      <c r="BC303" s="295"/>
      <c r="BD303" s="295"/>
      <c r="BE303" s="724">
        <v>1000</v>
      </c>
      <c r="BF303" s="724"/>
      <c r="BG303" s="724"/>
      <c r="BH303" s="724">
        <f t="shared" si="574"/>
        <v>4507.54725</v>
      </c>
      <c r="BI303" s="1166"/>
      <c r="BJ303" s="1166"/>
      <c r="BK303" s="724">
        <v>25030.06</v>
      </c>
      <c r="BL303" s="724">
        <f t="shared" si="573"/>
        <v>225377.3625</v>
      </c>
      <c r="BM303" s="724">
        <f t="shared" si="576"/>
        <v>35895.11225</v>
      </c>
      <c r="BN303" s="724"/>
      <c r="BO303" s="724"/>
      <c r="BP303" s="724">
        <f t="shared" si="575"/>
        <v>189482.25025</v>
      </c>
      <c r="BQ303" s="1320"/>
      <c r="BR303" s="1321"/>
      <c r="BS303" s="1322"/>
      <c r="BT303" s="1323"/>
      <c r="BU303" s="1329"/>
      <c r="BV303" s="1321"/>
      <c r="BW303" s="1322"/>
      <c r="BX303" s="1322"/>
      <c r="BY303" s="1322"/>
      <c r="BZ303" s="1322"/>
      <c r="CA303" s="1322"/>
      <c r="CB303" s="1322"/>
      <c r="CC303" s="1320"/>
      <c r="CD303" s="1322"/>
      <c r="CE303" s="321"/>
      <c r="CF303" s="322"/>
      <c r="CG303" s="1321"/>
      <c r="CH303" s="1339"/>
      <c r="CI303" s="1322"/>
      <c r="CJ303" s="1329"/>
      <c r="CK303" s="1329"/>
      <c r="CL303" s="335"/>
      <c r="CN303" s="1263"/>
      <c r="CO303" s="1258"/>
    </row>
    <row r="304" s="245" customFormat="1" ht="202" customHeight="1" spans="1:93">
      <c r="A304" s="1122">
        <v>301</v>
      </c>
      <c r="B304" s="70" t="s">
        <v>807</v>
      </c>
      <c r="C304" s="1123" t="s">
        <v>188</v>
      </c>
      <c r="D304" s="1088" t="s">
        <v>352</v>
      </c>
      <c r="E304" s="1088" t="s">
        <v>808</v>
      </c>
      <c r="F304" s="1124" t="s">
        <v>97</v>
      </c>
      <c r="G304" s="1443" t="s">
        <v>809</v>
      </c>
      <c r="H304" s="1125"/>
      <c r="I304" s="1125"/>
      <c r="J304" s="1289"/>
      <c r="K304" s="1289"/>
      <c r="L304" s="1290"/>
      <c r="M304" s="1290">
        <v>188419.17</v>
      </c>
      <c r="N304" s="295">
        <f t="shared" si="578"/>
        <v>21982.2365</v>
      </c>
      <c r="O304" s="295">
        <v>5000</v>
      </c>
      <c r="P304" s="295"/>
      <c r="Q304" s="295"/>
      <c r="R304" s="295">
        <v>2500</v>
      </c>
      <c r="S304" s="295"/>
      <c r="T304" s="295"/>
      <c r="U304" s="295"/>
      <c r="V304" s="295"/>
      <c r="W304" s="295"/>
      <c r="X304" s="295"/>
      <c r="Y304" s="295"/>
      <c r="Z304" s="295">
        <v>2500</v>
      </c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1140"/>
      <c r="AM304" s="295">
        <f t="shared" si="577"/>
        <v>3768.3834</v>
      </c>
      <c r="AN304" s="295">
        <v>500</v>
      </c>
      <c r="AO304" s="1302"/>
      <c r="AP304" s="1302"/>
      <c r="AQ304" s="1303"/>
      <c r="AR304" s="1303"/>
      <c r="AS304" s="1304"/>
      <c r="AT304" s="1303"/>
      <c r="AU304" s="1303"/>
      <c r="AV304" s="1151"/>
      <c r="AW304" s="1151"/>
      <c r="AX304" s="1303">
        <v>1000</v>
      </c>
      <c r="AY304" s="1161"/>
      <c r="AZ304" s="1151"/>
      <c r="BA304" s="295">
        <v>0</v>
      </c>
      <c r="BB304" s="295"/>
      <c r="BC304" s="295"/>
      <c r="BD304" s="295"/>
      <c r="BE304" s="724">
        <v>1000</v>
      </c>
      <c r="BF304" s="724"/>
      <c r="BG304" s="724"/>
      <c r="BH304" s="724">
        <f t="shared" si="574"/>
        <v>4408.02813</v>
      </c>
      <c r="BI304" s="1166"/>
      <c r="BJ304" s="1166"/>
      <c r="BK304" s="724">
        <v>24194.1029586667</v>
      </c>
      <c r="BL304" s="724">
        <f t="shared" ref="BL304:BL316" si="579">M304+N304+O304+P304+R304+S304+T304+U304+V304+W304+Y304+Z304+AA304</f>
        <v>220401.4065</v>
      </c>
      <c r="BM304" s="724">
        <f t="shared" si="576"/>
        <v>34870.5144886667</v>
      </c>
      <c r="BN304" s="724"/>
      <c r="BO304" s="724"/>
      <c r="BP304" s="724">
        <f t="shared" si="575"/>
        <v>185530.892011333</v>
      </c>
      <c r="BQ304" s="1320"/>
      <c r="BR304" s="1321"/>
      <c r="BS304" s="1322"/>
      <c r="BT304" s="1323"/>
      <c r="BU304" s="1329"/>
      <c r="BV304" s="1321"/>
      <c r="BW304" s="1322"/>
      <c r="BX304" s="1322"/>
      <c r="BY304" s="1322"/>
      <c r="BZ304" s="1322"/>
      <c r="CA304" s="1322"/>
      <c r="CB304" s="1322"/>
      <c r="CC304" s="1320"/>
      <c r="CD304" s="1322"/>
      <c r="CE304" s="321"/>
      <c r="CF304" s="322"/>
      <c r="CG304" s="1321"/>
      <c r="CH304" s="1339"/>
      <c r="CI304" s="1322"/>
      <c r="CJ304" s="1329"/>
      <c r="CK304" s="1329"/>
      <c r="CL304" s="335"/>
      <c r="CN304" s="1263"/>
      <c r="CO304" s="1258"/>
    </row>
    <row r="305" s="245" customFormat="1" ht="202" customHeight="1" spans="1:93">
      <c r="A305" s="1122">
        <v>302</v>
      </c>
      <c r="B305" s="70" t="s">
        <v>810</v>
      </c>
      <c r="C305" s="1123" t="s">
        <v>118</v>
      </c>
      <c r="D305" s="1088" t="s">
        <v>352</v>
      </c>
      <c r="E305" s="1088" t="s">
        <v>808</v>
      </c>
      <c r="F305" s="1124" t="s">
        <v>135</v>
      </c>
      <c r="G305" s="1443" t="s">
        <v>811</v>
      </c>
      <c r="H305" s="1125"/>
      <c r="I305" s="1125"/>
      <c r="J305" s="1289"/>
      <c r="K305" s="1289"/>
      <c r="L305" s="1290"/>
      <c r="M305" s="1290">
        <v>188419.17</v>
      </c>
      <c r="N305" s="295">
        <f t="shared" si="578"/>
        <v>21982.2365</v>
      </c>
      <c r="O305" s="295">
        <v>5000</v>
      </c>
      <c r="P305" s="295"/>
      <c r="Q305" s="295"/>
      <c r="R305" s="295">
        <v>2500</v>
      </c>
      <c r="S305" s="295"/>
      <c r="T305" s="295"/>
      <c r="U305" s="295"/>
      <c r="V305" s="295"/>
      <c r="W305" s="295"/>
      <c r="X305" s="295"/>
      <c r="Y305" s="295"/>
      <c r="Z305" s="295">
        <v>2500</v>
      </c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1140"/>
      <c r="AM305" s="295">
        <f t="shared" si="577"/>
        <v>3768.3834</v>
      </c>
      <c r="AN305" s="295">
        <v>500</v>
      </c>
      <c r="AO305" s="1302"/>
      <c r="AP305" s="1302"/>
      <c r="AQ305" s="1303"/>
      <c r="AR305" s="1303"/>
      <c r="AS305" s="1304">
        <v>1000</v>
      </c>
      <c r="AT305" s="1303"/>
      <c r="AU305" s="1303"/>
      <c r="AV305" s="1151"/>
      <c r="AW305" s="1151"/>
      <c r="AX305" s="1303"/>
      <c r="AY305" s="1161"/>
      <c r="AZ305" s="1151"/>
      <c r="BA305" s="295">
        <v>0</v>
      </c>
      <c r="BB305" s="295"/>
      <c r="BC305" s="295"/>
      <c r="BD305" s="295"/>
      <c r="BE305" s="724">
        <v>1000</v>
      </c>
      <c r="BF305" s="724"/>
      <c r="BG305" s="724"/>
      <c r="BH305" s="724">
        <f t="shared" si="574"/>
        <v>4408.02813</v>
      </c>
      <c r="BI305" s="1166"/>
      <c r="BJ305" s="1166"/>
      <c r="BK305" s="724">
        <v>24194.1029586667</v>
      </c>
      <c r="BL305" s="724">
        <f t="shared" si="579"/>
        <v>220401.4065</v>
      </c>
      <c r="BM305" s="724">
        <f t="shared" si="576"/>
        <v>34870.5144886667</v>
      </c>
      <c r="BN305" s="724"/>
      <c r="BO305" s="724"/>
      <c r="BP305" s="724">
        <f t="shared" si="575"/>
        <v>185530.892011333</v>
      </c>
      <c r="BQ305" s="1320"/>
      <c r="BR305" s="1321"/>
      <c r="BS305" s="1322"/>
      <c r="BT305" s="1323"/>
      <c r="BU305" s="1329"/>
      <c r="BV305" s="1321"/>
      <c r="BW305" s="1322"/>
      <c r="BX305" s="1322"/>
      <c r="BY305" s="1322"/>
      <c r="BZ305" s="1322"/>
      <c r="CA305" s="1322"/>
      <c r="CB305" s="1322"/>
      <c r="CC305" s="1320"/>
      <c r="CD305" s="1322"/>
      <c r="CE305" s="321"/>
      <c r="CF305" s="322"/>
      <c r="CG305" s="1321"/>
      <c r="CH305" s="1339"/>
      <c r="CI305" s="1322"/>
      <c r="CJ305" s="1329"/>
      <c r="CK305" s="1329"/>
      <c r="CL305" s="335"/>
      <c r="CN305" s="1263"/>
      <c r="CO305" s="1258"/>
    </row>
    <row r="306" s="245" customFormat="1" ht="202" customHeight="1" spans="1:93">
      <c r="A306" s="1122">
        <v>303</v>
      </c>
      <c r="B306" s="70" t="s">
        <v>812</v>
      </c>
      <c r="C306" s="1123" t="s">
        <v>185</v>
      </c>
      <c r="D306" s="1088" t="s">
        <v>352</v>
      </c>
      <c r="E306" s="1088" t="s">
        <v>808</v>
      </c>
      <c r="F306" s="1124" t="s">
        <v>97</v>
      </c>
      <c r="G306" s="1443" t="s">
        <v>813</v>
      </c>
      <c r="H306" s="1125"/>
      <c r="I306" s="1125"/>
      <c r="J306" s="1289"/>
      <c r="K306" s="1289"/>
      <c r="L306" s="1290"/>
      <c r="M306" s="1290">
        <v>188419.17</v>
      </c>
      <c r="N306" s="295">
        <f t="shared" si="578"/>
        <v>21982.2365</v>
      </c>
      <c r="O306" s="295">
        <v>5000</v>
      </c>
      <c r="P306" s="295"/>
      <c r="Q306" s="295"/>
      <c r="R306" s="295">
        <v>2500</v>
      </c>
      <c r="S306" s="295"/>
      <c r="T306" s="295"/>
      <c r="U306" s="295"/>
      <c r="V306" s="295"/>
      <c r="W306" s="295"/>
      <c r="X306" s="295"/>
      <c r="Y306" s="295"/>
      <c r="Z306" s="295">
        <v>2500</v>
      </c>
      <c r="AA306" s="295"/>
      <c r="AB306" s="295"/>
      <c r="AC306" s="295"/>
      <c r="AD306" s="295"/>
      <c r="AE306" s="295"/>
      <c r="AF306" s="295"/>
      <c r="AG306" s="295"/>
      <c r="AH306" s="295"/>
      <c r="AI306" s="295"/>
      <c r="AJ306" s="295"/>
      <c r="AK306" s="295"/>
      <c r="AL306" s="1140"/>
      <c r="AM306" s="295">
        <f t="shared" si="577"/>
        <v>3768.3834</v>
      </c>
      <c r="AN306" s="295">
        <v>500</v>
      </c>
      <c r="AO306" s="1302"/>
      <c r="AP306" s="1302"/>
      <c r="AQ306" s="1303"/>
      <c r="AR306" s="1303"/>
      <c r="AS306" s="1304">
        <v>1000</v>
      </c>
      <c r="AT306" s="1303"/>
      <c r="AU306" s="1303"/>
      <c r="AV306" s="1151"/>
      <c r="AW306" s="1151"/>
      <c r="AX306" s="1303"/>
      <c r="AY306" s="1161"/>
      <c r="AZ306" s="1151"/>
      <c r="BA306" s="295">
        <v>0</v>
      </c>
      <c r="BB306" s="295"/>
      <c r="BC306" s="295"/>
      <c r="BD306" s="295"/>
      <c r="BE306" s="724">
        <v>1000</v>
      </c>
      <c r="BF306" s="724"/>
      <c r="BG306" s="724"/>
      <c r="BH306" s="724">
        <f t="shared" si="574"/>
        <v>4408.02813</v>
      </c>
      <c r="BI306" s="1166"/>
      <c r="BJ306" s="1166"/>
      <c r="BK306" s="724">
        <v>24194.1029586667</v>
      </c>
      <c r="BL306" s="724">
        <f t="shared" si="579"/>
        <v>220401.4065</v>
      </c>
      <c r="BM306" s="724">
        <f t="shared" si="576"/>
        <v>34870.5144886667</v>
      </c>
      <c r="BN306" s="724"/>
      <c r="BO306" s="724"/>
      <c r="BP306" s="724">
        <f t="shared" si="575"/>
        <v>185530.892011333</v>
      </c>
      <c r="BQ306" s="1320"/>
      <c r="BR306" s="1321"/>
      <c r="BS306" s="1322"/>
      <c r="BT306" s="1323"/>
      <c r="BU306" s="1329"/>
      <c r="BV306" s="1321"/>
      <c r="BW306" s="1322"/>
      <c r="BX306" s="1322"/>
      <c r="BY306" s="1322"/>
      <c r="BZ306" s="1322"/>
      <c r="CA306" s="1322"/>
      <c r="CB306" s="1322"/>
      <c r="CC306" s="1320"/>
      <c r="CD306" s="1322"/>
      <c r="CE306" s="321"/>
      <c r="CF306" s="322"/>
      <c r="CG306" s="1321"/>
      <c r="CH306" s="1339"/>
      <c r="CI306" s="1322"/>
      <c r="CJ306" s="1329"/>
      <c r="CK306" s="1329"/>
      <c r="CL306" s="335"/>
      <c r="CN306" s="1263"/>
      <c r="CO306" s="1258"/>
    </row>
    <row r="307" s="245" customFormat="1" ht="202" customHeight="1" spans="1:93">
      <c r="A307" s="1122">
        <v>304</v>
      </c>
      <c r="B307" s="70" t="s">
        <v>814</v>
      </c>
      <c r="C307" s="1123" t="s">
        <v>815</v>
      </c>
      <c r="D307" s="1088" t="s">
        <v>352</v>
      </c>
      <c r="E307" s="1088" t="s">
        <v>808</v>
      </c>
      <c r="F307" s="1124" t="s">
        <v>157</v>
      </c>
      <c r="G307" s="1443" t="s">
        <v>816</v>
      </c>
      <c r="H307" s="1125"/>
      <c r="I307" s="1125"/>
      <c r="J307" s="1289"/>
      <c r="K307" s="1289"/>
      <c r="L307" s="1290"/>
      <c r="M307" s="1290">
        <v>188419.17</v>
      </c>
      <c r="N307" s="295">
        <f t="shared" si="578"/>
        <v>21982.2365</v>
      </c>
      <c r="O307" s="295">
        <v>5000</v>
      </c>
      <c r="P307" s="295"/>
      <c r="Q307" s="295"/>
      <c r="R307" s="295">
        <v>2500</v>
      </c>
      <c r="S307" s="295"/>
      <c r="T307" s="295"/>
      <c r="U307" s="295"/>
      <c r="V307" s="295"/>
      <c r="W307" s="295"/>
      <c r="X307" s="295"/>
      <c r="Y307" s="295"/>
      <c r="Z307" s="295">
        <v>2500</v>
      </c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1140"/>
      <c r="AM307" s="295">
        <f t="shared" si="577"/>
        <v>3768.3834</v>
      </c>
      <c r="AN307" s="295">
        <v>500</v>
      </c>
      <c r="AO307" s="1302"/>
      <c r="AP307" s="1302"/>
      <c r="AQ307" s="1303">
        <v>1000</v>
      </c>
      <c r="AR307" s="1303"/>
      <c r="AS307" s="1304"/>
      <c r="AT307" s="1303"/>
      <c r="AU307" s="1303"/>
      <c r="AV307" s="1151"/>
      <c r="AW307" s="1151"/>
      <c r="AX307" s="1303"/>
      <c r="AY307" s="1161"/>
      <c r="AZ307" s="1151"/>
      <c r="BA307" s="295">
        <v>0</v>
      </c>
      <c r="BB307" s="295"/>
      <c r="BC307" s="295"/>
      <c r="BD307" s="295"/>
      <c r="BE307" s="724">
        <v>1000</v>
      </c>
      <c r="BF307" s="724"/>
      <c r="BG307" s="724"/>
      <c r="BH307" s="724">
        <f t="shared" si="574"/>
        <v>4408.02813</v>
      </c>
      <c r="BI307" s="1166"/>
      <c r="BJ307" s="1166"/>
      <c r="BK307" s="724">
        <v>24194.1029586667</v>
      </c>
      <c r="BL307" s="724">
        <f t="shared" si="579"/>
        <v>220401.4065</v>
      </c>
      <c r="BM307" s="724">
        <f t="shared" si="576"/>
        <v>34870.5144886667</v>
      </c>
      <c r="BN307" s="724"/>
      <c r="BO307" s="724"/>
      <c r="BP307" s="724">
        <f t="shared" si="575"/>
        <v>185530.892011333</v>
      </c>
      <c r="BQ307" s="1320"/>
      <c r="BR307" s="1321"/>
      <c r="BS307" s="1322"/>
      <c r="BT307" s="1323"/>
      <c r="BU307" s="1329"/>
      <c r="BV307" s="1321"/>
      <c r="BW307" s="1322"/>
      <c r="BX307" s="1322"/>
      <c r="BY307" s="1322"/>
      <c r="BZ307" s="1322"/>
      <c r="CA307" s="1322"/>
      <c r="CB307" s="1322"/>
      <c r="CC307" s="1320"/>
      <c r="CD307" s="1322"/>
      <c r="CE307" s="321"/>
      <c r="CF307" s="322"/>
      <c r="CG307" s="1321"/>
      <c r="CH307" s="1339"/>
      <c r="CI307" s="1322"/>
      <c r="CJ307" s="1329"/>
      <c r="CK307" s="1329"/>
      <c r="CL307" s="335"/>
      <c r="CN307" s="1263"/>
      <c r="CO307" s="1258"/>
    </row>
    <row r="308" s="245" customFormat="1" ht="202" customHeight="1" spans="1:93">
      <c r="A308" s="1122">
        <v>305</v>
      </c>
      <c r="B308" s="70" t="s">
        <v>817</v>
      </c>
      <c r="C308" s="1123" t="s">
        <v>815</v>
      </c>
      <c r="D308" s="1088" t="s">
        <v>352</v>
      </c>
      <c r="E308" s="1088" t="s">
        <v>808</v>
      </c>
      <c r="F308" s="1124" t="s">
        <v>113</v>
      </c>
      <c r="G308" s="1443" t="s">
        <v>818</v>
      </c>
      <c r="H308" s="1125"/>
      <c r="I308" s="1125"/>
      <c r="J308" s="1289"/>
      <c r="K308" s="1289"/>
      <c r="L308" s="1290"/>
      <c r="M308" s="1290">
        <v>188419.17</v>
      </c>
      <c r="N308" s="295">
        <f t="shared" si="578"/>
        <v>21982.2365</v>
      </c>
      <c r="O308" s="295">
        <v>5000</v>
      </c>
      <c r="P308" s="295"/>
      <c r="Q308" s="295"/>
      <c r="R308" s="295">
        <v>2500</v>
      </c>
      <c r="S308" s="295"/>
      <c r="T308" s="295"/>
      <c r="U308" s="295"/>
      <c r="V308" s="295"/>
      <c r="W308" s="295"/>
      <c r="X308" s="295"/>
      <c r="Y308" s="295"/>
      <c r="Z308" s="295">
        <v>2500</v>
      </c>
      <c r="AA308" s="295"/>
      <c r="AB308" s="295"/>
      <c r="AC308" s="295"/>
      <c r="AD308" s="295"/>
      <c r="AE308" s="295"/>
      <c r="AF308" s="295"/>
      <c r="AG308" s="295"/>
      <c r="AH308" s="295"/>
      <c r="AI308" s="295"/>
      <c r="AJ308" s="295"/>
      <c r="AK308" s="295"/>
      <c r="AL308" s="1140"/>
      <c r="AM308" s="295">
        <f t="shared" si="577"/>
        <v>3768.3834</v>
      </c>
      <c r="AN308" s="295">
        <v>500</v>
      </c>
      <c r="AO308" s="1302"/>
      <c r="AP308" s="1302"/>
      <c r="AQ308" s="1303">
        <v>1000</v>
      </c>
      <c r="AR308" s="1303"/>
      <c r="AS308" s="1304"/>
      <c r="AT308" s="1303"/>
      <c r="AU308" s="1303"/>
      <c r="AV308" s="1151"/>
      <c r="AW308" s="1151"/>
      <c r="AX308" s="1303"/>
      <c r="AY308" s="1161"/>
      <c r="AZ308" s="1151"/>
      <c r="BA308" s="295">
        <v>20000</v>
      </c>
      <c r="BB308" s="295"/>
      <c r="BC308" s="295"/>
      <c r="BD308" s="295"/>
      <c r="BE308" s="724">
        <v>1000</v>
      </c>
      <c r="BF308" s="724"/>
      <c r="BG308" s="724"/>
      <c r="BH308" s="724">
        <f t="shared" si="574"/>
        <v>4408.02813</v>
      </c>
      <c r="BI308" s="1166"/>
      <c r="BJ308" s="1166"/>
      <c r="BK308" s="724">
        <v>24194.1029586667</v>
      </c>
      <c r="BL308" s="724">
        <f t="shared" si="579"/>
        <v>220401.4065</v>
      </c>
      <c r="BM308" s="724">
        <f t="shared" si="576"/>
        <v>54870.5144886667</v>
      </c>
      <c r="BN308" s="724"/>
      <c r="BO308" s="724"/>
      <c r="BP308" s="724">
        <f t="shared" si="575"/>
        <v>165530.892011333</v>
      </c>
      <c r="BQ308" s="1320"/>
      <c r="BR308" s="1321"/>
      <c r="BS308" s="1322"/>
      <c r="BT308" s="1323"/>
      <c r="BU308" s="1329"/>
      <c r="BV308" s="1321"/>
      <c r="BW308" s="1322"/>
      <c r="BX308" s="1322"/>
      <c r="BY308" s="1322"/>
      <c r="BZ308" s="1322"/>
      <c r="CA308" s="1322"/>
      <c r="CB308" s="1322"/>
      <c r="CC308" s="1320"/>
      <c r="CD308" s="1322"/>
      <c r="CE308" s="321"/>
      <c r="CF308" s="322"/>
      <c r="CG308" s="1321"/>
      <c r="CH308" s="1339"/>
      <c r="CI308" s="1322"/>
      <c r="CJ308" s="1329"/>
      <c r="CK308" s="1329"/>
      <c r="CL308" s="335"/>
      <c r="CN308" s="1263"/>
      <c r="CO308" s="1258"/>
    </row>
    <row r="309" s="245" customFormat="1" ht="202" customHeight="1" spans="1:93">
      <c r="A309" s="1122">
        <v>306</v>
      </c>
      <c r="B309" s="70" t="s">
        <v>819</v>
      </c>
      <c r="C309" s="1123" t="s">
        <v>657</v>
      </c>
      <c r="D309" s="1088" t="s">
        <v>352</v>
      </c>
      <c r="E309" s="1088" t="s">
        <v>808</v>
      </c>
      <c r="F309" s="1124" t="s">
        <v>97</v>
      </c>
      <c r="G309" s="1443" t="s">
        <v>820</v>
      </c>
      <c r="H309" s="1125"/>
      <c r="I309" s="1125"/>
      <c r="J309" s="1289"/>
      <c r="K309" s="1289"/>
      <c r="L309" s="1290"/>
      <c r="M309" s="1290">
        <v>188419.17</v>
      </c>
      <c r="N309" s="295">
        <f t="shared" si="578"/>
        <v>21982.2365</v>
      </c>
      <c r="O309" s="295">
        <v>5000</v>
      </c>
      <c r="P309" s="295"/>
      <c r="Q309" s="295"/>
      <c r="R309" s="295">
        <v>2500</v>
      </c>
      <c r="S309" s="295"/>
      <c r="T309" s="295"/>
      <c r="U309" s="295"/>
      <c r="V309" s="295"/>
      <c r="W309" s="295"/>
      <c r="X309" s="295"/>
      <c r="Y309" s="295"/>
      <c r="Z309" s="295">
        <v>2500</v>
      </c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1140"/>
      <c r="AM309" s="295">
        <f t="shared" si="577"/>
        <v>3768.3834</v>
      </c>
      <c r="AN309" s="295">
        <v>500</v>
      </c>
      <c r="AO309" s="1302"/>
      <c r="AP309" s="1302"/>
      <c r="AQ309" s="1303">
        <v>1000</v>
      </c>
      <c r="AR309" s="1303"/>
      <c r="AS309" s="1304"/>
      <c r="AT309" s="1303"/>
      <c r="AU309" s="1303"/>
      <c r="AV309" s="1151"/>
      <c r="AW309" s="1151"/>
      <c r="AX309" s="1303"/>
      <c r="AY309" s="1161"/>
      <c r="AZ309" s="1151"/>
      <c r="BA309" s="295">
        <v>0</v>
      </c>
      <c r="BB309" s="295"/>
      <c r="BC309" s="295"/>
      <c r="BD309" s="295"/>
      <c r="BE309" s="724">
        <v>1000</v>
      </c>
      <c r="BF309" s="724"/>
      <c r="BG309" s="724"/>
      <c r="BH309" s="724">
        <f t="shared" si="574"/>
        <v>4408.02813</v>
      </c>
      <c r="BI309" s="1166"/>
      <c r="BJ309" s="1166"/>
      <c r="BK309" s="724">
        <v>24194.1029586667</v>
      </c>
      <c r="BL309" s="724">
        <f t="shared" si="579"/>
        <v>220401.4065</v>
      </c>
      <c r="BM309" s="724">
        <f t="shared" si="576"/>
        <v>34870.5144886667</v>
      </c>
      <c r="BN309" s="724"/>
      <c r="BO309" s="724"/>
      <c r="BP309" s="724">
        <f t="shared" si="575"/>
        <v>185530.892011333</v>
      </c>
      <c r="BQ309" s="1320"/>
      <c r="BR309" s="1321"/>
      <c r="BS309" s="1322"/>
      <c r="BT309" s="1323"/>
      <c r="BU309" s="1329"/>
      <c r="BV309" s="1321"/>
      <c r="BW309" s="1322"/>
      <c r="BX309" s="1322"/>
      <c r="BY309" s="1322"/>
      <c r="BZ309" s="1322"/>
      <c r="CA309" s="1322"/>
      <c r="CB309" s="1322"/>
      <c r="CC309" s="1320"/>
      <c r="CD309" s="1322"/>
      <c r="CE309" s="321"/>
      <c r="CF309" s="322"/>
      <c r="CG309" s="1321"/>
      <c r="CH309" s="1339"/>
      <c r="CI309" s="1322"/>
      <c r="CJ309" s="1329"/>
      <c r="CK309" s="1329"/>
      <c r="CL309" s="335"/>
      <c r="CN309" s="1263"/>
      <c r="CO309" s="1258"/>
    </row>
    <row r="310" s="245" customFormat="1" ht="202" customHeight="1" spans="1:93">
      <c r="A310" s="1122">
        <v>307</v>
      </c>
      <c r="B310" s="70" t="s">
        <v>821</v>
      </c>
      <c r="C310" s="1123" t="s">
        <v>815</v>
      </c>
      <c r="D310" s="1088" t="s">
        <v>352</v>
      </c>
      <c r="E310" s="1088" t="s">
        <v>808</v>
      </c>
      <c r="F310" s="1124" t="s">
        <v>259</v>
      </c>
      <c r="G310" s="1443" t="s">
        <v>822</v>
      </c>
      <c r="H310" s="1125"/>
      <c r="I310" s="1125"/>
      <c r="J310" s="1289"/>
      <c r="K310" s="1289"/>
      <c r="L310" s="1290"/>
      <c r="M310" s="1290">
        <v>188419.17</v>
      </c>
      <c r="N310" s="295">
        <f t="shared" si="578"/>
        <v>21982.2365</v>
      </c>
      <c r="O310" s="295">
        <v>5000</v>
      </c>
      <c r="P310" s="295"/>
      <c r="Q310" s="295"/>
      <c r="R310" s="295">
        <v>2500</v>
      </c>
      <c r="S310" s="295"/>
      <c r="T310" s="295"/>
      <c r="U310" s="295"/>
      <c r="V310" s="295"/>
      <c r="W310" s="295"/>
      <c r="X310" s="295"/>
      <c r="Y310" s="295"/>
      <c r="Z310" s="295">
        <v>2500</v>
      </c>
      <c r="AA310" s="295"/>
      <c r="AB310" s="295"/>
      <c r="AC310" s="295"/>
      <c r="AD310" s="295"/>
      <c r="AE310" s="295"/>
      <c r="AF310" s="295"/>
      <c r="AG310" s="295"/>
      <c r="AH310" s="295"/>
      <c r="AI310" s="295"/>
      <c r="AJ310" s="295"/>
      <c r="AK310" s="295"/>
      <c r="AL310" s="1140"/>
      <c r="AM310" s="295">
        <f t="shared" si="577"/>
        <v>3768.3834</v>
      </c>
      <c r="AN310" s="295">
        <v>500</v>
      </c>
      <c r="AO310" s="1302"/>
      <c r="AP310" s="1302"/>
      <c r="AQ310" s="1303">
        <v>1000</v>
      </c>
      <c r="AR310" s="1303"/>
      <c r="AS310" s="1304"/>
      <c r="AT310" s="1303"/>
      <c r="AU310" s="1303"/>
      <c r="AV310" s="1151"/>
      <c r="AW310" s="1151"/>
      <c r="AX310" s="1303"/>
      <c r="AY310" s="1161"/>
      <c r="AZ310" s="1151"/>
      <c r="BA310" s="295">
        <v>0</v>
      </c>
      <c r="BB310" s="295"/>
      <c r="BC310" s="295"/>
      <c r="BD310" s="295"/>
      <c r="BE310" s="724">
        <v>1000</v>
      </c>
      <c r="BF310" s="724"/>
      <c r="BG310" s="724"/>
      <c r="BH310" s="724">
        <f t="shared" si="574"/>
        <v>4408.02813</v>
      </c>
      <c r="BI310" s="1166"/>
      <c r="BJ310" s="1166"/>
      <c r="BK310" s="724">
        <v>24194.1029586667</v>
      </c>
      <c r="BL310" s="724">
        <f t="shared" si="579"/>
        <v>220401.4065</v>
      </c>
      <c r="BM310" s="724">
        <f t="shared" si="576"/>
        <v>34870.5144886667</v>
      </c>
      <c r="BN310" s="724"/>
      <c r="BO310" s="724"/>
      <c r="BP310" s="724">
        <f t="shared" si="575"/>
        <v>185530.892011333</v>
      </c>
      <c r="BQ310" s="1320"/>
      <c r="BR310" s="1321"/>
      <c r="BS310" s="1322"/>
      <c r="BT310" s="1323"/>
      <c r="BU310" s="1329"/>
      <c r="BV310" s="1321"/>
      <c r="BW310" s="1322"/>
      <c r="BX310" s="1322"/>
      <c r="BY310" s="1322"/>
      <c r="BZ310" s="1322"/>
      <c r="CA310" s="1322"/>
      <c r="CB310" s="1322"/>
      <c r="CC310" s="1320"/>
      <c r="CD310" s="1322"/>
      <c r="CE310" s="321"/>
      <c r="CF310" s="322"/>
      <c r="CG310" s="1321"/>
      <c r="CH310" s="1339"/>
      <c r="CI310" s="1322"/>
      <c r="CJ310" s="1329"/>
      <c r="CK310" s="1329"/>
      <c r="CL310" s="335"/>
      <c r="CN310" s="1263"/>
      <c r="CO310" s="1258"/>
    </row>
    <row r="311" s="245" customFormat="1" ht="202" customHeight="1" spans="1:93">
      <c r="A311" s="1122">
        <v>308</v>
      </c>
      <c r="B311" s="70" t="s">
        <v>823</v>
      </c>
      <c r="C311" s="1123" t="s">
        <v>104</v>
      </c>
      <c r="D311" s="1088" t="s">
        <v>352</v>
      </c>
      <c r="E311" s="1088" t="s">
        <v>808</v>
      </c>
      <c r="F311" s="1124" t="s">
        <v>135</v>
      </c>
      <c r="G311" s="1443" t="s">
        <v>824</v>
      </c>
      <c r="H311" s="1125"/>
      <c r="I311" s="1125"/>
      <c r="J311" s="1289"/>
      <c r="K311" s="1289"/>
      <c r="L311" s="1290"/>
      <c r="M311" s="1290">
        <v>188419.17</v>
      </c>
      <c r="N311" s="295">
        <f t="shared" si="578"/>
        <v>21982.2365</v>
      </c>
      <c r="O311" s="295">
        <v>5000</v>
      </c>
      <c r="P311" s="295"/>
      <c r="Q311" s="295"/>
      <c r="R311" s="295">
        <v>2500</v>
      </c>
      <c r="S311" s="295"/>
      <c r="T311" s="295"/>
      <c r="U311" s="295"/>
      <c r="V311" s="295"/>
      <c r="W311" s="295"/>
      <c r="X311" s="295"/>
      <c r="Y311" s="295"/>
      <c r="Z311" s="295">
        <v>2500</v>
      </c>
      <c r="AA311" s="295"/>
      <c r="AB311" s="295"/>
      <c r="AC311" s="295"/>
      <c r="AD311" s="295"/>
      <c r="AE311" s="295"/>
      <c r="AF311" s="295"/>
      <c r="AG311" s="295"/>
      <c r="AH311" s="295"/>
      <c r="AI311" s="295"/>
      <c r="AJ311" s="295"/>
      <c r="AK311" s="295"/>
      <c r="AL311" s="1140"/>
      <c r="AM311" s="295">
        <f t="shared" si="577"/>
        <v>3768.3834</v>
      </c>
      <c r="AN311" s="295">
        <v>500</v>
      </c>
      <c r="AO311" s="1302"/>
      <c r="AP311" s="1302"/>
      <c r="AQ311" s="1303">
        <v>1000</v>
      </c>
      <c r="AR311" s="1303"/>
      <c r="AS311" s="1304"/>
      <c r="AT311" s="1303"/>
      <c r="AU311" s="1303"/>
      <c r="AV311" s="1151"/>
      <c r="AW311" s="1151"/>
      <c r="AX311" s="1303"/>
      <c r="AY311" s="1161"/>
      <c r="AZ311" s="1151"/>
      <c r="BA311" s="295">
        <v>0</v>
      </c>
      <c r="BB311" s="295"/>
      <c r="BC311" s="295"/>
      <c r="BD311" s="295"/>
      <c r="BE311" s="724">
        <v>1000</v>
      </c>
      <c r="BF311" s="724"/>
      <c r="BG311" s="724"/>
      <c r="BH311" s="724">
        <f t="shared" si="574"/>
        <v>4408.02813</v>
      </c>
      <c r="BI311" s="1166"/>
      <c r="BJ311" s="1166"/>
      <c r="BK311" s="724">
        <v>24194.1029586667</v>
      </c>
      <c r="BL311" s="724">
        <f t="shared" si="579"/>
        <v>220401.4065</v>
      </c>
      <c r="BM311" s="724">
        <f t="shared" si="576"/>
        <v>34870.5144886667</v>
      </c>
      <c r="BN311" s="724"/>
      <c r="BO311" s="724"/>
      <c r="BP311" s="724">
        <f t="shared" si="575"/>
        <v>185530.892011333</v>
      </c>
      <c r="BQ311" s="1320"/>
      <c r="BR311" s="1321"/>
      <c r="BS311" s="1322"/>
      <c r="BT311" s="1323"/>
      <c r="BU311" s="1329"/>
      <c r="BV311" s="1321"/>
      <c r="BW311" s="1322"/>
      <c r="BX311" s="1322"/>
      <c r="BY311" s="1322"/>
      <c r="BZ311" s="1322"/>
      <c r="CA311" s="1322"/>
      <c r="CB311" s="1322"/>
      <c r="CC311" s="1320"/>
      <c r="CD311" s="1322"/>
      <c r="CE311" s="321"/>
      <c r="CF311" s="322"/>
      <c r="CG311" s="1321"/>
      <c r="CH311" s="1339"/>
      <c r="CI311" s="1322"/>
      <c r="CJ311" s="1329"/>
      <c r="CK311" s="1329"/>
      <c r="CL311" s="335"/>
      <c r="CN311" s="1263"/>
      <c r="CO311" s="1258"/>
    </row>
    <row r="312" s="245" customFormat="1" ht="202" customHeight="1" spans="1:93">
      <c r="A312" s="1122">
        <v>309</v>
      </c>
      <c r="B312" s="70" t="s">
        <v>825</v>
      </c>
      <c r="C312" s="1123" t="s">
        <v>185</v>
      </c>
      <c r="D312" s="1088" t="s">
        <v>352</v>
      </c>
      <c r="E312" s="1088" t="s">
        <v>808</v>
      </c>
      <c r="F312" s="1124" t="s">
        <v>122</v>
      </c>
      <c r="G312" s="1443" t="s">
        <v>826</v>
      </c>
      <c r="H312" s="1125"/>
      <c r="I312" s="1125"/>
      <c r="J312" s="1289"/>
      <c r="K312" s="1289"/>
      <c r="L312" s="1290"/>
      <c r="M312" s="1290">
        <v>188419.17</v>
      </c>
      <c r="N312" s="295">
        <f t="shared" si="578"/>
        <v>21982.2365</v>
      </c>
      <c r="O312" s="295">
        <v>5000</v>
      </c>
      <c r="P312" s="295"/>
      <c r="Q312" s="295"/>
      <c r="R312" s="295">
        <v>2500</v>
      </c>
      <c r="S312" s="295"/>
      <c r="T312" s="295"/>
      <c r="U312" s="295"/>
      <c r="V312" s="295"/>
      <c r="W312" s="295"/>
      <c r="X312" s="295"/>
      <c r="Y312" s="295"/>
      <c r="Z312" s="295">
        <v>2500</v>
      </c>
      <c r="AA312" s="295"/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1140"/>
      <c r="AM312" s="295">
        <f t="shared" si="577"/>
        <v>3768.3834</v>
      </c>
      <c r="AN312" s="295">
        <v>500</v>
      </c>
      <c r="AO312" s="1302"/>
      <c r="AP312" s="1302"/>
      <c r="AQ312" s="1303"/>
      <c r="AR312" s="1303"/>
      <c r="AS312" s="1304">
        <v>1000</v>
      </c>
      <c r="AT312" s="1303"/>
      <c r="AU312" s="1303"/>
      <c r="AV312" s="1151"/>
      <c r="AW312" s="1151"/>
      <c r="AX312" s="1303"/>
      <c r="AY312" s="1161"/>
      <c r="AZ312" s="1151"/>
      <c r="BA312" s="295">
        <v>0</v>
      </c>
      <c r="BB312" s="295"/>
      <c r="BC312" s="295"/>
      <c r="BD312" s="295"/>
      <c r="BE312" s="724">
        <v>1000</v>
      </c>
      <c r="BF312" s="724"/>
      <c r="BG312" s="724"/>
      <c r="BH312" s="724">
        <f t="shared" si="574"/>
        <v>4408.02813</v>
      </c>
      <c r="BI312" s="1166"/>
      <c r="BJ312" s="1166"/>
      <c r="BK312" s="724">
        <v>24194.1029586667</v>
      </c>
      <c r="BL312" s="724">
        <f t="shared" si="579"/>
        <v>220401.4065</v>
      </c>
      <c r="BM312" s="724">
        <f t="shared" si="576"/>
        <v>34870.5144886667</v>
      </c>
      <c r="BN312" s="724"/>
      <c r="BO312" s="724"/>
      <c r="BP312" s="724">
        <f t="shared" si="575"/>
        <v>185530.892011333</v>
      </c>
      <c r="BQ312" s="1320"/>
      <c r="BR312" s="1321"/>
      <c r="BS312" s="1322"/>
      <c r="BT312" s="1323"/>
      <c r="BU312" s="1329"/>
      <c r="BV312" s="1321"/>
      <c r="BW312" s="1322"/>
      <c r="BX312" s="1322"/>
      <c r="BY312" s="1322"/>
      <c r="BZ312" s="1322"/>
      <c r="CA312" s="1322"/>
      <c r="CB312" s="1322"/>
      <c r="CC312" s="1320"/>
      <c r="CD312" s="1322"/>
      <c r="CE312" s="321"/>
      <c r="CF312" s="322"/>
      <c r="CG312" s="1321"/>
      <c r="CH312" s="1339"/>
      <c r="CI312" s="1322"/>
      <c r="CJ312" s="1329"/>
      <c r="CK312" s="1329"/>
      <c r="CL312" s="335"/>
      <c r="CN312" s="1263"/>
      <c r="CO312" s="1258"/>
    </row>
    <row r="313" s="245" customFormat="1" ht="202" customHeight="1" spans="1:93">
      <c r="A313" s="1122">
        <v>310</v>
      </c>
      <c r="B313" s="70" t="s">
        <v>827</v>
      </c>
      <c r="C313" s="1123" t="s">
        <v>104</v>
      </c>
      <c r="D313" s="1088" t="s">
        <v>352</v>
      </c>
      <c r="E313" s="1088" t="s">
        <v>808</v>
      </c>
      <c r="F313" s="1124" t="s">
        <v>113</v>
      </c>
      <c r="G313" s="1443" t="s">
        <v>828</v>
      </c>
      <c r="H313" s="1125"/>
      <c r="I313" s="1125"/>
      <c r="J313" s="1289"/>
      <c r="K313" s="1289"/>
      <c r="L313" s="1290"/>
      <c r="M313" s="1290">
        <v>188419.17</v>
      </c>
      <c r="N313" s="295">
        <f t="shared" si="578"/>
        <v>21982.2365</v>
      </c>
      <c r="O313" s="295">
        <v>5000</v>
      </c>
      <c r="P313" s="295"/>
      <c r="Q313" s="295"/>
      <c r="R313" s="295">
        <v>2500</v>
      </c>
      <c r="S313" s="295"/>
      <c r="T313" s="295"/>
      <c r="U313" s="295"/>
      <c r="V313" s="295"/>
      <c r="W313" s="295"/>
      <c r="X313" s="295"/>
      <c r="Y313" s="295"/>
      <c r="Z313" s="295">
        <v>2500</v>
      </c>
      <c r="AA313" s="295"/>
      <c r="AB313" s="295"/>
      <c r="AC313" s="295"/>
      <c r="AD313" s="295"/>
      <c r="AE313" s="295"/>
      <c r="AF313" s="295"/>
      <c r="AG313" s="295"/>
      <c r="AH313" s="295"/>
      <c r="AI313" s="295"/>
      <c r="AJ313" s="295"/>
      <c r="AK313" s="295"/>
      <c r="AL313" s="1140"/>
      <c r="AM313" s="295">
        <f t="shared" si="577"/>
        <v>3768.3834</v>
      </c>
      <c r="AN313" s="295">
        <v>500</v>
      </c>
      <c r="AO313" s="1302"/>
      <c r="AP313" s="1302"/>
      <c r="AQ313" s="1303">
        <v>1000</v>
      </c>
      <c r="AR313" s="1303"/>
      <c r="AS313" s="1304"/>
      <c r="AT313" s="1303"/>
      <c r="AU313" s="1303"/>
      <c r="AV313" s="1151"/>
      <c r="AW313" s="1151"/>
      <c r="AX313" s="1303"/>
      <c r="AY313" s="1161"/>
      <c r="AZ313" s="1151"/>
      <c r="BA313" s="295">
        <v>0</v>
      </c>
      <c r="BB313" s="295"/>
      <c r="BC313" s="295"/>
      <c r="BD313" s="295"/>
      <c r="BE313" s="724">
        <v>1000</v>
      </c>
      <c r="BF313" s="724"/>
      <c r="BG313" s="724"/>
      <c r="BH313" s="724">
        <f t="shared" si="574"/>
        <v>4408.02813</v>
      </c>
      <c r="BI313" s="1166"/>
      <c r="BJ313" s="1166"/>
      <c r="BK313" s="724">
        <v>24194.1029586667</v>
      </c>
      <c r="BL313" s="724">
        <f t="shared" si="579"/>
        <v>220401.4065</v>
      </c>
      <c r="BM313" s="724">
        <f t="shared" si="576"/>
        <v>34870.5144886667</v>
      </c>
      <c r="BN313" s="724"/>
      <c r="BO313" s="724"/>
      <c r="BP313" s="724">
        <f t="shared" si="575"/>
        <v>185530.892011333</v>
      </c>
      <c r="BQ313" s="1320"/>
      <c r="BR313" s="1321"/>
      <c r="BS313" s="1322"/>
      <c r="BT313" s="1323"/>
      <c r="BU313" s="1329"/>
      <c r="BV313" s="1321"/>
      <c r="BW313" s="1322"/>
      <c r="BX313" s="1322"/>
      <c r="BY313" s="1322"/>
      <c r="BZ313" s="1322"/>
      <c r="CA313" s="1322"/>
      <c r="CB313" s="1322"/>
      <c r="CC313" s="1320"/>
      <c r="CD313" s="1322"/>
      <c r="CE313" s="321"/>
      <c r="CF313" s="322"/>
      <c r="CG313" s="1321"/>
      <c r="CH313" s="1339"/>
      <c r="CI313" s="1322"/>
      <c r="CJ313" s="1329"/>
      <c r="CK313" s="1329"/>
      <c r="CL313" s="335"/>
      <c r="CN313" s="1263"/>
      <c r="CO313" s="1258"/>
    </row>
    <row r="314" s="245" customFormat="1" ht="202" customHeight="1" spans="1:93">
      <c r="A314" s="1122">
        <v>311</v>
      </c>
      <c r="B314" s="70" t="s">
        <v>829</v>
      </c>
      <c r="C314" s="1123" t="s">
        <v>275</v>
      </c>
      <c r="D314" s="1088" t="s">
        <v>352</v>
      </c>
      <c r="E314" s="1088" t="s">
        <v>808</v>
      </c>
      <c r="F314" s="1124" t="s">
        <v>313</v>
      </c>
      <c r="G314" s="1443" t="s">
        <v>830</v>
      </c>
      <c r="H314" s="1125"/>
      <c r="I314" s="1125"/>
      <c r="J314" s="1289"/>
      <c r="K314" s="1289"/>
      <c r="L314" s="1290"/>
      <c r="M314" s="1290">
        <v>188419.17</v>
      </c>
      <c r="N314" s="295">
        <f t="shared" si="578"/>
        <v>21982.2365</v>
      </c>
      <c r="O314" s="295">
        <v>5000</v>
      </c>
      <c r="P314" s="295"/>
      <c r="Q314" s="295"/>
      <c r="R314" s="295">
        <v>2500</v>
      </c>
      <c r="S314" s="295"/>
      <c r="T314" s="295"/>
      <c r="U314" s="295"/>
      <c r="V314" s="295"/>
      <c r="W314" s="295"/>
      <c r="X314" s="295"/>
      <c r="Y314" s="295"/>
      <c r="Z314" s="295">
        <v>2500</v>
      </c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L314" s="1140"/>
      <c r="AM314" s="295">
        <f t="shared" si="577"/>
        <v>3768.3834</v>
      </c>
      <c r="AN314" s="295">
        <v>500</v>
      </c>
      <c r="AO314" s="1302"/>
      <c r="AP314" s="1302"/>
      <c r="AQ314" s="1303"/>
      <c r="AR314" s="1303"/>
      <c r="AS314" s="1304"/>
      <c r="AT314" s="1303"/>
      <c r="AU314" s="1303"/>
      <c r="AV314" s="1151"/>
      <c r="AW314" s="1151"/>
      <c r="AX314" s="1303">
        <v>1000</v>
      </c>
      <c r="AY314" s="1161"/>
      <c r="AZ314" s="1151"/>
      <c r="BA314" s="295">
        <v>0</v>
      </c>
      <c r="BB314" s="295"/>
      <c r="BC314" s="295"/>
      <c r="BD314" s="295"/>
      <c r="BE314" s="724">
        <v>1000</v>
      </c>
      <c r="BF314" s="724"/>
      <c r="BG314" s="724"/>
      <c r="BH314" s="724">
        <f t="shared" si="574"/>
        <v>4408.02813</v>
      </c>
      <c r="BI314" s="1166"/>
      <c r="BJ314" s="1166"/>
      <c r="BK314" s="724">
        <v>24194.1029586667</v>
      </c>
      <c r="BL314" s="724">
        <f t="shared" si="579"/>
        <v>220401.4065</v>
      </c>
      <c r="BM314" s="724">
        <f t="shared" si="576"/>
        <v>34870.5144886667</v>
      </c>
      <c r="BN314" s="724"/>
      <c r="BO314" s="724"/>
      <c r="BP314" s="724">
        <f t="shared" si="575"/>
        <v>185530.892011333</v>
      </c>
      <c r="BQ314" s="1320"/>
      <c r="BR314" s="1321"/>
      <c r="BS314" s="1322"/>
      <c r="BT314" s="1323"/>
      <c r="BU314" s="1329"/>
      <c r="BV314" s="1321"/>
      <c r="BW314" s="1322"/>
      <c r="BX314" s="1322"/>
      <c r="BY314" s="1322"/>
      <c r="BZ314" s="1322"/>
      <c r="CA314" s="1322"/>
      <c r="CB314" s="1322"/>
      <c r="CC314" s="1320"/>
      <c r="CD314" s="1322"/>
      <c r="CE314" s="321"/>
      <c r="CF314" s="322"/>
      <c r="CG314" s="1321"/>
      <c r="CH314" s="1339"/>
      <c r="CI314" s="1322"/>
      <c r="CJ314" s="1329"/>
      <c r="CK314" s="1329"/>
      <c r="CL314" s="335"/>
      <c r="CN314" s="1263"/>
      <c r="CO314" s="1258"/>
    </row>
    <row r="315" s="245" customFormat="1" ht="202" customHeight="1" spans="1:93">
      <c r="A315" s="1122">
        <v>312</v>
      </c>
      <c r="B315" s="70" t="s">
        <v>831</v>
      </c>
      <c r="C315" s="1123" t="s">
        <v>534</v>
      </c>
      <c r="D315" s="1088" t="s">
        <v>352</v>
      </c>
      <c r="E315" s="1088" t="s">
        <v>808</v>
      </c>
      <c r="F315" s="1124" t="s">
        <v>157</v>
      </c>
      <c r="G315" s="1443" t="s">
        <v>832</v>
      </c>
      <c r="H315" s="1125"/>
      <c r="I315" s="1125"/>
      <c r="J315" s="1289"/>
      <c r="K315" s="1289"/>
      <c r="L315" s="1290"/>
      <c r="M315" s="1290">
        <v>188419.17</v>
      </c>
      <c r="N315" s="295">
        <f t="shared" si="578"/>
        <v>21982.2365</v>
      </c>
      <c r="O315" s="295">
        <v>5000</v>
      </c>
      <c r="P315" s="295"/>
      <c r="Q315" s="295"/>
      <c r="R315" s="295">
        <v>2500</v>
      </c>
      <c r="S315" s="295"/>
      <c r="T315" s="295"/>
      <c r="U315" s="295"/>
      <c r="V315" s="295"/>
      <c r="W315" s="295"/>
      <c r="X315" s="295"/>
      <c r="Y315" s="295"/>
      <c r="Z315" s="295">
        <v>2500</v>
      </c>
      <c r="AA315" s="295"/>
      <c r="AB315" s="295"/>
      <c r="AC315" s="295"/>
      <c r="AD315" s="295"/>
      <c r="AE315" s="295"/>
      <c r="AF315" s="295"/>
      <c r="AG315" s="295"/>
      <c r="AH315" s="295"/>
      <c r="AI315" s="295"/>
      <c r="AJ315" s="295"/>
      <c r="AK315" s="295"/>
      <c r="AL315" s="1140"/>
      <c r="AM315" s="295">
        <f t="shared" si="577"/>
        <v>3768.3834</v>
      </c>
      <c r="AN315" s="295">
        <v>500</v>
      </c>
      <c r="AO315" s="1302"/>
      <c r="AP315" s="1302"/>
      <c r="AQ315" s="1303">
        <v>1000</v>
      </c>
      <c r="AR315" s="1303"/>
      <c r="AS315" s="1304"/>
      <c r="AT315" s="1303"/>
      <c r="AU315" s="1303"/>
      <c r="AV315" s="1151"/>
      <c r="AW315" s="1151"/>
      <c r="AX315" s="1303"/>
      <c r="AY315" s="1161"/>
      <c r="AZ315" s="1151"/>
      <c r="BA315" s="295">
        <v>0</v>
      </c>
      <c r="BB315" s="295"/>
      <c r="BC315" s="295"/>
      <c r="BD315" s="295"/>
      <c r="BE315" s="724">
        <v>1000</v>
      </c>
      <c r="BF315" s="724"/>
      <c r="BG315" s="724"/>
      <c r="BH315" s="724">
        <f t="shared" ref="BH315:BH329" si="580">BL315*0.02</f>
        <v>4408.02813</v>
      </c>
      <c r="BI315" s="1166"/>
      <c r="BJ315" s="1166"/>
      <c r="BK315" s="724">
        <v>24194.1029586667</v>
      </c>
      <c r="BL315" s="724">
        <f t="shared" si="579"/>
        <v>220401.4065</v>
      </c>
      <c r="BM315" s="724">
        <f t="shared" si="576"/>
        <v>34870.5144886667</v>
      </c>
      <c r="BN315" s="724"/>
      <c r="BO315" s="724"/>
      <c r="BP315" s="724">
        <f t="shared" si="575"/>
        <v>185530.892011333</v>
      </c>
      <c r="BQ315" s="1320"/>
      <c r="BR315" s="1321"/>
      <c r="BS315" s="1322"/>
      <c r="BT315" s="1323"/>
      <c r="BU315" s="1329"/>
      <c r="BV315" s="1321"/>
      <c r="BW315" s="1322"/>
      <c r="BX315" s="1322"/>
      <c r="BY315" s="1322"/>
      <c r="BZ315" s="1322"/>
      <c r="CA315" s="1322"/>
      <c r="CB315" s="1322"/>
      <c r="CC315" s="1320"/>
      <c r="CD315" s="1322"/>
      <c r="CE315" s="321"/>
      <c r="CF315" s="322"/>
      <c r="CG315" s="1321"/>
      <c r="CH315" s="1339"/>
      <c r="CI315" s="1322"/>
      <c r="CJ315" s="1329"/>
      <c r="CK315" s="1329"/>
      <c r="CL315" s="335"/>
      <c r="CN315" s="1263"/>
      <c r="CO315" s="1258"/>
    </row>
    <row r="316" s="245" customFormat="1" ht="202" customHeight="1" spans="1:93">
      <c r="A316" s="1122">
        <v>313</v>
      </c>
      <c r="B316" s="70" t="s">
        <v>833</v>
      </c>
      <c r="C316" s="1123" t="s">
        <v>191</v>
      </c>
      <c r="D316" s="1088" t="s">
        <v>352</v>
      </c>
      <c r="E316" s="1088" t="s">
        <v>808</v>
      </c>
      <c r="F316" s="1124" t="s">
        <v>97</v>
      </c>
      <c r="G316" s="1443" t="s">
        <v>834</v>
      </c>
      <c r="H316" s="1125"/>
      <c r="I316" s="1125"/>
      <c r="J316" s="1289"/>
      <c r="K316" s="1289"/>
      <c r="L316" s="1290"/>
      <c r="M316" s="1290">
        <v>188420.17</v>
      </c>
      <c r="N316" s="295">
        <f t="shared" si="578"/>
        <v>21982.3531666667</v>
      </c>
      <c r="O316" s="295">
        <v>5000</v>
      </c>
      <c r="P316" s="295"/>
      <c r="Q316" s="295"/>
      <c r="R316" s="295">
        <v>2500</v>
      </c>
      <c r="S316" s="295"/>
      <c r="T316" s="295"/>
      <c r="U316" s="295"/>
      <c r="V316" s="295"/>
      <c r="W316" s="295"/>
      <c r="X316" s="295"/>
      <c r="Y316" s="295"/>
      <c r="Z316" s="295">
        <v>2500</v>
      </c>
      <c r="AA316" s="295"/>
      <c r="AB316" s="295"/>
      <c r="AC316" s="295"/>
      <c r="AD316" s="295"/>
      <c r="AE316" s="295"/>
      <c r="AF316" s="295"/>
      <c r="AG316" s="295"/>
      <c r="AH316" s="295"/>
      <c r="AI316" s="295"/>
      <c r="AJ316" s="295"/>
      <c r="AK316" s="295"/>
      <c r="AL316" s="1140"/>
      <c r="AM316" s="295">
        <f t="shared" si="577"/>
        <v>3768.4034</v>
      </c>
      <c r="AN316" s="295">
        <v>500</v>
      </c>
      <c r="AO316" s="1302"/>
      <c r="AP316" s="1302"/>
      <c r="AQ316" s="1303"/>
      <c r="AR316" s="1303"/>
      <c r="AS316" s="1304">
        <v>1000</v>
      </c>
      <c r="AT316" s="1303"/>
      <c r="AU316" s="1303"/>
      <c r="AV316" s="1151"/>
      <c r="AW316" s="1151"/>
      <c r="AX316" s="1303"/>
      <c r="AY316" s="1161"/>
      <c r="AZ316" s="1151"/>
      <c r="BA316" s="295">
        <v>0</v>
      </c>
      <c r="BB316" s="295"/>
      <c r="BC316" s="295"/>
      <c r="BD316" s="295"/>
      <c r="BE316" s="724">
        <v>1000</v>
      </c>
      <c r="BF316" s="724"/>
      <c r="BG316" s="724"/>
      <c r="BH316" s="724">
        <f t="shared" si="580"/>
        <v>4408.05046333333</v>
      </c>
      <c r="BI316" s="1166"/>
      <c r="BJ316" s="1166"/>
      <c r="BK316" s="724">
        <v>24194.1029586667</v>
      </c>
      <c r="BL316" s="724">
        <f t="shared" si="579"/>
        <v>220402.523166667</v>
      </c>
      <c r="BM316" s="724">
        <f t="shared" si="576"/>
        <v>34870.556822</v>
      </c>
      <c r="BN316" s="724"/>
      <c r="BO316" s="724"/>
      <c r="BP316" s="724">
        <f t="shared" si="575"/>
        <v>185531.966344667</v>
      </c>
      <c r="BQ316" s="1320"/>
      <c r="BR316" s="1321"/>
      <c r="BS316" s="1322"/>
      <c r="BT316" s="1323"/>
      <c r="BU316" s="1329"/>
      <c r="BV316" s="1321"/>
      <c r="BW316" s="1322"/>
      <c r="BX316" s="1322"/>
      <c r="BY316" s="1322"/>
      <c r="BZ316" s="1322"/>
      <c r="CA316" s="1322"/>
      <c r="CB316" s="1322"/>
      <c r="CC316" s="1320"/>
      <c r="CD316" s="1322"/>
      <c r="CE316" s="321"/>
      <c r="CF316" s="322"/>
      <c r="CG316" s="1321"/>
      <c r="CH316" s="1339"/>
      <c r="CI316" s="1322"/>
      <c r="CJ316" s="1329"/>
      <c r="CK316" s="1329"/>
      <c r="CL316" s="335"/>
      <c r="CN316" s="1263"/>
      <c r="CO316" s="1258"/>
    </row>
    <row r="317" s="245" customFormat="1" ht="202" customHeight="1" spans="1:93">
      <c r="A317" s="1122">
        <v>314</v>
      </c>
      <c r="B317" s="70" t="s">
        <v>835</v>
      </c>
      <c r="C317" s="1123" t="s">
        <v>177</v>
      </c>
      <c r="D317" s="1088" t="s">
        <v>352</v>
      </c>
      <c r="E317" s="1088" t="s">
        <v>808</v>
      </c>
      <c r="F317" s="1124" t="s">
        <v>97</v>
      </c>
      <c r="G317" s="681">
        <v>1919736084</v>
      </c>
      <c r="H317" s="1125"/>
      <c r="I317" s="1125"/>
      <c r="J317" s="1289"/>
      <c r="K317" s="1289"/>
      <c r="L317" s="1290"/>
      <c r="M317" s="1290">
        <v>188419.17</v>
      </c>
      <c r="N317" s="295">
        <f t="shared" ref="N317" si="581">M317*0.35/3</f>
        <v>21982.2365</v>
      </c>
      <c r="O317" s="295">
        <v>5000</v>
      </c>
      <c r="P317" s="295"/>
      <c r="Q317" s="295"/>
      <c r="R317" s="295">
        <v>2500</v>
      </c>
      <c r="S317" s="295"/>
      <c r="T317" s="295"/>
      <c r="U317" s="295"/>
      <c r="V317" s="295"/>
      <c r="W317" s="295"/>
      <c r="X317" s="295"/>
      <c r="Y317" s="295"/>
      <c r="Z317" s="295">
        <v>2500</v>
      </c>
      <c r="AA317" s="295"/>
      <c r="AB317" s="295"/>
      <c r="AC317" s="295"/>
      <c r="AD317" s="295"/>
      <c r="AE317" s="295"/>
      <c r="AF317" s="295"/>
      <c r="AG317" s="295"/>
      <c r="AH317" s="295"/>
      <c r="AI317" s="295"/>
      <c r="AJ317" s="295"/>
      <c r="AK317" s="295"/>
      <c r="AL317" s="1140"/>
      <c r="AM317" s="295">
        <f t="shared" ref="AM317" si="582">M317*0.02</f>
        <v>3768.3834</v>
      </c>
      <c r="AN317" s="295">
        <v>500</v>
      </c>
      <c r="AO317" s="1302"/>
      <c r="AP317" s="1302"/>
      <c r="AQ317" s="1303"/>
      <c r="AR317" s="1303"/>
      <c r="AS317" s="1304">
        <v>1000</v>
      </c>
      <c r="AT317" s="1303"/>
      <c r="AU317" s="1303"/>
      <c r="AV317" s="1151"/>
      <c r="AW317" s="1151"/>
      <c r="AX317" s="1303"/>
      <c r="AY317" s="1161"/>
      <c r="AZ317" s="1151"/>
      <c r="BA317" s="295">
        <v>0</v>
      </c>
      <c r="BB317" s="295"/>
      <c r="BC317" s="295"/>
      <c r="BD317" s="295"/>
      <c r="BE317" s="724">
        <v>1000</v>
      </c>
      <c r="BF317" s="724"/>
      <c r="BG317" s="724"/>
      <c r="BH317" s="724">
        <f t="shared" si="580"/>
        <v>4408.02813</v>
      </c>
      <c r="BI317" s="1166"/>
      <c r="BJ317" s="1166"/>
      <c r="BK317" s="724">
        <v>24195.1029586667</v>
      </c>
      <c r="BL317" s="724">
        <f t="shared" ref="BL317" si="583">M317+N317+O317+P317+R317+S317+T317+U317+V317+W317+Y317+Z317+AA317</f>
        <v>220401.4065</v>
      </c>
      <c r="BM317" s="724">
        <f t="shared" ref="BM317:BM318" si="584">AI317+AJ317+AK317+AL317+AM317+AN317+AP317++AQ317+AR317+AS317+AT317+AU317+AV317+AW317+AX317+AY317+AZ317+BA317+BB317+BC317+BD317+BE317+BG317+BH317+BK317</f>
        <v>34871.5144886667</v>
      </c>
      <c r="BN317" s="724"/>
      <c r="BO317" s="724"/>
      <c r="BP317" s="724">
        <f t="shared" ref="BP317" si="585">BL317-BM317</f>
        <v>185529.892011333</v>
      </c>
      <c r="BQ317" s="1320"/>
      <c r="BR317" s="1321"/>
      <c r="BS317" s="1322"/>
      <c r="BT317" s="1323"/>
      <c r="BU317" s="1329"/>
      <c r="BV317" s="1321"/>
      <c r="BW317" s="1322"/>
      <c r="BX317" s="1322"/>
      <c r="BY317" s="1322"/>
      <c r="BZ317" s="1322"/>
      <c r="CA317" s="1322"/>
      <c r="CB317" s="1322"/>
      <c r="CC317" s="1320"/>
      <c r="CD317" s="1322"/>
      <c r="CE317" s="321"/>
      <c r="CF317" s="322"/>
      <c r="CG317" s="1321"/>
      <c r="CH317" s="1339"/>
      <c r="CI317" s="1322"/>
      <c r="CJ317" s="1329"/>
      <c r="CK317" s="1329"/>
      <c r="CL317" s="335"/>
      <c r="CN317" s="1263"/>
      <c r="CO317" s="1258"/>
    </row>
    <row r="318" s="245" customFormat="1" ht="202" customHeight="1" spans="1:93">
      <c r="A318" s="1122">
        <v>315</v>
      </c>
      <c r="B318" s="70" t="s">
        <v>836</v>
      </c>
      <c r="C318" s="1123" t="s">
        <v>95</v>
      </c>
      <c r="D318" s="1088" t="s">
        <v>352</v>
      </c>
      <c r="E318" s="1088" t="s">
        <v>808</v>
      </c>
      <c r="F318" s="1124" t="s">
        <v>97</v>
      </c>
      <c r="G318" s="681">
        <v>1770212365</v>
      </c>
      <c r="H318" s="1125"/>
      <c r="I318" s="1125"/>
      <c r="J318" s="1289"/>
      <c r="K318" s="1289"/>
      <c r="L318" s="1290"/>
      <c r="M318" s="1290">
        <v>188420.17</v>
      </c>
      <c r="N318" s="295">
        <f t="shared" ref="N318" si="586">M318*0.35/3</f>
        <v>21982.3531666667</v>
      </c>
      <c r="O318" s="295">
        <v>5000</v>
      </c>
      <c r="P318" s="295"/>
      <c r="Q318" s="295"/>
      <c r="R318" s="295">
        <v>2500</v>
      </c>
      <c r="S318" s="295">
        <v>43695.05</v>
      </c>
      <c r="T318" s="295"/>
      <c r="U318" s="295"/>
      <c r="V318" s="295"/>
      <c r="W318" s="295"/>
      <c r="X318" s="295"/>
      <c r="Y318" s="295"/>
      <c r="Z318" s="295">
        <v>2500</v>
      </c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1140"/>
      <c r="AM318" s="295">
        <f t="shared" ref="AM318" si="587">M318*0.02</f>
        <v>3768.4034</v>
      </c>
      <c r="AN318" s="295">
        <v>500</v>
      </c>
      <c r="AO318" s="1302"/>
      <c r="AP318" s="1302"/>
      <c r="AQ318" s="1303"/>
      <c r="AR318" s="1369">
        <v>1000</v>
      </c>
      <c r="AS318" s="1101"/>
      <c r="AT318" s="1303"/>
      <c r="AU318" s="1303"/>
      <c r="AV318" s="1151"/>
      <c r="AW318" s="1151"/>
      <c r="AX318" s="1303"/>
      <c r="AY318" s="1161"/>
      <c r="AZ318" s="1151"/>
      <c r="BA318" s="295">
        <v>0</v>
      </c>
      <c r="BB318" s="295"/>
      <c r="BC318" s="295">
        <v>4166.665</v>
      </c>
      <c r="BD318" s="295">
        <v>8333.33</v>
      </c>
      <c r="BE318" s="724">
        <v>1000</v>
      </c>
      <c r="BF318" s="724"/>
      <c r="BG318" s="724"/>
      <c r="BH318" s="724">
        <f t="shared" si="580"/>
        <v>5281.95146333333</v>
      </c>
      <c r="BI318" s="1166"/>
      <c r="BJ318" s="1166"/>
      <c r="BK318" s="724">
        <v>24196.1029586667</v>
      </c>
      <c r="BL318" s="724">
        <f t="shared" ref="BL318" si="588">M318+N318+O318+P318+R318+S318+T318+U318+V318+W318+Y318+Z318+AA318</f>
        <v>264097.573166667</v>
      </c>
      <c r="BM318" s="724">
        <f t="shared" si="584"/>
        <v>48246.452822</v>
      </c>
      <c r="BN318" s="724"/>
      <c r="BO318" s="724"/>
      <c r="BP318" s="724">
        <f t="shared" ref="BP318" si="589">BL318-BM318</f>
        <v>215851.120344667</v>
      </c>
      <c r="BQ318" s="1320"/>
      <c r="BR318" s="1321"/>
      <c r="BS318" s="1322"/>
      <c r="BT318" s="1323"/>
      <c r="BU318" s="1329"/>
      <c r="BV318" s="1321"/>
      <c r="BW318" s="1322"/>
      <c r="BX318" s="1322"/>
      <c r="BY318" s="1322"/>
      <c r="BZ318" s="1322"/>
      <c r="CA318" s="1322"/>
      <c r="CB318" s="1322"/>
      <c r="CC318" s="1320"/>
      <c r="CD318" s="1322"/>
      <c r="CE318" s="321"/>
      <c r="CF318" s="322"/>
      <c r="CG318" s="1321"/>
      <c r="CH318" s="1339"/>
      <c r="CI318" s="1322"/>
      <c r="CJ318" s="1329"/>
      <c r="CK318" s="1329"/>
      <c r="CL318" s="335"/>
      <c r="CN318" s="1419"/>
      <c r="CO318" s="1258"/>
    </row>
    <row r="319" s="245" customFormat="1" ht="202" customHeight="1" spans="1:93">
      <c r="A319" s="1122">
        <v>316</v>
      </c>
      <c r="B319" s="70" t="s">
        <v>837</v>
      </c>
      <c r="C319" s="1123" t="s">
        <v>249</v>
      </c>
      <c r="D319" s="1088" t="s">
        <v>352</v>
      </c>
      <c r="E319" s="1088" t="s">
        <v>465</v>
      </c>
      <c r="F319" s="1404" t="s">
        <v>122</v>
      </c>
      <c r="G319" s="1443" t="s">
        <v>838</v>
      </c>
      <c r="H319" s="1125"/>
      <c r="I319" s="1125"/>
      <c r="J319" s="1289"/>
      <c r="K319" s="1289"/>
      <c r="L319" s="1290"/>
      <c r="M319" s="1290">
        <v>236319.33</v>
      </c>
      <c r="N319" s="295">
        <f t="shared" ref="N319" si="590">M319*0.35/3</f>
        <v>27570.5885</v>
      </c>
      <c r="O319" s="295">
        <v>5000</v>
      </c>
      <c r="P319" s="295"/>
      <c r="Q319" s="295"/>
      <c r="R319" s="295">
        <v>2500</v>
      </c>
      <c r="S319" s="295"/>
      <c r="T319" s="295"/>
      <c r="U319" s="295"/>
      <c r="V319" s="295"/>
      <c r="W319" s="295"/>
      <c r="X319" s="295"/>
      <c r="Y319" s="295"/>
      <c r="Z319" s="295">
        <v>2500</v>
      </c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1140"/>
      <c r="AM319" s="295">
        <f t="shared" ref="AM319" si="591">M319*0.02</f>
        <v>4726.3866</v>
      </c>
      <c r="AN319" s="295">
        <v>500</v>
      </c>
      <c r="AO319" s="1302"/>
      <c r="AP319" s="1302"/>
      <c r="AQ319" s="1303"/>
      <c r="AR319" s="1303"/>
      <c r="AS319" s="1304"/>
      <c r="AT319" s="1303"/>
      <c r="AU319" s="1303"/>
      <c r="AV319" s="1151"/>
      <c r="AW319" s="1151"/>
      <c r="AX319" s="1303"/>
      <c r="AY319" s="1161"/>
      <c r="AZ319" s="1151"/>
      <c r="BA319" s="295">
        <v>0</v>
      </c>
      <c r="BB319" s="295"/>
      <c r="BC319" s="295"/>
      <c r="BD319" s="295"/>
      <c r="BE319" s="724">
        <v>1000</v>
      </c>
      <c r="BF319" s="724"/>
      <c r="BG319" s="724"/>
      <c r="BH319" s="724">
        <f t="shared" si="580"/>
        <v>5477.79837</v>
      </c>
      <c r="BI319" s="1166"/>
      <c r="BJ319" s="1166"/>
      <c r="BK319" s="724">
        <v>33180.17</v>
      </c>
      <c r="BL319" s="724">
        <f t="shared" ref="BL319" si="592">M319+N319+O319+P319+R319+S319+T319+U319+V319+W319+Y319+Z319+AA319</f>
        <v>273889.9185</v>
      </c>
      <c r="BM319" s="724">
        <f t="shared" ref="BM319" si="593">AI319+AJ319+AK319+AL319+AM319+AN319+AP319++AQ319+AR319+AS319+AT319+AU319+AV319+AW319+AX319+AY319+AZ319+BA319+BB319+BC319+BD319+BE319+BG319+BH319+BK319</f>
        <v>44884.35497</v>
      </c>
      <c r="BN319" s="724"/>
      <c r="BO319" s="724"/>
      <c r="BP319" s="724">
        <f t="shared" ref="BP319" si="594">BL319-BM319</f>
        <v>229005.56353</v>
      </c>
      <c r="BQ319" s="1320"/>
      <c r="BR319" s="1321"/>
      <c r="BS319" s="1322"/>
      <c r="BT319" s="1323"/>
      <c r="BU319" s="1329"/>
      <c r="BV319" s="1321"/>
      <c r="BW319" s="1322"/>
      <c r="BX319" s="1322"/>
      <c r="BY319" s="1322"/>
      <c r="BZ319" s="1322"/>
      <c r="CA319" s="1322"/>
      <c r="CB319" s="1322"/>
      <c r="CC319" s="1320"/>
      <c r="CD319" s="1322"/>
      <c r="CE319" s="321"/>
      <c r="CF319" s="322"/>
      <c r="CG319" s="1321"/>
      <c r="CH319" s="1339"/>
      <c r="CI319" s="1322"/>
      <c r="CJ319" s="1329"/>
      <c r="CK319" s="1329"/>
      <c r="CL319" s="335"/>
      <c r="CN319" s="1263"/>
      <c r="CO319" s="1258"/>
    </row>
    <row r="320" s="245" customFormat="1" ht="202" customHeight="1" spans="1:93">
      <c r="A320" s="1122">
        <v>317</v>
      </c>
      <c r="B320" s="70" t="s">
        <v>839</v>
      </c>
      <c r="C320" s="1123" t="s">
        <v>840</v>
      </c>
      <c r="D320" s="1088" t="s">
        <v>195</v>
      </c>
      <c r="E320" s="1088" t="s">
        <v>841</v>
      </c>
      <c r="F320" s="1124"/>
      <c r="G320" s="681"/>
      <c r="H320" s="1125"/>
      <c r="I320" s="1125"/>
      <c r="J320" s="1289"/>
      <c r="K320" s="1289"/>
      <c r="L320" s="1290"/>
      <c r="M320" s="1290">
        <v>211887</v>
      </c>
      <c r="N320" s="295">
        <f t="shared" ref="N320:N328" si="595">M320*0.35/3</f>
        <v>24720.15</v>
      </c>
      <c r="O320" s="295">
        <v>5000</v>
      </c>
      <c r="P320" s="295"/>
      <c r="Q320" s="295"/>
      <c r="R320" s="295">
        <v>2500</v>
      </c>
      <c r="S320" s="295"/>
      <c r="T320" s="295"/>
      <c r="U320" s="295"/>
      <c r="V320" s="295"/>
      <c r="W320" s="295"/>
      <c r="X320" s="295"/>
      <c r="Y320" s="295"/>
      <c r="Z320" s="295">
        <v>2500</v>
      </c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1140"/>
      <c r="AM320" s="295">
        <f t="shared" ref="AM320:AM329" si="596">M320*0.02</f>
        <v>4237.74</v>
      </c>
      <c r="AN320" s="295">
        <v>500</v>
      </c>
      <c r="AO320" s="1302"/>
      <c r="AP320" s="1302"/>
      <c r="AQ320" s="1303"/>
      <c r="AR320" s="1303"/>
      <c r="AS320" s="1408">
        <v>1000</v>
      </c>
      <c r="AT320" s="1303"/>
      <c r="AU320" s="1303"/>
      <c r="AV320" s="1151"/>
      <c r="AW320" s="1151"/>
      <c r="AX320" s="1303"/>
      <c r="AY320" s="1161"/>
      <c r="AZ320" s="1151"/>
      <c r="BA320" s="295">
        <v>0</v>
      </c>
      <c r="BB320" s="295"/>
      <c r="BC320" s="295"/>
      <c r="BD320" s="295"/>
      <c r="BE320" s="724">
        <v>1000</v>
      </c>
      <c r="BF320" s="724"/>
      <c r="BG320" s="724"/>
      <c r="BH320" s="724">
        <f t="shared" si="580"/>
        <v>4932.143</v>
      </c>
      <c r="BI320" s="1166"/>
      <c r="BJ320" s="1166"/>
      <c r="BK320" s="724">
        <v>28596.6678666667</v>
      </c>
      <c r="BL320" s="724">
        <f t="shared" ref="BL320:BL329" si="597">M320+N320+O320+P320+R320+S320+T320+U320+V320+W320+Y320+Z320+AA320</f>
        <v>246607.15</v>
      </c>
      <c r="BM320" s="724">
        <f t="shared" ref="BM320:BM329" si="598">AI320+AJ320+AK320+AL320+AM320+AN320+AP320++AQ320+AR320+AS320+AT320+AU320+AV320+AW320+AX320+AY320+AZ320+BA320+BB320+BC320+BD320+BE320+BG320+BH320+BK320</f>
        <v>40266.5508666667</v>
      </c>
      <c r="BN320" s="724"/>
      <c r="BO320" s="724"/>
      <c r="BP320" s="724">
        <f t="shared" ref="BP320:BP329" si="599">BL320-BM320</f>
        <v>206340.599133333</v>
      </c>
      <c r="BQ320" s="1320"/>
      <c r="BR320" s="1321"/>
      <c r="BS320" s="1322"/>
      <c r="BT320" s="1323"/>
      <c r="BU320" s="1329"/>
      <c r="BV320" s="1321"/>
      <c r="BW320" s="1322"/>
      <c r="BX320" s="1322"/>
      <c r="BY320" s="1322"/>
      <c r="BZ320" s="1322"/>
      <c r="CA320" s="1322"/>
      <c r="CB320" s="1322"/>
      <c r="CC320" s="1320"/>
      <c r="CD320" s="1322"/>
      <c r="CE320" s="321"/>
      <c r="CF320" s="322"/>
      <c r="CG320" s="1321"/>
      <c r="CH320" s="1339"/>
      <c r="CI320" s="1322"/>
      <c r="CJ320" s="1329"/>
      <c r="CK320" s="1329"/>
      <c r="CL320" s="335"/>
      <c r="CN320" s="1263" t="s">
        <v>842</v>
      </c>
      <c r="CO320" s="1258"/>
    </row>
    <row r="321" s="245" customFormat="1" ht="202" customHeight="1" spans="1:93">
      <c r="A321" s="1122">
        <v>318</v>
      </c>
      <c r="B321" s="70" t="s">
        <v>843</v>
      </c>
      <c r="C321" s="1123" t="s">
        <v>142</v>
      </c>
      <c r="D321" s="1088" t="s">
        <v>352</v>
      </c>
      <c r="E321" s="1088" t="s">
        <v>808</v>
      </c>
      <c r="F321" s="1074" t="s">
        <v>354</v>
      </c>
      <c r="G321" s="681">
        <v>6047458770</v>
      </c>
      <c r="H321" s="1125"/>
      <c r="I321" s="1125"/>
      <c r="J321" s="1289"/>
      <c r="K321" s="1289"/>
      <c r="L321" s="1290"/>
      <c r="M321" s="1290">
        <v>188419.17</v>
      </c>
      <c r="N321" s="295">
        <f t="shared" si="595"/>
        <v>21982.2365</v>
      </c>
      <c r="O321" s="295">
        <v>5000</v>
      </c>
      <c r="P321" s="295"/>
      <c r="Q321" s="295"/>
      <c r="R321" s="295">
        <v>2500</v>
      </c>
      <c r="S321" s="295">
        <v>185530.892011333</v>
      </c>
      <c r="T321" s="295"/>
      <c r="U321" s="295"/>
      <c r="V321" s="295"/>
      <c r="W321" s="295"/>
      <c r="X321" s="295"/>
      <c r="Y321" s="295"/>
      <c r="Z321" s="295">
        <v>2500</v>
      </c>
      <c r="AA321" s="295"/>
      <c r="AB321" s="295"/>
      <c r="AC321" s="295"/>
      <c r="AD321" s="295"/>
      <c r="AE321" s="295"/>
      <c r="AF321" s="295"/>
      <c r="AG321" s="295"/>
      <c r="AH321" s="295"/>
      <c r="AI321" s="295"/>
      <c r="AJ321" s="295"/>
      <c r="AK321" s="295"/>
      <c r="AL321" s="1140"/>
      <c r="AM321" s="295">
        <f t="shared" si="596"/>
        <v>3768.3834</v>
      </c>
      <c r="AN321" s="295">
        <v>500</v>
      </c>
      <c r="AO321" s="1302"/>
      <c r="AP321" s="1302"/>
      <c r="AQ321" s="1303"/>
      <c r="AR321" s="1303"/>
      <c r="AS321" s="1408"/>
      <c r="AT321" s="1303"/>
      <c r="AU321" s="1303"/>
      <c r="AV321" s="1151"/>
      <c r="AW321" s="1151">
        <v>1000</v>
      </c>
      <c r="AX321" s="1303"/>
      <c r="AY321" s="1161"/>
      <c r="AZ321" s="1151"/>
      <c r="BA321" s="295">
        <v>0</v>
      </c>
      <c r="BB321" s="295"/>
      <c r="BC321" s="295"/>
      <c r="BD321" s="295"/>
      <c r="BE321" s="724">
        <v>1000</v>
      </c>
      <c r="BF321" s="724"/>
      <c r="BG321" s="724"/>
      <c r="BH321" s="724">
        <v>4408.02813</v>
      </c>
      <c r="BI321" s="1166"/>
      <c r="BJ321" s="1166"/>
      <c r="BK321" s="724">
        <v>24194.1029586667</v>
      </c>
      <c r="BL321" s="724">
        <f t="shared" si="597"/>
        <v>405932.298511333</v>
      </c>
      <c r="BM321" s="724">
        <f t="shared" si="598"/>
        <v>34870.5144886667</v>
      </c>
      <c r="BN321" s="724"/>
      <c r="BO321" s="724"/>
      <c r="BP321" s="724">
        <f t="shared" si="599"/>
        <v>371061.784022667</v>
      </c>
      <c r="BQ321" s="1320"/>
      <c r="BR321" s="1321"/>
      <c r="BS321" s="1322"/>
      <c r="BT321" s="1323"/>
      <c r="BU321" s="1329"/>
      <c r="BV321" s="1321"/>
      <c r="BW321" s="1322"/>
      <c r="BX321" s="1322"/>
      <c r="BY321" s="1322"/>
      <c r="BZ321" s="1322"/>
      <c r="CA321" s="1322"/>
      <c r="CB321" s="1322"/>
      <c r="CC321" s="1320"/>
      <c r="CD321" s="1322"/>
      <c r="CE321" s="321"/>
      <c r="CF321" s="322"/>
      <c r="CG321" s="1321"/>
      <c r="CH321" s="1339"/>
      <c r="CI321" s="1322"/>
      <c r="CJ321" s="1329"/>
      <c r="CK321" s="1329"/>
      <c r="CL321" s="335"/>
      <c r="CN321" s="1391" t="s">
        <v>844</v>
      </c>
      <c r="CO321" s="1258"/>
    </row>
    <row r="322" s="245" customFormat="1" ht="202" customHeight="1" spans="1:93">
      <c r="A322" s="1122">
        <v>319</v>
      </c>
      <c r="B322" s="70" t="s">
        <v>845</v>
      </c>
      <c r="C322" s="1123" t="s">
        <v>249</v>
      </c>
      <c r="D322" s="1088" t="s">
        <v>352</v>
      </c>
      <c r="E322" s="1088" t="s">
        <v>808</v>
      </c>
      <c r="F322" s="1124" t="s">
        <v>93</v>
      </c>
      <c r="G322" s="681">
        <v>3142333818</v>
      </c>
      <c r="H322" s="1125"/>
      <c r="I322" s="1125"/>
      <c r="J322" s="1289"/>
      <c r="K322" s="1289"/>
      <c r="L322" s="1290"/>
      <c r="M322" s="1290">
        <v>188420.17</v>
      </c>
      <c r="N322" s="295">
        <f t="shared" ref="N322" si="600">M322*0.35/3</f>
        <v>21982.3531666667</v>
      </c>
      <c r="O322" s="295">
        <v>5000</v>
      </c>
      <c r="P322" s="295"/>
      <c r="Q322" s="295"/>
      <c r="R322" s="295">
        <v>2500</v>
      </c>
      <c r="S322" s="295"/>
      <c r="T322" s="295"/>
      <c r="U322" s="295"/>
      <c r="V322" s="295"/>
      <c r="W322" s="295"/>
      <c r="X322" s="295"/>
      <c r="Y322" s="295"/>
      <c r="Z322" s="295">
        <v>2500</v>
      </c>
      <c r="AA322" s="295"/>
      <c r="AB322" s="295"/>
      <c r="AC322" s="295"/>
      <c r="AD322" s="295"/>
      <c r="AE322" s="295"/>
      <c r="AF322" s="295"/>
      <c r="AG322" s="295"/>
      <c r="AH322" s="295"/>
      <c r="AI322" s="295"/>
      <c r="AJ322" s="295"/>
      <c r="AK322" s="295"/>
      <c r="AL322" s="1140"/>
      <c r="AM322" s="295">
        <f t="shared" ref="AM322" si="601">M322*0.02</f>
        <v>3768.4034</v>
      </c>
      <c r="AN322" s="295">
        <v>500</v>
      </c>
      <c r="AO322" s="1302"/>
      <c r="AP322" s="1302"/>
      <c r="AQ322" s="1303"/>
      <c r="AR322" s="1303"/>
      <c r="AS322" s="1408"/>
      <c r="AT322" s="1303"/>
      <c r="AU322" s="1303"/>
      <c r="AV322" s="1151"/>
      <c r="AW322" s="1151"/>
      <c r="AX322" s="1303"/>
      <c r="AY322" s="1161"/>
      <c r="AZ322" s="1151"/>
      <c r="BA322" s="295"/>
      <c r="BB322" s="295"/>
      <c r="BC322" s="295"/>
      <c r="BD322" s="295"/>
      <c r="BE322" s="724">
        <v>1000</v>
      </c>
      <c r="BF322" s="724"/>
      <c r="BG322" s="724"/>
      <c r="BH322" s="724">
        <v>4408.02813</v>
      </c>
      <c r="BI322" s="1166"/>
      <c r="BJ322" s="1166"/>
      <c r="BK322" s="724">
        <v>24194.1029586667</v>
      </c>
      <c r="BL322" s="724">
        <f t="shared" ref="BL322" si="602">M322+N322+O322+P322+R322+S322+T322+U322+V322+W322+Y322+Z322+AA322</f>
        <v>220402.523166667</v>
      </c>
      <c r="BM322" s="724">
        <f t="shared" ref="BM322" si="603">AI322+AJ322+AK322+AL322+AM322+AN322+AP322++AQ322+AR322+AS322+AT322+AU322+AV322+AW322+AX322+AY322+AZ322+BA322+BB322+BC322+BD322+BE322+BG322+BH322+BK322</f>
        <v>33870.5344886667</v>
      </c>
      <c r="BN322" s="724"/>
      <c r="BO322" s="724"/>
      <c r="BP322" s="724">
        <f t="shared" ref="BP322" si="604">BL322-BM322</f>
        <v>186531.988678</v>
      </c>
      <c r="BQ322" s="1320"/>
      <c r="BR322" s="1321"/>
      <c r="BS322" s="1322"/>
      <c r="BT322" s="1323"/>
      <c r="BU322" s="1329"/>
      <c r="BV322" s="1321"/>
      <c r="BW322" s="1322"/>
      <c r="BX322" s="1322"/>
      <c r="BY322" s="1322"/>
      <c r="BZ322" s="1322"/>
      <c r="CA322" s="1322"/>
      <c r="CB322" s="1322"/>
      <c r="CC322" s="1320"/>
      <c r="CD322" s="1322"/>
      <c r="CE322" s="321"/>
      <c r="CF322" s="322"/>
      <c r="CG322" s="1321"/>
      <c r="CH322" s="1339"/>
      <c r="CI322" s="1322"/>
      <c r="CJ322" s="1329"/>
      <c r="CK322" s="1329"/>
      <c r="CL322" s="335"/>
      <c r="CN322" s="1263" t="s">
        <v>846</v>
      </c>
      <c r="CO322" s="1258"/>
    </row>
    <row r="323" s="245" customFormat="1" ht="202" customHeight="1" spans="1:93">
      <c r="A323" s="1122">
        <v>320</v>
      </c>
      <c r="B323" s="70" t="s">
        <v>847</v>
      </c>
      <c r="C323" s="1123" t="s">
        <v>283</v>
      </c>
      <c r="D323" s="1088" t="s">
        <v>352</v>
      </c>
      <c r="E323" s="1088" t="s">
        <v>808</v>
      </c>
      <c r="F323" s="1124" t="s">
        <v>113</v>
      </c>
      <c r="G323" s="681">
        <v>2089341313</v>
      </c>
      <c r="H323" s="1125"/>
      <c r="I323" s="1125"/>
      <c r="J323" s="1289"/>
      <c r="K323" s="1289"/>
      <c r="L323" s="1290"/>
      <c r="M323" s="1290">
        <v>188421.17</v>
      </c>
      <c r="N323" s="295">
        <f t="shared" ref="N323" si="605">M323*0.35/3</f>
        <v>21982.4698333333</v>
      </c>
      <c r="O323" s="295">
        <v>5000</v>
      </c>
      <c r="P323" s="295"/>
      <c r="Q323" s="295"/>
      <c r="R323" s="295">
        <v>2500</v>
      </c>
      <c r="S323" s="295"/>
      <c r="T323" s="295"/>
      <c r="U323" s="295"/>
      <c r="V323" s="295"/>
      <c r="W323" s="295"/>
      <c r="X323" s="295"/>
      <c r="Y323" s="295"/>
      <c r="Z323" s="295">
        <v>2500</v>
      </c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1140"/>
      <c r="AM323" s="295">
        <f t="shared" ref="AM323" si="606">M323*0.02</f>
        <v>3768.4234</v>
      </c>
      <c r="AN323" s="295">
        <v>500</v>
      </c>
      <c r="AO323" s="1302"/>
      <c r="AP323" s="1302"/>
      <c r="AQ323" s="1303"/>
      <c r="AR323" s="1303"/>
      <c r="AS323" s="1408"/>
      <c r="AT323" s="1303"/>
      <c r="AU323" s="1303"/>
      <c r="AV323" s="1151"/>
      <c r="AW323" s="1151"/>
      <c r="AX323" s="1303"/>
      <c r="AY323" s="1161"/>
      <c r="AZ323" s="1151"/>
      <c r="BA323" s="295"/>
      <c r="BB323" s="295"/>
      <c r="BC323" s="295"/>
      <c r="BD323" s="295"/>
      <c r="BE323" s="724">
        <v>1000</v>
      </c>
      <c r="BF323" s="724"/>
      <c r="BG323" s="724"/>
      <c r="BH323" s="724">
        <v>4408.02813</v>
      </c>
      <c r="BI323" s="1166"/>
      <c r="BJ323" s="1166"/>
      <c r="BK323" s="724">
        <v>24194.1029586667</v>
      </c>
      <c r="BL323" s="724">
        <f t="shared" ref="BL323" si="607">M323+N323+O323+P323+R323+S323+T323+U323+V323+W323+Y323+Z323+AA323</f>
        <v>220403.639833333</v>
      </c>
      <c r="BM323" s="724">
        <f t="shared" ref="BM323" si="608">AI323+AJ323+AK323+AL323+AM323+AN323+AP323++AQ323+AR323+AS323+AT323+AU323+AV323+AW323+AX323+AY323+AZ323+BA323+BB323+BC323+BD323+BE323+BG323+BH323+BK323</f>
        <v>33870.5544886667</v>
      </c>
      <c r="BN323" s="724"/>
      <c r="BO323" s="724"/>
      <c r="BP323" s="724">
        <f t="shared" ref="BP323" si="609">BL323-BM323</f>
        <v>186533.085344667</v>
      </c>
      <c r="BQ323" s="1320"/>
      <c r="BR323" s="1321"/>
      <c r="BS323" s="1322"/>
      <c r="BT323" s="1323"/>
      <c r="BU323" s="1329"/>
      <c r="BV323" s="1321"/>
      <c r="BW323" s="1322"/>
      <c r="BX323" s="1322"/>
      <c r="BY323" s="1322"/>
      <c r="BZ323" s="1322"/>
      <c r="CA323" s="1322"/>
      <c r="CB323" s="1322"/>
      <c r="CC323" s="1320"/>
      <c r="CD323" s="1322"/>
      <c r="CE323" s="321"/>
      <c r="CF323" s="322"/>
      <c r="CG323" s="1321"/>
      <c r="CH323" s="1339"/>
      <c r="CI323" s="1322"/>
      <c r="CJ323" s="1329"/>
      <c r="CK323" s="1329"/>
      <c r="CL323" s="335"/>
      <c r="CN323" s="1263" t="s">
        <v>846</v>
      </c>
      <c r="CO323" s="1258"/>
    </row>
    <row r="324" s="245" customFormat="1" ht="202" customHeight="1" spans="1:93">
      <c r="A324" s="1122">
        <v>321</v>
      </c>
      <c r="B324" s="70" t="s">
        <v>848</v>
      </c>
      <c r="C324" s="1123" t="s">
        <v>104</v>
      </c>
      <c r="D324" s="1088" t="s">
        <v>352</v>
      </c>
      <c r="E324" s="1088" t="s">
        <v>808</v>
      </c>
      <c r="F324" s="1124" t="s">
        <v>127</v>
      </c>
      <c r="G324" s="1443" t="s">
        <v>849</v>
      </c>
      <c r="H324" s="1125"/>
      <c r="I324" s="1125"/>
      <c r="J324" s="1289"/>
      <c r="K324" s="1289"/>
      <c r="L324" s="1290"/>
      <c r="M324" s="1290">
        <v>188421.17</v>
      </c>
      <c r="N324" s="295">
        <f t="shared" ref="N324" si="610">M324*0.35/3</f>
        <v>21982.4698333333</v>
      </c>
      <c r="O324" s="295">
        <v>5000</v>
      </c>
      <c r="P324" s="295"/>
      <c r="Q324" s="295"/>
      <c r="R324" s="295">
        <v>2500</v>
      </c>
      <c r="S324" s="295"/>
      <c r="T324" s="295"/>
      <c r="U324" s="295"/>
      <c r="V324" s="295"/>
      <c r="W324" s="295"/>
      <c r="X324" s="295"/>
      <c r="Y324" s="295"/>
      <c r="Z324" s="295">
        <v>2500</v>
      </c>
      <c r="AA324" s="295"/>
      <c r="AB324" s="295"/>
      <c r="AC324" s="295"/>
      <c r="AD324" s="295"/>
      <c r="AE324" s="295"/>
      <c r="AF324" s="295"/>
      <c r="AG324" s="295"/>
      <c r="AH324" s="295"/>
      <c r="AI324" s="295"/>
      <c r="AJ324" s="295"/>
      <c r="AK324" s="295"/>
      <c r="AL324" s="1140"/>
      <c r="AM324" s="295">
        <f t="shared" ref="AM324" si="611">M324*0.02</f>
        <v>3768.4234</v>
      </c>
      <c r="AN324" s="295">
        <v>500</v>
      </c>
      <c r="AO324" s="1302"/>
      <c r="AP324" s="1302"/>
      <c r="AQ324" s="1303"/>
      <c r="AR324" s="1303"/>
      <c r="AS324" s="1408"/>
      <c r="AT324" s="1303"/>
      <c r="AU324" s="1303"/>
      <c r="AV324" s="1151"/>
      <c r="AW324" s="1151"/>
      <c r="AX324" s="1303"/>
      <c r="AY324" s="1161"/>
      <c r="AZ324" s="1151"/>
      <c r="BA324" s="295"/>
      <c r="BB324" s="295"/>
      <c r="BC324" s="295"/>
      <c r="BD324" s="295"/>
      <c r="BE324" s="724">
        <v>1000</v>
      </c>
      <c r="BF324" s="724"/>
      <c r="BG324" s="724"/>
      <c r="BH324" s="724">
        <v>4408.02813</v>
      </c>
      <c r="BI324" s="1166"/>
      <c r="BJ324" s="1166"/>
      <c r="BK324" s="724">
        <v>24194.1029586667</v>
      </c>
      <c r="BL324" s="724">
        <f t="shared" ref="BL324" si="612">M324+N324+O324+P324+R324+S324+T324+U324+V324+W324+Y324+Z324+AA324</f>
        <v>220403.639833333</v>
      </c>
      <c r="BM324" s="724">
        <f t="shared" ref="BM324" si="613">AI324+AJ324+AK324+AL324+AM324+AN324+AP324++AQ324+AR324+AS324+AT324+AU324+AV324+AW324+AX324+AY324+AZ324+BA324+BB324+BC324+BD324+BE324+BG324+BH324+BK324</f>
        <v>33870.5544886667</v>
      </c>
      <c r="BN324" s="724"/>
      <c r="BO324" s="724"/>
      <c r="BP324" s="724">
        <f t="shared" ref="BP324" si="614">BL324-BM324</f>
        <v>186533.085344667</v>
      </c>
      <c r="BQ324" s="1320"/>
      <c r="BR324" s="1321"/>
      <c r="BS324" s="1322"/>
      <c r="BT324" s="1323"/>
      <c r="BU324" s="1329"/>
      <c r="BV324" s="1321"/>
      <c r="BW324" s="1322"/>
      <c r="BX324" s="1322"/>
      <c r="BY324" s="1322"/>
      <c r="BZ324" s="1322"/>
      <c r="CA324" s="1322"/>
      <c r="CB324" s="1322"/>
      <c r="CC324" s="1320"/>
      <c r="CD324" s="1322"/>
      <c r="CE324" s="321"/>
      <c r="CF324" s="322"/>
      <c r="CG324" s="1321"/>
      <c r="CH324" s="1339"/>
      <c r="CI324" s="1322"/>
      <c r="CJ324" s="1329"/>
      <c r="CK324" s="1329"/>
      <c r="CL324" s="335"/>
      <c r="CN324" s="1263" t="s">
        <v>846</v>
      </c>
      <c r="CO324" s="1258"/>
    </row>
    <row r="325" s="245" customFormat="1" ht="202" customHeight="1" spans="1:93">
      <c r="A325" s="1122">
        <v>322</v>
      </c>
      <c r="B325" s="70" t="s">
        <v>850</v>
      </c>
      <c r="C325" s="1123" t="s">
        <v>95</v>
      </c>
      <c r="D325" s="1088" t="s">
        <v>352</v>
      </c>
      <c r="E325" s="1088" t="s">
        <v>808</v>
      </c>
      <c r="F325" s="1124" t="s">
        <v>135</v>
      </c>
      <c r="G325" s="1443" t="s">
        <v>851</v>
      </c>
      <c r="H325" s="1125"/>
      <c r="I325" s="1125"/>
      <c r="J325" s="1289"/>
      <c r="K325" s="1289"/>
      <c r="L325" s="1290"/>
      <c r="M325" s="1290">
        <v>188421.17</v>
      </c>
      <c r="N325" s="295">
        <f t="shared" ref="N325" si="615">M325*0.35/3</f>
        <v>21982.4698333333</v>
      </c>
      <c r="O325" s="295">
        <v>5000</v>
      </c>
      <c r="P325" s="295"/>
      <c r="Q325" s="295"/>
      <c r="R325" s="295">
        <v>2500</v>
      </c>
      <c r="S325" s="295"/>
      <c r="T325" s="295"/>
      <c r="U325" s="295"/>
      <c r="V325" s="295"/>
      <c r="W325" s="295"/>
      <c r="X325" s="295"/>
      <c r="Y325" s="295"/>
      <c r="Z325" s="295">
        <v>2500</v>
      </c>
      <c r="AA325" s="295"/>
      <c r="AB325" s="295"/>
      <c r="AC325" s="295"/>
      <c r="AD325" s="295"/>
      <c r="AE325" s="295"/>
      <c r="AF325" s="295"/>
      <c r="AG325" s="295"/>
      <c r="AH325" s="295"/>
      <c r="AI325" s="295"/>
      <c r="AJ325" s="295"/>
      <c r="AK325" s="295"/>
      <c r="AL325" s="1140"/>
      <c r="AM325" s="295">
        <f t="shared" ref="AM325" si="616">M325*0.02</f>
        <v>3768.4234</v>
      </c>
      <c r="AN325" s="295">
        <v>500</v>
      </c>
      <c r="AO325" s="1302"/>
      <c r="AP325" s="1302"/>
      <c r="AQ325" s="1303"/>
      <c r="AR325" s="1303"/>
      <c r="AS325" s="1408"/>
      <c r="AT325" s="1303"/>
      <c r="AU325" s="1303"/>
      <c r="AV325" s="1151"/>
      <c r="AW325" s="1151"/>
      <c r="AX325" s="1303"/>
      <c r="AY325" s="1161"/>
      <c r="AZ325" s="1151"/>
      <c r="BA325" s="295"/>
      <c r="BB325" s="295"/>
      <c r="BC325" s="295"/>
      <c r="BD325" s="295"/>
      <c r="BE325" s="724">
        <v>1000</v>
      </c>
      <c r="BF325" s="724"/>
      <c r="BG325" s="724"/>
      <c r="BH325" s="724">
        <v>4408.02813</v>
      </c>
      <c r="BI325" s="1166"/>
      <c r="BJ325" s="1166"/>
      <c r="BK325" s="724">
        <v>24194.1029586667</v>
      </c>
      <c r="BL325" s="724">
        <f t="shared" ref="BL325" si="617">M325+N325+O325+P325+R325+S325+T325+U325+V325+W325+Y325+Z325+AA325</f>
        <v>220403.639833333</v>
      </c>
      <c r="BM325" s="724">
        <f t="shared" ref="BM325" si="618">AI325+AJ325+AK325+AL325+AM325+AN325+AP325++AQ325+AR325+AS325+AT325+AU325+AV325+AW325+AX325+AY325+AZ325+BA325+BB325+BC325+BD325+BE325+BG325+BH325+BK325</f>
        <v>33870.5544886667</v>
      </c>
      <c r="BN325" s="724"/>
      <c r="BO325" s="724"/>
      <c r="BP325" s="724">
        <f t="shared" ref="BP325" si="619">BL325-BM325</f>
        <v>186533.085344667</v>
      </c>
      <c r="BQ325" s="1320"/>
      <c r="BR325" s="1321"/>
      <c r="BS325" s="1322"/>
      <c r="BT325" s="1323"/>
      <c r="BU325" s="1329"/>
      <c r="BV325" s="1321"/>
      <c r="BW325" s="1322"/>
      <c r="BX325" s="1322"/>
      <c r="BY325" s="1322"/>
      <c r="BZ325" s="1322"/>
      <c r="CA325" s="1322"/>
      <c r="CB325" s="1322"/>
      <c r="CC325" s="1320"/>
      <c r="CD325" s="1322"/>
      <c r="CE325" s="321"/>
      <c r="CF325" s="322"/>
      <c r="CG325" s="1321"/>
      <c r="CH325" s="1339"/>
      <c r="CI325" s="1322"/>
      <c r="CJ325" s="1329"/>
      <c r="CK325" s="1329"/>
      <c r="CL325" s="335"/>
      <c r="CN325" s="1263" t="s">
        <v>846</v>
      </c>
      <c r="CO325" s="1258"/>
    </row>
    <row r="326" s="245" customFormat="1" ht="202" customHeight="1" spans="1:93">
      <c r="A326" s="1122">
        <v>323</v>
      </c>
      <c r="B326" s="70" t="s">
        <v>852</v>
      </c>
      <c r="C326" s="1123" t="s">
        <v>167</v>
      </c>
      <c r="D326" s="1088" t="s">
        <v>352</v>
      </c>
      <c r="E326" s="1088" t="s">
        <v>808</v>
      </c>
      <c r="F326" s="1124" t="s">
        <v>135</v>
      </c>
      <c r="G326" s="1443" t="s">
        <v>853</v>
      </c>
      <c r="H326" s="1125"/>
      <c r="I326" s="1125"/>
      <c r="J326" s="1289"/>
      <c r="K326" s="1289"/>
      <c r="L326" s="1290"/>
      <c r="M326" s="1290">
        <v>188422.17</v>
      </c>
      <c r="N326" s="295">
        <f t="shared" ref="N326" si="620">M326*0.35/3</f>
        <v>21982.5865</v>
      </c>
      <c r="O326" s="295">
        <v>5000</v>
      </c>
      <c r="P326" s="295"/>
      <c r="Q326" s="295"/>
      <c r="R326" s="295">
        <v>2500</v>
      </c>
      <c r="S326" s="295"/>
      <c r="T326" s="295"/>
      <c r="U326" s="295"/>
      <c r="V326" s="295"/>
      <c r="W326" s="295"/>
      <c r="X326" s="295"/>
      <c r="Y326" s="295"/>
      <c r="Z326" s="295">
        <v>2500</v>
      </c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1140"/>
      <c r="AM326" s="295">
        <f t="shared" ref="AM326" si="621">M326*0.02</f>
        <v>3768.4434</v>
      </c>
      <c r="AN326" s="295">
        <v>500</v>
      </c>
      <c r="AO326" s="1302"/>
      <c r="AP326" s="1302"/>
      <c r="AQ326" s="1303"/>
      <c r="AR326" s="1303"/>
      <c r="AS326" s="1408"/>
      <c r="AT326" s="1303"/>
      <c r="AU326" s="1303"/>
      <c r="AV326" s="1151"/>
      <c r="AW326" s="1151"/>
      <c r="AX326" s="1303"/>
      <c r="AY326" s="1161"/>
      <c r="AZ326" s="1151"/>
      <c r="BA326" s="295"/>
      <c r="BB326" s="295"/>
      <c r="BC326" s="295"/>
      <c r="BD326" s="295"/>
      <c r="BE326" s="724">
        <v>1000</v>
      </c>
      <c r="BF326" s="724"/>
      <c r="BG326" s="724"/>
      <c r="BH326" s="724">
        <v>4408.02813</v>
      </c>
      <c r="BI326" s="1166"/>
      <c r="BJ326" s="1166"/>
      <c r="BK326" s="724">
        <v>24194.1029586667</v>
      </c>
      <c r="BL326" s="724">
        <f t="shared" ref="BL326" si="622">M326+N326+O326+P326+R326+S326+T326+U326+V326+W326+Y326+Z326+AA326</f>
        <v>220404.7565</v>
      </c>
      <c r="BM326" s="724">
        <f t="shared" ref="BM326" si="623">AI326+AJ326+AK326+AL326+AM326+AN326+AP326++AQ326+AR326+AS326+AT326+AU326+AV326+AW326+AX326+AY326+AZ326+BA326+BB326+BC326+BD326+BE326+BG326+BH326+BK326</f>
        <v>33870.5744886667</v>
      </c>
      <c r="BN326" s="724"/>
      <c r="BO326" s="724"/>
      <c r="BP326" s="724">
        <f t="shared" ref="BP326" si="624">BL326-BM326</f>
        <v>186534.182011333</v>
      </c>
      <c r="BQ326" s="1320"/>
      <c r="BR326" s="1321"/>
      <c r="BS326" s="1322"/>
      <c r="BT326" s="1323"/>
      <c r="BU326" s="1329"/>
      <c r="BV326" s="1321"/>
      <c r="BW326" s="1322"/>
      <c r="BX326" s="1322"/>
      <c r="BY326" s="1322"/>
      <c r="BZ326" s="1322"/>
      <c r="CA326" s="1322"/>
      <c r="CB326" s="1322"/>
      <c r="CC326" s="1320"/>
      <c r="CD326" s="1322"/>
      <c r="CE326" s="321"/>
      <c r="CF326" s="322"/>
      <c r="CG326" s="1321"/>
      <c r="CH326" s="1339"/>
      <c r="CI326" s="1322"/>
      <c r="CJ326" s="1329"/>
      <c r="CK326" s="1329"/>
      <c r="CL326" s="335"/>
      <c r="CN326" s="1263"/>
      <c r="CO326" s="1258"/>
    </row>
    <row r="327" s="245" customFormat="1" ht="202" customHeight="1" spans="1:93">
      <c r="A327" s="1122">
        <v>324</v>
      </c>
      <c r="B327" s="70" t="s">
        <v>854</v>
      </c>
      <c r="C327" s="1123" t="s">
        <v>188</v>
      </c>
      <c r="D327" s="1088" t="s">
        <v>352</v>
      </c>
      <c r="E327" s="1088" t="s">
        <v>808</v>
      </c>
      <c r="F327" s="1124" t="s">
        <v>97</v>
      </c>
      <c r="G327" s="681">
        <v>1429055824</v>
      </c>
      <c r="H327" s="1125"/>
      <c r="I327" s="1125"/>
      <c r="J327" s="1289"/>
      <c r="K327" s="1289"/>
      <c r="L327" s="1290"/>
      <c r="M327" s="1290">
        <v>188423.17</v>
      </c>
      <c r="N327" s="295">
        <f t="shared" ref="N327" si="625">M327*0.35/3</f>
        <v>21982.7031666667</v>
      </c>
      <c r="O327" s="295">
        <v>5000</v>
      </c>
      <c r="P327" s="295"/>
      <c r="Q327" s="295"/>
      <c r="R327" s="295">
        <v>2500</v>
      </c>
      <c r="S327" s="295"/>
      <c r="T327" s="295"/>
      <c r="U327" s="295"/>
      <c r="V327" s="295"/>
      <c r="W327" s="295"/>
      <c r="X327" s="295"/>
      <c r="Y327" s="295"/>
      <c r="Z327" s="295">
        <v>2500</v>
      </c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1140"/>
      <c r="AM327" s="295">
        <f t="shared" ref="AM327" si="626">M327*0.02</f>
        <v>3768.4634</v>
      </c>
      <c r="AN327" s="295">
        <v>500</v>
      </c>
      <c r="AO327" s="1302"/>
      <c r="AP327" s="1302"/>
      <c r="AQ327" s="1303"/>
      <c r="AR327" s="1303"/>
      <c r="AS327" s="1408"/>
      <c r="AT327" s="1303"/>
      <c r="AU327" s="1303"/>
      <c r="AV327" s="1151"/>
      <c r="AW327" s="1151"/>
      <c r="AX327" s="1303"/>
      <c r="AY327" s="1161"/>
      <c r="AZ327" s="1151"/>
      <c r="BA327" s="295"/>
      <c r="BB327" s="295"/>
      <c r="BC327" s="295"/>
      <c r="BD327" s="295"/>
      <c r="BE327" s="724">
        <v>1000</v>
      </c>
      <c r="BF327" s="724"/>
      <c r="BG327" s="724"/>
      <c r="BH327" s="724">
        <v>4408.02813</v>
      </c>
      <c r="BI327" s="1166"/>
      <c r="BJ327" s="1166"/>
      <c r="BK327" s="724">
        <v>24194.1029586667</v>
      </c>
      <c r="BL327" s="724">
        <f t="shared" ref="BL327" si="627">M327+N327+O327+P327+R327+S327+T327+U327+V327+W327+Y327+Z327+AA327</f>
        <v>220405.873166667</v>
      </c>
      <c r="BM327" s="724">
        <f t="shared" ref="BM327" si="628">AI327+AJ327+AK327+AL327+AM327+AN327+AP327++AQ327+AR327+AS327+AT327+AU327+AV327+AW327+AX327+AY327+AZ327+BA327+BB327+BC327+BD327+BE327+BG327+BH327+BK327</f>
        <v>33870.5944886667</v>
      </c>
      <c r="BN327" s="724"/>
      <c r="BO327" s="724"/>
      <c r="BP327" s="724">
        <f t="shared" ref="BP327" si="629">BL327-BM327</f>
        <v>186535.278678</v>
      </c>
      <c r="BQ327" s="1320"/>
      <c r="BR327" s="1321"/>
      <c r="BS327" s="1322"/>
      <c r="BT327" s="1323"/>
      <c r="BU327" s="1329"/>
      <c r="BV327" s="1321"/>
      <c r="BW327" s="1322"/>
      <c r="BX327" s="1322"/>
      <c r="BY327" s="1322"/>
      <c r="BZ327" s="1322"/>
      <c r="CA327" s="1322"/>
      <c r="CB327" s="1322"/>
      <c r="CC327" s="1320"/>
      <c r="CD327" s="1322"/>
      <c r="CE327" s="321"/>
      <c r="CF327" s="322"/>
      <c r="CG327" s="1321"/>
      <c r="CH327" s="1339"/>
      <c r="CI327" s="1322"/>
      <c r="CJ327" s="1329"/>
      <c r="CK327" s="1329"/>
      <c r="CL327" s="335"/>
      <c r="CN327" s="1263"/>
      <c r="CO327" s="1258"/>
    </row>
    <row r="328" s="245" customFormat="1" ht="202" customHeight="1" spans="1:93">
      <c r="A328" s="1122">
        <v>325</v>
      </c>
      <c r="B328" s="70" t="s">
        <v>855</v>
      </c>
      <c r="C328" s="1123" t="s">
        <v>657</v>
      </c>
      <c r="D328" s="1088" t="s">
        <v>352</v>
      </c>
      <c r="E328" s="1088" t="s">
        <v>808</v>
      </c>
      <c r="F328" s="1124" t="s">
        <v>97</v>
      </c>
      <c r="G328" s="681">
        <v>1918502707</v>
      </c>
      <c r="H328" s="1125"/>
      <c r="I328" s="1125"/>
      <c r="J328" s="1289"/>
      <c r="K328" s="1289"/>
      <c r="L328" s="1290"/>
      <c r="M328" s="1290">
        <v>188419.17</v>
      </c>
      <c r="N328" s="295">
        <f t="shared" si="595"/>
        <v>21982.2365</v>
      </c>
      <c r="O328" s="295">
        <v>5000</v>
      </c>
      <c r="P328" s="295"/>
      <c r="Q328" s="295"/>
      <c r="R328" s="295">
        <v>2500</v>
      </c>
      <c r="S328" s="295">
        <v>185530.892011333</v>
      </c>
      <c r="T328" s="295"/>
      <c r="U328" s="295"/>
      <c r="V328" s="295"/>
      <c r="W328" s="295"/>
      <c r="X328" s="295"/>
      <c r="Y328" s="295"/>
      <c r="Z328" s="295">
        <v>2500</v>
      </c>
      <c r="AA328" s="295"/>
      <c r="AB328" s="295"/>
      <c r="AC328" s="295"/>
      <c r="AD328" s="295"/>
      <c r="AE328" s="295"/>
      <c r="AF328" s="295"/>
      <c r="AG328" s="295"/>
      <c r="AH328" s="295"/>
      <c r="AI328" s="295"/>
      <c r="AJ328" s="295"/>
      <c r="AK328" s="295"/>
      <c r="AL328" s="1140"/>
      <c r="AM328" s="295">
        <f t="shared" ref="AM328" si="630">M328*0.02</f>
        <v>3768.3834</v>
      </c>
      <c r="AN328" s="295">
        <v>500</v>
      </c>
      <c r="AO328" s="1302"/>
      <c r="AP328" s="1302"/>
      <c r="AQ328" s="1151">
        <v>1000</v>
      </c>
      <c r="AR328" s="1303"/>
      <c r="AS328" s="1408"/>
      <c r="AT328" s="1303"/>
      <c r="AU328" s="1303"/>
      <c r="AV328" s="1151"/>
      <c r="AW328" s="1151"/>
      <c r="AX328" s="1303"/>
      <c r="AY328" s="1161"/>
      <c r="AZ328" s="1151"/>
      <c r="BA328" s="295">
        <v>0</v>
      </c>
      <c r="BB328" s="295"/>
      <c r="BC328" s="295"/>
      <c r="BD328" s="295"/>
      <c r="BE328" s="724">
        <v>1000</v>
      </c>
      <c r="BF328" s="724"/>
      <c r="BG328" s="724"/>
      <c r="BH328" s="724">
        <v>4408.02813</v>
      </c>
      <c r="BI328" s="1166"/>
      <c r="BJ328" s="1166"/>
      <c r="BK328" s="724">
        <v>24194.1029586667</v>
      </c>
      <c r="BL328" s="724">
        <f t="shared" ref="BL328" si="631">M328+N328+O328+P328+R328+S328+T328+U328+V328+W328+Y328+Z328+AA328</f>
        <v>405932.298511333</v>
      </c>
      <c r="BM328" s="724">
        <f t="shared" ref="BM328" si="632">AI328+AJ328+AK328+AL328+AM328+AN328+AP328++AQ328+AR328+AS328+AT328+AU328+AV328+AW328+AX328+AY328+AZ328+BA328+BB328+BC328+BD328+BE328+BG328+BH328+BK328</f>
        <v>34870.5144886667</v>
      </c>
      <c r="BN328" s="724"/>
      <c r="BO328" s="724"/>
      <c r="BP328" s="724">
        <f t="shared" ref="BP328" si="633">BL328-BM328</f>
        <v>371061.784022667</v>
      </c>
      <c r="BQ328" s="1320"/>
      <c r="BR328" s="1321"/>
      <c r="BS328" s="1322"/>
      <c r="BT328" s="1323"/>
      <c r="BU328" s="1329"/>
      <c r="BV328" s="1321"/>
      <c r="BW328" s="1322"/>
      <c r="BX328" s="1322"/>
      <c r="BY328" s="1322"/>
      <c r="BZ328" s="1322"/>
      <c r="CA328" s="1322"/>
      <c r="CB328" s="1322"/>
      <c r="CC328" s="1320"/>
      <c r="CD328" s="1322"/>
      <c r="CE328" s="321"/>
      <c r="CF328" s="322"/>
      <c r="CG328" s="1321"/>
      <c r="CH328" s="1339"/>
      <c r="CI328" s="1322"/>
      <c r="CJ328" s="1329"/>
      <c r="CK328" s="1329"/>
      <c r="CL328" s="335"/>
      <c r="CN328" s="1391" t="s">
        <v>844</v>
      </c>
      <c r="CO328" s="1258"/>
    </row>
    <row r="329" s="245" customFormat="1" ht="147" customHeight="1" spans="1:93">
      <c r="A329" s="1122">
        <v>326</v>
      </c>
      <c r="B329" s="70" t="s">
        <v>856</v>
      </c>
      <c r="C329" s="1123" t="s">
        <v>657</v>
      </c>
      <c r="D329" s="1088" t="s">
        <v>352</v>
      </c>
      <c r="E329" s="1088" t="s">
        <v>808</v>
      </c>
      <c r="F329" s="1124" t="s">
        <v>135</v>
      </c>
      <c r="G329" s="1443" t="s">
        <v>857</v>
      </c>
      <c r="H329" s="1125"/>
      <c r="I329" s="1125"/>
      <c r="J329" s="1289"/>
      <c r="K329" s="1289"/>
      <c r="L329" s="1290"/>
      <c r="M329" s="1290">
        <v>188419.17</v>
      </c>
      <c r="N329" s="295">
        <f t="shared" si="578"/>
        <v>21982.2365</v>
      </c>
      <c r="O329" s="295">
        <v>5000</v>
      </c>
      <c r="P329" s="295"/>
      <c r="Q329" s="295"/>
      <c r="R329" s="295">
        <v>2500</v>
      </c>
      <c r="S329" s="295"/>
      <c r="T329" s="295"/>
      <c r="U329" s="295"/>
      <c r="V329" s="295"/>
      <c r="W329" s="295"/>
      <c r="X329" s="295"/>
      <c r="Y329" s="295"/>
      <c r="Z329" s="295">
        <v>2500</v>
      </c>
      <c r="AA329" s="295"/>
      <c r="AB329" s="295"/>
      <c r="AC329" s="295"/>
      <c r="AD329" s="295"/>
      <c r="AE329" s="295"/>
      <c r="AF329" s="295"/>
      <c r="AG329" s="295"/>
      <c r="AH329" s="295"/>
      <c r="AI329" s="295"/>
      <c r="AJ329" s="295"/>
      <c r="AK329" s="295"/>
      <c r="AL329" s="1140"/>
      <c r="AM329" s="295">
        <f t="shared" si="596"/>
        <v>3768.3834</v>
      </c>
      <c r="AN329" s="295">
        <v>500</v>
      </c>
      <c r="AO329" s="1302"/>
      <c r="AP329" s="1302"/>
      <c r="AQ329" s="1151">
        <v>1000</v>
      </c>
      <c r="AR329" s="1303"/>
      <c r="AS329" s="1304"/>
      <c r="AT329" s="1303"/>
      <c r="AU329" s="1303"/>
      <c r="AV329" s="1151"/>
      <c r="AW329" s="1151"/>
      <c r="AX329" s="1303"/>
      <c r="AY329" s="1161"/>
      <c r="AZ329" s="1151"/>
      <c r="BA329" s="295">
        <v>0</v>
      </c>
      <c r="BB329" s="295"/>
      <c r="BC329" s="295"/>
      <c r="BD329" s="295"/>
      <c r="BE329" s="724">
        <v>1000</v>
      </c>
      <c r="BF329" s="724"/>
      <c r="BG329" s="724"/>
      <c r="BH329" s="724">
        <f t="shared" si="580"/>
        <v>4408.02813</v>
      </c>
      <c r="BI329" s="1166"/>
      <c r="BJ329" s="1166"/>
      <c r="BK329" s="724">
        <v>24194.1029586667</v>
      </c>
      <c r="BL329" s="724">
        <f t="shared" si="597"/>
        <v>220401.4065</v>
      </c>
      <c r="BM329" s="724">
        <f t="shared" si="598"/>
        <v>34870.5144886667</v>
      </c>
      <c r="BN329" s="724"/>
      <c r="BO329" s="724"/>
      <c r="BP329" s="724">
        <f t="shared" si="599"/>
        <v>185530.892011333</v>
      </c>
      <c r="BQ329" s="1320"/>
      <c r="BR329" s="1321"/>
      <c r="BS329" s="1322"/>
      <c r="BT329" s="1323"/>
      <c r="BU329" s="1329"/>
      <c r="BV329" s="1321"/>
      <c r="BW329" s="1322"/>
      <c r="BX329" s="1322"/>
      <c r="BY329" s="1322"/>
      <c r="BZ329" s="1322"/>
      <c r="CA329" s="1322"/>
      <c r="CB329" s="1322"/>
      <c r="CC329" s="1320"/>
      <c r="CD329" s="1322"/>
      <c r="CE329" s="321"/>
      <c r="CF329" s="322"/>
      <c r="CG329" s="1321"/>
      <c r="CH329" s="1339"/>
      <c r="CI329" s="1322"/>
      <c r="CJ329" s="1329"/>
      <c r="CK329" s="1329"/>
      <c r="CL329" s="335"/>
      <c r="CN329" s="1190"/>
      <c r="CO329" s="1258"/>
    </row>
    <row r="330" ht="214" customHeight="1" spans="1:93">
      <c r="A330" s="1110"/>
      <c r="B330" s="1420"/>
      <c r="C330" s="1421"/>
      <c r="D330" s="1422"/>
      <c r="E330" s="1423"/>
      <c r="F330" s="1424"/>
      <c r="G330" s="1425"/>
      <c r="H330" s="363" t="e">
        <f>#REF!*12</f>
        <v>#REF!</v>
      </c>
      <c r="I330" s="363"/>
      <c r="J330" s="363"/>
      <c r="K330" s="363"/>
      <c r="L330" s="363"/>
      <c r="M330" s="343">
        <f>SUM(M4:M329)</f>
        <v>95193273.8163331</v>
      </c>
      <c r="N330" s="343">
        <f>SUM(N4:N329)</f>
        <v>10502220.2002472</v>
      </c>
      <c r="O330" s="343">
        <f>SUM(O4:O329)</f>
        <v>1525833.35</v>
      </c>
      <c r="P330" s="343">
        <f>SUM(P4:P329)</f>
        <v>1375054.23</v>
      </c>
      <c r="Q330" s="343"/>
      <c r="R330" s="343">
        <f>SUM(R4:R329)</f>
        <v>801250</v>
      </c>
      <c r="S330" s="343">
        <f>SUM(S4:S329)</f>
        <v>765497.704022667</v>
      </c>
      <c r="T330" s="343"/>
      <c r="U330" s="343">
        <f>SUM(U4:U329)</f>
        <v>500000</v>
      </c>
      <c r="V330" s="343"/>
      <c r="W330" s="343">
        <f>SUM(W4:W329)</f>
        <v>83302.68</v>
      </c>
      <c r="X330" s="343"/>
      <c r="Y330" s="343">
        <f t="shared" ref="Y330:AD330" si="634">SUM(Y4:Y329)</f>
        <v>82500</v>
      </c>
      <c r="Z330" s="343">
        <f t="shared" si="634"/>
        <v>801250</v>
      </c>
      <c r="AA330" s="343">
        <f t="shared" si="634"/>
        <v>185000</v>
      </c>
      <c r="AB330" s="343">
        <f t="shared" si="634"/>
        <v>60000</v>
      </c>
      <c r="AC330" s="343">
        <f t="shared" si="634"/>
        <v>0</v>
      </c>
      <c r="AD330" s="343">
        <f t="shared" si="634"/>
        <v>125001</v>
      </c>
      <c r="AE330" s="343"/>
      <c r="AF330" s="343"/>
      <c r="AG330" s="343"/>
      <c r="AH330" s="343"/>
      <c r="AI330" s="343">
        <f>SUM(AI4:AI329)</f>
        <v>541000.32</v>
      </c>
      <c r="AJ330" s="343">
        <f>SUM(AJ4:AJ329)</f>
        <v>0</v>
      </c>
      <c r="AK330" s="343"/>
      <c r="AL330" s="1430">
        <f t="shared" ref="AL330:BH330" si="635">SUM(AL4:AL329)</f>
        <v>186668</v>
      </c>
      <c r="AM330" s="297">
        <f t="shared" si="635"/>
        <v>1903865.47632666</v>
      </c>
      <c r="AN330" s="297">
        <f t="shared" si="635"/>
        <v>160500</v>
      </c>
      <c r="AO330" s="297">
        <f t="shared" si="635"/>
        <v>20000</v>
      </c>
      <c r="AP330" s="297">
        <f t="shared" si="635"/>
        <v>3463234.75</v>
      </c>
      <c r="AQ330" s="343">
        <f t="shared" si="635"/>
        <v>92000</v>
      </c>
      <c r="AR330" s="379">
        <f t="shared" si="635"/>
        <v>1000</v>
      </c>
      <c r="AS330" s="1432">
        <f t="shared" si="635"/>
        <v>65000</v>
      </c>
      <c r="AT330" s="379">
        <f t="shared" si="635"/>
        <v>42000</v>
      </c>
      <c r="AU330" s="379">
        <f t="shared" si="635"/>
        <v>10000</v>
      </c>
      <c r="AV330" s="1433">
        <f t="shared" si="635"/>
        <v>210000</v>
      </c>
      <c r="AW330" s="379">
        <f t="shared" si="635"/>
        <v>56000</v>
      </c>
      <c r="AX330" s="379">
        <f t="shared" si="635"/>
        <v>45000</v>
      </c>
      <c r="AY330" s="379">
        <f t="shared" si="635"/>
        <v>94000</v>
      </c>
      <c r="AZ330" s="379">
        <f t="shared" si="635"/>
        <v>14000</v>
      </c>
      <c r="BA330" s="379">
        <f t="shared" si="635"/>
        <v>9644233.78974748</v>
      </c>
      <c r="BB330" s="379">
        <f t="shared" si="635"/>
        <v>0</v>
      </c>
      <c r="BC330" s="379">
        <f t="shared" si="635"/>
        <v>460264.5396</v>
      </c>
      <c r="BD330" s="343">
        <f t="shared" si="635"/>
        <v>699166.63</v>
      </c>
      <c r="BE330" s="391">
        <f t="shared" si="635"/>
        <v>455250</v>
      </c>
      <c r="BF330" s="391">
        <f t="shared" si="635"/>
        <v>15500</v>
      </c>
      <c r="BG330" s="391">
        <f t="shared" si="635"/>
        <v>5000</v>
      </c>
      <c r="BH330" s="391">
        <f t="shared" si="635"/>
        <v>2227837.06669412</v>
      </c>
      <c r="BI330" s="392"/>
      <c r="BJ330" s="392"/>
      <c r="BK330" s="391">
        <f>SUM(BK4:BK329)</f>
        <v>14883997.8279468</v>
      </c>
      <c r="BL330" s="1435">
        <f>SUM(BL4:BL329)</f>
        <v>112068180.990603</v>
      </c>
      <c r="BM330" s="1436">
        <f>SUM(BM4:BM329)</f>
        <v>35268018.3949084</v>
      </c>
      <c r="BN330" s="1436"/>
      <c r="BO330" s="1436"/>
      <c r="BP330" s="1436">
        <f>SUM(BP4:BP329)</f>
        <v>76800162.5956945</v>
      </c>
      <c r="BQ330" s="1174">
        <f t="shared" si="548"/>
        <v>1344818171.88724</v>
      </c>
      <c r="BR330" s="306">
        <f t="shared" ref="BR330" si="636">200000+(0.2*BQ330)</f>
        <v>269163634.377448</v>
      </c>
      <c r="BS330" s="307">
        <f t="shared" ref="BS330" si="637">BI330*12</f>
        <v>0</v>
      </c>
      <c r="BT330" s="308">
        <f t="shared" ref="BT330" si="638">SUM(BR330:BS330)</f>
        <v>269163634.377448</v>
      </c>
      <c r="BU330" s="313">
        <f t="shared" ref="BU330" si="639">+BQ330-BT330</f>
        <v>1075654537.50979</v>
      </c>
      <c r="BV330" s="306"/>
      <c r="BW330" s="307">
        <f t="shared" ref="BW330" si="640">IF((BU330&gt;0),(IF((BU330&gt;300000),(300000*7%),(BU330*7%))),(BQ330*1%))</f>
        <v>21000</v>
      </c>
      <c r="BX330" s="307">
        <f t="shared" ref="BX330" si="641">IF((BU330-300000)&gt;0,(IF((BU330&gt;600000),(300000*11%),((BU330-300000)*11%))),(""))</f>
        <v>33000</v>
      </c>
      <c r="BY330" s="307">
        <f t="shared" ref="BY330" si="642">IF(((BU330-600000)&gt;0),(IF((BU330&gt;1100000),(500000*15%),((BU330-600000)*15%))),(""))</f>
        <v>75000</v>
      </c>
      <c r="BZ330" s="307">
        <f t="shared" ref="BZ330" si="643">IF(((BU330-(1100000))&gt;0),(IF((BU330&gt;(1600000)),((500000)*19%),((BU330-(1100000))*19%))),(""))</f>
        <v>95000</v>
      </c>
      <c r="CA330" s="307">
        <f t="shared" ref="CA330" si="644">IF(((BU330-(1600000))&gt;0),(IF((BU330&gt;(3200000)),((1600000)*21%),((BU330-(1600000))*21%))),(""))</f>
        <v>336000</v>
      </c>
      <c r="CB330" s="307">
        <f t="shared" ref="CB330" si="645">IF(((BU330-(3200000))&gt;0),(IF((BU330&gt;(3200000)),((BU330-(3200000))*24%),(0))),(""))</f>
        <v>257389089.00235</v>
      </c>
      <c r="CC330" s="305">
        <f t="shared" ref="CC330" si="646">SUM(BW330:CB330)</f>
        <v>257949089.00235</v>
      </c>
      <c r="CD330" s="320">
        <f t="shared" ref="CD330" si="647">1%*BQ330</f>
        <v>13448181.7188724</v>
      </c>
      <c r="CE330" s="321">
        <f t="shared" ref="CE330" si="648">MAX(CC330:CD330)</f>
        <v>257949089.00235</v>
      </c>
      <c r="CF330" s="322">
        <f t="shared" ref="CF330" si="649">+CE330/12</f>
        <v>21495757.4168625</v>
      </c>
      <c r="CG330" s="323"/>
      <c r="CH330" s="324"/>
      <c r="CI330" s="325"/>
      <c r="CJ330" s="326"/>
      <c r="CK330" s="326"/>
      <c r="CL330" s="245"/>
      <c r="CM330" s="335"/>
      <c r="CN330" s="1267"/>
      <c r="CO330" s="1258">
        <f>BL330-BM330</f>
        <v>76800162.5956948</v>
      </c>
    </row>
    <row r="331" ht="171.05" spans="1:92">
      <c r="A331" s="668"/>
      <c r="B331" s="1426"/>
      <c r="D331" s="668"/>
      <c r="E331" s="668"/>
      <c r="F331" s="1427"/>
      <c r="G331" s="1428"/>
      <c r="H331" s="668"/>
      <c r="I331" s="668"/>
      <c r="J331" s="668"/>
      <c r="K331" s="668"/>
      <c r="L331" s="668"/>
      <c r="M331" s="1429" t="s">
        <v>14</v>
      </c>
      <c r="N331" s="1429" t="s">
        <v>15</v>
      </c>
      <c r="O331" s="1429" t="s">
        <v>16</v>
      </c>
      <c r="P331" s="1429" t="s">
        <v>17</v>
      </c>
      <c r="Q331" s="1429" t="s">
        <v>18</v>
      </c>
      <c r="R331" s="1429" t="s">
        <v>19</v>
      </c>
      <c r="S331" s="1429" t="s">
        <v>20</v>
      </c>
      <c r="T331" s="1429" t="s">
        <v>21</v>
      </c>
      <c r="U331" s="1429" t="s">
        <v>22</v>
      </c>
      <c r="V331" s="1429" t="s">
        <v>23</v>
      </c>
      <c r="W331" s="1429" t="s">
        <v>24</v>
      </c>
      <c r="X331" s="1429"/>
      <c r="Y331" s="1429" t="s">
        <v>25</v>
      </c>
      <c r="Z331" s="1429" t="s">
        <v>26</v>
      </c>
      <c r="AA331" s="1429" t="s">
        <v>27</v>
      </c>
      <c r="AB331" s="1429" t="s">
        <v>28</v>
      </c>
      <c r="AC331" s="1429" t="s">
        <v>29</v>
      </c>
      <c r="AD331" s="1429" t="s">
        <v>30</v>
      </c>
      <c r="AE331" s="1429" t="s">
        <v>31</v>
      </c>
      <c r="AF331" s="1429" t="s">
        <v>32</v>
      </c>
      <c r="AG331" s="1429" t="s">
        <v>33</v>
      </c>
      <c r="AH331" s="1429"/>
      <c r="AI331" s="1429" t="s">
        <v>34</v>
      </c>
      <c r="AJ331" s="1429" t="s">
        <v>35</v>
      </c>
      <c r="AK331" s="1429" t="s">
        <v>858</v>
      </c>
      <c r="AL331" s="1431" t="s">
        <v>37</v>
      </c>
      <c r="AM331" s="1429" t="s">
        <v>38</v>
      </c>
      <c r="AN331" s="1429" t="s">
        <v>39</v>
      </c>
      <c r="AO331" s="1429" t="s">
        <v>40</v>
      </c>
      <c r="AP331" s="1429" t="s">
        <v>41</v>
      </c>
      <c r="AQ331" s="1429" t="s">
        <v>42</v>
      </c>
      <c r="AR331" s="1429" t="s">
        <v>43</v>
      </c>
      <c r="AS331" s="1434" t="s">
        <v>44</v>
      </c>
      <c r="AT331" s="1429" t="s">
        <v>45</v>
      </c>
      <c r="AU331" s="1429" t="s">
        <v>46</v>
      </c>
      <c r="AV331" s="1429" t="s">
        <v>47</v>
      </c>
      <c r="AW331" s="1429" t="s">
        <v>48</v>
      </c>
      <c r="AX331" s="1429" t="s">
        <v>49</v>
      </c>
      <c r="AY331" s="1429" t="s">
        <v>50</v>
      </c>
      <c r="AZ331" s="1429" t="s">
        <v>51</v>
      </c>
      <c r="BA331" s="1429" t="s">
        <v>52</v>
      </c>
      <c r="BB331" s="1429" t="s">
        <v>53</v>
      </c>
      <c r="BC331" s="1429" t="s">
        <v>54</v>
      </c>
      <c r="BD331" s="1429" t="s">
        <v>55</v>
      </c>
      <c r="BE331" s="1429" t="s">
        <v>56</v>
      </c>
      <c r="BF331" s="1429" t="s">
        <v>57</v>
      </c>
      <c r="BG331" s="1429" t="s">
        <v>58</v>
      </c>
      <c r="BH331" s="1429" t="s">
        <v>59</v>
      </c>
      <c r="BI331" s="1429" t="s">
        <v>60</v>
      </c>
      <c r="BJ331" s="1429" t="s">
        <v>61</v>
      </c>
      <c r="BK331" s="1429" t="s">
        <v>62</v>
      </c>
      <c r="BL331" s="1429" t="s">
        <v>63</v>
      </c>
      <c r="BM331" s="1429" t="s">
        <v>64</v>
      </c>
      <c r="BN331" s="1429" t="s">
        <v>65</v>
      </c>
      <c r="BO331" s="1429" t="s">
        <v>66</v>
      </c>
      <c r="BP331" s="1437"/>
      <c r="BQ331" s="668"/>
      <c r="BR331" s="668"/>
      <c r="BS331" s="668"/>
      <c r="BT331" s="668"/>
      <c r="BU331" s="668"/>
      <c r="BV331" s="668"/>
      <c r="BW331" s="668"/>
      <c r="BX331" s="668"/>
      <c r="BY331" s="668"/>
      <c r="BZ331" s="668"/>
      <c r="CA331" s="668"/>
      <c r="CB331" s="668"/>
      <c r="CC331" s="668"/>
      <c r="CD331" s="668"/>
      <c r="CE331" s="668"/>
      <c r="CF331" s="668"/>
      <c r="CG331" s="668"/>
      <c r="CH331" s="668"/>
      <c r="CI331" s="668"/>
      <c r="CJ331" s="668"/>
      <c r="CK331" s="668"/>
      <c r="CL331" s="668"/>
      <c r="CM331" s="1438"/>
      <c r="CN331" s="1439"/>
    </row>
    <row r="332" spans="3:43">
      <c r="C332" s="665"/>
      <c r="AQ332" s="666"/>
    </row>
  </sheetData>
  <mergeCells count="1">
    <mergeCell ref="CE2:CF2"/>
  </mergeCells>
  <conditionalFormatting sqref="BR4:BS140 BV4:CD140 CH4:CK140 BR142:BS330 BV142:CD330 CH142:CK330">
    <cfRule type="cellIs" dxfId="0" priority="51" stopIfTrue="1" operator="lessThan">
      <formula>0</formula>
    </cfRule>
    <cfRule type="cellIs" dxfId="1" priority="52" stopIfTrue="1" operator="lessThan">
      <formula>0</formula>
    </cfRule>
  </conditionalFormatting>
  <hyperlinks>
    <hyperlink ref="CA3" r:id="rId2" display="next 1.6m @ 21%"/>
    <hyperlink ref="BZ3" r:id="rId3" display="next 500k @ 19%"/>
    <hyperlink ref="BY3" r:id="rId4" display="next 500k @ 15%"/>
    <hyperlink ref="BX3" r:id="rId5" display="next 300k @ 11%"/>
    <hyperlink ref="BW3" r:id="rId6" display="1st 300K @ 7%"/>
  </hyperlinks>
  <pageMargins left="1.27366141732283" right="0.708661417322835" top="0.748031496062992" bottom="0.748031496062992" header="0.31496062992126" footer="0.31496062992126"/>
  <pageSetup paperSize="9" scale="24" fitToWidth="5" fitToHeight="150" orientation="landscape"/>
  <headerFooter/>
  <rowBreaks count="4" manualBreakCount="4">
    <brk id="10" max="16383" man="1"/>
    <brk id="20" max="16383" man="1"/>
    <brk id="101" max="16383" man="1"/>
    <brk id="313" max="16383" man="1"/>
  </rowBreaks>
  <colBreaks count="1" manualBreakCount="1">
    <brk id="92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0"/>
  <sheetViews>
    <sheetView view="pageBreakPreview" zoomScale="60" zoomScaleNormal="94" topLeftCell="A317" workbookViewId="0">
      <selection activeCell="B329" sqref="B329"/>
    </sheetView>
  </sheetViews>
  <sheetFormatPr defaultColWidth="11" defaultRowHeight="31.5" outlineLevelCol="4"/>
  <cols>
    <col min="2" max="2" width="63.8285714285714" style="75" customWidth="1"/>
    <col min="3" max="3" width="31.8285714285714" style="439" customWidth="1"/>
    <col min="4" max="4" width="28.8285714285714" style="439" customWidth="1"/>
    <col min="5" max="5" width="32.5047619047619" style="1071" customWidth="1"/>
  </cols>
  <sheetData>
    <row r="1" ht="74" customHeight="1" spans="1:5">
      <c r="A1" s="44" t="s">
        <v>859</v>
      </c>
      <c r="B1" s="44"/>
      <c r="C1" s="44"/>
      <c r="D1" s="44"/>
      <c r="E1" s="44"/>
    </row>
    <row r="2" ht="71" customHeight="1" spans="1:5">
      <c r="A2" s="1072" t="s">
        <v>2</v>
      </c>
      <c r="B2" s="31" t="s">
        <v>3</v>
      </c>
      <c r="C2" s="20" t="s">
        <v>860</v>
      </c>
      <c r="D2" s="493" t="s">
        <v>861</v>
      </c>
      <c r="E2" s="1073" t="s">
        <v>862</v>
      </c>
    </row>
    <row r="3" ht="37" customHeight="1" spans="1:5">
      <c r="A3" s="1074">
        <v>1</v>
      </c>
      <c r="B3" s="1075" t="s">
        <v>89</v>
      </c>
      <c r="C3" s="1076" t="s">
        <v>93</v>
      </c>
      <c r="D3" s="1076">
        <v>2017212564</v>
      </c>
      <c r="E3" s="1077">
        <v>329935.29</v>
      </c>
    </row>
    <row r="4" ht="37" customHeight="1" spans="1:5">
      <c r="A4" s="1074">
        <v>2</v>
      </c>
      <c r="B4" s="1075" t="s">
        <v>94</v>
      </c>
      <c r="C4" s="1076" t="s">
        <v>97</v>
      </c>
      <c r="D4" s="1076" t="s">
        <v>98</v>
      </c>
      <c r="E4" s="1077">
        <v>610935.88</v>
      </c>
    </row>
    <row r="5" ht="37" customHeight="1" spans="1:5">
      <c r="A5" s="1074">
        <v>3</v>
      </c>
      <c r="B5" s="1075" t="s">
        <v>99</v>
      </c>
      <c r="C5" s="1076" t="s">
        <v>101</v>
      </c>
      <c r="D5" s="1076" t="s">
        <v>102</v>
      </c>
      <c r="E5" s="1077">
        <v>623018.9554</v>
      </c>
    </row>
    <row r="6" ht="37" customHeight="1" spans="1:5">
      <c r="A6" s="1074">
        <v>4</v>
      </c>
      <c r="B6" s="1075" t="s">
        <v>103</v>
      </c>
      <c r="C6" s="1076" t="s">
        <v>97</v>
      </c>
      <c r="D6" s="1076" t="s">
        <v>107</v>
      </c>
      <c r="E6" s="1077">
        <v>267286.117013333</v>
      </c>
    </row>
    <row r="7" ht="37" customHeight="1" spans="1:5">
      <c r="A7" s="1074">
        <v>5</v>
      </c>
      <c r="B7" s="1075" t="s">
        <v>109</v>
      </c>
      <c r="C7" s="1076" t="s">
        <v>113</v>
      </c>
      <c r="D7" s="1076">
        <v>2088596893</v>
      </c>
      <c r="E7" s="1077">
        <v>267286.117013333</v>
      </c>
    </row>
    <row r="8" ht="37" customHeight="1" spans="1:5">
      <c r="A8" s="1074">
        <v>6</v>
      </c>
      <c r="B8" s="1075" t="s">
        <v>114</v>
      </c>
      <c r="C8" s="1076" t="s">
        <v>97</v>
      </c>
      <c r="D8" s="1076" t="s">
        <v>116</v>
      </c>
      <c r="E8" s="1077">
        <v>313800.614613333</v>
      </c>
    </row>
    <row r="9" ht="37" customHeight="1" spans="1:5">
      <c r="A9" s="1074">
        <v>7</v>
      </c>
      <c r="B9" s="1075" t="s">
        <v>117</v>
      </c>
      <c r="C9" s="1076" t="s">
        <v>113</v>
      </c>
      <c r="D9" s="1076">
        <v>1006415522</v>
      </c>
      <c r="E9" s="1077">
        <v>321437.378133333</v>
      </c>
    </row>
    <row r="10" ht="37" customHeight="1" spans="1:5">
      <c r="A10" s="1074">
        <v>8</v>
      </c>
      <c r="B10" s="1075" t="s">
        <v>119</v>
      </c>
      <c r="C10" s="1076" t="s">
        <v>122</v>
      </c>
      <c r="D10" s="1076" t="s">
        <v>123</v>
      </c>
      <c r="E10" s="1077">
        <v>409418.89025</v>
      </c>
    </row>
    <row r="11" ht="37" customHeight="1" spans="1:5">
      <c r="A11" s="1074">
        <v>9</v>
      </c>
      <c r="B11" s="1075" t="s">
        <v>124</v>
      </c>
      <c r="C11" s="1076" t="s">
        <v>127</v>
      </c>
      <c r="D11" s="1076" t="s">
        <v>128</v>
      </c>
      <c r="E11" s="1077">
        <v>243218.50997</v>
      </c>
    </row>
    <row r="12" ht="37" customHeight="1" spans="1:5">
      <c r="A12" s="1074">
        <v>10</v>
      </c>
      <c r="B12" s="1075" t="s">
        <v>129</v>
      </c>
      <c r="C12" s="1076" t="s">
        <v>113</v>
      </c>
      <c r="D12" s="1076">
        <v>2067246166</v>
      </c>
      <c r="E12" s="1077">
        <v>279644.141196667</v>
      </c>
    </row>
    <row r="13" ht="37" customHeight="1" spans="1:5">
      <c r="A13" s="1074">
        <v>11</v>
      </c>
      <c r="B13" s="1075" t="s">
        <v>132</v>
      </c>
      <c r="C13" s="1076" t="s">
        <v>135</v>
      </c>
      <c r="D13" s="1076" t="s">
        <v>136</v>
      </c>
      <c r="E13" s="1077">
        <v>289156.060886667</v>
      </c>
    </row>
    <row r="14" ht="37" customHeight="1" spans="1:5">
      <c r="A14" s="1074">
        <v>12</v>
      </c>
      <c r="B14" s="1075" t="s">
        <v>137</v>
      </c>
      <c r="C14" s="1076" t="s">
        <v>135</v>
      </c>
      <c r="D14" s="1076" t="s">
        <v>140</v>
      </c>
      <c r="E14" s="1077">
        <v>216398.997666667</v>
      </c>
    </row>
    <row r="15" ht="37" customHeight="1" spans="1:5">
      <c r="A15" s="1074">
        <v>13</v>
      </c>
      <c r="B15" s="1075" t="s">
        <v>141</v>
      </c>
      <c r="C15" s="1076" t="s">
        <v>145</v>
      </c>
      <c r="D15" s="1076" t="s">
        <v>146</v>
      </c>
      <c r="E15" s="1077">
        <v>459007.737286667</v>
      </c>
    </row>
    <row r="16" ht="37" customHeight="1" spans="1:5">
      <c r="A16" s="1074">
        <v>14</v>
      </c>
      <c r="B16" s="1075" t="s">
        <v>147</v>
      </c>
      <c r="C16" s="1076" t="s">
        <v>151</v>
      </c>
      <c r="D16" s="1076">
        <v>3013002388</v>
      </c>
      <c r="E16" s="1077">
        <v>397502.89979</v>
      </c>
    </row>
    <row r="17" ht="37" customHeight="1" spans="1:5">
      <c r="A17" s="1074">
        <v>15</v>
      </c>
      <c r="B17" s="1075" t="s">
        <v>152</v>
      </c>
      <c r="C17" s="1076" t="s">
        <v>93</v>
      </c>
      <c r="D17" s="1076">
        <v>3041696126</v>
      </c>
      <c r="E17" s="1077">
        <v>283489.390886667</v>
      </c>
    </row>
    <row r="18" ht="37" customHeight="1" spans="1:5">
      <c r="A18" s="1074">
        <v>16</v>
      </c>
      <c r="B18" s="1075" t="s">
        <v>154</v>
      </c>
      <c r="C18" s="1076" t="s">
        <v>157</v>
      </c>
      <c r="D18" s="1076" t="s">
        <v>158</v>
      </c>
      <c r="E18" s="1077">
        <v>301680.087363333</v>
      </c>
    </row>
    <row r="19" ht="37" customHeight="1" spans="1:5">
      <c r="A19" s="1074">
        <v>17</v>
      </c>
      <c r="B19" s="1075" t="s">
        <v>159</v>
      </c>
      <c r="C19" s="1076" t="s">
        <v>122</v>
      </c>
      <c r="D19" s="1076" t="s">
        <v>162</v>
      </c>
      <c r="E19" s="1077">
        <v>257459.546303333</v>
      </c>
    </row>
    <row r="20" ht="37" customHeight="1" spans="1:5">
      <c r="A20" s="1074">
        <v>18</v>
      </c>
      <c r="B20" s="1075" t="s">
        <v>163</v>
      </c>
      <c r="C20" s="1076" t="s">
        <v>165</v>
      </c>
      <c r="D20" s="1076">
        <v>2178561969</v>
      </c>
      <c r="E20" s="1077">
        <v>292489.390886667</v>
      </c>
    </row>
    <row r="21" ht="37" customHeight="1" spans="1:5">
      <c r="A21" s="1074">
        <v>19</v>
      </c>
      <c r="B21" s="1075" t="s">
        <v>166</v>
      </c>
      <c r="C21" s="1076" t="s">
        <v>135</v>
      </c>
      <c r="D21" s="1076" t="s">
        <v>169</v>
      </c>
      <c r="E21" s="1077">
        <v>344675.661066667</v>
      </c>
    </row>
    <row r="22" ht="37" customHeight="1" spans="1:5">
      <c r="A22" s="1074">
        <v>20</v>
      </c>
      <c r="B22" s="1075" t="s">
        <v>170</v>
      </c>
      <c r="C22" s="1076" t="s">
        <v>127</v>
      </c>
      <c r="D22" s="1076" t="s">
        <v>172</v>
      </c>
      <c r="E22" s="1077">
        <v>370334.360216667</v>
      </c>
    </row>
    <row r="23" ht="37" customHeight="1" spans="1:5">
      <c r="A23" s="1074">
        <v>21</v>
      </c>
      <c r="B23" s="1075" t="s">
        <v>173</v>
      </c>
      <c r="C23" s="1076" t="s">
        <v>122</v>
      </c>
      <c r="D23" s="1076" t="s">
        <v>175</v>
      </c>
      <c r="E23" s="1077">
        <v>216857.866900833</v>
      </c>
    </row>
    <row r="24" ht="37" customHeight="1" spans="1:5">
      <c r="A24" s="1074">
        <v>22</v>
      </c>
      <c r="B24" s="1075" t="s">
        <v>176</v>
      </c>
      <c r="C24" s="1076" t="s">
        <v>127</v>
      </c>
      <c r="D24" s="1076" t="s">
        <v>179</v>
      </c>
      <c r="E24" s="1077">
        <v>390751.96365</v>
      </c>
    </row>
    <row r="25" ht="37" customHeight="1" spans="1:5">
      <c r="A25" s="1074">
        <v>23</v>
      </c>
      <c r="B25" s="1075" t="s">
        <v>180</v>
      </c>
      <c r="C25" s="1076" t="s">
        <v>135</v>
      </c>
      <c r="D25" s="1076" t="s">
        <v>181</v>
      </c>
      <c r="E25" s="1077">
        <v>64000.05503</v>
      </c>
    </row>
    <row r="26" ht="37" customHeight="1" spans="1:5">
      <c r="A26" s="1074">
        <v>24</v>
      </c>
      <c r="B26" s="1075" t="s">
        <v>182</v>
      </c>
      <c r="C26" s="1076" t="s">
        <v>135</v>
      </c>
      <c r="D26" s="1076" t="s">
        <v>183</v>
      </c>
      <c r="E26" s="1077">
        <v>26884.0542866667</v>
      </c>
    </row>
    <row r="27" ht="37" customHeight="1" spans="1:5">
      <c r="A27" s="1074">
        <v>25</v>
      </c>
      <c r="B27" s="1075" t="s">
        <v>184</v>
      </c>
      <c r="C27" s="1076" t="s">
        <v>93</v>
      </c>
      <c r="D27" s="1076">
        <v>2035909165</v>
      </c>
      <c r="E27" s="1077">
        <v>108831.34622</v>
      </c>
    </row>
    <row r="28" ht="37" customHeight="1" spans="1:5">
      <c r="A28" s="1074">
        <v>26</v>
      </c>
      <c r="B28" s="1075" t="s">
        <v>187</v>
      </c>
      <c r="C28" s="1076" t="s">
        <v>135</v>
      </c>
      <c r="D28" s="1076" t="s">
        <v>189</v>
      </c>
      <c r="E28" s="1077">
        <v>350566.053333333</v>
      </c>
    </row>
    <row r="29" ht="37" customHeight="1" spans="1:5">
      <c r="A29" s="1074">
        <v>27</v>
      </c>
      <c r="B29" s="1075" t="s">
        <v>190</v>
      </c>
      <c r="C29" s="1076" t="s">
        <v>145</v>
      </c>
      <c r="D29" s="1076" t="s">
        <v>192</v>
      </c>
      <c r="E29" s="1077">
        <v>284649.257666667</v>
      </c>
    </row>
    <row r="30" ht="37" customHeight="1" spans="1:5">
      <c r="A30" s="1074">
        <v>28</v>
      </c>
      <c r="B30" s="1075" t="s">
        <v>193</v>
      </c>
      <c r="C30" s="1076" t="s">
        <v>165</v>
      </c>
      <c r="D30" s="1076">
        <v>2007556061</v>
      </c>
      <c r="E30" s="1077">
        <v>193142.2835</v>
      </c>
    </row>
    <row r="31" ht="37" customHeight="1" spans="1:5">
      <c r="A31" s="1074">
        <v>29</v>
      </c>
      <c r="B31" s="1075" t="s">
        <v>197</v>
      </c>
      <c r="C31" s="1076" t="s">
        <v>135</v>
      </c>
      <c r="D31" s="1076" t="s">
        <v>200</v>
      </c>
      <c r="E31" s="1077">
        <v>190409.698923333</v>
      </c>
    </row>
    <row r="32" ht="37" customHeight="1" spans="1:5">
      <c r="A32" s="1074">
        <v>30</v>
      </c>
      <c r="B32" s="1075" t="s">
        <v>201</v>
      </c>
      <c r="C32" s="1076" t="s">
        <v>113</v>
      </c>
      <c r="D32" s="1076">
        <v>2104479346</v>
      </c>
      <c r="E32" s="1077">
        <v>192409.698923333</v>
      </c>
    </row>
    <row r="33" ht="37" customHeight="1" spans="1:5">
      <c r="A33" s="1074">
        <v>31</v>
      </c>
      <c r="B33" s="1075" t="s">
        <v>202</v>
      </c>
      <c r="C33" s="1076" t="s">
        <v>165</v>
      </c>
      <c r="D33" s="1076">
        <v>1002357668</v>
      </c>
      <c r="E33" s="1077">
        <v>126445.03175</v>
      </c>
    </row>
    <row r="34" ht="37" customHeight="1" spans="1:5">
      <c r="A34" s="1074">
        <v>32</v>
      </c>
      <c r="B34" s="1075" t="s">
        <v>206</v>
      </c>
      <c r="C34" s="1076" t="s">
        <v>209</v>
      </c>
      <c r="D34" s="1076" t="s">
        <v>210</v>
      </c>
      <c r="E34" s="1077">
        <v>223058.830613333</v>
      </c>
    </row>
    <row r="35" ht="37" customHeight="1" spans="1:5">
      <c r="A35" s="1074">
        <v>33</v>
      </c>
      <c r="B35" s="1075" t="s">
        <v>211</v>
      </c>
      <c r="C35" s="1076" t="s">
        <v>135</v>
      </c>
      <c r="D35" s="1076" t="s">
        <v>214</v>
      </c>
      <c r="E35" s="1077"/>
    </row>
    <row r="36" ht="37" customHeight="1" spans="1:5">
      <c r="A36" s="1074">
        <v>34</v>
      </c>
      <c r="B36" s="1075" t="s">
        <v>215</v>
      </c>
      <c r="C36" s="1076" t="s">
        <v>113</v>
      </c>
      <c r="D36" s="1076">
        <v>1018108205</v>
      </c>
      <c r="E36" s="1077">
        <v>203142.28103</v>
      </c>
    </row>
    <row r="37" ht="37" customHeight="1" spans="1:5">
      <c r="A37" s="1074">
        <v>35</v>
      </c>
      <c r="B37" s="1075" t="s">
        <v>217</v>
      </c>
      <c r="C37" s="1076" t="s">
        <v>135</v>
      </c>
      <c r="D37" s="1076" t="s">
        <v>219</v>
      </c>
      <c r="E37" s="1077">
        <v>187167.386655333</v>
      </c>
    </row>
    <row r="38" ht="37" customHeight="1" spans="1:5">
      <c r="A38" s="1074">
        <v>36</v>
      </c>
      <c r="B38" s="1075" t="s">
        <v>220</v>
      </c>
      <c r="C38" s="1076" t="s">
        <v>113</v>
      </c>
      <c r="D38" s="1076">
        <v>2108025545</v>
      </c>
      <c r="E38" s="1077">
        <v>216642.28103</v>
      </c>
    </row>
    <row r="39" ht="37" customHeight="1" spans="1:5">
      <c r="A39" s="1074">
        <v>37</v>
      </c>
      <c r="B39" s="1075" t="s">
        <v>222</v>
      </c>
      <c r="C39" s="1076" t="s">
        <v>93</v>
      </c>
      <c r="D39" s="1076">
        <v>3051864825</v>
      </c>
      <c r="E39" s="1077">
        <v>325780.685983333</v>
      </c>
    </row>
    <row r="40" ht="37" customHeight="1" spans="1:5">
      <c r="A40" s="1074">
        <v>38</v>
      </c>
      <c r="B40" s="1075" t="s">
        <v>224</v>
      </c>
      <c r="C40" s="1076" t="s">
        <v>165</v>
      </c>
      <c r="D40" s="1076">
        <v>1005415103</v>
      </c>
      <c r="E40" s="1077">
        <v>280650.957846667</v>
      </c>
    </row>
    <row r="41" ht="37" customHeight="1" spans="1:5">
      <c r="A41" s="1074">
        <v>39</v>
      </c>
      <c r="B41" s="1075" t="s">
        <v>226</v>
      </c>
      <c r="C41" s="1076" t="s">
        <v>97</v>
      </c>
      <c r="D41" s="1076" t="s">
        <v>229</v>
      </c>
      <c r="E41" s="1077">
        <v>577324.357288</v>
      </c>
    </row>
    <row r="42" ht="37" customHeight="1" spans="1:5">
      <c r="A42" s="1074">
        <v>40</v>
      </c>
      <c r="B42" s="1075" t="s">
        <v>230</v>
      </c>
      <c r="C42" s="1076" t="s">
        <v>135</v>
      </c>
      <c r="D42" s="1076" t="s">
        <v>232</v>
      </c>
      <c r="E42" s="1077">
        <v>512424.773183333</v>
      </c>
    </row>
    <row r="43" ht="37" customHeight="1" spans="1:5">
      <c r="A43" s="1074">
        <v>41</v>
      </c>
      <c r="B43" s="1075" t="s">
        <v>233</v>
      </c>
      <c r="C43" s="1076" t="s">
        <v>113</v>
      </c>
      <c r="D43" s="1076">
        <v>1003548777</v>
      </c>
      <c r="E43" s="1077">
        <v>592424.847516667</v>
      </c>
    </row>
    <row r="44" ht="37" customHeight="1" spans="1:5">
      <c r="A44" s="1074">
        <v>42</v>
      </c>
      <c r="B44" s="1075" t="s">
        <v>234</v>
      </c>
      <c r="C44" s="1076" t="s">
        <v>113</v>
      </c>
      <c r="D44" s="1076">
        <v>1005008228</v>
      </c>
      <c r="E44" s="1077">
        <v>275162.244965333</v>
      </c>
    </row>
    <row r="45" ht="37" customHeight="1" spans="1:5">
      <c r="A45" s="1074">
        <v>43</v>
      </c>
      <c r="B45" s="1075" t="s">
        <v>237</v>
      </c>
      <c r="C45" s="1076" t="s">
        <v>127</v>
      </c>
      <c r="D45" s="1076" t="s">
        <v>239</v>
      </c>
      <c r="E45" s="1077">
        <v>367504.358568</v>
      </c>
    </row>
    <row r="46" ht="37" customHeight="1" spans="1:5">
      <c r="A46" s="1074">
        <v>44</v>
      </c>
      <c r="B46" s="1075" t="s">
        <v>240</v>
      </c>
      <c r="C46" s="1076" t="s">
        <v>122</v>
      </c>
      <c r="D46" s="1076">
        <v>9200480279</v>
      </c>
      <c r="E46" s="1077">
        <v>229788.77</v>
      </c>
    </row>
    <row r="47" ht="37" customHeight="1" spans="1:5">
      <c r="A47" s="1074">
        <v>45</v>
      </c>
      <c r="B47" s="1075" t="s">
        <v>244</v>
      </c>
      <c r="C47" s="1076" t="s">
        <v>127</v>
      </c>
      <c r="D47" s="1076" t="s">
        <v>247</v>
      </c>
      <c r="E47" s="1077">
        <v>203788.319653333</v>
      </c>
    </row>
    <row r="48" ht="37" customHeight="1" spans="1:5">
      <c r="A48" s="1074">
        <v>46</v>
      </c>
      <c r="B48" s="1075" t="s">
        <v>248</v>
      </c>
      <c r="C48" s="1076" t="s">
        <v>127</v>
      </c>
      <c r="D48" s="1076" t="s">
        <v>252</v>
      </c>
      <c r="E48" s="1077">
        <v>714870.996546667</v>
      </c>
    </row>
    <row r="49" ht="37" customHeight="1" spans="1:5">
      <c r="A49" s="1074">
        <v>47</v>
      </c>
      <c r="B49" s="1075" t="s">
        <v>253</v>
      </c>
      <c r="C49" s="1076" t="s">
        <v>93</v>
      </c>
      <c r="D49" s="1076">
        <v>2019013002</v>
      </c>
      <c r="E49" s="1077">
        <v>227353.17</v>
      </c>
    </row>
    <row r="50" ht="37" customHeight="1" spans="1:5">
      <c r="A50" s="1074">
        <v>48</v>
      </c>
      <c r="B50" s="1075" t="s">
        <v>256</v>
      </c>
      <c r="C50" s="1076" t="s">
        <v>259</v>
      </c>
      <c r="D50" s="1076">
        <v>4021365312</v>
      </c>
      <c r="E50" s="1077">
        <v>478594.919363333</v>
      </c>
    </row>
    <row r="51" ht="37" customHeight="1" spans="1:5">
      <c r="A51" s="1074">
        <v>49</v>
      </c>
      <c r="B51" s="1075" t="s">
        <v>260</v>
      </c>
      <c r="C51" s="1076" t="s">
        <v>93</v>
      </c>
      <c r="D51" s="1076">
        <v>2003315491</v>
      </c>
      <c r="E51" s="1077">
        <v>267254.294446667</v>
      </c>
    </row>
    <row r="52" ht="37" customHeight="1" spans="1:5">
      <c r="A52" s="1074">
        <v>50</v>
      </c>
      <c r="B52" s="1075" t="s">
        <v>261</v>
      </c>
      <c r="C52" s="1076" t="s">
        <v>113</v>
      </c>
      <c r="D52" s="1076">
        <v>2031755814</v>
      </c>
      <c r="E52" s="1077">
        <v>251470.38</v>
      </c>
    </row>
    <row r="53" ht="37" customHeight="1" spans="1:5">
      <c r="A53" s="1074">
        <v>51</v>
      </c>
      <c r="B53" s="1075" t="s">
        <v>262</v>
      </c>
      <c r="C53" s="1076" t="s">
        <v>127</v>
      </c>
      <c r="D53" s="1076" t="s">
        <v>264</v>
      </c>
      <c r="E53" s="1077">
        <v>417988.27403</v>
      </c>
    </row>
    <row r="54" ht="37" customHeight="1" spans="1:5">
      <c r="A54" s="1074">
        <v>52</v>
      </c>
      <c r="B54" s="1075" t="s">
        <v>265</v>
      </c>
      <c r="C54" s="1076" t="s">
        <v>113</v>
      </c>
      <c r="D54" s="1076">
        <v>2008477330</v>
      </c>
      <c r="E54" s="1077">
        <v>384205.993543636</v>
      </c>
    </row>
    <row r="55" ht="37" customHeight="1" spans="1:5">
      <c r="A55" s="1074">
        <v>53</v>
      </c>
      <c r="B55" s="1075" t="s">
        <v>268</v>
      </c>
      <c r="C55" s="1076" t="s">
        <v>127</v>
      </c>
      <c r="D55" s="1076" t="s">
        <v>270</v>
      </c>
      <c r="E55" s="1077">
        <v>333477.741196667</v>
      </c>
    </row>
    <row r="56" ht="37" customHeight="1" spans="1:5">
      <c r="A56" s="1074">
        <v>54</v>
      </c>
      <c r="B56" s="1075" t="s">
        <v>271</v>
      </c>
      <c r="C56" s="1076" t="s">
        <v>145</v>
      </c>
      <c r="D56" s="1076" t="s">
        <v>273</v>
      </c>
      <c r="E56" s="1077">
        <v>197673.134661333</v>
      </c>
    </row>
    <row r="57" ht="37" customHeight="1" spans="1:5">
      <c r="A57" s="1074">
        <v>55</v>
      </c>
      <c r="B57" s="1075" t="s">
        <v>274</v>
      </c>
      <c r="C57" s="1076" t="s">
        <v>127</v>
      </c>
      <c r="D57" s="1076" t="s">
        <v>277</v>
      </c>
      <c r="E57" s="1077">
        <v>14575.30025</v>
      </c>
    </row>
    <row r="58" ht="37" customHeight="1" spans="1:5">
      <c r="A58" s="1074">
        <v>56</v>
      </c>
      <c r="B58" s="1075" t="s">
        <v>278</v>
      </c>
      <c r="C58" s="1076" t="s">
        <v>127</v>
      </c>
      <c r="D58" s="1076" t="s">
        <v>281</v>
      </c>
      <c r="E58" s="1077">
        <v>213331.308833333</v>
      </c>
    </row>
    <row r="59" ht="37" customHeight="1" spans="1:5">
      <c r="A59" s="1074">
        <v>57</v>
      </c>
      <c r="B59" s="1075" t="s">
        <v>282</v>
      </c>
      <c r="C59" s="1076" t="s">
        <v>259</v>
      </c>
      <c r="D59" s="1076" t="s">
        <v>284</v>
      </c>
      <c r="E59" s="1077">
        <v>131685.804596667</v>
      </c>
    </row>
    <row r="60" ht="37" customHeight="1" spans="1:5">
      <c r="A60" s="1074">
        <v>58</v>
      </c>
      <c r="B60" s="1075" t="s">
        <v>285</v>
      </c>
      <c r="C60" s="1076" t="s">
        <v>135</v>
      </c>
      <c r="D60" s="1076" t="s">
        <v>288</v>
      </c>
      <c r="E60" s="1077">
        <v>432923.441104667</v>
      </c>
    </row>
    <row r="61" ht="37" customHeight="1" spans="1:5">
      <c r="A61" s="1074">
        <v>59</v>
      </c>
      <c r="B61" s="1075" t="s">
        <v>289</v>
      </c>
      <c r="C61" s="1076" t="s">
        <v>113</v>
      </c>
      <c r="D61" s="1076">
        <v>2022811512</v>
      </c>
      <c r="E61" s="1077">
        <v>173726.804596667</v>
      </c>
    </row>
    <row r="62" ht="37" customHeight="1" spans="1:5">
      <c r="A62" s="1074">
        <v>60</v>
      </c>
      <c r="B62" s="1075" t="s">
        <v>290</v>
      </c>
      <c r="C62" s="1076" t="s">
        <v>145</v>
      </c>
      <c r="D62" s="1076" t="s">
        <v>292</v>
      </c>
      <c r="E62" s="1077">
        <v>209499.35397</v>
      </c>
    </row>
    <row r="63" ht="37" customHeight="1" spans="1:5">
      <c r="A63" s="1074">
        <v>61</v>
      </c>
      <c r="B63" s="1075" t="s">
        <v>293</v>
      </c>
      <c r="C63" s="1076" t="s">
        <v>135</v>
      </c>
      <c r="D63" s="1076" t="s">
        <v>295</v>
      </c>
      <c r="E63" s="1077">
        <v>256077.646083333</v>
      </c>
    </row>
    <row r="64" ht="37" customHeight="1" spans="1:5">
      <c r="A64" s="1074">
        <v>62</v>
      </c>
      <c r="B64" s="1075" t="s">
        <v>296</v>
      </c>
      <c r="C64" s="1076" t="s">
        <v>127</v>
      </c>
      <c r="D64" s="1076" t="s">
        <v>298</v>
      </c>
      <c r="E64" s="1077">
        <v>290798.836303333</v>
      </c>
    </row>
    <row r="65" ht="37" customHeight="1" spans="1:5">
      <c r="A65" s="1074">
        <v>63</v>
      </c>
      <c r="B65" s="1075" t="s">
        <v>299</v>
      </c>
      <c r="C65" s="1076" t="s">
        <v>93</v>
      </c>
      <c r="D65" s="1076">
        <v>3050764643</v>
      </c>
      <c r="E65" s="1077">
        <v>292798.836303333</v>
      </c>
    </row>
    <row r="66" ht="37" customHeight="1" spans="1:5">
      <c r="A66" s="1074">
        <v>64</v>
      </c>
      <c r="B66" s="1075" t="s">
        <v>300</v>
      </c>
      <c r="C66" s="1076" t="s">
        <v>127</v>
      </c>
      <c r="D66" s="1076" t="s">
        <v>301</v>
      </c>
      <c r="E66" s="1077">
        <v>249922.716863333</v>
      </c>
    </row>
    <row r="67" ht="37" customHeight="1" spans="1:5">
      <c r="A67" s="1074">
        <v>65</v>
      </c>
      <c r="B67" s="1075" t="s">
        <v>303</v>
      </c>
      <c r="C67" s="1076" t="s">
        <v>127</v>
      </c>
      <c r="D67" s="1076" t="s">
        <v>305</v>
      </c>
      <c r="E67" s="1077">
        <v>695684.320138033</v>
      </c>
    </row>
    <row r="68" ht="37" customHeight="1" spans="1:5">
      <c r="A68" s="1074">
        <v>66</v>
      </c>
      <c r="B68" s="1075" t="s">
        <v>306</v>
      </c>
      <c r="C68" s="1076" t="s">
        <v>127</v>
      </c>
      <c r="D68" s="1076" t="s">
        <v>309</v>
      </c>
      <c r="E68" s="1077">
        <v>1166729.73</v>
      </c>
    </row>
    <row r="69" ht="37" customHeight="1" spans="1:5">
      <c r="A69" s="1074">
        <v>67</v>
      </c>
      <c r="B69" s="1075" t="s">
        <v>310</v>
      </c>
      <c r="C69" s="1076" t="s">
        <v>127</v>
      </c>
      <c r="D69" s="1076" t="s">
        <v>311</v>
      </c>
      <c r="E69" s="1077">
        <v>271558.25152</v>
      </c>
    </row>
    <row r="70" ht="37" customHeight="1" spans="1:5">
      <c r="A70" s="1074">
        <v>68</v>
      </c>
      <c r="B70" s="1075" t="s">
        <v>312</v>
      </c>
      <c r="C70" s="1076" t="s">
        <v>313</v>
      </c>
      <c r="D70" s="1076">
        <v>2908285016</v>
      </c>
      <c r="E70" s="1077">
        <v>201840.13472</v>
      </c>
    </row>
    <row r="71" ht="37" customHeight="1" spans="1:5">
      <c r="A71" s="1074">
        <v>69</v>
      </c>
      <c r="B71" s="1075" t="s">
        <v>314</v>
      </c>
      <c r="C71" s="1076" t="s">
        <v>97</v>
      </c>
      <c r="D71" s="1076" t="s">
        <v>315</v>
      </c>
      <c r="E71" s="1077">
        <v>292798.836303333</v>
      </c>
    </row>
    <row r="72" ht="37" customHeight="1" spans="1:5">
      <c r="A72" s="1074">
        <v>70</v>
      </c>
      <c r="B72" s="1075" t="s">
        <v>316</v>
      </c>
      <c r="C72" s="1076" t="s">
        <v>93</v>
      </c>
      <c r="D72" s="1076" t="s">
        <v>317</v>
      </c>
      <c r="E72" s="1077">
        <v>38144.14453</v>
      </c>
    </row>
    <row r="73" ht="37" customHeight="1" spans="1:5">
      <c r="A73" s="1074">
        <v>71</v>
      </c>
      <c r="B73" s="1075" t="s">
        <v>318</v>
      </c>
      <c r="C73" s="1076" t="s">
        <v>127</v>
      </c>
      <c r="D73" s="1076" t="s">
        <v>319</v>
      </c>
      <c r="E73" s="1077">
        <v>300644.141196667</v>
      </c>
    </row>
    <row r="74" ht="37" customHeight="1" spans="1:5">
      <c r="A74" s="1074">
        <v>72</v>
      </c>
      <c r="B74" s="1075" t="s">
        <v>320</v>
      </c>
      <c r="C74" s="1076" t="s">
        <v>93</v>
      </c>
      <c r="D74" s="1076">
        <v>3053511556</v>
      </c>
      <c r="E74" s="1077">
        <v>110325.961196667</v>
      </c>
    </row>
    <row r="75" ht="37" customHeight="1" spans="1:5">
      <c r="A75" s="1074">
        <v>73</v>
      </c>
      <c r="B75" s="1075" t="s">
        <v>321</v>
      </c>
      <c r="C75" s="1076" t="s">
        <v>127</v>
      </c>
      <c r="D75" s="1076" t="s">
        <v>322</v>
      </c>
      <c r="E75" s="1077">
        <v>381001.96365</v>
      </c>
    </row>
    <row r="76" ht="37" customHeight="1" spans="1:5">
      <c r="A76" s="1074">
        <v>74</v>
      </c>
      <c r="B76" s="1075" t="s">
        <v>323</v>
      </c>
      <c r="C76" s="1076" t="s">
        <v>93</v>
      </c>
      <c r="D76" s="1076">
        <v>3068164624</v>
      </c>
      <c r="E76" s="1077">
        <v>173918.30365</v>
      </c>
    </row>
    <row r="77" ht="37" customHeight="1" spans="1:5">
      <c r="A77" s="1074">
        <v>75</v>
      </c>
      <c r="B77" s="1075" t="s">
        <v>324</v>
      </c>
      <c r="C77" s="1076" t="s">
        <v>113</v>
      </c>
      <c r="D77" s="1076" t="s">
        <v>325</v>
      </c>
      <c r="E77" s="1077">
        <v>214584.97025</v>
      </c>
    </row>
    <row r="78" ht="37" customHeight="1" spans="1:5">
      <c r="A78" s="1074">
        <v>76</v>
      </c>
      <c r="B78" s="1075" t="s">
        <v>326</v>
      </c>
      <c r="C78" s="1076" t="s">
        <v>165</v>
      </c>
      <c r="D78" s="1076">
        <v>2048397326</v>
      </c>
      <c r="E78" s="1077">
        <v>396589.116863333</v>
      </c>
    </row>
    <row r="79" ht="37" customHeight="1" spans="1:5">
      <c r="A79" s="1074">
        <v>77</v>
      </c>
      <c r="B79" s="1075" t="s">
        <v>327</v>
      </c>
      <c r="C79" s="1076" t="s">
        <v>135</v>
      </c>
      <c r="D79" s="1076" t="s">
        <v>328</v>
      </c>
      <c r="E79" s="1077">
        <v>491891.12345</v>
      </c>
    </row>
    <row r="80" ht="37" customHeight="1" spans="1:5">
      <c r="A80" s="1074">
        <v>78</v>
      </c>
      <c r="B80" s="1075" t="s">
        <v>330</v>
      </c>
      <c r="C80" s="1076" t="s">
        <v>135</v>
      </c>
      <c r="D80" s="1076" t="s">
        <v>331</v>
      </c>
      <c r="E80" s="1077">
        <v>192828.45885</v>
      </c>
    </row>
    <row r="81" ht="37" customHeight="1" spans="1:5">
      <c r="A81" s="1074">
        <v>79</v>
      </c>
      <c r="B81" s="1078" t="s">
        <v>332</v>
      </c>
      <c r="C81" s="1076" t="s">
        <v>259</v>
      </c>
      <c r="D81" s="1076">
        <v>6230686439</v>
      </c>
      <c r="E81" s="1077">
        <v>393336.23575</v>
      </c>
    </row>
    <row r="82" ht="37" customHeight="1" spans="1:5">
      <c r="A82" s="1074">
        <v>80</v>
      </c>
      <c r="B82" s="1075" t="s">
        <v>334</v>
      </c>
      <c r="C82" s="1076" t="s">
        <v>135</v>
      </c>
      <c r="D82" s="1076" t="s">
        <v>336</v>
      </c>
      <c r="E82" s="1077">
        <v>742593.27865</v>
      </c>
    </row>
    <row r="83" ht="37" customHeight="1" spans="1:5">
      <c r="A83" s="1074">
        <v>81</v>
      </c>
      <c r="B83" s="1075" t="s">
        <v>337</v>
      </c>
      <c r="C83" s="1076" t="s">
        <v>93</v>
      </c>
      <c r="D83" s="1076">
        <v>2022988252</v>
      </c>
      <c r="E83" s="1077">
        <v>387503.91493</v>
      </c>
    </row>
    <row r="84" ht="37" customHeight="1" spans="1:5">
      <c r="A84" s="1074">
        <v>82</v>
      </c>
      <c r="B84" s="1075" t="s">
        <v>339</v>
      </c>
      <c r="C84" s="1076" t="s">
        <v>135</v>
      </c>
      <c r="D84" s="1076" t="s">
        <v>341</v>
      </c>
      <c r="E84" s="1077">
        <v>2629.48993333324</v>
      </c>
    </row>
    <row r="85" ht="37" customHeight="1" spans="1:5">
      <c r="A85" s="1074">
        <v>83</v>
      </c>
      <c r="B85" s="1075" t="s">
        <v>342</v>
      </c>
      <c r="C85" s="1076" t="s">
        <v>113</v>
      </c>
      <c r="D85" s="1076" t="s">
        <v>344</v>
      </c>
      <c r="E85" s="1077">
        <v>575961.83283</v>
      </c>
    </row>
    <row r="86" ht="37" customHeight="1" spans="1:5">
      <c r="A86" s="1074">
        <v>84</v>
      </c>
      <c r="B86" s="1075" t="s">
        <v>345</v>
      </c>
      <c r="C86" s="1076" t="s">
        <v>127</v>
      </c>
      <c r="D86" s="1076" t="s">
        <v>348</v>
      </c>
      <c r="E86" s="1077">
        <v>287749.5796</v>
      </c>
    </row>
    <row r="87" ht="37" customHeight="1" spans="1:5">
      <c r="A87" s="1074">
        <v>85</v>
      </c>
      <c r="B87" s="1075" t="s">
        <v>349</v>
      </c>
      <c r="C87" s="1076" t="s">
        <v>135</v>
      </c>
      <c r="D87" s="1076" t="s">
        <v>350</v>
      </c>
      <c r="E87" s="1077">
        <v>265644.141196667</v>
      </c>
    </row>
    <row r="88" ht="37" customHeight="1" spans="1:5">
      <c r="A88" s="1074">
        <v>86</v>
      </c>
      <c r="B88" s="1075" t="s">
        <v>351</v>
      </c>
      <c r="C88" s="1076" t="s">
        <v>354</v>
      </c>
      <c r="D88" s="1076">
        <v>6016293250</v>
      </c>
      <c r="E88" s="1077">
        <v>97003.0265138889</v>
      </c>
    </row>
    <row r="89" ht="37" customHeight="1" spans="1:5">
      <c r="A89" s="1074">
        <v>87</v>
      </c>
      <c r="B89" s="1075" t="s">
        <v>355</v>
      </c>
      <c r="C89" s="1076" t="s">
        <v>135</v>
      </c>
      <c r="D89" s="1076" t="s">
        <v>356</v>
      </c>
      <c r="E89" s="1077">
        <v>21198.96365</v>
      </c>
    </row>
    <row r="90" ht="37" customHeight="1" spans="1:5">
      <c r="A90" s="1074">
        <v>88</v>
      </c>
      <c r="B90" s="1075" t="s">
        <v>357</v>
      </c>
      <c r="C90" s="1076" t="s">
        <v>127</v>
      </c>
      <c r="D90" s="1076" t="s">
        <v>358</v>
      </c>
      <c r="E90" s="1077">
        <v>276298.499703333</v>
      </c>
    </row>
    <row r="91" ht="37" customHeight="1" spans="1:5">
      <c r="A91" s="1074">
        <v>89</v>
      </c>
      <c r="B91" s="1075" t="s">
        <v>359</v>
      </c>
      <c r="C91" s="1076" t="s">
        <v>361</v>
      </c>
      <c r="D91" s="1076">
        <v>2008091891</v>
      </c>
      <c r="E91" s="1077">
        <v>185824.952854167</v>
      </c>
    </row>
    <row r="92" ht="37" customHeight="1" spans="1:5">
      <c r="A92" s="1074">
        <v>90</v>
      </c>
      <c r="B92" s="1075" t="s">
        <v>362</v>
      </c>
      <c r="C92" s="1076" t="s">
        <v>97</v>
      </c>
      <c r="D92" s="1076" t="s">
        <v>364</v>
      </c>
      <c r="E92" s="1077">
        <v>120868.827533333</v>
      </c>
    </row>
    <row r="93" ht="37" customHeight="1" spans="1:5">
      <c r="A93" s="1074">
        <v>91</v>
      </c>
      <c r="B93" s="1075" t="s">
        <v>365</v>
      </c>
      <c r="C93" s="1076" t="s">
        <v>135</v>
      </c>
      <c r="D93" s="1076" t="s">
        <v>366</v>
      </c>
      <c r="E93" s="1077">
        <v>287394.141196667</v>
      </c>
    </row>
    <row r="94" ht="37" customHeight="1" spans="1:5">
      <c r="A94" s="1074">
        <v>92</v>
      </c>
      <c r="B94" s="1075" t="s">
        <v>367</v>
      </c>
      <c r="C94" s="1076" t="s">
        <v>135</v>
      </c>
      <c r="D94" s="1076" t="s">
        <v>368</v>
      </c>
      <c r="E94" s="1077">
        <v>89135.312258889</v>
      </c>
    </row>
    <row r="95" ht="37" customHeight="1" spans="1:5">
      <c r="A95" s="1074">
        <v>93</v>
      </c>
      <c r="B95" s="1075" t="s">
        <v>369</v>
      </c>
      <c r="C95" s="1076" t="s">
        <v>135</v>
      </c>
      <c r="D95" s="1076" t="s">
        <v>370</v>
      </c>
      <c r="E95" s="1077">
        <v>287798.836303333</v>
      </c>
    </row>
    <row r="96" ht="37" customHeight="1" spans="1:5">
      <c r="A96" s="1074">
        <v>94</v>
      </c>
      <c r="B96" s="1075" t="s">
        <v>371</v>
      </c>
      <c r="C96" s="1076" t="s">
        <v>165</v>
      </c>
      <c r="D96" s="1076">
        <v>2005960363</v>
      </c>
      <c r="E96" s="1077">
        <v>418870.32225</v>
      </c>
    </row>
    <row r="97" ht="37" customHeight="1" spans="1:5">
      <c r="A97" s="1074">
        <v>95</v>
      </c>
      <c r="B97" s="1075" t="s">
        <v>373</v>
      </c>
      <c r="C97" s="1076" t="s">
        <v>135</v>
      </c>
      <c r="D97" s="1076" t="s">
        <v>374</v>
      </c>
      <c r="E97" s="1077">
        <v>198691.792411333</v>
      </c>
    </row>
    <row r="98" ht="37" customHeight="1" spans="1:5">
      <c r="A98" s="1074">
        <v>96</v>
      </c>
      <c r="B98" s="1075" t="s">
        <v>375</v>
      </c>
      <c r="C98" s="1076" t="s">
        <v>376</v>
      </c>
      <c r="D98" s="1076" t="s">
        <v>377</v>
      </c>
      <c r="E98" s="1077">
        <v>42952.0431366667</v>
      </c>
    </row>
    <row r="99" ht="37" customHeight="1" spans="1:5">
      <c r="A99" s="1074">
        <v>97</v>
      </c>
      <c r="B99" s="1075" t="s">
        <v>378</v>
      </c>
      <c r="C99" s="1076" t="s">
        <v>165</v>
      </c>
      <c r="D99" s="1076">
        <v>1005655901</v>
      </c>
      <c r="E99" s="1077">
        <v>240131.33</v>
      </c>
    </row>
    <row r="100" ht="37" customHeight="1" spans="1:5">
      <c r="A100" s="1074">
        <v>98</v>
      </c>
      <c r="B100" s="1075" t="s">
        <v>380</v>
      </c>
      <c r="C100" s="1076" t="s">
        <v>93</v>
      </c>
      <c r="D100" s="1076">
        <v>2014998139</v>
      </c>
      <c r="E100" s="1077">
        <v>524111.496933333</v>
      </c>
    </row>
    <row r="101" ht="37" customHeight="1" spans="1:5">
      <c r="A101" s="1074">
        <v>99</v>
      </c>
      <c r="B101" s="1075" t="s">
        <v>382</v>
      </c>
      <c r="C101" s="1076" t="s">
        <v>93</v>
      </c>
      <c r="D101" s="1076">
        <v>3088351059</v>
      </c>
      <c r="E101" s="1077">
        <v>246667.38503</v>
      </c>
    </row>
    <row r="102" ht="37" customHeight="1" spans="1:5">
      <c r="A102" s="1074">
        <v>100</v>
      </c>
      <c r="B102" s="1075" t="s">
        <v>383</v>
      </c>
      <c r="C102" s="1076" t="s">
        <v>135</v>
      </c>
      <c r="D102" s="1076" t="s">
        <v>385</v>
      </c>
      <c r="E102" s="1077">
        <v>122074.154833333</v>
      </c>
    </row>
    <row r="103" ht="37" customHeight="1" spans="1:5">
      <c r="A103" s="1074">
        <v>101</v>
      </c>
      <c r="B103" s="1075" t="s">
        <v>386</v>
      </c>
      <c r="C103" s="1076" t="s">
        <v>93</v>
      </c>
      <c r="D103" s="1076">
        <v>3061891561</v>
      </c>
      <c r="E103" s="1077">
        <v>195642.324746667</v>
      </c>
    </row>
    <row r="104" ht="37" customHeight="1" spans="1:5">
      <c r="A104" s="1074">
        <v>102</v>
      </c>
      <c r="B104" s="1075" t="s">
        <v>388</v>
      </c>
      <c r="C104" s="1076" t="s">
        <v>113</v>
      </c>
      <c r="D104" s="1076">
        <v>2035514330</v>
      </c>
      <c r="E104" s="1077">
        <v>155757.13472</v>
      </c>
    </row>
    <row r="105" ht="37" customHeight="1" spans="1:5">
      <c r="A105" s="1074">
        <v>103</v>
      </c>
      <c r="B105" s="1075" t="s">
        <v>389</v>
      </c>
      <c r="C105" s="1076" t="s">
        <v>113</v>
      </c>
      <c r="D105" s="1076">
        <v>2097430504</v>
      </c>
      <c r="E105" s="1077">
        <v>237612.03175</v>
      </c>
    </row>
    <row r="106" ht="37" customHeight="1" spans="1:5">
      <c r="A106" s="1074">
        <v>104</v>
      </c>
      <c r="B106" s="1075" t="s">
        <v>390</v>
      </c>
      <c r="C106" s="1076" t="s">
        <v>127</v>
      </c>
      <c r="D106" s="1076" t="s">
        <v>391</v>
      </c>
      <c r="E106" s="1077">
        <v>109224.776153333</v>
      </c>
    </row>
    <row r="107" ht="37" customHeight="1" spans="1:5">
      <c r="A107" s="1074">
        <v>105</v>
      </c>
      <c r="B107" s="1075" t="s">
        <v>392</v>
      </c>
      <c r="C107" s="1076" t="s">
        <v>113</v>
      </c>
      <c r="D107" s="1076">
        <v>1005205955</v>
      </c>
      <c r="E107" s="1077">
        <v>296669.569083333</v>
      </c>
    </row>
    <row r="108" ht="37" customHeight="1" spans="1:5">
      <c r="A108" s="1074">
        <v>106</v>
      </c>
      <c r="B108" s="1075" t="s">
        <v>393</v>
      </c>
      <c r="C108" s="1076" t="s">
        <v>127</v>
      </c>
      <c r="D108" s="1076" t="s">
        <v>395</v>
      </c>
      <c r="E108" s="1077">
        <v>323834.360083333</v>
      </c>
    </row>
    <row r="109" ht="37" customHeight="1" spans="1:5">
      <c r="A109" s="1074">
        <v>107</v>
      </c>
      <c r="B109" s="1075" t="s">
        <v>396</v>
      </c>
      <c r="C109" s="1076" t="s">
        <v>113</v>
      </c>
      <c r="D109" s="1076">
        <v>2050863738</v>
      </c>
      <c r="E109" s="1077">
        <v>426982.661066667</v>
      </c>
    </row>
    <row r="110" ht="37" customHeight="1" spans="1:5">
      <c r="A110" s="1074">
        <v>108</v>
      </c>
      <c r="B110" s="1075" t="s">
        <v>397</v>
      </c>
      <c r="C110" s="1076" t="s">
        <v>97</v>
      </c>
      <c r="D110" s="1076" t="s">
        <v>399</v>
      </c>
      <c r="E110" s="1077">
        <v>385982.661066667</v>
      </c>
    </row>
    <row r="111" ht="37" customHeight="1" spans="1:5">
      <c r="A111" s="1074">
        <v>109</v>
      </c>
      <c r="B111" s="1075" t="s">
        <v>400</v>
      </c>
      <c r="C111" s="1076" t="s">
        <v>165</v>
      </c>
      <c r="D111" s="1076" t="s">
        <v>402</v>
      </c>
      <c r="E111" s="1077">
        <v>420566.852</v>
      </c>
    </row>
    <row r="112" ht="37" customHeight="1" spans="1:5">
      <c r="A112" s="1074">
        <v>110</v>
      </c>
      <c r="B112" s="1075" t="s">
        <v>403</v>
      </c>
      <c r="C112" s="1076" t="s">
        <v>165</v>
      </c>
      <c r="D112" s="1076">
        <v>1008257258</v>
      </c>
      <c r="E112" s="1077">
        <v>244010.360083333</v>
      </c>
    </row>
    <row r="113" ht="37" customHeight="1" spans="1:5">
      <c r="A113" s="1074">
        <v>111</v>
      </c>
      <c r="B113" s="1075" t="s">
        <v>404</v>
      </c>
      <c r="C113" s="1076" t="s">
        <v>135</v>
      </c>
      <c r="D113" s="1076" t="s">
        <v>405</v>
      </c>
      <c r="E113" s="1077">
        <v>176231.666066667</v>
      </c>
    </row>
    <row r="114" ht="37" customHeight="1" spans="1:5">
      <c r="A114" s="1074">
        <v>112</v>
      </c>
      <c r="B114" s="1075" t="s">
        <v>406</v>
      </c>
      <c r="C114" s="1076" t="s">
        <v>135</v>
      </c>
      <c r="D114" s="1076" t="s">
        <v>407</v>
      </c>
      <c r="E114" s="1077">
        <v>365334.360083333</v>
      </c>
    </row>
    <row r="115" ht="37" customHeight="1" spans="1:5">
      <c r="A115" s="1074">
        <v>113</v>
      </c>
      <c r="B115" s="1075" t="s">
        <v>408</v>
      </c>
      <c r="C115" s="1076" t="s">
        <v>127</v>
      </c>
      <c r="D115" s="1076" t="s">
        <v>409</v>
      </c>
      <c r="E115" s="1077">
        <v>224362.03175</v>
      </c>
    </row>
    <row r="116" ht="37" customHeight="1" spans="1:5">
      <c r="A116" s="1074">
        <v>114</v>
      </c>
      <c r="B116" s="1075" t="s">
        <v>410</v>
      </c>
      <c r="C116" s="1076" t="s">
        <v>93</v>
      </c>
      <c r="D116" s="1076" t="s">
        <v>411</v>
      </c>
      <c r="E116" s="1077">
        <v>333751.30025</v>
      </c>
    </row>
    <row r="117" ht="37" customHeight="1" spans="1:5">
      <c r="A117" s="1074">
        <v>115</v>
      </c>
      <c r="B117" s="1075" t="s">
        <v>412</v>
      </c>
      <c r="C117" s="1076" t="s">
        <v>113</v>
      </c>
      <c r="D117" s="1076">
        <v>1014869458</v>
      </c>
      <c r="E117" s="1077">
        <v>384418.626063333</v>
      </c>
    </row>
    <row r="118" ht="37" customHeight="1" spans="1:5">
      <c r="A118" s="1074">
        <v>116</v>
      </c>
      <c r="B118" s="1075" t="s">
        <v>413</v>
      </c>
      <c r="C118" s="1076" t="s">
        <v>259</v>
      </c>
      <c r="D118" s="1076">
        <v>6552730205</v>
      </c>
      <c r="E118" s="1077">
        <v>256824.9015</v>
      </c>
    </row>
    <row r="119" ht="37" customHeight="1" spans="1:5">
      <c r="A119" s="1074">
        <v>117</v>
      </c>
      <c r="B119" s="1075" t="s">
        <v>414</v>
      </c>
      <c r="C119" s="1076" t="s">
        <v>127</v>
      </c>
      <c r="D119" s="1076" t="s">
        <v>415</v>
      </c>
      <c r="E119" s="1077">
        <v>147488.390886667</v>
      </c>
    </row>
    <row r="120" ht="37" customHeight="1" spans="1:5">
      <c r="A120" s="1074">
        <v>118</v>
      </c>
      <c r="B120" s="1075" t="s">
        <v>416</v>
      </c>
      <c r="C120" s="1076" t="s">
        <v>113</v>
      </c>
      <c r="D120" s="1076">
        <v>1017304842</v>
      </c>
      <c r="E120" s="1077">
        <v>277798.836303333</v>
      </c>
    </row>
    <row r="121" ht="37" customHeight="1" spans="1:5">
      <c r="A121" s="1074">
        <v>119</v>
      </c>
      <c r="B121" s="1075" t="s">
        <v>417</v>
      </c>
      <c r="C121" s="1076" t="s">
        <v>127</v>
      </c>
      <c r="D121" s="1076" t="s">
        <v>419</v>
      </c>
      <c r="E121" s="1077">
        <v>33926.1594166667</v>
      </c>
    </row>
    <row r="122" ht="37" customHeight="1" spans="1:5">
      <c r="A122" s="1074">
        <v>120</v>
      </c>
      <c r="B122" s="1075" t="s">
        <v>421</v>
      </c>
      <c r="C122" s="1076" t="s">
        <v>422</v>
      </c>
      <c r="D122" s="1076">
        <v>1762856943</v>
      </c>
      <c r="E122" s="1077">
        <v>189167.386655333</v>
      </c>
    </row>
    <row r="123" ht="37" customHeight="1" spans="1:5">
      <c r="A123" s="1074">
        <v>121</v>
      </c>
      <c r="B123" s="1075" t="s">
        <v>423</v>
      </c>
      <c r="C123" s="1076" t="s">
        <v>135</v>
      </c>
      <c r="D123" s="1076" t="s">
        <v>424</v>
      </c>
      <c r="E123" s="1077">
        <v>106028.028483333</v>
      </c>
    </row>
    <row r="124" ht="37" customHeight="1" spans="1:5">
      <c r="A124" s="1074">
        <v>122</v>
      </c>
      <c r="B124" s="1075" t="s">
        <v>425</v>
      </c>
      <c r="C124" s="1076" t="s">
        <v>127</v>
      </c>
      <c r="D124" s="1076" t="s">
        <v>426</v>
      </c>
      <c r="E124" s="1077">
        <v>370334.360083333</v>
      </c>
    </row>
    <row r="125" ht="37" customHeight="1" spans="1:5">
      <c r="A125" s="1074">
        <v>123</v>
      </c>
      <c r="B125" s="1075" t="s">
        <v>427</v>
      </c>
      <c r="C125" s="1076" t="s">
        <v>113</v>
      </c>
      <c r="D125" s="1076">
        <v>2172788168</v>
      </c>
      <c r="E125" s="1077">
        <v>263668.30025</v>
      </c>
    </row>
    <row r="126" ht="37" customHeight="1" spans="1:5">
      <c r="A126" s="1074">
        <v>124</v>
      </c>
      <c r="B126" s="1075" t="s">
        <v>428</v>
      </c>
      <c r="C126" s="1076" t="s">
        <v>93</v>
      </c>
      <c r="D126" s="1076">
        <v>3074712488</v>
      </c>
      <c r="E126" s="1077">
        <v>115612.03175</v>
      </c>
    </row>
    <row r="127" ht="37" customHeight="1" spans="1:5">
      <c r="A127" s="1074">
        <v>125</v>
      </c>
      <c r="B127" s="1075" t="s">
        <v>429</v>
      </c>
      <c r="C127" s="1076" t="s">
        <v>354</v>
      </c>
      <c r="D127" s="1076">
        <v>1005590620</v>
      </c>
      <c r="E127" s="1077">
        <v>186494.918136667</v>
      </c>
    </row>
    <row r="128" ht="37" customHeight="1" spans="1:5">
      <c r="A128" s="1074">
        <v>126</v>
      </c>
      <c r="B128" s="1075" t="s">
        <v>431</v>
      </c>
      <c r="C128" s="1076" t="s">
        <v>127</v>
      </c>
      <c r="D128" s="1076" t="s">
        <v>432</v>
      </c>
      <c r="E128" s="1077">
        <v>345334.360083333</v>
      </c>
    </row>
    <row r="129" ht="37" customHeight="1" spans="1:5">
      <c r="A129" s="1074">
        <v>127</v>
      </c>
      <c r="B129" s="1075" t="s">
        <v>433</v>
      </c>
      <c r="C129" s="1076" t="s">
        <v>165</v>
      </c>
      <c r="D129" s="1076">
        <v>1006686724</v>
      </c>
      <c r="E129" s="1077">
        <v>232077.646083333</v>
      </c>
    </row>
    <row r="130" ht="37" customHeight="1" spans="1:5">
      <c r="A130" s="1074">
        <v>128</v>
      </c>
      <c r="B130" s="1075" t="s">
        <v>434</v>
      </c>
      <c r="C130" s="1076" t="s">
        <v>127</v>
      </c>
      <c r="D130" s="1076" t="s">
        <v>436</v>
      </c>
      <c r="E130" s="1077">
        <v>107975.61103</v>
      </c>
    </row>
    <row r="131" ht="37" customHeight="1" spans="1:5">
      <c r="A131" s="1074">
        <v>129</v>
      </c>
      <c r="B131" s="1075" t="s">
        <v>437</v>
      </c>
      <c r="C131" s="1076" t="s">
        <v>93</v>
      </c>
      <c r="D131" s="1076">
        <v>3045562177</v>
      </c>
      <c r="E131" s="1077">
        <v>231114.565611111</v>
      </c>
    </row>
    <row r="132" ht="37" customHeight="1" spans="1:5">
      <c r="A132" s="1074">
        <v>130</v>
      </c>
      <c r="B132" s="1075" t="s">
        <v>438</v>
      </c>
      <c r="C132" s="1076" t="s">
        <v>113</v>
      </c>
      <c r="D132" s="1076">
        <v>2241279302</v>
      </c>
      <c r="E132" s="1077">
        <v>226927.522333333</v>
      </c>
    </row>
    <row r="133" ht="37" customHeight="1" spans="1:5">
      <c r="A133" s="1074">
        <v>131</v>
      </c>
      <c r="B133" s="1075" t="str">
        <f>'[3]TEACHING STAFF'!$B$126</f>
        <v>WERIDONGHAN ERNEST JACKSON</v>
      </c>
      <c r="C133" s="1076" t="s">
        <v>259</v>
      </c>
      <c r="D133" s="1076">
        <v>5334151353</v>
      </c>
      <c r="E133" s="1077">
        <v>126158.9756</v>
      </c>
    </row>
    <row r="134" ht="37" customHeight="1" spans="1:5">
      <c r="A134" s="1074">
        <v>132</v>
      </c>
      <c r="B134" s="1075" t="s">
        <v>441</v>
      </c>
      <c r="C134" s="1076" t="s">
        <v>259</v>
      </c>
      <c r="D134" s="1076">
        <v>4021422945</v>
      </c>
      <c r="E134" s="1077">
        <v>110447.5969</v>
      </c>
    </row>
    <row r="135" ht="37" customHeight="1" spans="1:5">
      <c r="A135" s="1074">
        <v>133</v>
      </c>
      <c r="B135" s="1075" t="s">
        <v>443</v>
      </c>
      <c r="C135" s="1076" t="s">
        <v>93</v>
      </c>
      <c r="D135" s="1076">
        <v>3032095781</v>
      </c>
      <c r="E135" s="1077">
        <v>97792.64</v>
      </c>
    </row>
    <row r="136" ht="37" customHeight="1" spans="1:5">
      <c r="A136" s="1074">
        <v>134</v>
      </c>
      <c r="B136" s="1075" t="s">
        <v>447</v>
      </c>
      <c r="C136" s="1076" t="s">
        <v>97</v>
      </c>
      <c r="D136" s="1076" t="s">
        <v>450</v>
      </c>
      <c r="E136" s="1077">
        <v>290890.2592</v>
      </c>
    </row>
    <row r="137" ht="37" customHeight="1" spans="1:5">
      <c r="A137" s="1074">
        <v>135</v>
      </c>
      <c r="B137" s="1075" t="s">
        <v>451</v>
      </c>
      <c r="C137" s="1076" t="s">
        <v>113</v>
      </c>
      <c r="D137" s="1076">
        <v>2080530783</v>
      </c>
      <c r="E137" s="1077">
        <v>256667.38503</v>
      </c>
    </row>
    <row r="138" ht="37" customHeight="1" spans="1:5">
      <c r="A138" s="1074">
        <v>136</v>
      </c>
      <c r="B138" s="1075" t="s">
        <v>452</v>
      </c>
      <c r="C138" s="1076" t="s">
        <v>135</v>
      </c>
      <c r="D138" s="1076" t="s">
        <v>453</v>
      </c>
      <c r="E138" s="1077">
        <v>195888.30025</v>
      </c>
    </row>
    <row r="139" ht="37" customHeight="1" spans="1:5">
      <c r="A139" s="1074">
        <v>137</v>
      </c>
      <c r="B139" s="1075" t="s">
        <v>454</v>
      </c>
      <c r="C139" s="1076" t="s">
        <v>93</v>
      </c>
      <c r="D139" s="1076">
        <v>3045166049</v>
      </c>
      <c r="E139" s="1077">
        <v>233058.830613333</v>
      </c>
    </row>
    <row r="140" ht="37" customHeight="1" spans="1:5">
      <c r="A140" s="1074">
        <v>138</v>
      </c>
      <c r="B140" s="1075" t="s">
        <v>455</v>
      </c>
      <c r="C140" s="1076" t="s">
        <v>157</v>
      </c>
      <c r="D140" s="1076" t="s">
        <v>456</v>
      </c>
      <c r="E140" s="1077">
        <v>45167.9736500001</v>
      </c>
    </row>
    <row r="141" ht="37" customHeight="1" spans="1:5">
      <c r="A141" s="1074">
        <v>139</v>
      </c>
      <c r="B141" s="1075" t="s">
        <v>457</v>
      </c>
      <c r="C141" s="1076" t="s">
        <v>113</v>
      </c>
      <c r="D141" s="1076">
        <v>2156863771</v>
      </c>
      <c r="E141" s="1077">
        <v>222798.836303333</v>
      </c>
    </row>
    <row r="142" ht="37" customHeight="1" spans="1:5">
      <c r="A142" s="1074">
        <v>140</v>
      </c>
      <c r="B142" s="1075" t="s">
        <v>458</v>
      </c>
      <c r="C142" s="1076" t="s">
        <v>127</v>
      </c>
      <c r="D142" s="1076" t="s">
        <v>459</v>
      </c>
      <c r="E142" s="1077">
        <v>311585.30025</v>
      </c>
    </row>
    <row r="143" ht="37" customHeight="1" spans="1:5">
      <c r="A143" s="1074">
        <v>141</v>
      </c>
      <c r="B143" s="1075" t="s">
        <v>460</v>
      </c>
      <c r="C143" s="1076" t="s">
        <v>113</v>
      </c>
      <c r="D143" s="1076" t="s">
        <v>461</v>
      </c>
      <c r="E143" s="1077">
        <v>208750.386655333</v>
      </c>
    </row>
    <row r="144" ht="37" customHeight="1" spans="1:5">
      <c r="A144" s="1074">
        <v>142</v>
      </c>
      <c r="B144" s="1075" t="s">
        <v>462</v>
      </c>
      <c r="C144" s="1076" t="s">
        <v>97</v>
      </c>
      <c r="D144" s="1076" t="s">
        <v>463</v>
      </c>
      <c r="E144" s="1077">
        <v>226667.38503</v>
      </c>
    </row>
    <row r="145" ht="37" customHeight="1" spans="1:5">
      <c r="A145" s="1074">
        <v>143</v>
      </c>
      <c r="B145" s="1075" t="s">
        <v>464</v>
      </c>
      <c r="C145" s="1076" t="s">
        <v>135</v>
      </c>
      <c r="D145" s="1076" t="s">
        <v>466</v>
      </c>
      <c r="E145" s="1077"/>
    </row>
    <row r="146" ht="37" customHeight="1" spans="1:5">
      <c r="A146" s="1074">
        <v>144</v>
      </c>
      <c r="B146" s="1075" t="s">
        <v>468</v>
      </c>
      <c r="C146" s="1076" t="s">
        <v>127</v>
      </c>
      <c r="D146" s="1076" t="s">
        <v>469</v>
      </c>
      <c r="E146" s="1077"/>
    </row>
    <row r="147" ht="37" customHeight="1" spans="1:5">
      <c r="A147" s="1074">
        <v>145</v>
      </c>
      <c r="B147" s="1075" t="s">
        <v>470</v>
      </c>
      <c r="C147" s="1076" t="s">
        <v>127</v>
      </c>
      <c r="D147" s="1076" t="s">
        <v>471</v>
      </c>
      <c r="E147" s="1077">
        <v>115195.36175</v>
      </c>
    </row>
    <row r="148" ht="37" customHeight="1" spans="1:5">
      <c r="A148" s="1074">
        <v>146</v>
      </c>
      <c r="B148" s="1075" t="s">
        <v>472</v>
      </c>
      <c r="C148" s="1076" t="s">
        <v>259</v>
      </c>
      <c r="D148" s="1076">
        <v>5330199483</v>
      </c>
      <c r="E148" s="1077">
        <v>235612.03175</v>
      </c>
    </row>
    <row r="149" ht="37" customHeight="1" spans="1:5">
      <c r="A149" s="1074">
        <v>147</v>
      </c>
      <c r="B149" s="1075" t="s">
        <v>473</v>
      </c>
      <c r="C149" s="1076" t="s">
        <v>145</v>
      </c>
      <c r="D149" s="1076" t="s">
        <v>474</v>
      </c>
      <c r="E149" s="1077">
        <v>235612.03175</v>
      </c>
    </row>
    <row r="150" ht="37" customHeight="1" spans="1:5">
      <c r="A150" s="1074">
        <v>148</v>
      </c>
      <c r="B150" s="1075" t="s">
        <v>475</v>
      </c>
      <c r="C150" s="1076" t="s">
        <v>135</v>
      </c>
      <c r="D150" s="1076" t="s">
        <v>476</v>
      </c>
      <c r="E150" s="1077">
        <v>241667.386655333</v>
      </c>
    </row>
    <row r="151" ht="37" customHeight="1" spans="1:5">
      <c r="A151" s="1074">
        <v>149</v>
      </c>
      <c r="B151" s="1075" t="s">
        <v>477</v>
      </c>
      <c r="C151" s="1076" t="s">
        <v>113</v>
      </c>
      <c r="D151" s="1076">
        <v>2108277021</v>
      </c>
      <c r="E151" s="1077">
        <v>10777.7265138889</v>
      </c>
    </row>
    <row r="152" ht="37" customHeight="1" spans="1:5">
      <c r="A152" s="1074">
        <v>150</v>
      </c>
      <c r="B152" s="1075" t="s">
        <v>478</v>
      </c>
      <c r="C152" s="1076" t="s">
        <v>93</v>
      </c>
      <c r="D152" s="1076">
        <v>3097503078</v>
      </c>
      <c r="E152" s="1077">
        <v>228005.56353</v>
      </c>
    </row>
    <row r="153" ht="37" customHeight="1" spans="1:5">
      <c r="A153" s="1074">
        <v>151</v>
      </c>
      <c r="B153" s="1075" t="s">
        <v>479</v>
      </c>
      <c r="C153" s="1076" t="s">
        <v>127</v>
      </c>
      <c r="D153" s="1076" t="s">
        <v>480</v>
      </c>
      <c r="E153" s="1077">
        <v>198086.356513889</v>
      </c>
    </row>
    <row r="154" ht="37" customHeight="1" spans="1:5">
      <c r="A154" s="1074">
        <v>152</v>
      </c>
      <c r="B154" s="1075" t="s">
        <v>481</v>
      </c>
      <c r="C154" s="1076" t="s">
        <v>93</v>
      </c>
      <c r="D154" s="1076">
        <v>2033940276</v>
      </c>
      <c r="E154" s="1077">
        <v>89114.3565138889</v>
      </c>
    </row>
    <row r="155" ht="37" customHeight="1" spans="1:5">
      <c r="A155" s="1074">
        <v>153</v>
      </c>
      <c r="B155" s="1075" t="s">
        <v>482</v>
      </c>
      <c r="C155" s="1076" t="s">
        <v>135</v>
      </c>
      <c r="D155" s="1076" t="s">
        <v>483</v>
      </c>
      <c r="E155" s="1077">
        <v>152764.356513889</v>
      </c>
    </row>
    <row r="156" ht="37" customHeight="1" spans="1:5">
      <c r="A156" s="1074">
        <v>154</v>
      </c>
      <c r="B156" s="1075" t="s">
        <v>484</v>
      </c>
      <c r="C156" s="1076" t="s">
        <v>93</v>
      </c>
      <c r="D156" s="1076">
        <v>2037312145</v>
      </c>
      <c r="E156" s="1077">
        <v>232558.830613333</v>
      </c>
    </row>
    <row r="157" ht="37" customHeight="1" spans="1:5">
      <c r="A157" s="1074">
        <v>155</v>
      </c>
      <c r="B157" s="1075" t="s">
        <v>485</v>
      </c>
      <c r="C157" s="1076" t="s">
        <v>127</v>
      </c>
      <c r="D157" s="1076" t="s">
        <v>487</v>
      </c>
      <c r="E157" s="1077">
        <v>229594.218386667</v>
      </c>
    </row>
    <row r="158" ht="37" customHeight="1" spans="1:5">
      <c r="A158" s="1074">
        <v>156</v>
      </c>
      <c r="B158" s="1075" t="s">
        <v>488</v>
      </c>
      <c r="C158" s="1076" t="s">
        <v>122</v>
      </c>
      <c r="D158" s="1076" t="s">
        <v>489</v>
      </c>
      <c r="E158" s="1077">
        <v>111336.356513889</v>
      </c>
    </row>
    <row r="159" ht="37" customHeight="1" spans="1:5">
      <c r="A159" s="1074">
        <v>157</v>
      </c>
      <c r="B159" s="1075" t="s">
        <v>490</v>
      </c>
      <c r="C159" s="1076" t="s">
        <v>127</v>
      </c>
      <c r="D159" s="1076" t="s">
        <v>491</v>
      </c>
      <c r="E159" s="1077">
        <v>120130.56353</v>
      </c>
    </row>
    <row r="160" ht="37" customHeight="1" spans="1:5">
      <c r="A160" s="1074">
        <v>158</v>
      </c>
      <c r="B160" s="1075" t="s">
        <v>492</v>
      </c>
      <c r="C160" s="1076" t="s">
        <v>97</v>
      </c>
      <c r="D160" s="1076" t="s">
        <v>493</v>
      </c>
      <c r="E160" s="1077">
        <v>213642.2835</v>
      </c>
    </row>
    <row r="161" ht="37" customHeight="1" spans="1:5">
      <c r="A161" s="1074">
        <v>159</v>
      </c>
      <c r="B161" s="1075" t="s">
        <v>494</v>
      </c>
      <c r="C161" s="1076" t="s">
        <v>127</v>
      </c>
      <c r="D161" s="1076" t="s">
        <v>496</v>
      </c>
      <c r="E161" s="1077">
        <v>207340.825583333</v>
      </c>
    </row>
    <row r="162" ht="37" customHeight="1" spans="1:5">
      <c r="A162" s="1074">
        <v>160</v>
      </c>
      <c r="B162" s="1075" t="s">
        <v>497</v>
      </c>
      <c r="C162" s="1076" t="s">
        <v>135</v>
      </c>
      <c r="D162" s="1076" t="s">
        <v>499</v>
      </c>
      <c r="E162" s="1077">
        <v>182433.60553</v>
      </c>
    </row>
    <row r="163" ht="37" customHeight="1" spans="1:5">
      <c r="A163" s="1074">
        <v>161</v>
      </c>
      <c r="B163" s="1075" t="s">
        <v>500</v>
      </c>
      <c r="C163" s="1076" t="s">
        <v>135</v>
      </c>
      <c r="D163" s="1076" t="s">
        <v>501</v>
      </c>
      <c r="E163" s="1077">
        <v>192433.60553</v>
      </c>
    </row>
    <row r="164" ht="37" customHeight="1" spans="1:5">
      <c r="A164" s="1074">
        <v>162</v>
      </c>
      <c r="B164" s="1075" t="s">
        <v>502</v>
      </c>
      <c r="C164" s="1076" t="s">
        <v>93</v>
      </c>
      <c r="D164" s="1076">
        <v>3129136519</v>
      </c>
      <c r="E164" s="1077">
        <v>172482.31471</v>
      </c>
    </row>
    <row r="165" ht="37" customHeight="1" spans="1:5">
      <c r="A165" s="1074">
        <v>163</v>
      </c>
      <c r="B165" s="1075" t="s">
        <v>504</v>
      </c>
      <c r="C165" s="1076" t="s">
        <v>113</v>
      </c>
      <c r="D165" s="1076" t="s">
        <v>506</v>
      </c>
      <c r="E165" s="1077">
        <v>137482.25025</v>
      </c>
    </row>
    <row r="166" ht="37" customHeight="1" spans="1:5">
      <c r="A166" s="1074">
        <v>164</v>
      </c>
      <c r="B166" s="1075" t="s">
        <v>507</v>
      </c>
      <c r="C166" s="1076" t="s">
        <v>113</v>
      </c>
      <c r="D166" s="1076">
        <v>2080682242</v>
      </c>
      <c r="E166" s="1077">
        <v>28505.56353</v>
      </c>
    </row>
    <row r="167" ht="37" customHeight="1" spans="1:5">
      <c r="A167" s="1074">
        <v>165</v>
      </c>
      <c r="B167" s="1075" t="s">
        <v>508</v>
      </c>
      <c r="C167" s="1076" t="s">
        <v>157</v>
      </c>
      <c r="D167" s="1076" t="s">
        <v>509</v>
      </c>
      <c r="E167" s="1077">
        <v>121438.110917333</v>
      </c>
    </row>
    <row r="168" ht="37" customHeight="1" spans="1:5">
      <c r="A168" s="1074">
        <v>166</v>
      </c>
      <c r="B168" s="1075" t="s">
        <v>510</v>
      </c>
      <c r="C168" s="1076" t="s">
        <v>165</v>
      </c>
      <c r="D168" s="1076">
        <v>2116082763</v>
      </c>
      <c r="E168" s="1077">
        <v>187982.25025</v>
      </c>
    </row>
    <row r="169" ht="37" customHeight="1" spans="1:5">
      <c r="A169" s="1074">
        <v>167</v>
      </c>
      <c r="B169" s="1075" t="s">
        <v>512</v>
      </c>
      <c r="C169" s="1076" t="s">
        <v>165</v>
      </c>
      <c r="D169" s="1076" t="s">
        <v>513</v>
      </c>
      <c r="E169" s="1077">
        <v>226786.10812</v>
      </c>
    </row>
    <row r="170" ht="37" customHeight="1" spans="1:5">
      <c r="A170" s="1074">
        <v>168</v>
      </c>
      <c r="B170" s="1075" t="s">
        <v>514</v>
      </c>
      <c r="C170" s="1076" t="s">
        <v>113</v>
      </c>
      <c r="D170" s="1076">
        <v>1005033200</v>
      </c>
      <c r="E170" s="1077">
        <v>652935.022773333</v>
      </c>
    </row>
    <row r="171" ht="37" customHeight="1" spans="1:5">
      <c r="A171" s="1074">
        <v>169</v>
      </c>
      <c r="B171" s="1075" t="s">
        <v>517</v>
      </c>
      <c r="C171" s="1076" t="s">
        <v>113</v>
      </c>
      <c r="D171" s="1076" t="s">
        <v>519</v>
      </c>
      <c r="E171" s="1077">
        <v>127549.406020833</v>
      </c>
    </row>
    <row r="172" ht="37" customHeight="1" spans="1:5">
      <c r="A172" s="1074">
        <v>170</v>
      </c>
      <c r="B172" s="1075" t="s">
        <v>521</v>
      </c>
      <c r="C172" s="1076" t="s">
        <v>113</v>
      </c>
      <c r="D172" s="1076">
        <v>2054128969</v>
      </c>
      <c r="E172" s="1077">
        <v>268417.39503</v>
      </c>
    </row>
    <row r="173" ht="37" customHeight="1" spans="1:5">
      <c r="A173" s="1074">
        <v>171</v>
      </c>
      <c r="B173" s="1075" t="s">
        <v>522</v>
      </c>
      <c r="C173" s="1076" t="s">
        <v>113</v>
      </c>
      <c r="D173" s="1076">
        <v>1001822965</v>
      </c>
      <c r="E173" s="1077"/>
    </row>
    <row r="174" ht="37" customHeight="1" spans="1:5">
      <c r="A174" s="1074">
        <v>172</v>
      </c>
      <c r="B174" s="1075" t="s">
        <v>524</v>
      </c>
      <c r="C174" s="1076" t="s">
        <v>259</v>
      </c>
      <c r="D174" s="1076" t="s">
        <v>526</v>
      </c>
      <c r="E174" s="1077">
        <v>172558.843238333</v>
      </c>
    </row>
    <row r="175" ht="37" customHeight="1" spans="1:5">
      <c r="A175" s="1074">
        <v>173</v>
      </c>
      <c r="B175" s="1075" t="s">
        <v>527</v>
      </c>
      <c r="C175" s="1076" t="s">
        <v>93</v>
      </c>
      <c r="D175" s="1076">
        <v>3155949325</v>
      </c>
      <c r="E175" s="1077">
        <v>232558.843238333</v>
      </c>
    </row>
    <row r="176" ht="37" customHeight="1" spans="1:5">
      <c r="A176" s="1074">
        <v>174</v>
      </c>
      <c r="B176" s="1075" t="s">
        <v>528</v>
      </c>
      <c r="C176" s="1076" t="s">
        <v>127</v>
      </c>
      <c r="D176" s="1076" t="s">
        <v>529</v>
      </c>
      <c r="E176" s="1077">
        <v>233627.909196667</v>
      </c>
    </row>
    <row r="177" ht="37" customHeight="1" spans="1:5">
      <c r="A177" s="1074">
        <v>175</v>
      </c>
      <c r="B177" s="1075" t="s">
        <v>530</v>
      </c>
      <c r="C177" s="1076" t="s">
        <v>127</v>
      </c>
      <c r="D177" s="1076" t="s">
        <v>532</v>
      </c>
      <c r="E177" s="1077">
        <v>349290.160083333</v>
      </c>
    </row>
    <row r="178" ht="37" customHeight="1" spans="1:5">
      <c r="A178" s="1074">
        <v>176</v>
      </c>
      <c r="B178" s="1075" t="s">
        <v>533</v>
      </c>
      <c r="C178" s="1076" t="s">
        <v>113</v>
      </c>
      <c r="D178" s="1076" t="s">
        <v>535</v>
      </c>
      <c r="E178" s="1077">
        <v>385667.960083333</v>
      </c>
    </row>
    <row r="179" ht="37" customHeight="1" spans="1:5">
      <c r="A179" s="1074">
        <v>177</v>
      </c>
      <c r="B179" s="1075" t="s">
        <v>536</v>
      </c>
      <c r="C179" s="1076" t="s">
        <v>259</v>
      </c>
      <c r="D179" s="1076" t="s">
        <v>538</v>
      </c>
      <c r="E179" s="1077">
        <v>368834.360083333</v>
      </c>
    </row>
    <row r="180" ht="37" customHeight="1" spans="1:5">
      <c r="A180" s="1074">
        <v>178</v>
      </c>
      <c r="B180" s="1075" t="s">
        <v>539</v>
      </c>
      <c r="C180" s="1076" t="s">
        <v>93</v>
      </c>
      <c r="D180" s="1076" t="s">
        <v>540</v>
      </c>
      <c r="E180" s="1077">
        <v>245667.38503</v>
      </c>
    </row>
    <row r="181" ht="37" customHeight="1" spans="1:5">
      <c r="A181" s="1074">
        <v>179</v>
      </c>
      <c r="B181" s="1075" t="s">
        <v>541</v>
      </c>
      <c r="C181" s="1076" t="s">
        <v>97</v>
      </c>
      <c r="D181" s="1076" t="s">
        <v>542</v>
      </c>
      <c r="E181" s="1077">
        <v>271667.38503</v>
      </c>
    </row>
    <row r="182" ht="37" customHeight="1" spans="1:5">
      <c r="A182" s="1074">
        <v>180</v>
      </c>
      <c r="B182" s="1075" t="s">
        <v>543</v>
      </c>
      <c r="C182" s="1076" t="s">
        <v>97</v>
      </c>
      <c r="D182" s="1076" t="s">
        <v>544</v>
      </c>
      <c r="E182" s="1077">
        <v>276667.38503</v>
      </c>
    </row>
    <row r="183" ht="37" customHeight="1" spans="1:5">
      <c r="A183" s="1074">
        <v>181</v>
      </c>
      <c r="B183" s="1075" t="s">
        <v>545</v>
      </c>
      <c r="C183" s="1076" t="s">
        <v>93</v>
      </c>
      <c r="D183" s="1076" t="s">
        <v>547</v>
      </c>
      <c r="E183" s="1077">
        <v>156667.38503</v>
      </c>
    </row>
    <row r="184" ht="37" customHeight="1" spans="1:5">
      <c r="A184" s="1074">
        <v>182</v>
      </c>
      <c r="B184" s="1075" t="s">
        <v>548</v>
      </c>
      <c r="C184" s="1076" t="s">
        <v>549</v>
      </c>
      <c r="D184" s="1076" t="s">
        <v>550</v>
      </c>
      <c r="E184" s="1077">
        <v>207496.95183</v>
      </c>
    </row>
    <row r="185" ht="37" customHeight="1" spans="1:5">
      <c r="A185" s="1074">
        <v>183</v>
      </c>
      <c r="B185" s="1075" t="s">
        <v>551</v>
      </c>
      <c r="C185" s="1076" t="s">
        <v>313</v>
      </c>
      <c r="D185" s="1076" t="s">
        <v>552</v>
      </c>
      <c r="E185" s="1077">
        <v>277667.38503</v>
      </c>
    </row>
    <row r="186" ht="37" customHeight="1" spans="1:5">
      <c r="A186" s="1074">
        <v>184</v>
      </c>
      <c r="B186" s="1075" t="s">
        <v>553</v>
      </c>
      <c r="C186" s="1076" t="s">
        <v>113</v>
      </c>
      <c r="D186" s="1076" t="s">
        <v>556</v>
      </c>
      <c r="E186" s="1077">
        <v>211991.59128</v>
      </c>
    </row>
    <row r="187" ht="37" customHeight="1" spans="1:5">
      <c r="A187" s="1074">
        <v>185</v>
      </c>
      <c r="B187" s="1075" t="s">
        <v>557</v>
      </c>
      <c r="C187" s="1076" t="s">
        <v>93</v>
      </c>
      <c r="D187" s="1076" t="s">
        <v>559</v>
      </c>
      <c r="E187" s="1077">
        <v>210991.59128</v>
      </c>
    </row>
    <row r="188" ht="37" customHeight="1" spans="1:5">
      <c r="A188" s="1074">
        <v>186</v>
      </c>
      <c r="B188" s="1075" t="s">
        <v>560</v>
      </c>
      <c r="C188" s="1076" t="s">
        <v>135</v>
      </c>
      <c r="D188" s="1076" t="s">
        <v>562</v>
      </c>
      <c r="E188" s="1077">
        <v>211991.59128</v>
      </c>
    </row>
    <row r="189" ht="37" customHeight="1" spans="1:5">
      <c r="A189" s="1074">
        <v>187</v>
      </c>
      <c r="B189" s="1075" t="s">
        <v>563</v>
      </c>
      <c r="C189" s="1076" t="s">
        <v>101</v>
      </c>
      <c r="D189" s="1076" t="s">
        <v>564</v>
      </c>
      <c r="E189" s="1077">
        <v>199991.59128</v>
      </c>
    </row>
    <row r="190" ht="37" customHeight="1" spans="1:5">
      <c r="A190" s="1074">
        <v>188</v>
      </c>
      <c r="B190" s="1079" t="s">
        <v>565</v>
      </c>
      <c r="C190" s="1076" t="s">
        <v>165</v>
      </c>
      <c r="D190" s="1076" t="s">
        <v>566</v>
      </c>
      <c r="E190" s="1077">
        <v>210991.59128</v>
      </c>
    </row>
    <row r="191" ht="37" customHeight="1" spans="1:5">
      <c r="A191" s="1074">
        <v>189</v>
      </c>
      <c r="B191" s="1075" t="s">
        <v>567</v>
      </c>
      <c r="C191" s="1076" t="s">
        <v>127</v>
      </c>
      <c r="D191" s="1076" t="s">
        <v>568</v>
      </c>
      <c r="E191" s="1077">
        <v>210991.59128</v>
      </c>
    </row>
    <row r="192" ht="37" customHeight="1" spans="1:5">
      <c r="A192" s="1074">
        <v>190</v>
      </c>
      <c r="B192" s="1075" t="s">
        <v>569</v>
      </c>
      <c r="C192" s="1076" t="s">
        <v>165</v>
      </c>
      <c r="D192" s="1076">
        <v>2178897710</v>
      </c>
      <c r="E192" s="1077">
        <v>160991.59128</v>
      </c>
    </row>
    <row r="193" ht="37" customHeight="1" spans="1:5">
      <c r="A193" s="1074">
        <v>191</v>
      </c>
      <c r="B193" s="1075" t="s">
        <v>570</v>
      </c>
      <c r="C193" s="1076" t="s">
        <v>313</v>
      </c>
      <c r="D193" s="1076" t="s">
        <v>571</v>
      </c>
      <c r="E193" s="1077">
        <v>180991.59128</v>
      </c>
    </row>
    <row r="194" ht="37" customHeight="1" spans="1:5">
      <c r="A194" s="1074">
        <v>192</v>
      </c>
      <c r="B194" s="1075" t="s">
        <v>572</v>
      </c>
      <c r="C194" s="1076" t="s">
        <v>113</v>
      </c>
      <c r="D194" s="1076" t="s">
        <v>573</v>
      </c>
      <c r="E194" s="1077">
        <v>180991.59128</v>
      </c>
    </row>
    <row r="195" ht="37" customHeight="1" spans="1:5">
      <c r="A195" s="1074">
        <v>193</v>
      </c>
      <c r="B195" s="1075" t="s">
        <v>574</v>
      </c>
      <c r="C195" s="1076" t="s">
        <v>157</v>
      </c>
      <c r="D195" s="1076" t="s">
        <v>575</v>
      </c>
      <c r="E195" s="1077">
        <v>210991.59128</v>
      </c>
    </row>
    <row r="196" ht="37" customHeight="1" spans="1:5">
      <c r="A196" s="1074">
        <v>194</v>
      </c>
      <c r="B196" s="1075" t="s">
        <v>576</v>
      </c>
      <c r="C196" s="1076" t="s">
        <v>313</v>
      </c>
      <c r="D196" s="1076">
        <v>6716578014</v>
      </c>
      <c r="E196" s="1077">
        <v>209991.59128</v>
      </c>
    </row>
    <row r="197" s="549" customFormat="1" ht="37" customHeight="1" spans="1:5">
      <c r="A197" s="1074">
        <v>195</v>
      </c>
      <c r="B197" s="1075" t="s">
        <v>577</v>
      </c>
      <c r="C197" s="1080" t="s">
        <v>863</v>
      </c>
      <c r="D197" s="1080" t="s">
        <v>579</v>
      </c>
      <c r="E197" s="1081">
        <v>175991.59128</v>
      </c>
    </row>
    <row r="198" ht="37" customHeight="1" spans="1:5">
      <c r="A198" s="1074">
        <v>196</v>
      </c>
      <c r="B198" s="1075" t="s">
        <v>580</v>
      </c>
      <c r="C198" s="1076" t="s">
        <v>165</v>
      </c>
      <c r="D198" s="1076" t="s">
        <v>581</v>
      </c>
      <c r="E198" s="1077">
        <v>200991.59128</v>
      </c>
    </row>
    <row r="199" ht="37" customHeight="1" spans="1:5">
      <c r="A199" s="1074">
        <v>197</v>
      </c>
      <c r="B199" s="1075" t="s">
        <v>582</v>
      </c>
      <c r="C199" s="1076" t="s">
        <v>583</v>
      </c>
      <c r="D199" s="1076" t="s">
        <v>584</v>
      </c>
      <c r="E199" s="1077">
        <v>210991.59128</v>
      </c>
    </row>
    <row r="200" ht="37" customHeight="1" spans="1:5">
      <c r="A200" s="1074">
        <v>198</v>
      </c>
      <c r="B200" s="1075" t="s">
        <v>585</v>
      </c>
      <c r="C200" s="1076" t="s">
        <v>209</v>
      </c>
      <c r="D200" s="1076" t="s">
        <v>586</v>
      </c>
      <c r="E200" s="1077">
        <v>190991.59128</v>
      </c>
    </row>
    <row r="201" ht="37" customHeight="1" spans="1:5">
      <c r="A201" s="1074">
        <v>199</v>
      </c>
      <c r="B201" s="1075" t="s">
        <v>587</v>
      </c>
      <c r="C201" s="1076" t="s">
        <v>97</v>
      </c>
      <c r="D201" s="1076" t="s">
        <v>588</v>
      </c>
      <c r="E201" s="1077">
        <v>210991.59128</v>
      </c>
    </row>
    <row r="202" ht="37" customHeight="1" spans="1:5">
      <c r="A202" s="1074">
        <v>200</v>
      </c>
      <c r="B202" s="1075" t="s">
        <v>589</v>
      </c>
      <c r="C202" s="1076" t="s">
        <v>165</v>
      </c>
      <c r="D202" s="1076" t="s">
        <v>591</v>
      </c>
      <c r="E202" s="1077">
        <v>210991.59128</v>
      </c>
    </row>
    <row r="203" ht="37" customHeight="1" spans="1:5">
      <c r="A203" s="1074">
        <v>201</v>
      </c>
      <c r="B203" s="1075" t="s">
        <v>592</v>
      </c>
      <c r="C203" s="1076" t="s">
        <v>101</v>
      </c>
      <c r="D203" s="1076" t="s">
        <v>593</v>
      </c>
      <c r="E203" s="1077">
        <v>210991.59128</v>
      </c>
    </row>
    <row r="204" ht="37" customHeight="1" spans="1:5">
      <c r="A204" s="1074">
        <v>202</v>
      </c>
      <c r="B204" s="1075" t="s">
        <v>594</v>
      </c>
      <c r="C204" s="1076" t="s">
        <v>97</v>
      </c>
      <c r="D204" s="1076" t="s">
        <v>595</v>
      </c>
      <c r="E204" s="1077">
        <v>210991.59128</v>
      </c>
    </row>
    <row r="205" ht="37" customHeight="1" spans="1:5">
      <c r="A205" s="1074">
        <v>203</v>
      </c>
      <c r="B205" s="1075" t="s">
        <v>596</v>
      </c>
      <c r="C205" s="1076" t="s">
        <v>127</v>
      </c>
      <c r="D205" s="1076" t="s">
        <v>597</v>
      </c>
      <c r="E205" s="1077">
        <v>210991.59128</v>
      </c>
    </row>
    <row r="206" ht="37" customHeight="1" spans="1:5">
      <c r="A206" s="1074">
        <v>204</v>
      </c>
      <c r="B206" s="1075" t="s">
        <v>598</v>
      </c>
      <c r="C206" s="1076" t="s">
        <v>93</v>
      </c>
      <c r="D206" s="1076" t="s">
        <v>600</v>
      </c>
      <c r="E206" s="1077">
        <v>211991.59128</v>
      </c>
    </row>
    <row r="207" ht="37" customHeight="1" spans="1:5">
      <c r="A207" s="1074">
        <v>205</v>
      </c>
      <c r="B207" s="1075" t="s">
        <v>601</v>
      </c>
      <c r="C207" s="1076" t="s">
        <v>93</v>
      </c>
      <c r="D207" s="1076" t="s">
        <v>602</v>
      </c>
      <c r="E207" s="1077">
        <v>211991.59128</v>
      </c>
    </row>
    <row r="208" ht="37" customHeight="1" spans="1:5">
      <c r="A208" s="1074">
        <v>206</v>
      </c>
      <c r="B208" s="1075" t="s">
        <v>603</v>
      </c>
      <c r="C208" s="1076" t="s">
        <v>127</v>
      </c>
      <c r="D208" s="1076" t="s">
        <v>604</v>
      </c>
      <c r="E208" s="1077">
        <v>211991.59128</v>
      </c>
    </row>
    <row r="209" ht="37" customHeight="1" spans="1:5">
      <c r="A209" s="1074">
        <v>207</v>
      </c>
      <c r="B209" s="1075" t="s">
        <v>605</v>
      </c>
      <c r="C209" s="1076" t="s">
        <v>93</v>
      </c>
      <c r="D209" s="1076" t="s">
        <v>607</v>
      </c>
      <c r="E209" s="1077">
        <v>210991.59128</v>
      </c>
    </row>
    <row r="210" ht="37" customHeight="1" spans="1:5">
      <c r="A210" s="1074">
        <v>208</v>
      </c>
      <c r="B210" s="1075" t="s">
        <v>608</v>
      </c>
      <c r="C210" s="1076" t="s">
        <v>97</v>
      </c>
      <c r="D210" s="1076" t="s">
        <v>609</v>
      </c>
      <c r="E210" s="1077">
        <v>195991.59128</v>
      </c>
    </row>
    <row r="211" ht="37" customHeight="1" spans="1:5">
      <c r="A211" s="1074">
        <v>209</v>
      </c>
      <c r="B211" s="1075" t="s">
        <v>610</v>
      </c>
      <c r="C211" s="1076" t="s">
        <v>113</v>
      </c>
      <c r="D211" s="1076" t="s">
        <v>611</v>
      </c>
      <c r="E211" s="1077">
        <v>209991.59128</v>
      </c>
    </row>
    <row r="212" ht="37" customHeight="1" spans="1:5">
      <c r="A212" s="1074">
        <v>210</v>
      </c>
      <c r="B212" s="1075" t="s">
        <v>612</v>
      </c>
      <c r="C212" s="1076" t="s">
        <v>127</v>
      </c>
      <c r="D212" s="1076" t="s">
        <v>613</v>
      </c>
      <c r="E212" s="1077">
        <v>207991.59128</v>
      </c>
    </row>
    <row r="213" ht="37" customHeight="1" spans="1:5">
      <c r="A213" s="1074">
        <v>211</v>
      </c>
      <c r="B213" s="1075" t="s">
        <v>614</v>
      </c>
      <c r="C213" s="1076" t="s">
        <v>313</v>
      </c>
      <c r="D213" s="1076" t="s">
        <v>615</v>
      </c>
      <c r="E213" s="1077">
        <v>209991.59128</v>
      </c>
    </row>
    <row r="214" ht="37" customHeight="1" spans="1:5">
      <c r="A214" s="1074">
        <v>212</v>
      </c>
      <c r="B214" s="1075" t="s">
        <v>616</v>
      </c>
      <c r="C214" s="1076" t="s">
        <v>93</v>
      </c>
      <c r="D214" s="1076" t="s">
        <v>617</v>
      </c>
      <c r="E214" s="1077">
        <v>190991.59128</v>
      </c>
    </row>
    <row r="215" ht="37" customHeight="1" spans="1:5">
      <c r="A215" s="1074">
        <v>213</v>
      </c>
      <c r="B215" s="1075" t="s">
        <v>618</v>
      </c>
      <c r="C215" s="1076" t="s">
        <v>127</v>
      </c>
      <c r="D215" s="1076" t="s">
        <v>619</v>
      </c>
      <c r="E215" s="1077">
        <v>210991.59128</v>
      </c>
    </row>
    <row r="216" ht="37" customHeight="1" spans="1:5">
      <c r="A216" s="1074">
        <v>214</v>
      </c>
      <c r="B216" s="1075" t="s">
        <v>620</v>
      </c>
      <c r="C216" s="1076" t="s">
        <v>122</v>
      </c>
      <c r="D216" s="1076" t="s">
        <v>621</v>
      </c>
      <c r="E216" s="1077">
        <v>190991.59128</v>
      </c>
    </row>
    <row r="217" ht="37" customHeight="1" spans="1:5">
      <c r="A217" s="1074">
        <v>215</v>
      </c>
      <c r="B217" s="1075" t="s">
        <v>622</v>
      </c>
      <c r="C217" s="1076" t="s">
        <v>127</v>
      </c>
      <c r="D217" s="1076" t="s">
        <v>623</v>
      </c>
      <c r="E217" s="1077">
        <v>180991.59128</v>
      </c>
    </row>
    <row r="218" ht="37" customHeight="1" spans="1:5">
      <c r="A218" s="1074">
        <v>216</v>
      </c>
      <c r="B218" s="1075" t="s">
        <v>624</v>
      </c>
      <c r="C218" s="1076" t="s">
        <v>93</v>
      </c>
      <c r="D218" s="1076" t="s">
        <v>625</v>
      </c>
      <c r="E218" s="1077">
        <v>210991.59128</v>
      </c>
    </row>
    <row r="219" ht="37" customHeight="1" spans="1:5">
      <c r="A219" s="1074">
        <v>217</v>
      </c>
      <c r="B219" s="1075" t="s">
        <v>626</v>
      </c>
      <c r="C219" s="1076" t="s">
        <v>165</v>
      </c>
      <c r="D219" s="1076" t="s">
        <v>627</v>
      </c>
      <c r="E219" s="1077">
        <v>160991.59128</v>
      </c>
    </row>
    <row r="220" ht="37" customHeight="1" spans="1:5">
      <c r="A220" s="1074">
        <v>218</v>
      </c>
      <c r="B220" s="1075" t="s">
        <v>628</v>
      </c>
      <c r="C220" s="1076" t="s">
        <v>157</v>
      </c>
      <c r="D220" s="1076" t="s">
        <v>629</v>
      </c>
      <c r="E220" s="1077">
        <v>200991.59128</v>
      </c>
    </row>
    <row r="221" ht="37" customHeight="1" spans="1:5">
      <c r="A221" s="1074">
        <v>219</v>
      </c>
      <c r="B221" s="1075" t="s">
        <v>630</v>
      </c>
      <c r="C221" s="1076" t="s">
        <v>113</v>
      </c>
      <c r="D221" s="1076" t="s">
        <v>631</v>
      </c>
      <c r="E221" s="1077">
        <v>190991.59128</v>
      </c>
    </row>
    <row r="222" ht="37" customHeight="1" spans="1:5">
      <c r="A222" s="1074">
        <v>220</v>
      </c>
      <c r="B222" s="1075" t="s">
        <v>632</v>
      </c>
      <c r="C222" s="1076" t="s">
        <v>101</v>
      </c>
      <c r="D222" s="1076" t="s">
        <v>633</v>
      </c>
      <c r="E222" s="1077">
        <v>210991.59128</v>
      </c>
    </row>
    <row r="223" ht="37" customHeight="1" spans="1:5">
      <c r="A223" s="1074">
        <v>221</v>
      </c>
      <c r="B223" s="1075" t="s">
        <v>634</v>
      </c>
      <c r="C223" s="1076" t="s">
        <v>93</v>
      </c>
      <c r="D223" s="1076" t="s">
        <v>636</v>
      </c>
      <c r="E223" s="1077">
        <v>209991.59128</v>
      </c>
    </row>
    <row r="224" ht="37" customHeight="1" spans="1:5">
      <c r="A224" s="1074">
        <v>222</v>
      </c>
      <c r="B224" s="1075" t="s">
        <v>637</v>
      </c>
      <c r="C224" s="1076" t="s">
        <v>113</v>
      </c>
      <c r="D224" s="1076" t="s">
        <v>639</v>
      </c>
      <c r="E224" s="1077">
        <v>185931.67025</v>
      </c>
    </row>
    <row r="225" ht="37" customHeight="1" spans="1:5">
      <c r="A225" s="1074">
        <v>223</v>
      </c>
      <c r="B225" s="1075" t="s">
        <v>640</v>
      </c>
      <c r="C225" s="1076" t="s">
        <v>209</v>
      </c>
      <c r="D225" s="1076" t="s">
        <v>641</v>
      </c>
      <c r="E225" s="1077">
        <v>205991.59128</v>
      </c>
    </row>
    <row r="226" ht="37" customHeight="1" spans="1:5">
      <c r="A226" s="1074">
        <v>224</v>
      </c>
      <c r="B226" s="1075" t="s">
        <v>642</v>
      </c>
      <c r="C226" s="1076" t="s">
        <v>113</v>
      </c>
      <c r="D226" s="1076" t="s">
        <v>643</v>
      </c>
      <c r="E226" s="1077">
        <v>210991.59128</v>
      </c>
    </row>
    <row r="227" ht="37" customHeight="1" spans="1:5">
      <c r="A227" s="1074">
        <v>225</v>
      </c>
      <c r="B227" s="1075" t="s">
        <v>644</v>
      </c>
      <c r="C227" s="1076" t="s">
        <v>313</v>
      </c>
      <c r="D227" s="1076" t="s">
        <v>645</v>
      </c>
      <c r="E227" s="1077">
        <v>211991.59128</v>
      </c>
    </row>
    <row r="228" ht="37" customHeight="1" spans="1:5">
      <c r="A228" s="1074">
        <v>226</v>
      </c>
      <c r="B228" s="1075" t="s">
        <v>646</v>
      </c>
      <c r="C228" s="1076" t="s">
        <v>113</v>
      </c>
      <c r="D228" s="1076" t="s">
        <v>647</v>
      </c>
      <c r="E228" s="1077">
        <v>210991.59128</v>
      </c>
    </row>
    <row r="229" ht="37" customHeight="1" spans="1:5">
      <c r="A229" s="1074">
        <v>227</v>
      </c>
      <c r="B229" s="1075" t="s">
        <v>648</v>
      </c>
      <c r="C229" s="1076" t="s">
        <v>97</v>
      </c>
      <c r="D229" s="1076" t="s">
        <v>649</v>
      </c>
      <c r="E229" s="1077">
        <v>211991.59128</v>
      </c>
    </row>
    <row r="230" ht="37" customHeight="1" spans="1:5">
      <c r="A230" s="1074">
        <v>228</v>
      </c>
      <c r="B230" s="1075" t="s">
        <v>650</v>
      </c>
      <c r="C230" s="1076" t="s">
        <v>93</v>
      </c>
      <c r="D230" s="1076" t="s">
        <v>651</v>
      </c>
      <c r="E230" s="1077">
        <v>190991.59128</v>
      </c>
    </row>
    <row r="231" ht="37" customHeight="1" spans="1:5">
      <c r="A231" s="1074">
        <v>229</v>
      </c>
      <c r="B231" s="1075" t="s">
        <v>652</v>
      </c>
      <c r="C231" s="1076" t="s">
        <v>97</v>
      </c>
      <c r="D231" s="1076" t="s">
        <v>655</v>
      </c>
      <c r="E231" s="1077">
        <v>211005.560555333</v>
      </c>
    </row>
    <row r="232" ht="37" customHeight="1" spans="1:5">
      <c r="A232" s="1074">
        <v>230</v>
      </c>
      <c r="B232" s="1075" t="s">
        <v>656</v>
      </c>
      <c r="C232" s="1076" t="s">
        <v>313</v>
      </c>
      <c r="D232" s="1076" t="s">
        <v>658</v>
      </c>
      <c r="E232" s="1077">
        <v>210991.59128</v>
      </c>
    </row>
    <row r="233" ht="37" customHeight="1" spans="1:5">
      <c r="A233" s="1074">
        <v>231</v>
      </c>
      <c r="B233" s="1075" t="s">
        <v>659</v>
      </c>
      <c r="C233" s="1076" t="s">
        <v>113</v>
      </c>
      <c r="D233" s="1076" t="s">
        <v>661</v>
      </c>
      <c r="E233" s="1077">
        <v>206461.13128</v>
      </c>
    </row>
    <row r="234" ht="37" customHeight="1" spans="1:5">
      <c r="A234" s="1074">
        <v>232</v>
      </c>
      <c r="B234" s="1075" t="s">
        <v>662</v>
      </c>
      <c r="C234" s="1076" t="s">
        <v>113</v>
      </c>
      <c r="D234" s="1076" t="s">
        <v>663</v>
      </c>
      <c r="E234" s="1077"/>
    </row>
    <row r="235" ht="37" customHeight="1" spans="1:5">
      <c r="A235" s="1074">
        <v>233</v>
      </c>
      <c r="B235" s="1075" t="s">
        <v>665</v>
      </c>
      <c r="C235" s="1076" t="s">
        <v>93</v>
      </c>
      <c r="D235" s="1076" t="s">
        <v>667</v>
      </c>
      <c r="E235" s="1077">
        <v>188461.13128</v>
      </c>
    </row>
    <row r="236" ht="37" customHeight="1" spans="1:5">
      <c r="A236" s="1074">
        <v>234</v>
      </c>
      <c r="B236" s="1075" t="s">
        <v>668</v>
      </c>
      <c r="C236" s="1076" t="s">
        <v>165</v>
      </c>
      <c r="D236" s="1076" t="s">
        <v>669</v>
      </c>
      <c r="E236" s="1077">
        <v>210991.59128</v>
      </c>
    </row>
    <row r="237" ht="37" customHeight="1" spans="1:5">
      <c r="A237" s="1074">
        <v>235</v>
      </c>
      <c r="B237" s="1075" t="s">
        <v>670</v>
      </c>
      <c r="C237" s="1076" t="s">
        <v>127</v>
      </c>
      <c r="D237" s="1076" t="s">
        <v>671</v>
      </c>
      <c r="E237" s="1077">
        <v>170835.668413333</v>
      </c>
    </row>
    <row r="238" ht="37" customHeight="1" spans="1:5">
      <c r="A238" s="1074">
        <v>236</v>
      </c>
      <c r="B238" s="1075" t="s">
        <v>673</v>
      </c>
      <c r="C238" s="1076" t="s">
        <v>675</v>
      </c>
      <c r="D238" s="1076" t="s">
        <v>676</v>
      </c>
      <c r="E238" s="1077">
        <v>233058.830613333</v>
      </c>
    </row>
    <row r="239" ht="37" customHeight="1" spans="1:5">
      <c r="A239" s="1074">
        <v>237</v>
      </c>
      <c r="B239" s="1075" t="s">
        <v>677</v>
      </c>
      <c r="C239" s="1076" t="s">
        <v>165</v>
      </c>
      <c r="D239" s="1076" t="s">
        <v>679</v>
      </c>
      <c r="E239" s="1077">
        <v>208058.830613333</v>
      </c>
    </row>
    <row r="240" ht="37" customHeight="1" spans="1:5">
      <c r="A240" s="1074">
        <v>238</v>
      </c>
      <c r="B240" s="1075" t="s">
        <v>680</v>
      </c>
      <c r="C240" s="1076" t="s">
        <v>675</v>
      </c>
      <c r="D240" s="1076" t="s">
        <v>681</v>
      </c>
      <c r="E240" s="1077">
        <v>193058.830613333</v>
      </c>
    </row>
    <row r="241" s="549" customFormat="1" ht="37" customHeight="1" spans="1:5">
      <c r="A241" s="1074">
        <v>239</v>
      </c>
      <c r="B241" s="1075" t="s">
        <v>682</v>
      </c>
      <c r="C241" s="1080" t="s">
        <v>93</v>
      </c>
      <c r="D241" s="1080"/>
      <c r="E241" s="1077">
        <v>171340.825583333</v>
      </c>
    </row>
    <row r="242" ht="37" customHeight="1" spans="1:5">
      <c r="A242" s="1074">
        <v>240</v>
      </c>
      <c r="B242" s="1075" t="s">
        <v>683</v>
      </c>
      <c r="C242" s="1076" t="s">
        <v>165</v>
      </c>
      <c r="D242" s="1076" t="s">
        <v>684</v>
      </c>
      <c r="E242" s="1077">
        <v>190991.59128</v>
      </c>
    </row>
    <row r="243" ht="37" customHeight="1" spans="1:5">
      <c r="A243" s="1074">
        <v>241</v>
      </c>
      <c r="B243" s="1075" t="s">
        <v>685</v>
      </c>
      <c r="C243" s="1076" t="s">
        <v>313</v>
      </c>
      <c r="D243" s="1076" t="s">
        <v>686</v>
      </c>
      <c r="E243" s="1077">
        <v>210991.59128</v>
      </c>
    </row>
    <row r="244" ht="37" customHeight="1" spans="1:5">
      <c r="A244" s="1074">
        <v>242</v>
      </c>
      <c r="B244" s="1075" t="s">
        <v>687</v>
      </c>
      <c r="C244" s="1076" t="s">
        <v>122</v>
      </c>
      <c r="D244" s="1076" t="s">
        <v>688</v>
      </c>
      <c r="E244" s="1077">
        <v>210991.59128</v>
      </c>
    </row>
    <row r="245" ht="37" customHeight="1" spans="1:5">
      <c r="A245" s="1074">
        <v>243</v>
      </c>
      <c r="B245" s="1075" t="s">
        <v>689</v>
      </c>
      <c r="C245" s="1076" t="s">
        <v>127</v>
      </c>
      <c r="D245" s="1076" t="s">
        <v>690</v>
      </c>
      <c r="E245" s="1077">
        <v>200991.59128</v>
      </c>
    </row>
    <row r="246" ht="37" customHeight="1" spans="1:5">
      <c r="A246" s="1074">
        <v>244</v>
      </c>
      <c r="B246" s="1075" t="s">
        <v>691</v>
      </c>
      <c r="C246" s="1076" t="s">
        <v>313</v>
      </c>
      <c r="D246" s="1076" t="s">
        <v>692</v>
      </c>
      <c r="E246" s="1077">
        <v>210991.59128</v>
      </c>
    </row>
    <row r="247" ht="37" customHeight="1" spans="1:5">
      <c r="A247" s="1074">
        <v>245</v>
      </c>
      <c r="B247" s="1075" t="s">
        <v>693</v>
      </c>
      <c r="C247" s="1076" t="s">
        <v>113</v>
      </c>
      <c r="D247" s="1076" t="s">
        <v>694</v>
      </c>
      <c r="E247" s="1077">
        <v>180991.59128</v>
      </c>
    </row>
    <row r="248" ht="37" customHeight="1" spans="1:5">
      <c r="A248" s="1074">
        <v>246</v>
      </c>
      <c r="B248" s="1075" t="s">
        <v>695</v>
      </c>
      <c r="C248" s="1076" t="s">
        <v>127</v>
      </c>
      <c r="D248" s="1076" t="s">
        <v>696</v>
      </c>
      <c r="E248" s="1077">
        <v>210991.59128</v>
      </c>
    </row>
    <row r="249" ht="37" customHeight="1" spans="1:5">
      <c r="A249" s="1074">
        <v>247</v>
      </c>
      <c r="B249" s="1075" t="s">
        <v>697</v>
      </c>
      <c r="C249" s="1076" t="s">
        <v>93</v>
      </c>
      <c r="D249" s="1076" t="s">
        <v>698</v>
      </c>
      <c r="E249" s="1077">
        <v>210991.59128</v>
      </c>
    </row>
    <row r="250" ht="37" customHeight="1" spans="1:5">
      <c r="A250" s="1074">
        <v>248</v>
      </c>
      <c r="B250" s="1075" t="s">
        <v>699</v>
      </c>
      <c r="C250" s="1076" t="s">
        <v>422</v>
      </c>
      <c r="D250" s="1076" t="s">
        <v>700</v>
      </c>
      <c r="E250" s="1077">
        <v>210991.59128</v>
      </c>
    </row>
    <row r="251" ht="37" customHeight="1" spans="1:5">
      <c r="A251" s="1074">
        <v>249</v>
      </c>
      <c r="B251" s="1075" t="s">
        <v>701</v>
      </c>
      <c r="C251" s="1076" t="s">
        <v>93</v>
      </c>
      <c r="D251" s="1076" t="s">
        <v>702</v>
      </c>
      <c r="E251" s="1077">
        <v>210991.59128</v>
      </c>
    </row>
    <row r="252" ht="37" customHeight="1" spans="1:5">
      <c r="A252" s="1074">
        <v>250</v>
      </c>
      <c r="B252" s="1075" t="s">
        <v>703</v>
      </c>
      <c r="C252" s="1076" t="s">
        <v>145</v>
      </c>
      <c r="D252" s="1076" t="s">
        <v>704</v>
      </c>
      <c r="E252" s="1077">
        <v>211991.59128</v>
      </c>
    </row>
    <row r="253" ht="37" customHeight="1" spans="1:5">
      <c r="A253" s="1074">
        <v>251</v>
      </c>
      <c r="B253" s="1075" t="s">
        <v>705</v>
      </c>
      <c r="C253" s="1076" t="s">
        <v>259</v>
      </c>
      <c r="D253" s="1076" t="s">
        <v>706</v>
      </c>
      <c r="E253" s="1077">
        <v>211991.59128</v>
      </c>
    </row>
    <row r="254" ht="37" customHeight="1" spans="1:5">
      <c r="A254" s="1074">
        <v>252</v>
      </c>
      <c r="B254" s="1075" t="s">
        <v>707</v>
      </c>
      <c r="C254" s="1076" t="s">
        <v>127</v>
      </c>
      <c r="D254" s="1076" t="s">
        <v>708</v>
      </c>
      <c r="E254" s="1077">
        <v>210991.59128</v>
      </c>
    </row>
    <row r="255" ht="37" customHeight="1" spans="1:5">
      <c r="A255" s="1074">
        <v>253</v>
      </c>
      <c r="B255" s="1075" t="s">
        <v>709</v>
      </c>
      <c r="C255" s="1076" t="s">
        <v>113</v>
      </c>
      <c r="D255" s="1076" t="s">
        <v>711</v>
      </c>
      <c r="E255" s="1077">
        <v>211991.59128</v>
      </c>
    </row>
    <row r="256" ht="37" customHeight="1" spans="1:5">
      <c r="A256" s="1074">
        <v>254</v>
      </c>
      <c r="B256" s="1075" t="s">
        <v>712</v>
      </c>
      <c r="C256" s="1076" t="s">
        <v>113</v>
      </c>
      <c r="D256" s="1076" t="s">
        <v>714</v>
      </c>
      <c r="E256" s="1077">
        <v>195806.30808</v>
      </c>
    </row>
    <row r="257" ht="37" customHeight="1" spans="1:5">
      <c r="A257" s="1074">
        <v>255</v>
      </c>
      <c r="B257" s="1075" t="s">
        <v>715</v>
      </c>
      <c r="C257" s="1076" t="s">
        <v>127</v>
      </c>
      <c r="D257" s="1076" t="s">
        <v>716</v>
      </c>
      <c r="E257" s="1077">
        <v>211991.59128</v>
      </c>
    </row>
    <row r="258" ht="37" customHeight="1" spans="1:5">
      <c r="A258" s="1074">
        <v>256</v>
      </c>
      <c r="B258" s="1075" t="s">
        <v>717</v>
      </c>
      <c r="C258" s="1076" t="s">
        <v>127</v>
      </c>
      <c r="D258" s="1076" t="s">
        <v>718</v>
      </c>
      <c r="E258" s="1077">
        <v>211991.59128</v>
      </c>
    </row>
    <row r="259" ht="37" customHeight="1" spans="1:5">
      <c r="A259" s="1074">
        <v>257</v>
      </c>
      <c r="B259" s="1075" t="s">
        <v>719</v>
      </c>
      <c r="C259" s="1076" t="s">
        <v>113</v>
      </c>
      <c r="D259" s="1076" t="s">
        <v>720</v>
      </c>
      <c r="E259" s="1081">
        <v>208058.830613333</v>
      </c>
    </row>
    <row r="260" ht="37" customHeight="1" spans="1:5">
      <c r="A260" s="1074">
        <v>258</v>
      </c>
      <c r="B260" s="1075" t="s">
        <v>721</v>
      </c>
      <c r="C260" s="1076" t="s">
        <v>97</v>
      </c>
      <c r="D260" s="1076" t="s">
        <v>722</v>
      </c>
      <c r="E260" s="1081">
        <v>211993.739946667</v>
      </c>
    </row>
    <row r="261" ht="37" customHeight="1" spans="1:5">
      <c r="A261" s="1074">
        <v>259</v>
      </c>
      <c r="B261" s="1075" t="s">
        <v>723</v>
      </c>
      <c r="C261" s="1076" t="s">
        <v>93</v>
      </c>
      <c r="D261" s="1076" t="s">
        <v>724</v>
      </c>
      <c r="E261" s="1081">
        <v>233058.830613333</v>
      </c>
    </row>
    <row r="262" ht="37" customHeight="1" spans="1:5">
      <c r="A262" s="1074">
        <v>260</v>
      </c>
      <c r="B262" s="1075" t="s">
        <v>725</v>
      </c>
      <c r="C262" s="1076" t="s">
        <v>313</v>
      </c>
      <c r="D262" s="1076" t="s">
        <v>726</v>
      </c>
      <c r="E262" s="1081">
        <v>152991.59128</v>
      </c>
    </row>
    <row r="263" ht="37" customHeight="1" spans="1:5">
      <c r="A263" s="1074">
        <v>261</v>
      </c>
      <c r="B263" s="1075" t="s">
        <v>727</v>
      </c>
      <c r="C263" s="1076" t="s">
        <v>165</v>
      </c>
      <c r="D263" s="1076" t="s">
        <v>728</v>
      </c>
      <c r="E263" s="1081">
        <v>232558.830613333</v>
      </c>
    </row>
    <row r="264" ht="37" customHeight="1" spans="1:5">
      <c r="A264" s="1074">
        <v>262</v>
      </c>
      <c r="B264" s="1075" t="s">
        <v>729</v>
      </c>
      <c r="C264" s="1076" t="s">
        <v>101</v>
      </c>
      <c r="D264" s="1076" t="s">
        <v>730</v>
      </c>
      <c r="E264" s="1081">
        <v>232558.830613333</v>
      </c>
    </row>
    <row r="265" ht="37" customHeight="1" spans="1:5">
      <c r="A265" s="1074">
        <v>263</v>
      </c>
      <c r="B265" s="1075" t="s">
        <v>731</v>
      </c>
      <c r="C265" s="1076" t="s">
        <v>97</v>
      </c>
      <c r="D265" s="1076" t="s">
        <v>732</v>
      </c>
      <c r="E265" s="1081">
        <v>233558.830613333</v>
      </c>
    </row>
    <row r="266" ht="37" customHeight="1" spans="1:5">
      <c r="A266" s="1074">
        <v>264</v>
      </c>
      <c r="B266" s="1075" t="s">
        <v>733</v>
      </c>
      <c r="C266" s="1076" t="s">
        <v>113</v>
      </c>
      <c r="D266" s="1076" t="s">
        <v>734</v>
      </c>
      <c r="E266" s="1081">
        <v>232558.830613333</v>
      </c>
    </row>
    <row r="267" ht="37" customHeight="1" spans="1:5">
      <c r="A267" s="1074">
        <v>265</v>
      </c>
      <c r="B267" s="1075" t="s">
        <v>735</v>
      </c>
      <c r="C267" s="1076" t="s">
        <v>113</v>
      </c>
      <c r="D267" s="1076" t="s">
        <v>736</v>
      </c>
      <c r="E267" s="1081">
        <v>233558.830613333</v>
      </c>
    </row>
    <row r="268" ht="37" customHeight="1" spans="1:5">
      <c r="A268" s="1074">
        <v>266</v>
      </c>
      <c r="B268" s="1075" t="s">
        <v>737</v>
      </c>
      <c r="C268" s="1076" t="s">
        <v>127</v>
      </c>
      <c r="D268" s="1076" t="s">
        <v>738</v>
      </c>
      <c r="E268" s="1081">
        <v>225558.830613333</v>
      </c>
    </row>
    <row r="269" ht="37" customHeight="1" spans="1:5">
      <c r="A269" s="1074">
        <v>267</v>
      </c>
      <c r="B269" s="1075" t="s">
        <v>739</v>
      </c>
      <c r="C269" s="1076" t="s">
        <v>113</v>
      </c>
      <c r="D269" s="1076" t="s">
        <v>740</v>
      </c>
      <c r="E269" s="1081">
        <v>202558.830613333</v>
      </c>
    </row>
    <row r="270" ht="37" customHeight="1" spans="1:5">
      <c r="A270" s="1074">
        <v>268</v>
      </c>
      <c r="B270" s="1075" t="s">
        <v>741</v>
      </c>
      <c r="C270" s="1076" t="s">
        <v>165</v>
      </c>
      <c r="D270" s="1076" t="s">
        <v>742</v>
      </c>
      <c r="E270" s="1081">
        <v>186491.59128</v>
      </c>
    </row>
    <row r="271" ht="37" customHeight="1" spans="1:5">
      <c r="A271" s="1074">
        <v>269</v>
      </c>
      <c r="B271" s="1075" t="s">
        <v>743</v>
      </c>
      <c r="C271" s="1076" t="s">
        <v>127</v>
      </c>
      <c r="D271" s="1076" t="s">
        <v>744</v>
      </c>
      <c r="E271" s="1081">
        <v>232558.830613333</v>
      </c>
    </row>
    <row r="272" ht="37" customHeight="1" spans="1:5">
      <c r="A272" s="1074">
        <v>270</v>
      </c>
      <c r="B272" s="1075" t="s">
        <v>745</v>
      </c>
      <c r="C272" s="1076" t="s">
        <v>165</v>
      </c>
      <c r="D272" s="1076" t="s">
        <v>746</v>
      </c>
      <c r="E272" s="1081">
        <v>231558.830613333</v>
      </c>
    </row>
    <row r="273" ht="37" customHeight="1" spans="1:5">
      <c r="A273" s="1074">
        <v>271</v>
      </c>
      <c r="B273" s="1075" t="s">
        <v>747</v>
      </c>
      <c r="C273" s="1076" t="s">
        <v>165</v>
      </c>
      <c r="D273" s="1076" t="s">
        <v>748</v>
      </c>
      <c r="E273" s="1081">
        <v>210558.830613333</v>
      </c>
    </row>
    <row r="274" ht="37" customHeight="1" spans="1:5">
      <c r="A274" s="1074">
        <v>272</v>
      </c>
      <c r="B274" s="1075" t="s">
        <v>749</v>
      </c>
      <c r="C274" s="1076" t="s">
        <v>127</v>
      </c>
      <c r="D274" s="1076" t="s">
        <v>750</v>
      </c>
      <c r="E274" s="1077">
        <v>226558.830613333</v>
      </c>
    </row>
    <row r="275" ht="37" customHeight="1" spans="1:5">
      <c r="A275" s="1074">
        <v>273</v>
      </c>
      <c r="B275" s="1075" t="s">
        <v>751</v>
      </c>
      <c r="C275" s="1076" t="s">
        <v>127</v>
      </c>
      <c r="D275" s="1076" t="s">
        <v>752</v>
      </c>
      <c r="E275" s="1077">
        <v>222558.830613333</v>
      </c>
    </row>
    <row r="276" ht="37" customHeight="1" spans="1:5">
      <c r="A276" s="1074">
        <v>274</v>
      </c>
      <c r="B276" s="1075" t="s">
        <v>753</v>
      </c>
      <c r="C276" s="1076" t="s">
        <v>101</v>
      </c>
      <c r="D276" s="1076" t="s">
        <v>754</v>
      </c>
      <c r="E276" s="1077">
        <v>233558.830613333</v>
      </c>
    </row>
    <row r="277" ht="37" customHeight="1" spans="1:5">
      <c r="A277" s="1074">
        <v>275</v>
      </c>
      <c r="B277" s="1075" t="s">
        <v>755</v>
      </c>
      <c r="C277" s="1076" t="s">
        <v>101</v>
      </c>
      <c r="D277" s="1076" t="s">
        <v>756</v>
      </c>
      <c r="E277" s="1077">
        <v>232558.830613333</v>
      </c>
    </row>
    <row r="278" ht="37" customHeight="1" spans="1:5">
      <c r="A278" s="1074">
        <v>276</v>
      </c>
      <c r="B278" s="1075" t="s">
        <v>757</v>
      </c>
      <c r="C278" s="1076" t="s">
        <v>113</v>
      </c>
      <c r="D278" s="1076" t="s">
        <v>758</v>
      </c>
      <c r="E278" s="1077">
        <v>182558.830613333</v>
      </c>
    </row>
    <row r="279" ht="37" customHeight="1" spans="1:5">
      <c r="A279" s="1074">
        <v>277</v>
      </c>
      <c r="B279" s="1075" t="s">
        <v>759</v>
      </c>
      <c r="C279" s="1076" t="s">
        <v>127</v>
      </c>
      <c r="D279" s="1076" t="s">
        <v>760</v>
      </c>
      <c r="E279" s="1077">
        <v>232558.830613333</v>
      </c>
    </row>
    <row r="280" ht="37" customHeight="1" spans="1:5">
      <c r="A280" s="1074">
        <v>278</v>
      </c>
      <c r="B280" s="1075" t="s">
        <v>761</v>
      </c>
      <c r="C280" s="1076" t="s">
        <v>93</v>
      </c>
      <c r="D280" s="1076" t="s">
        <v>762</v>
      </c>
      <c r="E280" s="1077">
        <v>284757.05803</v>
      </c>
    </row>
    <row r="281" ht="37" customHeight="1" spans="1:5">
      <c r="A281" s="1074">
        <v>279</v>
      </c>
      <c r="B281" s="1075" t="s">
        <v>763</v>
      </c>
      <c r="C281" s="1076" t="s">
        <v>113</v>
      </c>
      <c r="D281" s="1076" t="s">
        <v>764</v>
      </c>
      <c r="E281" s="1077">
        <v>276658.521696667</v>
      </c>
    </row>
    <row r="282" ht="37" customHeight="1" spans="1:5">
      <c r="A282" s="1074">
        <v>280</v>
      </c>
      <c r="B282" s="1075" t="s">
        <v>765</v>
      </c>
      <c r="C282" s="1076" t="s">
        <v>97</v>
      </c>
      <c r="D282" s="1076" t="s">
        <v>766</v>
      </c>
      <c r="E282" s="1077">
        <v>275658.521696667</v>
      </c>
    </row>
    <row r="283" ht="37" customHeight="1" spans="1:5">
      <c r="A283" s="1074">
        <v>281</v>
      </c>
      <c r="B283" s="1075" t="s">
        <v>767</v>
      </c>
      <c r="C283" s="1076" t="s">
        <v>113</v>
      </c>
      <c r="D283" s="1076" t="s">
        <v>768</v>
      </c>
      <c r="E283" s="1077">
        <v>232558.830613333</v>
      </c>
    </row>
    <row r="284" ht="37" customHeight="1" spans="1:5">
      <c r="A284" s="1074">
        <v>282</v>
      </c>
      <c r="B284" s="1075" t="s">
        <v>769</v>
      </c>
      <c r="C284" s="1076" t="s">
        <v>122</v>
      </c>
      <c r="D284" s="1076" t="s">
        <v>770</v>
      </c>
      <c r="E284" s="1077">
        <v>232558.830613333</v>
      </c>
    </row>
    <row r="285" ht="37" customHeight="1" spans="1:5">
      <c r="A285" s="1074">
        <v>283</v>
      </c>
      <c r="B285" s="1075" t="s">
        <v>864</v>
      </c>
      <c r="C285" s="1076" t="s">
        <v>313</v>
      </c>
      <c r="D285" s="1076" t="s">
        <v>865</v>
      </c>
      <c r="E285" s="1077"/>
    </row>
    <row r="286" ht="37" customHeight="1" spans="1:5">
      <c r="A286" s="1074">
        <v>284</v>
      </c>
      <c r="B286" s="1075" t="s">
        <v>771</v>
      </c>
      <c r="C286" s="1076" t="s">
        <v>93</v>
      </c>
      <c r="D286" s="1076" t="s">
        <v>772</v>
      </c>
      <c r="E286" s="1077">
        <v>232558.830613333</v>
      </c>
    </row>
    <row r="287" ht="37" customHeight="1" spans="1:5">
      <c r="A287" s="1074">
        <v>285</v>
      </c>
      <c r="B287" s="1075" t="s">
        <v>773</v>
      </c>
      <c r="C287" s="1076" t="s">
        <v>127</v>
      </c>
      <c r="D287" s="1076" t="s">
        <v>774</v>
      </c>
      <c r="E287" s="1077">
        <v>232558.830613333</v>
      </c>
    </row>
    <row r="288" ht="37" customHeight="1" spans="1:5">
      <c r="A288" s="1074">
        <v>286</v>
      </c>
      <c r="B288" s="1075" t="s">
        <v>775</v>
      </c>
      <c r="C288" s="1076" t="s">
        <v>313</v>
      </c>
      <c r="D288" s="1076" t="s">
        <v>776</v>
      </c>
      <c r="E288" s="1077">
        <v>212558.830613333</v>
      </c>
    </row>
    <row r="289" ht="37" customHeight="1" spans="1:5">
      <c r="A289" s="1074">
        <v>287</v>
      </c>
      <c r="B289" s="1075" t="s">
        <v>777</v>
      </c>
      <c r="C289" s="1076" t="s">
        <v>127</v>
      </c>
      <c r="D289" s="1076" t="s">
        <v>778</v>
      </c>
      <c r="E289" s="1077">
        <v>232558.830613333</v>
      </c>
    </row>
    <row r="290" ht="37" customHeight="1" spans="1:5">
      <c r="A290" s="1074">
        <v>288</v>
      </c>
      <c r="B290" s="1075" t="s">
        <v>779</v>
      </c>
      <c r="C290" s="1076" t="s">
        <v>127</v>
      </c>
      <c r="D290" s="1076" t="s">
        <v>780</v>
      </c>
      <c r="E290" s="1077">
        <v>212558.830613333</v>
      </c>
    </row>
    <row r="291" ht="37" customHeight="1" spans="1:5">
      <c r="A291" s="1074">
        <v>289</v>
      </c>
      <c r="B291" s="1075" t="s">
        <v>781</v>
      </c>
      <c r="C291" s="1076" t="s">
        <v>97</v>
      </c>
      <c r="D291" s="1076" t="s">
        <v>782</v>
      </c>
      <c r="E291" s="1077">
        <v>232558.830613333</v>
      </c>
    </row>
    <row r="292" ht="37" customHeight="1" spans="1:5">
      <c r="A292" s="1074">
        <v>290</v>
      </c>
      <c r="B292" s="1075" t="s">
        <v>783</v>
      </c>
      <c r="C292" s="1076" t="s">
        <v>165</v>
      </c>
      <c r="D292" s="1076" t="s">
        <v>784</v>
      </c>
      <c r="E292" s="1077">
        <v>215378.107413333</v>
      </c>
    </row>
    <row r="293" ht="37" customHeight="1" spans="1:5">
      <c r="A293" s="1074">
        <v>291</v>
      </c>
      <c r="B293" s="1075" t="s">
        <v>785</v>
      </c>
      <c r="C293" s="1076" t="s">
        <v>97</v>
      </c>
      <c r="D293" s="1076" t="s">
        <v>786</v>
      </c>
      <c r="E293" s="1077">
        <v>232558.830613333</v>
      </c>
    </row>
    <row r="294" ht="37" customHeight="1" spans="1:5">
      <c r="A294" s="1074">
        <v>292</v>
      </c>
      <c r="B294" s="1075" t="s">
        <v>787</v>
      </c>
      <c r="C294" s="1076" t="s">
        <v>145</v>
      </c>
      <c r="D294" s="1076" t="s">
        <v>788</v>
      </c>
      <c r="E294" s="1077">
        <v>225558.830613333</v>
      </c>
    </row>
    <row r="295" ht="37" customHeight="1" spans="1:5">
      <c r="A295" s="1074">
        <v>293</v>
      </c>
      <c r="B295" s="1075" t="s">
        <v>789</v>
      </c>
      <c r="C295" s="1076" t="s">
        <v>151</v>
      </c>
      <c r="D295" s="1076" t="s">
        <v>790</v>
      </c>
      <c r="E295" s="1077">
        <v>134224.830613333</v>
      </c>
    </row>
    <row r="296" ht="37" customHeight="1" spans="1:5">
      <c r="A296" s="1074">
        <v>294</v>
      </c>
      <c r="B296" s="1075" t="s">
        <v>791</v>
      </c>
      <c r="C296" s="1076" t="s">
        <v>361</v>
      </c>
      <c r="D296" s="1076" t="s">
        <v>792</v>
      </c>
      <c r="E296" s="1077">
        <v>227558.830613333</v>
      </c>
    </row>
    <row r="297" ht="37" customHeight="1" spans="1:5">
      <c r="A297" s="1074">
        <v>295</v>
      </c>
      <c r="B297" s="1075" t="s">
        <v>793</v>
      </c>
      <c r="C297" s="1076" t="s">
        <v>97</v>
      </c>
      <c r="D297" s="1076" t="s">
        <v>794</v>
      </c>
      <c r="E297" s="1077">
        <v>219058.830613333</v>
      </c>
    </row>
    <row r="298" ht="37" customHeight="1" spans="1:5">
      <c r="A298" s="1074">
        <v>296</v>
      </c>
      <c r="B298" s="1075" t="s">
        <v>795</v>
      </c>
      <c r="C298" s="1076" t="s">
        <v>113</v>
      </c>
      <c r="D298" s="1076" t="s">
        <v>796</v>
      </c>
      <c r="E298" s="1077">
        <v>190482.25025</v>
      </c>
    </row>
    <row r="299" ht="37" customHeight="1" spans="1:5">
      <c r="A299" s="1074">
        <v>297</v>
      </c>
      <c r="B299" s="1075" t="s">
        <v>797</v>
      </c>
      <c r="C299" s="1076" t="s">
        <v>135</v>
      </c>
      <c r="D299" s="1076" t="s">
        <v>798</v>
      </c>
      <c r="E299" s="1077">
        <v>189482.25025</v>
      </c>
    </row>
    <row r="300" ht="37" customHeight="1" spans="1:5">
      <c r="A300" s="1074">
        <v>298</v>
      </c>
      <c r="B300" s="1075" t="s">
        <v>799</v>
      </c>
      <c r="C300" s="1076" t="s">
        <v>113</v>
      </c>
      <c r="D300" s="1076" t="s">
        <v>800</v>
      </c>
      <c r="E300" s="1077">
        <v>190482.25025</v>
      </c>
    </row>
    <row r="301" ht="37" customHeight="1" spans="1:5">
      <c r="A301" s="1074">
        <v>299</v>
      </c>
      <c r="B301" s="1075" t="s">
        <v>801</v>
      </c>
      <c r="C301" s="1076" t="s">
        <v>93</v>
      </c>
      <c r="D301" s="1076" t="s">
        <v>802</v>
      </c>
      <c r="E301" s="1077">
        <v>147815.25025</v>
      </c>
    </row>
    <row r="302" ht="37" customHeight="1" spans="1:5">
      <c r="A302" s="1074">
        <v>300</v>
      </c>
      <c r="B302" s="1075" t="s">
        <v>803</v>
      </c>
      <c r="C302" s="1076" t="s">
        <v>127</v>
      </c>
      <c r="D302" s="1076" t="s">
        <v>804</v>
      </c>
      <c r="E302" s="1077">
        <v>205542.17128</v>
      </c>
    </row>
    <row r="303" ht="37" customHeight="1" spans="1:5">
      <c r="A303" s="1074">
        <v>301</v>
      </c>
      <c r="B303" s="1075" t="s">
        <v>805</v>
      </c>
      <c r="C303" s="1076" t="s">
        <v>97</v>
      </c>
      <c r="D303" s="1076" t="s">
        <v>806</v>
      </c>
      <c r="E303" s="1077">
        <v>189482.25025</v>
      </c>
    </row>
    <row r="304" ht="37" customHeight="1" spans="1:5">
      <c r="A304" s="1074">
        <v>302</v>
      </c>
      <c r="B304" s="1075" t="s">
        <v>807</v>
      </c>
      <c r="C304" s="1076" t="s">
        <v>97</v>
      </c>
      <c r="D304" s="1076" t="s">
        <v>809</v>
      </c>
      <c r="E304" s="1077">
        <v>185530.892011333</v>
      </c>
    </row>
    <row r="305" ht="37" customHeight="1" spans="1:5">
      <c r="A305" s="1074">
        <v>303</v>
      </c>
      <c r="B305" s="1075" t="s">
        <v>810</v>
      </c>
      <c r="C305" s="1076" t="s">
        <v>135</v>
      </c>
      <c r="D305" s="1076" t="s">
        <v>811</v>
      </c>
      <c r="E305" s="1077">
        <v>185530.892011333</v>
      </c>
    </row>
    <row r="306" ht="37" customHeight="1" spans="1:5">
      <c r="A306" s="1074">
        <v>304</v>
      </c>
      <c r="B306" s="1075" t="s">
        <v>812</v>
      </c>
      <c r="C306" s="1076" t="s">
        <v>97</v>
      </c>
      <c r="D306" s="1076" t="s">
        <v>813</v>
      </c>
      <c r="E306" s="1077">
        <v>185530.892011333</v>
      </c>
    </row>
    <row r="307" ht="37" customHeight="1" spans="1:5">
      <c r="A307" s="1074">
        <v>305</v>
      </c>
      <c r="B307" s="1075" t="s">
        <v>814</v>
      </c>
      <c r="C307" s="1076" t="s">
        <v>157</v>
      </c>
      <c r="D307" s="1076" t="s">
        <v>816</v>
      </c>
      <c r="E307" s="1077">
        <v>185530.892011333</v>
      </c>
    </row>
    <row r="308" ht="37" customHeight="1" spans="1:5">
      <c r="A308" s="1074">
        <v>306</v>
      </c>
      <c r="B308" s="1075" t="s">
        <v>817</v>
      </c>
      <c r="C308" s="1076" t="s">
        <v>113</v>
      </c>
      <c r="D308" s="1076" t="s">
        <v>818</v>
      </c>
      <c r="E308" s="1077">
        <v>165530.892011333</v>
      </c>
    </row>
    <row r="309" ht="37" customHeight="1" spans="1:5">
      <c r="A309" s="1074">
        <v>307</v>
      </c>
      <c r="B309" s="1075" t="s">
        <v>819</v>
      </c>
      <c r="C309" s="1076" t="s">
        <v>97</v>
      </c>
      <c r="D309" s="1076" t="s">
        <v>820</v>
      </c>
      <c r="E309" s="1077">
        <v>185530.892011333</v>
      </c>
    </row>
    <row r="310" ht="37" customHeight="1" spans="1:5">
      <c r="A310" s="1074">
        <v>308</v>
      </c>
      <c r="B310" s="1075" t="s">
        <v>821</v>
      </c>
      <c r="C310" s="1076" t="s">
        <v>259</v>
      </c>
      <c r="D310" s="1076" t="s">
        <v>822</v>
      </c>
      <c r="E310" s="1077">
        <v>185530.892011333</v>
      </c>
    </row>
    <row r="311" ht="37" customHeight="1" spans="1:5">
      <c r="A311" s="1074">
        <v>309</v>
      </c>
      <c r="B311" s="1075" t="s">
        <v>823</v>
      </c>
      <c r="C311" s="1076" t="s">
        <v>135</v>
      </c>
      <c r="D311" s="1076" t="s">
        <v>824</v>
      </c>
      <c r="E311" s="1077">
        <v>185530.892011333</v>
      </c>
    </row>
    <row r="312" ht="37" customHeight="1" spans="1:5">
      <c r="A312" s="1074">
        <v>310</v>
      </c>
      <c r="B312" s="1075" t="s">
        <v>825</v>
      </c>
      <c r="C312" s="1076" t="s">
        <v>122</v>
      </c>
      <c r="D312" s="1076" t="s">
        <v>826</v>
      </c>
      <c r="E312" s="1077">
        <v>185530.892011333</v>
      </c>
    </row>
    <row r="313" ht="37" customHeight="1" spans="1:5">
      <c r="A313" s="1074">
        <v>311</v>
      </c>
      <c r="B313" s="1075" t="s">
        <v>827</v>
      </c>
      <c r="C313" s="1076" t="s">
        <v>113</v>
      </c>
      <c r="D313" s="1076" t="s">
        <v>828</v>
      </c>
      <c r="E313" s="1077">
        <v>185530.892011333</v>
      </c>
    </row>
    <row r="314" ht="37" customHeight="1" spans="1:5">
      <c r="A314" s="1074">
        <v>312</v>
      </c>
      <c r="B314" s="1075" t="s">
        <v>829</v>
      </c>
      <c r="C314" s="1076" t="s">
        <v>313</v>
      </c>
      <c r="D314" s="1076" t="s">
        <v>830</v>
      </c>
      <c r="E314" s="1077">
        <v>185530.892011333</v>
      </c>
    </row>
    <row r="315" ht="37" customHeight="1" spans="1:5">
      <c r="A315" s="1074">
        <v>313</v>
      </c>
      <c r="B315" s="1075" t="s">
        <v>831</v>
      </c>
      <c r="C315" s="1076" t="s">
        <v>157</v>
      </c>
      <c r="D315" s="1076" t="s">
        <v>832</v>
      </c>
      <c r="E315" s="1077">
        <v>185530.892011333</v>
      </c>
    </row>
    <row r="316" ht="37" customHeight="1" spans="1:5">
      <c r="A316" s="1074">
        <v>314</v>
      </c>
      <c r="B316" s="1075" t="s">
        <v>833</v>
      </c>
      <c r="C316" s="1076" t="s">
        <v>97</v>
      </c>
      <c r="D316" s="1076" t="s">
        <v>834</v>
      </c>
      <c r="E316" s="1077">
        <v>185531.966344667</v>
      </c>
    </row>
    <row r="317" ht="37" customHeight="1" spans="1:5">
      <c r="A317" s="1074">
        <v>315</v>
      </c>
      <c r="B317" s="1075" t="s">
        <v>835</v>
      </c>
      <c r="C317" s="1076" t="s">
        <v>97</v>
      </c>
      <c r="D317" s="1076">
        <v>1919736084</v>
      </c>
      <c r="E317" s="1077">
        <v>185529.892011333</v>
      </c>
    </row>
    <row r="318" ht="37" customHeight="1" spans="1:5">
      <c r="A318" s="1074">
        <v>316</v>
      </c>
      <c r="B318" s="1075" t="s">
        <v>836</v>
      </c>
      <c r="C318" s="1076" t="s">
        <v>97</v>
      </c>
      <c r="D318" s="1076">
        <v>1770212365</v>
      </c>
      <c r="E318" s="1077">
        <v>215851.120344667</v>
      </c>
    </row>
    <row r="319" ht="37" customHeight="1" spans="1:5">
      <c r="A319" s="1074">
        <v>317</v>
      </c>
      <c r="B319" s="1075" t="s">
        <v>837</v>
      </c>
      <c r="C319" s="1076" t="s">
        <v>122</v>
      </c>
      <c r="D319" s="1076" t="s">
        <v>838</v>
      </c>
      <c r="E319" s="1077">
        <v>229005.56353</v>
      </c>
    </row>
    <row r="320" ht="37" customHeight="1" spans="1:5">
      <c r="A320" s="1074">
        <v>318</v>
      </c>
      <c r="B320" s="1075" t="s">
        <v>839</v>
      </c>
      <c r="C320" s="1076"/>
      <c r="D320" s="1076"/>
      <c r="E320" s="1077">
        <v>206340.599133333</v>
      </c>
    </row>
    <row r="321" ht="37" customHeight="1" spans="1:5">
      <c r="A321" s="1074">
        <v>319</v>
      </c>
      <c r="B321" s="1075" t="s">
        <v>843</v>
      </c>
      <c r="C321" s="1076" t="s">
        <v>354</v>
      </c>
      <c r="D321" s="1076">
        <v>6047458770</v>
      </c>
      <c r="E321" s="1077">
        <v>371061.784022667</v>
      </c>
    </row>
    <row r="322" ht="37" customHeight="1" spans="1:5">
      <c r="A322" s="1074">
        <v>320</v>
      </c>
      <c r="B322" s="1075" t="s">
        <v>845</v>
      </c>
      <c r="C322" s="1076" t="s">
        <v>93</v>
      </c>
      <c r="D322" s="1076">
        <v>3142333818</v>
      </c>
      <c r="E322" s="1077">
        <v>186531.988678</v>
      </c>
    </row>
    <row r="323" ht="37" customHeight="1" spans="1:5">
      <c r="A323" s="1074">
        <v>321</v>
      </c>
      <c r="B323" s="1075" t="s">
        <v>847</v>
      </c>
      <c r="C323" s="1076" t="s">
        <v>113</v>
      </c>
      <c r="D323" s="1076">
        <v>2089341313</v>
      </c>
      <c r="E323" s="1077">
        <v>186533.085344667</v>
      </c>
    </row>
    <row r="324" ht="37" customHeight="1" spans="1:5">
      <c r="A324" s="1074">
        <v>322</v>
      </c>
      <c r="B324" s="1075" t="s">
        <v>848</v>
      </c>
      <c r="C324" s="1076" t="s">
        <v>127</v>
      </c>
      <c r="D324" s="1076" t="s">
        <v>849</v>
      </c>
      <c r="E324" s="1077">
        <v>186533.085344667</v>
      </c>
    </row>
    <row r="325" ht="37" customHeight="1" spans="1:5">
      <c r="A325" s="1074">
        <v>323</v>
      </c>
      <c r="B325" s="1075" t="s">
        <v>850</v>
      </c>
      <c r="C325" s="1076" t="s">
        <v>135</v>
      </c>
      <c r="D325" s="1076" t="s">
        <v>851</v>
      </c>
      <c r="E325" s="1077">
        <v>186533.085344667</v>
      </c>
    </row>
    <row r="326" ht="37" customHeight="1" spans="1:5">
      <c r="A326" s="1074">
        <v>324</v>
      </c>
      <c r="B326" s="1075" t="s">
        <v>852</v>
      </c>
      <c r="C326" s="1076" t="s">
        <v>135</v>
      </c>
      <c r="D326" s="1076" t="s">
        <v>853</v>
      </c>
      <c r="E326" s="1077">
        <v>186534.182011333</v>
      </c>
    </row>
    <row r="327" ht="37" customHeight="1" spans="1:5">
      <c r="A327" s="1074">
        <v>325</v>
      </c>
      <c r="B327" s="1075" t="s">
        <v>866</v>
      </c>
      <c r="C327" s="1076" t="s">
        <v>97</v>
      </c>
      <c r="D327" s="1076">
        <v>1429055824</v>
      </c>
      <c r="E327" s="1077">
        <v>186535.278678</v>
      </c>
    </row>
    <row r="328" ht="37" customHeight="1" spans="1:5">
      <c r="A328" s="1074">
        <v>326</v>
      </c>
      <c r="B328" s="1075" t="s">
        <v>855</v>
      </c>
      <c r="C328" s="1076" t="s">
        <v>97</v>
      </c>
      <c r="D328" s="1076">
        <v>1918502707</v>
      </c>
      <c r="E328" s="1077">
        <v>371061.784022667</v>
      </c>
    </row>
    <row r="329" ht="37" customHeight="1" spans="1:5">
      <c r="A329" s="1074">
        <v>327</v>
      </c>
      <c r="B329" s="1075" t="s">
        <v>856</v>
      </c>
      <c r="C329" s="1076" t="s">
        <v>135</v>
      </c>
      <c r="D329" s="1076" t="s">
        <v>857</v>
      </c>
      <c r="E329" s="1077">
        <v>185530.892011333</v>
      </c>
    </row>
    <row r="330" ht="49" customHeight="1" spans="1:5">
      <c r="A330" s="1082"/>
      <c r="B330" s="1083" t="s">
        <v>867</v>
      </c>
      <c r="C330" s="1084"/>
      <c r="D330" s="1084"/>
      <c r="E330" s="1085">
        <f>SUM(E3:E329)</f>
        <v>76800162.5956945</v>
      </c>
    </row>
    <row r="331" ht="75" customHeight="1" spans="1:5">
      <c r="A331" s="1086" t="s">
        <v>868</v>
      </c>
      <c r="B331" s="1086"/>
      <c r="C331" s="1086"/>
      <c r="D331" s="1086"/>
      <c r="E331" s="1086"/>
    </row>
    <row r="332" ht="37" customHeight="1" spans="1:5">
      <c r="A332" s="5">
        <v>329</v>
      </c>
      <c r="B332" s="1087" t="s">
        <v>869</v>
      </c>
      <c r="C332" s="1088" t="s">
        <v>113</v>
      </c>
      <c r="D332" s="1088">
        <v>2067399897</v>
      </c>
      <c r="E332" s="1077">
        <v>199064.937</v>
      </c>
    </row>
    <row r="333" ht="37" customHeight="1" spans="1:5">
      <c r="A333" s="5">
        <v>330</v>
      </c>
      <c r="B333" s="1087" t="s">
        <v>870</v>
      </c>
      <c r="C333" s="1089" t="s">
        <v>871</v>
      </c>
      <c r="D333" s="1089">
        <v>6017466005</v>
      </c>
      <c r="E333" s="1077">
        <v>139592.8802</v>
      </c>
    </row>
    <row r="334" ht="37" customHeight="1" spans="1:5">
      <c r="A334" s="5">
        <v>331</v>
      </c>
      <c r="B334" s="1087" t="s">
        <v>872</v>
      </c>
      <c r="C334" s="1089" t="s">
        <v>873</v>
      </c>
      <c r="D334" s="1447" t="s">
        <v>874</v>
      </c>
      <c r="E334" s="1077">
        <v>322998.281253333</v>
      </c>
    </row>
    <row r="335" ht="37" customHeight="1" spans="1:5">
      <c r="A335" s="5">
        <v>332</v>
      </c>
      <c r="B335" s="1087" t="s">
        <v>875</v>
      </c>
      <c r="C335" s="1088" t="s">
        <v>871</v>
      </c>
      <c r="D335" s="1089">
        <v>5331903472</v>
      </c>
      <c r="E335" s="1077">
        <v>107069.235</v>
      </c>
    </row>
    <row r="336" ht="37" customHeight="1" spans="1:5">
      <c r="A336" s="5">
        <v>333</v>
      </c>
      <c r="B336" s="1087" t="s">
        <v>876</v>
      </c>
      <c r="C336" s="1089" t="s">
        <v>135</v>
      </c>
      <c r="D336" s="1447" t="s">
        <v>877</v>
      </c>
      <c r="E336" s="1077">
        <v>259734.7542</v>
      </c>
    </row>
    <row r="337" ht="37" customHeight="1" spans="1:5">
      <c r="A337" s="5">
        <v>334</v>
      </c>
      <c r="B337" s="1087" t="s">
        <v>878</v>
      </c>
      <c r="C337" s="1088" t="s">
        <v>113</v>
      </c>
      <c r="D337" s="1088" t="s">
        <v>879</v>
      </c>
      <c r="E337" s="1077">
        <v>320399.0042</v>
      </c>
    </row>
    <row r="338" ht="37" customHeight="1" spans="1:5">
      <c r="A338" s="5">
        <v>335</v>
      </c>
      <c r="B338" s="1087" t="s">
        <v>880</v>
      </c>
      <c r="C338" s="1088" t="s">
        <v>871</v>
      </c>
      <c r="D338" s="1088">
        <v>6170236860</v>
      </c>
      <c r="E338" s="1077">
        <v>224148.670866667</v>
      </c>
    </row>
    <row r="339" ht="37" customHeight="1" spans="1:5">
      <c r="A339" s="5">
        <v>336</v>
      </c>
      <c r="B339" s="1087" t="s">
        <v>881</v>
      </c>
      <c r="C339" s="1088" t="s">
        <v>93</v>
      </c>
      <c r="D339" s="1088">
        <v>3119660547</v>
      </c>
      <c r="E339" s="1077">
        <v>139506.0096</v>
      </c>
    </row>
    <row r="340" ht="37" customHeight="1" spans="1:5">
      <c r="A340" s="5">
        <v>337</v>
      </c>
      <c r="B340" s="1087" t="s">
        <v>882</v>
      </c>
      <c r="C340" s="1088" t="s">
        <v>871</v>
      </c>
      <c r="D340" s="1088">
        <v>6239775462</v>
      </c>
      <c r="E340" s="1077">
        <v>291382.337533333</v>
      </c>
    </row>
    <row r="341" ht="37" customHeight="1" spans="1:5">
      <c r="A341" s="5">
        <v>338</v>
      </c>
      <c r="B341" s="1087" t="s">
        <v>883</v>
      </c>
      <c r="C341" s="1088" t="s">
        <v>97</v>
      </c>
      <c r="D341" s="1088" t="s">
        <v>884</v>
      </c>
      <c r="E341" s="1077">
        <v>18461.2636</v>
      </c>
    </row>
    <row r="342" ht="37" customHeight="1" spans="1:5">
      <c r="A342" s="5">
        <v>339</v>
      </c>
      <c r="B342" s="1087" t="s">
        <v>885</v>
      </c>
      <c r="C342" s="1088" t="s">
        <v>165</v>
      </c>
      <c r="D342" s="1088">
        <v>2120701852</v>
      </c>
      <c r="E342" s="1077">
        <v>131377.995</v>
      </c>
    </row>
    <row r="343" ht="37" customHeight="1" spans="1:5">
      <c r="A343" s="5">
        <v>340</v>
      </c>
      <c r="B343" s="1087" t="s">
        <v>886</v>
      </c>
      <c r="C343" s="1088" t="s">
        <v>113</v>
      </c>
      <c r="D343" s="1088" t="s">
        <v>887</v>
      </c>
      <c r="E343" s="1077">
        <v>18873.2822</v>
      </c>
    </row>
    <row r="344" ht="37" customHeight="1" spans="1:5">
      <c r="A344" s="5">
        <v>341</v>
      </c>
      <c r="B344" s="1087" t="s">
        <v>888</v>
      </c>
      <c r="C344" s="1088" t="s">
        <v>889</v>
      </c>
      <c r="D344" s="1088" t="s">
        <v>890</v>
      </c>
      <c r="E344" s="1077">
        <v>97434.6</v>
      </c>
    </row>
    <row r="345" ht="37" customHeight="1" spans="1:5">
      <c r="A345" s="5">
        <v>342</v>
      </c>
      <c r="B345" s="1087" t="s">
        <v>891</v>
      </c>
      <c r="C345" s="1088" t="s">
        <v>892</v>
      </c>
      <c r="D345" s="1088" t="s">
        <v>893</v>
      </c>
      <c r="E345" s="1077">
        <v>369611.496933333</v>
      </c>
    </row>
    <row r="346" ht="37" customHeight="1" spans="1:5">
      <c r="A346" s="5">
        <v>343</v>
      </c>
      <c r="B346" s="1087" t="s">
        <v>894</v>
      </c>
      <c r="C346" s="1088" t="s">
        <v>165</v>
      </c>
      <c r="D346" s="1088" t="s">
        <v>895</v>
      </c>
      <c r="E346" s="1077">
        <v>76774.1669333333</v>
      </c>
    </row>
    <row r="347" ht="37" customHeight="1" spans="1:5">
      <c r="A347" s="5">
        <v>344</v>
      </c>
      <c r="B347" s="1087" t="s">
        <v>896</v>
      </c>
      <c r="C347" s="1088" t="s">
        <v>113</v>
      </c>
      <c r="D347" s="1088" t="s">
        <v>897</v>
      </c>
      <c r="E347" s="1077">
        <v>237608.141663333</v>
      </c>
    </row>
    <row r="348" ht="37" customHeight="1" spans="1:5">
      <c r="A348" s="5">
        <v>345</v>
      </c>
      <c r="B348" s="1087" t="s">
        <v>898</v>
      </c>
      <c r="C348" s="1088" t="s">
        <v>135</v>
      </c>
      <c r="D348" s="1448" t="s">
        <v>899</v>
      </c>
      <c r="E348" s="1077">
        <v>165108.56</v>
      </c>
    </row>
    <row r="349" ht="37" customHeight="1" spans="1:5">
      <c r="A349" s="5">
        <v>346</v>
      </c>
      <c r="B349" s="1087" t="s">
        <v>900</v>
      </c>
      <c r="C349" s="1088" t="s">
        <v>93</v>
      </c>
      <c r="D349" s="1088">
        <v>3080189126</v>
      </c>
      <c r="E349" s="1077">
        <v>145316.4036</v>
      </c>
    </row>
    <row r="350" ht="37" customHeight="1" spans="1:5">
      <c r="A350" s="5">
        <v>347</v>
      </c>
      <c r="B350" s="1087" t="s">
        <v>901</v>
      </c>
      <c r="C350" s="1088" t="s">
        <v>873</v>
      </c>
      <c r="D350" s="1088" t="s">
        <v>902</v>
      </c>
      <c r="E350" s="1077">
        <v>218502.2864</v>
      </c>
    </row>
    <row r="351" ht="37" customHeight="1" spans="1:5">
      <c r="A351" s="5">
        <v>348</v>
      </c>
      <c r="B351" s="1087" t="s">
        <v>903</v>
      </c>
      <c r="C351" s="1088" t="s">
        <v>135</v>
      </c>
      <c r="D351" s="1448" t="s">
        <v>904</v>
      </c>
      <c r="E351" s="1077">
        <v>226930.949733333</v>
      </c>
    </row>
    <row r="352" ht="37" customHeight="1" spans="1:5">
      <c r="A352" s="5">
        <v>349</v>
      </c>
      <c r="B352" s="1087" t="s">
        <v>905</v>
      </c>
      <c r="C352" s="1088" t="s">
        <v>135</v>
      </c>
      <c r="D352" s="1448" t="s">
        <v>906</v>
      </c>
      <c r="E352" s="1077">
        <v>111676.138253333</v>
      </c>
    </row>
    <row r="353" ht="37" customHeight="1" spans="1:5">
      <c r="A353" s="5">
        <v>350</v>
      </c>
      <c r="B353" s="1087" t="s">
        <v>907</v>
      </c>
      <c r="C353" s="1088" t="s">
        <v>93</v>
      </c>
      <c r="D353" s="1088">
        <v>3061017477</v>
      </c>
      <c r="E353" s="1077">
        <v>234121.0364</v>
      </c>
    </row>
    <row r="354" ht="37" customHeight="1" spans="1:5">
      <c r="A354" s="5">
        <v>351</v>
      </c>
      <c r="B354" s="1087" t="s">
        <v>908</v>
      </c>
      <c r="C354" s="1088" t="s">
        <v>873</v>
      </c>
      <c r="D354" s="1448" t="s">
        <v>909</v>
      </c>
      <c r="E354" s="1077">
        <v>273541.753881944</v>
      </c>
    </row>
    <row r="355" ht="37" customHeight="1" spans="1:5">
      <c r="A355" s="5">
        <v>352</v>
      </c>
      <c r="B355" s="1087" t="s">
        <v>910</v>
      </c>
      <c r="C355" s="1088" t="s">
        <v>113</v>
      </c>
      <c r="D355" s="1088" t="s">
        <v>911</v>
      </c>
      <c r="E355" s="1077">
        <v>87499.9736</v>
      </c>
    </row>
    <row r="356" ht="37" customHeight="1" spans="1:5">
      <c r="A356" s="5">
        <v>353</v>
      </c>
      <c r="B356" s="1087" t="s">
        <v>912</v>
      </c>
      <c r="C356" s="1088" t="s">
        <v>113</v>
      </c>
      <c r="D356" s="1088" t="s">
        <v>913</v>
      </c>
      <c r="E356" s="1077">
        <v>95934.6</v>
      </c>
    </row>
    <row r="357" ht="37" customHeight="1" spans="1:5">
      <c r="A357" s="5">
        <v>354</v>
      </c>
      <c r="B357" s="1087" t="s">
        <v>914</v>
      </c>
      <c r="C357" s="1088" t="s">
        <v>915</v>
      </c>
      <c r="D357" s="1448" t="s">
        <v>916</v>
      </c>
      <c r="E357" s="1077">
        <v>120206.0964</v>
      </c>
    </row>
    <row r="358" ht="37" customHeight="1" spans="1:5">
      <c r="A358" s="5">
        <v>355</v>
      </c>
      <c r="B358" s="1087" t="s">
        <v>917</v>
      </c>
      <c r="C358" s="1088" t="s">
        <v>915</v>
      </c>
      <c r="D358" s="1448" t="s">
        <v>918</v>
      </c>
      <c r="E358" s="1077">
        <v>29599.7904</v>
      </c>
    </row>
    <row r="359" ht="37" customHeight="1" spans="1:5">
      <c r="A359" s="5">
        <v>356</v>
      </c>
      <c r="B359" s="1087" t="s">
        <v>919</v>
      </c>
      <c r="C359" s="1088" t="s">
        <v>93</v>
      </c>
      <c r="D359" s="1088" t="s">
        <v>920</v>
      </c>
      <c r="E359" s="1077">
        <v>126787.707173333</v>
      </c>
    </row>
    <row r="360" ht="37" customHeight="1" spans="1:5">
      <c r="A360" s="5">
        <v>357</v>
      </c>
      <c r="B360" s="1087" t="s">
        <v>921</v>
      </c>
      <c r="C360" s="1088" t="s">
        <v>135</v>
      </c>
      <c r="D360" s="1448" t="s">
        <v>922</v>
      </c>
      <c r="E360" s="1077">
        <v>350832.1636</v>
      </c>
    </row>
    <row r="361" ht="37" customHeight="1" spans="1:5">
      <c r="A361" s="5">
        <v>358</v>
      </c>
      <c r="B361" s="1087" t="s">
        <v>923</v>
      </c>
      <c r="C361" s="1088" t="s">
        <v>113</v>
      </c>
      <c r="D361" s="1088" t="s">
        <v>924</v>
      </c>
      <c r="E361" s="1077">
        <v>91095.8348</v>
      </c>
    </row>
    <row r="362" ht="37" customHeight="1" spans="1:5">
      <c r="A362" s="5">
        <v>359</v>
      </c>
      <c r="B362" s="1087" t="s">
        <v>925</v>
      </c>
      <c r="C362" s="1088" t="s">
        <v>135</v>
      </c>
      <c r="D362" s="1448" t="s">
        <v>926</v>
      </c>
      <c r="E362" s="1077">
        <v>166989.829433333</v>
      </c>
    </row>
    <row r="363" ht="37" customHeight="1" spans="1:5">
      <c r="A363" s="5">
        <v>360</v>
      </c>
      <c r="B363" s="1087" t="s">
        <v>927</v>
      </c>
      <c r="C363" s="1088" t="s">
        <v>873</v>
      </c>
      <c r="D363" s="1448" t="s">
        <v>928</v>
      </c>
      <c r="E363" s="1077">
        <v>210627.23</v>
      </c>
    </row>
    <row r="364" ht="37" customHeight="1" spans="1:5">
      <c r="A364" s="5">
        <v>361</v>
      </c>
      <c r="B364" s="1087" t="s">
        <v>929</v>
      </c>
      <c r="C364" s="1088" t="s">
        <v>873</v>
      </c>
      <c r="D364" s="1448" t="s">
        <v>930</v>
      </c>
      <c r="E364" s="1077">
        <v>179989.829433333</v>
      </c>
    </row>
    <row r="365" ht="37" customHeight="1" spans="1:5">
      <c r="A365" s="5">
        <v>362</v>
      </c>
      <c r="B365" s="1087" t="s">
        <v>931</v>
      </c>
      <c r="C365" s="1088" t="s">
        <v>113</v>
      </c>
      <c r="D365" s="1088" t="s">
        <v>932</v>
      </c>
      <c r="E365" s="1077">
        <v>81049.89</v>
      </c>
    </row>
    <row r="366" ht="37" customHeight="1" spans="1:5">
      <c r="A366" s="5">
        <v>363</v>
      </c>
      <c r="B366" s="1087" t="s">
        <v>933</v>
      </c>
      <c r="C366" s="1088" t="s">
        <v>934</v>
      </c>
      <c r="D366" s="1448" t="s">
        <v>935</v>
      </c>
      <c r="E366" s="1077">
        <v>165110.563333333</v>
      </c>
    </row>
    <row r="367" ht="37" customHeight="1" spans="1:5">
      <c r="A367" s="5">
        <v>364</v>
      </c>
      <c r="B367" s="1087" t="s">
        <v>936</v>
      </c>
      <c r="C367" s="1088" t="s">
        <v>127</v>
      </c>
      <c r="D367" s="1448" t="s">
        <v>937</v>
      </c>
      <c r="E367" s="1077">
        <v>164275.23</v>
      </c>
    </row>
    <row r="368" ht="37" customHeight="1" spans="1:5">
      <c r="A368" s="5">
        <v>365</v>
      </c>
      <c r="B368" s="1087" t="s">
        <v>938</v>
      </c>
      <c r="C368" s="1074" t="s">
        <v>113</v>
      </c>
      <c r="D368" s="1090">
        <v>2036187878</v>
      </c>
      <c r="E368" s="1077">
        <v>137537.769733333</v>
      </c>
    </row>
    <row r="369" ht="37" customHeight="1" spans="1:5">
      <c r="A369" s="5">
        <v>366</v>
      </c>
      <c r="B369" s="1087" t="s">
        <v>939</v>
      </c>
      <c r="C369" s="1088" t="s">
        <v>915</v>
      </c>
      <c r="D369" s="1448" t="s">
        <v>940</v>
      </c>
      <c r="E369" s="1077">
        <v>85233.5633333333</v>
      </c>
    </row>
    <row r="370" ht="37" customHeight="1" spans="1:5">
      <c r="A370" s="5">
        <v>367</v>
      </c>
      <c r="B370" s="1087" t="s">
        <v>941</v>
      </c>
      <c r="C370" s="1088" t="s">
        <v>97</v>
      </c>
      <c r="D370" s="1448" t="s">
        <v>942</v>
      </c>
      <c r="E370" s="1077">
        <v>185325.3133</v>
      </c>
    </row>
    <row r="371" ht="37" customHeight="1" spans="1:5">
      <c r="A371" s="5">
        <v>368</v>
      </c>
      <c r="B371" s="1087" t="s">
        <v>943</v>
      </c>
      <c r="C371" s="1088" t="s">
        <v>93</v>
      </c>
      <c r="D371" s="1088">
        <v>3037040188</v>
      </c>
      <c r="E371" s="1077">
        <v>143454.6736</v>
      </c>
    </row>
    <row r="372" ht="37" customHeight="1" spans="1:5">
      <c r="A372" s="5">
        <v>369</v>
      </c>
      <c r="B372" s="1087" t="s">
        <v>944</v>
      </c>
      <c r="C372" s="1088" t="s">
        <v>113</v>
      </c>
      <c r="D372" s="1088">
        <v>2102592986</v>
      </c>
      <c r="E372" s="1077">
        <v>110209.9564</v>
      </c>
    </row>
    <row r="373" ht="37" customHeight="1" spans="1:5">
      <c r="A373" s="5">
        <v>370</v>
      </c>
      <c r="B373" s="1087" t="s">
        <v>945</v>
      </c>
      <c r="C373" s="1088" t="s">
        <v>113</v>
      </c>
      <c r="D373" s="1088">
        <v>2028284028</v>
      </c>
      <c r="E373" s="1077">
        <v>146876.9564</v>
      </c>
    </row>
    <row r="374" ht="37" customHeight="1" spans="1:5">
      <c r="A374" s="5">
        <v>371</v>
      </c>
      <c r="B374" s="1087" t="s">
        <v>946</v>
      </c>
      <c r="C374" s="1088" t="s">
        <v>549</v>
      </c>
      <c r="D374" s="1088" t="s">
        <v>947</v>
      </c>
      <c r="E374" s="1077">
        <v>142556.4364</v>
      </c>
    </row>
    <row r="375" ht="37" customHeight="1" spans="1:5">
      <c r="A375" s="5">
        <v>372</v>
      </c>
      <c r="B375" s="1087" t="s">
        <v>948</v>
      </c>
      <c r="C375" s="1088" t="s">
        <v>165</v>
      </c>
      <c r="D375" s="1088">
        <v>2190891929</v>
      </c>
      <c r="E375" s="1077">
        <v>121635.6436</v>
      </c>
    </row>
    <row r="376" ht="37" customHeight="1" spans="1:5">
      <c r="A376" s="5">
        <v>373</v>
      </c>
      <c r="B376" s="1087" t="s">
        <v>949</v>
      </c>
      <c r="C376" s="1088" t="s">
        <v>165</v>
      </c>
      <c r="D376" s="1088" t="s">
        <v>950</v>
      </c>
      <c r="E376" s="1077">
        <v>98768.4</v>
      </c>
    </row>
    <row r="377" ht="37" customHeight="1" spans="1:5">
      <c r="A377" s="5">
        <v>374</v>
      </c>
      <c r="B377" s="1087" t="s">
        <v>951</v>
      </c>
      <c r="C377" s="1088" t="s">
        <v>113</v>
      </c>
      <c r="D377" s="1088" t="s">
        <v>952</v>
      </c>
      <c r="E377" s="1077">
        <v>70990.4</v>
      </c>
    </row>
    <row r="378" ht="37" customHeight="1" spans="1:5">
      <c r="A378" s="5">
        <v>375</v>
      </c>
      <c r="B378" s="1087" t="s">
        <v>953</v>
      </c>
      <c r="C378" s="1088" t="s">
        <v>113</v>
      </c>
      <c r="D378" s="1088" t="s">
        <v>954</v>
      </c>
      <c r="E378" s="1077">
        <v>114094.196693333</v>
      </c>
    </row>
    <row r="379" ht="37" customHeight="1" spans="1:5">
      <c r="A379" s="5">
        <v>376</v>
      </c>
      <c r="B379" s="1087" t="s">
        <v>955</v>
      </c>
      <c r="C379" s="1088" t="s">
        <v>313</v>
      </c>
      <c r="D379" s="1448" t="s">
        <v>956</v>
      </c>
      <c r="E379" s="1077">
        <v>356025.80833</v>
      </c>
    </row>
    <row r="380" ht="37" customHeight="1" spans="1:5">
      <c r="A380" s="5">
        <v>377</v>
      </c>
      <c r="B380" s="1087" t="s">
        <v>957</v>
      </c>
      <c r="C380" s="1088" t="s">
        <v>113</v>
      </c>
      <c r="D380" s="1088" t="s">
        <v>958</v>
      </c>
      <c r="E380" s="1077">
        <v>58523.136</v>
      </c>
    </row>
    <row r="381" ht="37" customHeight="1" spans="1:5">
      <c r="A381" s="5">
        <v>378</v>
      </c>
      <c r="B381" s="1087" t="s">
        <v>959</v>
      </c>
      <c r="C381" s="1088" t="s">
        <v>93</v>
      </c>
      <c r="D381" s="1088" t="s">
        <v>960</v>
      </c>
      <c r="E381" s="1077">
        <v>46225.3936</v>
      </c>
    </row>
    <row r="382" ht="37" customHeight="1" spans="1:5">
      <c r="A382" s="5">
        <v>379</v>
      </c>
      <c r="B382" s="1087" t="s">
        <v>961</v>
      </c>
      <c r="C382" s="1088" t="s">
        <v>354</v>
      </c>
      <c r="D382" s="1088">
        <v>6019437394</v>
      </c>
      <c r="E382" s="1077">
        <v>143954.6736</v>
      </c>
    </row>
    <row r="383" ht="37" customHeight="1" spans="1:5">
      <c r="A383" s="5">
        <v>380</v>
      </c>
      <c r="B383" s="1087" t="s">
        <v>962</v>
      </c>
      <c r="C383" s="1088" t="s">
        <v>873</v>
      </c>
      <c r="D383" s="1448" t="s">
        <v>963</v>
      </c>
      <c r="E383" s="1077">
        <v>128007</v>
      </c>
    </row>
    <row r="384" ht="37" customHeight="1" spans="1:5">
      <c r="A384" s="5">
        <v>381</v>
      </c>
      <c r="B384" s="1087" t="s">
        <v>964</v>
      </c>
      <c r="C384" s="1088" t="s">
        <v>93</v>
      </c>
      <c r="D384" s="1088" t="s">
        <v>965</v>
      </c>
      <c r="E384" s="1077">
        <v>77935.06</v>
      </c>
    </row>
    <row r="385" ht="37" customHeight="1" spans="1:5">
      <c r="A385" s="5">
        <v>382</v>
      </c>
      <c r="B385" s="1087" t="s">
        <v>966</v>
      </c>
      <c r="C385" s="1088" t="s">
        <v>93</v>
      </c>
      <c r="D385" s="1088" t="s">
        <v>967</v>
      </c>
      <c r="E385" s="1077">
        <v>93768.4</v>
      </c>
    </row>
    <row r="386" ht="37" customHeight="1" spans="1:5">
      <c r="A386" s="5">
        <v>383</v>
      </c>
      <c r="B386" s="1087" t="s">
        <v>968</v>
      </c>
      <c r="C386" s="1088" t="s">
        <v>93</v>
      </c>
      <c r="D386" s="1088" t="s">
        <v>969</v>
      </c>
      <c r="E386" s="1077">
        <v>87246.6636</v>
      </c>
    </row>
    <row r="387" ht="37" customHeight="1" spans="1:5">
      <c r="A387" s="5">
        <v>384</v>
      </c>
      <c r="B387" s="1087" t="s">
        <v>970</v>
      </c>
      <c r="C387" s="1088" t="s">
        <v>93</v>
      </c>
      <c r="D387" s="1088" t="s">
        <v>971</v>
      </c>
      <c r="E387" s="1077">
        <v>78531.7364</v>
      </c>
    </row>
    <row r="388" ht="37" customHeight="1" spans="1:5">
      <c r="A388" s="5">
        <v>385</v>
      </c>
      <c r="B388" s="1087" t="s">
        <v>972</v>
      </c>
      <c r="C388" s="1088" t="s">
        <v>113</v>
      </c>
      <c r="D388" s="1088">
        <v>2183707815</v>
      </c>
      <c r="E388" s="1077">
        <v>76060.6</v>
      </c>
    </row>
    <row r="389" ht="37" customHeight="1" spans="1:5">
      <c r="A389" s="5">
        <v>386</v>
      </c>
      <c r="B389" s="1087" t="s">
        <v>973</v>
      </c>
      <c r="C389" s="1088" t="s">
        <v>93</v>
      </c>
      <c r="D389" s="1088">
        <v>3208815975</v>
      </c>
      <c r="E389" s="1077">
        <v>76060.6</v>
      </c>
    </row>
    <row r="390" ht="37" customHeight="1" spans="1:5">
      <c r="A390" s="5">
        <v>387</v>
      </c>
      <c r="B390" s="1087" t="s">
        <v>974</v>
      </c>
      <c r="C390" s="1088" t="s">
        <v>135</v>
      </c>
      <c r="D390" s="1088" t="s">
        <v>975</v>
      </c>
      <c r="E390" s="1077">
        <v>76060.6</v>
      </c>
    </row>
    <row r="391" ht="37" customHeight="1" spans="1:5">
      <c r="A391" s="5">
        <v>388</v>
      </c>
      <c r="B391" s="1087" t="s">
        <v>976</v>
      </c>
      <c r="C391" s="1088" t="s">
        <v>915</v>
      </c>
      <c r="D391" s="1088" t="s">
        <v>977</v>
      </c>
      <c r="E391" s="1077">
        <v>42160.6</v>
      </c>
    </row>
    <row r="392" ht="37" customHeight="1" spans="1:5">
      <c r="A392" s="5">
        <v>389</v>
      </c>
      <c r="B392" s="1087" t="s">
        <v>978</v>
      </c>
      <c r="C392" s="1088" t="s">
        <v>549</v>
      </c>
      <c r="D392" s="1448" t="s">
        <v>979</v>
      </c>
      <c r="E392" s="1077">
        <v>108768.4</v>
      </c>
    </row>
    <row r="393" ht="37" customHeight="1" spans="1:5">
      <c r="A393" s="5">
        <v>390</v>
      </c>
      <c r="B393" s="1087" t="s">
        <v>980</v>
      </c>
      <c r="C393" s="1088" t="s">
        <v>313</v>
      </c>
      <c r="D393" s="1448" t="s">
        <v>981</v>
      </c>
      <c r="E393" s="1077">
        <v>88595.8548</v>
      </c>
    </row>
    <row r="394" ht="37" customHeight="1" spans="1:5">
      <c r="A394" s="5">
        <v>391</v>
      </c>
      <c r="B394" s="1087" t="s">
        <v>982</v>
      </c>
      <c r="C394" s="1088" t="s">
        <v>675</v>
      </c>
      <c r="D394" s="1448" t="s">
        <v>983</v>
      </c>
      <c r="E394" s="1077">
        <v>73768.4</v>
      </c>
    </row>
    <row r="395" ht="37" customHeight="1" spans="1:5">
      <c r="A395" s="5">
        <v>392</v>
      </c>
      <c r="B395" s="1087" t="s">
        <v>984</v>
      </c>
      <c r="C395" s="1088" t="s">
        <v>259</v>
      </c>
      <c r="D395" s="1088">
        <v>6850462749</v>
      </c>
      <c r="E395" s="1077">
        <v>78971.3364</v>
      </c>
    </row>
    <row r="396" ht="37" customHeight="1" spans="1:5">
      <c r="A396" s="5">
        <v>393</v>
      </c>
      <c r="B396" s="1087" t="s">
        <v>985</v>
      </c>
      <c r="C396" s="1088" t="s">
        <v>127</v>
      </c>
      <c r="D396" s="1448" t="s">
        <v>986</v>
      </c>
      <c r="E396" s="1077">
        <v>66471.3364</v>
      </c>
    </row>
    <row r="397" ht="37" customHeight="1" spans="1:5">
      <c r="A397" s="5">
        <v>394</v>
      </c>
      <c r="B397" s="1087" t="s">
        <v>987</v>
      </c>
      <c r="C397" s="1088" t="s">
        <v>101</v>
      </c>
      <c r="D397" s="1448" t="s">
        <v>988</v>
      </c>
      <c r="E397" s="1077">
        <v>20502.0636</v>
      </c>
    </row>
    <row r="398" ht="37" customHeight="1" spans="1:5">
      <c r="A398" s="5">
        <v>395</v>
      </c>
      <c r="B398" s="1087" t="s">
        <v>989</v>
      </c>
      <c r="C398" s="1088" t="s">
        <v>93</v>
      </c>
      <c r="D398" s="1088" t="s">
        <v>990</v>
      </c>
      <c r="E398" s="1077">
        <v>86246.6636</v>
      </c>
    </row>
    <row r="399" ht="37" customHeight="1" spans="1:5">
      <c r="A399" s="5">
        <v>396</v>
      </c>
      <c r="B399" s="1087" t="s">
        <v>991</v>
      </c>
      <c r="C399" s="1088" t="s">
        <v>113</v>
      </c>
      <c r="D399" s="1088" t="s">
        <v>992</v>
      </c>
      <c r="E399" s="1077">
        <v>28521.06</v>
      </c>
    </row>
    <row r="400" ht="37" customHeight="1" spans="1:5">
      <c r="A400" s="5">
        <v>397</v>
      </c>
      <c r="B400" s="1087" t="s">
        <v>993</v>
      </c>
      <c r="C400" s="1088" t="s">
        <v>113</v>
      </c>
      <c r="D400" s="1088">
        <v>2109554929</v>
      </c>
      <c r="E400" s="1077">
        <v>48943.6</v>
      </c>
    </row>
    <row r="401" ht="37" customHeight="1" spans="1:5">
      <c r="A401" s="5">
        <v>398</v>
      </c>
      <c r="B401" s="1087" t="s">
        <v>994</v>
      </c>
      <c r="C401" s="1088" t="s">
        <v>113</v>
      </c>
      <c r="D401" s="1088">
        <v>2217998693</v>
      </c>
      <c r="E401" s="1077">
        <v>84998.3705666667</v>
      </c>
    </row>
    <row r="402" ht="37" customHeight="1" spans="1:5">
      <c r="A402" s="5">
        <v>399</v>
      </c>
      <c r="B402" s="1087" t="s">
        <v>995</v>
      </c>
      <c r="C402" s="1074" t="s">
        <v>113</v>
      </c>
      <c r="D402" s="1090">
        <v>2098217610</v>
      </c>
      <c r="E402" s="1077">
        <v>94094.2</v>
      </c>
    </row>
    <row r="403" ht="37" customHeight="1" spans="1:5">
      <c r="A403" s="5">
        <v>400</v>
      </c>
      <c r="B403" s="1087" t="s">
        <v>996</v>
      </c>
      <c r="C403" s="1088" t="s">
        <v>93</v>
      </c>
      <c r="D403" s="1088">
        <v>3093518450</v>
      </c>
      <c r="E403" s="1077">
        <v>113094.2</v>
      </c>
    </row>
    <row r="404" ht="37" customHeight="1" spans="1:5">
      <c r="A404" s="5">
        <v>401</v>
      </c>
      <c r="B404" s="1087" t="s">
        <v>997</v>
      </c>
      <c r="C404" s="1088" t="s">
        <v>113</v>
      </c>
      <c r="D404" s="1088">
        <v>1014269065</v>
      </c>
      <c r="E404" s="1077">
        <v>151351.726373333</v>
      </c>
    </row>
    <row r="405" ht="37" customHeight="1" spans="1:5">
      <c r="A405" s="5">
        <v>402</v>
      </c>
      <c r="B405" s="1087" t="s">
        <v>998</v>
      </c>
      <c r="C405" s="1088" t="s">
        <v>113</v>
      </c>
      <c r="D405" s="1088">
        <v>1014269065</v>
      </c>
      <c r="E405" s="1077"/>
    </row>
    <row r="406" ht="37" customHeight="1" spans="1:5">
      <c r="A406" s="5">
        <v>403</v>
      </c>
      <c r="B406" s="1087" t="s">
        <v>999</v>
      </c>
      <c r="C406" s="1088" t="s">
        <v>165</v>
      </c>
      <c r="D406" s="1088">
        <v>2083803055</v>
      </c>
      <c r="E406" s="1077">
        <v>112514.27</v>
      </c>
    </row>
    <row r="407" ht="37" customHeight="1" spans="1:5">
      <c r="A407" s="5">
        <v>404</v>
      </c>
      <c r="B407" s="1087" t="s">
        <v>1000</v>
      </c>
      <c r="C407" s="1088" t="s">
        <v>165</v>
      </c>
      <c r="D407" s="1088">
        <v>2428032861</v>
      </c>
      <c r="E407" s="1077">
        <v>49614.27</v>
      </c>
    </row>
    <row r="408" ht="37" customHeight="1" spans="1:5">
      <c r="A408" s="5">
        <v>405</v>
      </c>
      <c r="B408" s="1087" t="s">
        <v>1001</v>
      </c>
      <c r="C408" s="1088" t="s">
        <v>127</v>
      </c>
      <c r="D408" s="1088" t="s">
        <v>1002</v>
      </c>
      <c r="E408" s="1077">
        <v>113514.2725</v>
      </c>
    </row>
    <row r="409" ht="37" customHeight="1" spans="1:5">
      <c r="A409" s="5">
        <v>406</v>
      </c>
      <c r="B409" s="1087" t="s">
        <v>1003</v>
      </c>
      <c r="C409" s="1088" t="s">
        <v>93</v>
      </c>
      <c r="D409" s="1088">
        <v>3098282848</v>
      </c>
      <c r="E409" s="1077">
        <v>54059.2725</v>
      </c>
    </row>
    <row r="410" ht="37" customHeight="1" spans="1:5">
      <c r="A410" s="5">
        <v>407</v>
      </c>
      <c r="B410" s="1087" t="s">
        <v>1004</v>
      </c>
      <c r="C410" s="1088" t="s">
        <v>93</v>
      </c>
      <c r="D410" s="1088" t="s">
        <v>1005</v>
      </c>
      <c r="E410" s="1077">
        <v>157460.4736</v>
      </c>
    </row>
    <row r="411" ht="37" customHeight="1" spans="1:5">
      <c r="A411" s="5">
        <v>408</v>
      </c>
      <c r="B411" s="1087" t="s">
        <v>1006</v>
      </c>
      <c r="C411" s="1088" t="s">
        <v>93</v>
      </c>
      <c r="D411" s="1088" t="s">
        <v>1007</v>
      </c>
      <c r="E411" s="1077">
        <v>170785.2711</v>
      </c>
    </row>
    <row r="412" ht="37" customHeight="1" spans="1:5">
      <c r="A412" s="5">
        <v>409</v>
      </c>
      <c r="B412" s="1087" t="s">
        <v>1008</v>
      </c>
      <c r="C412" s="1088" t="s">
        <v>873</v>
      </c>
      <c r="D412" s="1448" t="s">
        <v>1009</v>
      </c>
      <c r="E412" s="1077">
        <v>151456.006933333</v>
      </c>
    </row>
    <row r="413" ht="37" customHeight="1" spans="1:5">
      <c r="A413" s="5">
        <v>410</v>
      </c>
      <c r="B413" s="1087" t="s">
        <v>1010</v>
      </c>
      <c r="C413" s="1088" t="s">
        <v>122</v>
      </c>
      <c r="D413" s="1448" t="s">
        <v>1011</v>
      </c>
      <c r="E413" s="1077">
        <v>218112.4736</v>
      </c>
    </row>
    <row r="414" ht="37" customHeight="1" spans="1:5">
      <c r="A414" s="5">
        <v>411</v>
      </c>
      <c r="B414" s="1087" t="s">
        <v>1012</v>
      </c>
      <c r="C414" s="1088" t="s">
        <v>113</v>
      </c>
      <c r="D414" s="1088" t="s">
        <v>1013</v>
      </c>
      <c r="E414" s="1077">
        <v>203777.14016</v>
      </c>
    </row>
    <row r="415" ht="37" customHeight="1" spans="1:5">
      <c r="A415" s="5">
        <v>412</v>
      </c>
      <c r="B415" s="1087" t="s">
        <v>1014</v>
      </c>
      <c r="C415" s="1088" t="s">
        <v>259</v>
      </c>
      <c r="D415" s="1088">
        <v>6312176409</v>
      </c>
      <c r="E415" s="1077">
        <v>146149.5802</v>
      </c>
    </row>
    <row r="416" ht="37" customHeight="1" spans="1:5">
      <c r="A416" s="5">
        <v>413</v>
      </c>
      <c r="B416" s="1087" t="s">
        <v>1015</v>
      </c>
      <c r="C416" s="1088" t="s">
        <v>135</v>
      </c>
      <c r="D416" s="1448" t="s">
        <v>1016</v>
      </c>
      <c r="E416" s="1077">
        <v>159760.4736</v>
      </c>
    </row>
    <row r="417" ht="37" customHeight="1" spans="1:5">
      <c r="A417" s="5">
        <v>414</v>
      </c>
      <c r="B417" s="1087" t="s">
        <v>1017</v>
      </c>
      <c r="C417" s="1088" t="s">
        <v>135</v>
      </c>
      <c r="D417" s="1448" t="s">
        <v>1018</v>
      </c>
      <c r="E417" s="1077">
        <v>152110.4736</v>
      </c>
    </row>
    <row r="418" ht="37" customHeight="1" spans="1:5">
      <c r="A418" s="5">
        <v>415</v>
      </c>
      <c r="B418" s="1087" t="s">
        <v>1019</v>
      </c>
      <c r="C418" s="1088" t="s">
        <v>113</v>
      </c>
      <c r="D418" s="1088">
        <v>2011462879</v>
      </c>
      <c r="E418" s="1077">
        <v>228790.8736</v>
      </c>
    </row>
    <row r="419" ht="37" customHeight="1" spans="1:5">
      <c r="A419" s="5">
        <v>416</v>
      </c>
      <c r="B419" s="1087" t="s">
        <v>1020</v>
      </c>
      <c r="C419" s="1088" t="s">
        <v>873</v>
      </c>
      <c r="D419" s="1088" t="s">
        <v>1021</v>
      </c>
      <c r="E419" s="1077">
        <v>186942.007573333</v>
      </c>
    </row>
    <row r="420" ht="37" customHeight="1" spans="1:5">
      <c r="A420" s="5">
        <v>417</v>
      </c>
      <c r="B420" s="1087" t="s">
        <v>1022</v>
      </c>
      <c r="C420" s="1088" t="s">
        <v>873</v>
      </c>
      <c r="D420" s="1448" t="s">
        <v>1023</v>
      </c>
      <c r="E420" s="1077">
        <v>284202.7942</v>
      </c>
    </row>
    <row r="421" ht="37" customHeight="1" spans="1:5">
      <c r="A421" s="5">
        <v>418</v>
      </c>
      <c r="B421" s="1087" t="s">
        <v>1024</v>
      </c>
      <c r="C421" s="1088" t="s">
        <v>113</v>
      </c>
      <c r="D421" s="1448" t="s">
        <v>1025</v>
      </c>
      <c r="E421" s="1077">
        <v>301998.2806</v>
      </c>
    </row>
    <row r="422" ht="37" customHeight="1" spans="1:5">
      <c r="A422" s="5">
        <v>419</v>
      </c>
      <c r="B422" s="1087" t="s">
        <v>1026</v>
      </c>
      <c r="C422" s="1088" t="s">
        <v>93</v>
      </c>
      <c r="D422" s="1088" t="s">
        <v>1027</v>
      </c>
      <c r="E422" s="1077">
        <v>227129.1436</v>
      </c>
    </row>
    <row r="423" ht="37" customHeight="1" spans="1:5">
      <c r="A423" s="5">
        <v>420</v>
      </c>
      <c r="B423" s="1087" t="s">
        <v>1028</v>
      </c>
      <c r="C423" s="1090" t="s">
        <v>871</v>
      </c>
      <c r="D423" s="1090" t="s">
        <v>1029</v>
      </c>
      <c r="E423" s="1077">
        <v>186583.189733333</v>
      </c>
    </row>
    <row r="424" ht="37" customHeight="1" spans="1:5">
      <c r="A424" s="5">
        <v>421</v>
      </c>
      <c r="B424" s="1087" t="s">
        <v>1030</v>
      </c>
      <c r="C424" s="1088" t="s">
        <v>873</v>
      </c>
      <c r="D424" s="1448" t="s">
        <v>1031</v>
      </c>
      <c r="E424" s="1077">
        <v>165760.4736</v>
      </c>
    </row>
    <row r="425" ht="37" customHeight="1" spans="1:5">
      <c r="A425" s="5">
        <v>422</v>
      </c>
      <c r="B425" s="1087" t="s">
        <v>1032</v>
      </c>
      <c r="C425" s="1088" t="s">
        <v>873</v>
      </c>
      <c r="D425" s="1448" t="s">
        <v>1033</v>
      </c>
      <c r="E425" s="1077"/>
    </row>
    <row r="426" ht="37" customHeight="1" spans="1:5">
      <c r="A426" s="5">
        <v>423</v>
      </c>
      <c r="B426" s="1087" t="s">
        <v>1034</v>
      </c>
      <c r="C426" s="1088" t="s">
        <v>93</v>
      </c>
      <c r="D426" s="1088" t="s">
        <v>1035</v>
      </c>
      <c r="E426" s="1077">
        <v>40788.9479200003</v>
      </c>
    </row>
    <row r="427" ht="37" customHeight="1" spans="1:5">
      <c r="A427" s="5">
        <v>424</v>
      </c>
      <c r="B427" s="1087" t="s">
        <v>1036</v>
      </c>
      <c r="C427" s="1088" t="s">
        <v>1037</v>
      </c>
      <c r="D427" s="1448" t="s">
        <v>1038</v>
      </c>
      <c r="E427" s="1077">
        <v>93955.765724</v>
      </c>
    </row>
    <row r="428" ht="37" customHeight="1" spans="1:5">
      <c r="A428" s="5">
        <v>425</v>
      </c>
      <c r="B428" s="1087" t="s">
        <v>1039</v>
      </c>
      <c r="C428" s="1088" t="s">
        <v>151</v>
      </c>
      <c r="D428" s="1088" t="s">
        <v>1040</v>
      </c>
      <c r="E428" s="1077">
        <v>86246.6636</v>
      </c>
    </row>
    <row r="429" ht="37" customHeight="1" spans="1:5">
      <c r="A429" s="5">
        <v>426</v>
      </c>
      <c r="B429" s="1087" t="s">
        <v>1041</v>
      </c>
      <c r="C429" s="1088" t="s">
        <v>915</v>
      </c>
      <c r="D429" s="1448" t="s">
        <v>1042</v>
      </c>
      <c r="E429" s="1077">
        <v>100866.257573333</v>
      </c>
    </row>
    <row r="430" ht="37" customHeight="1" spans="1:5">
      <c r="A430" s="5">
        <v>427</v>
      </c>
      <c r="B430" s="1087" t="s">
        <v>1043</v>
      </c>
      <c r="C430" s="1088" t="s">
        <v>135</v>
      </c>
      <c r="D430" s="1448" t="s">
        <v>1044</v>
      </c>
      <c r="E430" s="1077">
        <v>172154.373</v>
      </c>
    </row>
    <row r="431" ht="37" customHeight="1" spans="1:5">
      <c r="A431" s="5">
        <v>428</v>
      </c>
      <c r="B431" s="1087" t="s">
        <v>1045</v>
      </c>
      <c r="C431" s="1088" t="s">
        <v>135</v>
      </c>
      <c r="D431" s="1448" t="s">
        <v>1046</v>
      </c>
      <c r="E431" s="1077">
        <v>67479.982</v>
      </c>
    </row>
    <row r="432" ht="37" customHeight="1" spans="1:5">
      <c r="A432" s="5">
        <v>429</v>
      </c>
      <c r="B432" s="1087" t="s">
        <v>1047</v>
      </c>
      <c r="C432" s="1088" t="s">
        <v>145</v>
      </c>
      <c r="D432" s="1448" t="s">
        <v>1048</v>
      </c>
      <c r="E432" s="1077">
        <v>70479.9844</v>
      </c>
    </row>
    <row r="433" ht="37" customHeight="1" spans="1:5">
      <c r="A433" s="5">
        <v>430</v>
      </c>
      <c r="B433" s="1087" t="s">
        <v>1049</v>
      </c>
      <c r="C433" s="1088" t="s">
        <v>122</v>
      </c>
      <c r="D433" s="1448" t="s">
        <v>1050</v>
      </c>
      <c r="E433" s="1077">
        <v>72099.984</v>
      </c>
    </row>
    <row r="434" ht="37" customHeight="1" spans="1:5">
      <c r="A434" s="5">
        <v>431</v>
      </c>
      <c r="B434" s="1087" t="s">
        <v>1051</v>
      </c>
      <c r="C434" s="1088" t="s">
        <v>93</v>
      </c>
      <c r="D434" s="1088" t="s">
        <v>1052</v>
      </c>
      <c r="E434" s="1077">
        <v>103768.4</v>
      </c>
    </row>
    <row r="435" ht="37" customHeight="1" spans="1:5">
      <c r="A435" s="5">
        <v>432</v>
      </c>
      <c r="B435" s="1087" t="s">
        <v>1053</v>
      </c>
      <c r="C435" s="1088" t="s">
        <v>165</v>
      </c>
      <c r="D435" s="1088">
        <v>2217921259</v>
      </c>
      <c r="E435" s="1077">
        <v>152946.0964</v>
      </c>
    </row>
    <row r="436" ht="37" customHeight="1" spans="1:5">
      <c r="A436" s="5">
        <v>433</v>
      </c>
      <c r="B436" s="1087" t="s">
        <v>1054</v>
      </c>
      <c r="C436" s="1088" t="s">
        <v>135</v>
      </c>
      <c r="D436" s="1448" t="s">
        <v>1055</v>
      </c>
      <c r="E436" s="1077">
        <v>163610.7064</v>
      </c>
    </row>
    <row r="437" ht="37" customHeight="1" spans="1:5">
      <c r="A437" s="5">
        <v>434</v>
      </c>
      <c r="B437" s="1087" t="s">
        <v>1056</v>
      </c>
      <c r="C437" s="1088" t="s">
        <v>165</v>
      </c>
      <c r="D437" s="1088" t="s">
        <v>1057</v>
      </c>
      <c r="E437" s="1077">
        <v>116459.806933333</v>
      </c>
    </row>
    <row r="438" ht="37" customHeight="1" spans="1:5">
      <c r="A438" s="5">
        <v>435</v>
      </c>
      <c r="B438" s="1087" t="s">
        <v>1058</v>
      </c>
      <c r="C438" s="1088" t="s">
        <v>127</v>
      </c>
      <c r="D438" s="1448" t="s">
        <v>1059</v>
      </c>
      <c r="E438" s="1077">
        <v>93960.4736</v>
      </c>
    </row>
    <row r="439" ht="37" customHeight="1" spans="1:5">
      <c r="A439" s="5">
        <v>436</v>
      </c>
      <c r="B439" s="1087" t="s">
        <v>1060</v>
      </c>
      <c r="C439" s="1088" t="s">
        <v>873</v>
      </c>
      <c r="D439" s="1448" t="s">
        <v>1061</v>
      </c>
      <c r="E439" s="1077">
        <v>155110.4736</v>
      </c>
    </row>
    <row r="440" ht="37" customHeight="1" spans="1:5">
      <c r="A440" s="5">
        <v>437</v>
      </c>
      <c r="B440" s="1087" t="s">
        <v>1062</v>
      </c>
      <c r="C440" s="1088" t="s">
        <v>915</v>
      </c>
      <c r="D440" s="1448" t="s">
        <v>1063</v>
      </c>
      <c r="E440" s="1077">
        <v>316615.344916667</v>
      </c>
    </row>
    <row r="441" ht="37" customHeight="1" spans="1:5">
      <c r="A441" s="5">
        <v>438</v>
      </c>
      <c r="B441" s="1087" t="s">
        <v>1064</v>
      </c>
      <c r="C441" s="1088" t="s">
        <v>871</v>
      </c>
      <c r="D441" s="1088" t="s">
        <v>1065</v>
      </c>
      <c r="E441" s="1077">
        <v>194916.89</v>
      </c>
    </row>
    <row r="442" ht="37" customHeight="1" spans="1:5">
      <c r="A442" s="5">
        <v>439</v>
      </c>
      <c r="B442" s="1087" t="s">
        <v>1066</v>
      </c>
      <c r="C442" s="1088" t="s">
        <v>113</v>
      </c>
      <c r="D442" s="1448" t="s">
        <v>1067</v>
      </c>
      <c r="E442" s="1077">
        <v>80093.1336</v>
      </c>
    </row>
    <row r="443" ht="37" customHeight="1" spans="1:5">
      <c r="A443" s="5">
        <v>440</v>
      </c>
      <c r="B443" s="1087" t="s">
        <v>1068</v>
      </c>
      <c r="C443" s="1088" t="s">
        <v>135</v>
      </c>
      <c r="D443" s="1448" t="s">
        <v>1069</v>
      </c>
      <c r="E443" s="1077">
        <v>195702.2864</v>
      </c>
    </row>
    <row r="444" ht="37" customHeight="1" spans="1:5">
      <c r="A444" s="5">
        <v>441</v>
      </c>
      <c r="B444" s="1087" t="s">
        <v>1070</v>
      </c>
      <c r="C444" s="1088" t="s">
        <v>873</v>
      </c>
      <c r="D444" s="1448" t="s">
        <v>1071</v>
      </c>
      <c r="E444" s="1077">
        <v>582760.242086667</v>
      </c>
    </row>
    <row r="445" ht="37" customHeight="1" spans="1:5">
      <c r="A445" s="5">
        <v>442</v>
      </c>
      <c r="B445" s="1087" t="s">
        <v>1072</v>
      </c>
      <c r="C445" s="1088" t="s">
        <v>873</v>
      </c>
      <c r="D445" s="1448" t="s">
        <v>1073</v>
      </c>
      <c r="E445" s="1077">
        <v>229374.9536</v>
      </c>
    </row>
    <row r="446" ht="37" customHeight="1" spans="1:5">
      <c r="A446" s="5">
        <v>443</v>
      </c>
      <c r="B446" s="1087" t="s">
        <v>1074</v>
      </c>
      <c r="C446" s="1088" t="s">
        <v>135</v>
      </c>
      <c r="D446" s="1448" t="s">
        <v>1075</v>
      </c>
      <c r="E446" s="1077">
        <v>188399.8564</v>
      </c>
    </row>
    <row r="447" ht="37" customHeight="1" spans="1:5">
      <c r="A447" s="5">
        <v>444</v>
      </c>
      <c r="B447" s="1087" t="s">
        <v>1076</v>
      </c>
      <c r="C447" s="1088" t="s">
        <v>113</v>
      </c>
      <c r="D447" s="1088" t="s">
        <v>1077</v>
      </c>
      <c r="E447" s="1077">
        <v>167375.0038</v>
      </c>
    </row>
    <row r="448" ht="37" customHeight="1" spans="1:5">
      <c r="A448" s="5">
        <v>445</v>
      </c>
      <c r="B448" s="1087" t="s">
        <v>1078</v>
      </c>
      <c r="C448" s="1088" t="s">
        <v>135</v>
      </c>
      <c r="D448" s="1448" t="s">
        <v>1079</v>
      </c>
      <c r="E448" s="1077">
        <v>254112.4736</v>
      </c>
    </row>
    <row r="449" ht="37" customHeight="1" spans="1:5">
      <c r="A449" s="5">
        <v>446</v>
      </c>
      <c r="B449" s="1087" t="s">
        <v>1080</v>
      </c>
      <c r="C449" s="1088" t="s">
        <v>93</v>
      </c>
      <c r="D449" s="1088" t="s">
        <v>1081</v>
      </c>
      <c r="E449" s="1077">
        <v>177745.93133</v>
      </c>
    </row>
    <row r="450" ht="37" customHeight="1" spans="1:5">
      <c r="A450" s="5">
        <v>447</v>
      </c>
      <c r="B450" s="1087" t="s">
        <v>1082</v>
      </c>
      <c r="C450" s="1088" t="s">
        <v>113</v>
      </c>
      <c r="D450" s="1088" t="s">
        <v>1083</v>
      </c>
      <c r="E450" s="1077">
        <v>231760.4736</v>
      </c>
    </row>
    <row r="451" ht="37" customHeight="1" spans="1:5">
      <c r="A451" s="5">
        <v>448</v>
      </c>
      <c r="B451" s="1087" t="s">
        <v>1084</v>
      </c>
      <c r="C451" s="1088" t="s">
        <v>93</v>
      </c>
      <c r="D451" s="1088" t="s">
        <v>1085</v>
      </c>
      <c r="E451" s="1077">
        <v>103099.8564</v>
      </c>
    </row>
    <row r="452" ht="37" customHeight="1" spans="1:5">
      <c r="A452" s="5">
        <v>449</v>
      </c>
      <c r="B452" s="1087" t="s">
        <v>1086</v>
      </c>
      <c r="C452" s="1088" t="s">
        <v>873</v>
      </c>
      <c r="D452" s="1448" t="s">
        <v>1087</v>
      </c>
      <c r="E452" s="1077">
        <v>146523.103066667</v>
      </c>
    </row>
    <row r="453" ht="37" customHeight="1" spans="1:5">
      <c r="A453" s="5">
        <v>450</v>
      </c>
      <c r="B453" s="1087" t="s">
        <v>1088</v>
      </c>
      <c r="C453" s="1088" t="s">
        <v>259</v>
      </c>
      <c r="D453" s="1448" t="s">
        <v>1089</v>
      </c>
      <c r="E453" s="1077">
        <v>72321.2964</v>
      </c>
    </row>
    <row r="454" ht="37" customHeight="1" spans="1:5">
      <c r="A454" s="5">
        <v>451</v>
      </c>
      <c r="B454" s="1087" t="s">
        <v>1090</v>
      </c>
      <c r="C454" s="1088" t="s">
        <v>97</v>
      </c>
      <c r="D454" s="1448" t="s">
        <v>1091</v>
      </c>
      <c r="E454" s="1077">
        <v>140032.371666667</v>
      </c>
    </row>
    <row r="455" ht="37" customHeight="1" spans="1:5">
      <c r="A455" s="5">
        <v>452</v>
      </c>
      <c r="B455" s="1087" t="s">
        <v>1092</v>
      </c>
      <c r="C455" s="1088" t="s">
        <v>97</v>
      </c>
      <c r="D455" s="1088">
        <v>1831218747</v>
      </c>
      <c r="E455" s="1077">
        <v>140032.4675</v>
      </c>
    </row>
    <row r="456" ht="37" customHeight="1" spans="1:5">
      <c r="A456" s="5">
        <v>453</v>
      </c>
      <c r="B456" s="1087" t="s">
        <v>1093</v>
      </c>
      <c r="C456" s="1088" t="s">
        <v>97</v>
      </c>
      <c r="D456" s="1448" t="s">
        <v>1094</v>
      </c>
      <c r="E456" s="1077">
        <v>115032.4652</v>
      </c>
    </row>
    <row r="457" ht="37" customHeight="1" spans="1:5">
      <c r="A457" s="5">
        <v>454</v>
      </c>
      <c r="B457" s="1087" t="s">
        <v>1095</v>
      </c>
      <c r="C457" s="1088" t="s">
        <v>1096</v>
      </c>
      <c r="D457" s="1448" t="s">
        <v>1097</v>
      </c>
      <c r="E457" s="1081">
        <v>163319.3852</v>
      </c>
    </row>
    <row r="458" ht="37" customHeight="1" spans="1:5">
      <c r="A458" s="5">
        <v>455</v>
      </c>
      <c r="B458" s="1087" t="s">
        <v>1098</v>
      </c>
      <c r="C458" s="1088" t="s">
        <v>113</v>
      </c>
      <c r="D458" s="1088">
        <v>2200874977</v>
      </c>
      <c r="E458" s="1077">
        <v>131876.9564</v>
      </c>
    </row>
    <row r="459" ht="37" customHeight="1" spans="1:5">
      <c r="A459" s="5">
        <v>456</v>
      </c>
      <c r="B459" s="1087" t="s">
        <v>1099</v>
      </c>
      <c r="C459" s="1088" t="s">
        <v>145</v>
      </c>
      <c r="D459" s="1448" t="s">
        <v>1100</v>
      </c>
      <c r="E459" s="1077">
        <v>98210.2897333333</v>
      </c>
    </row>
    <row r="460" ht="37" customHeight="1" spans="1:5">
      <c r="A460" s="5">
        <v>457</v>
      </c>
      <c r="B460" s="1087" t="s">
        <v>1101</v>
      </c>
      <c r="C460" s="1088" t="s">
        <v>93</v>
      </c>
      <c r="D460" s="1088">
        <v>3088269523</v>
      </c>
      <c r="E460" s="1077">
        <v>183321.2964</v>
      </c>
    </row>
    <row r="461" ht="37" customHeight="1" spans="1:5">
      <c r="A461" s="5">
        <v>458</v>
      </c>
      <c r="B461" s="1087" t="s">
        <v>1102</v>
      </c>
      <c r="C461" s="1088" t="s">
        <v>915</v>
      </c>
      <c r="D461" s="1448" t="s">
        <v>1103</v>
      </c>
      <c r="E461" s="1077">
        <v>53376.9564</v>
      </c>
    </row>
    <row r="462" ht="37" customHeight="1" spans="1:5">
      <c r="A462" s="5">
        <v>459</v>
      </c>
      <c r="B462" s="1087" t="s">
        <v>1104</v>
      </c>
      <c r="C462" s="1088" t="s">
        <v>93</v>
      </c>
      <c r="D462" s="1448" t="s">
        <v>1105</v>
      </c>
      <c r="E462" s="1077">
        <v>143376.9564</v>
      </c>
    </row>
    <row r="463" ht="37" customHeight="1" spans="1:5">
      <c r="A463" s="5">
        <v>460</v>
      </c>
      <c r="B463" s="1087" t="s">
        <v>1106</v>
      </c>
      <c r="C463" s="1088" t="s">
        <v>135</v>
      </c>
      <c r="D463" s="1448" t="s">
        <v>1107</v>
      </c>
      <c r="E463" s="1077">
        <v>129566.529733333</v>
      </c>
    </row>
    <row r="464" ht="37" customHeight="1" spans="1:5">
      <c r="A464" s="5">
        <v>461</v>
      </c>
      <c r="B464" s="1087" t="s">
        <v>1108</v>
      </c>
      <c r="C464" s="1088" t="s">
        <v>873</v>
      </c>
      <c r="D464" s="1448" t="s">
        <v>1109</v>
      </c>
      <c r="E464" s="1077">
        <v>142774.8564</v>
      </c>
    </row>
    <row r="465" ht="37" customHeight="1" spans="1:5">
      <c r="A465" s="5">
        <v>462</v>
      </c>
      <c r="B465" s="1087" t="s">
        <v>1110</v>
      </c>
      <c r="C465" s="1088" t="s">
        <v>549</v>
      </c>
      <c r="D465" s="1448" t="s">
        <v>1111</v>
      </c>
      <c r="E465" s="1077">
        <v>136293.02</v>
      </c>
    </row>
    <row r="466" ht="37" customHeight="1" spans="1:5">
      <c r="A466" s="5">
        <v>463</v>
      </c>
      <c r="B466" s="1087" t="s">
        <v>1112</v>
      </c>
      <c r="C466" s="1088" t="s">
        <v>165</v>
      </c>
      <c r="D466" s="1088" t="s">
        <v>1113</v>
      </c>
      <c r="E466" s="1077">
        <v>91332.959674</v>
      </c>
    </row>
    <row r="467" ht="37" customHeight="1" spans="1:5">
      <c r="A467" s="5">
        <v>464</v>
      </c>
      <c r="B467" s="1087" t="s">
        <v>1114</v>
      </c>
      <c r="C467" s="1088" t="s">
        <v>93</v>
      </c>
      <c r="D467" s="1088" t="s">
        <v>1115</v>
      </c>
      <c r="E467" s="1077">
        <v>96340</v>
      </c>
    </row>
    <row r="468" ht="37" customHeight="1" spans="1:5">
      <c r="A468" s="5">
        <v>465</v>
      </c>
      <c r="B468" s="1087" t="s">
        <v>1116</v>
      </c>
      <c r="C468" s="1088" t="s">
        <v>313</v>
      </c>
      <c r="D468" s="1088" t="s">
        <v>1117</v>
      </c>
      <c r="E468" s="1077">
        <v>81673</v>
      </c>
    </row>
    <row r="469" ht="37" customHeight="1" spans="1:5">
      <c r="A469" s="5">
        <v>466</v>
      </c>
      <c r="B469" s="1087" t="s">
        <v>1118</v>
      </c>
      <c r="C469" s="1088" t="s">
        <v>165</v>
      </c>
      <c r="D469" s="1088" t="s">
        <v>1119</v>
      </c>
      <c r="E469" s="1077">
        <v>88199.908274</v>
      </c>
    </row>
    <row r="470" ht="37" customHeight="1" spans="1:5">
      <c r="A470" s="5">
        <v>467</v>
      </c>
      <c r="B470" s="1087" t="s">
        <v>1120</v>
      </c>
      <c r="C470" s="1088" t="s">
        <v>151</v>
      </c>
      <c r="D470" s="1088" t="s">
        <v>1121</v>
      </c>
      <c r="E470" s="1077">
        <v>96722.963</v>
      </c>
    </row>
    <row r="471" ht="37" customHeight="1" spans="1:5">
      <c r="A471" s="5">
        <v>468</v>
      </c>
      <c r="B471" s="1087" t="s">
        <v>1122</v>
      </c>
      <c r="C471" s="1088" t="s">
        <v>135</v>
      </c>
      <c r="D471" s="1448" t="s">
        <v>1123</v>
      </c>
      <c r="E471" s="1077">
        <v>63981.7314416667</v>
      </c>
    </row>
    <row r="472" ht="37" customHeight="1" spans="1:5">
      <c r="A472" s="5">
        <v>469</v>
      </c>
      <c r="B472" s="1087" t="s">
        <v>1124</v>
      </c>
      <c r="C472" s="1088" t="s">
        <v>915</v>
      </c>
      <c r="D472" s="1448" t="s">
        <v>1125</v>
      </c>
      <c r="E472" s="1077">
        <v>78070.0335</v>
      </c>
    </row>
    <row r="473" ht="37" customHeight="1" spans="1:5">
      <c r="A473" s="5">
        <v>470</v>
      </c>
      <c r="B473" s="1087" t="s">
        <v>1126</v>
      </c>
      <c r="C473" s="1088" t="s">
        <v>165</v>
      </c>
      <c r="D473" s="1088">
        <v>2260477525</v>
      </c>
      <c r="E473" s="1077">
        <v>76733.894</v>
      </c>
    </row>
    <row r="474" ht="37" customHeight="1" spans="1:5">
      <c r="A474" s="5">
        <v>471</v>
      </c>
      <c r="B474" s="1087" t="s">
        <v>1127</v>
      </c>
      <c r="C474" s="1088" t="s">
        <v>93</v>
      </c>
      <c r="D474" s="1088">
        <v>3092554154</v>
      </c>
      <c r="E474" s="1077">
        <v>75888.0636</v>
      </c>
    </row>
    <row r="475" ht="37" customHeight="1" spans="1:5">
      <c r="A475" s="5">
        <v>472</v>
      </c>
      <c r="B475" s="1087" t="s">
        <v>1128</v>
      </c>
      <c r="C475" s="1088" t="s">
        <v>934</v>
      </c>
      <c r="D475" s="1448" t="s">
        <v>1129</v>
      </c>
      <c r="E475" s="1077">
        <v>75889.0436</v>
      </c>
    </row>
    <row r="476" ht="37" customHeight="1" spans="1:5">
      <c r="A476" s="5">
        <v>473</v>
      </c>
      <c r="B476" s="1087" t="s">
        <v>1130</v>
      </c>
      <c r="C476" s="1088" t="s">
        <v>113</v>
      </c>
      <c r="D476" s="1088" t="s">
        <v>1131</v>
      </c>
      <c r="E476" s="1077">
        <v>92199.908274</v>
      </c>
    </row>
    <row r="477" ht="37" customHeight="1" spans="1:5">
      <c r="A477" s="5">
        <v>474</v>
      </c>
      <c r="B477" s="1087" t="s">
        <v>1132</v>
      </c>
      <c r="C477" s="1088" t="s">
        <v>934</v>
      </c>
      <c r="D477" s="1088" t="s">
        <v>1133</v>
      </c>
      <c r="E477" s="1077">
        <v>80726.0636</v>
      </c>
    </row>
    <row r="478" ht="37" customHeight="1" spans="1:5">
      <c r="A478" s="5">
        <v>475</v>
      </c>
      <c r="B478" s="1087" t="s">
        <v>1134</v>
      </c>
      <c r="C478" s="1088" t="s">
        <v>135</v>
      </c>
      <c r="D478" s="1448" t="s">
        <v>1135</v>
      </c>
      <c r="E478" s="1077">
        <v>134257.4964</v>
      </c>
    </row>
    <row r="479" ht="37" customHeight="1" spans="1:5">
      <c r="A479" s="5">
        <v>476</v>
      </c>
      <c r="B479" s="1087" t="s">
        <v>1136</v>
      </c>
      <c r="C479" s="1088" t="s">
        <v>113</v>
      </c>
      <c r="D479" s="1088" t="s">
        <v>1137</v>
      </c>
      <c r="E479" s="1077">
        <v>93199.908274</v>
      </c>
    </row>
    <row r="480" ht="37" customHeight="1" spans="1:5">
      <c r="A480" s="5">
        <v>477</v>
      </c>
      <c r="B480" s="1087" t="s">
        <v>1138</v>
      </c>
      <c r="C480" s="1088" t="s">
        <v>127</v>
      </c>
      <c r="D480" s="1088" t="s">
        <v>1139</v>
      </c>
      <c r="E480" s="1077">
        <v>115027.20565</v>
      </c>
    </row>
    <row r="481" ht="37" customHeight="1" spans="1:5">
      <c r="A481" s="5">
        <v>478</v>
      </c>
      <c r="B481" s="1087" t="s">
        <v>1140</v>
      </c>
      <c r="C481" s="1088" t="s">
        <v>135</v>
      </c>
      <c r="D481" s="1448" t="s">
        <v>1141</v>
      </c>
      <c r="E481" s="1077">
        <v>54032.908274</v>
      </c>
    </row>
    <row r="482" ht="37" customHeight="1" spans="1:5">
      <c r="A482" s="5">
        <v>479</v>
      </c>
      <c r="B482" s="1087" t="s">
        <v>1142</v>
      </c>
      <c r="C482" s="1088" t="s">
        <v>135</v>
      </c>
      <c r="D482" s="1448" t="s">
        <v>1143</v>
      </c>
      <c r="E482" s="1077">
        <v>92199.908274</v>
      </c>
    </row>
    <row r="483" ht="37" customHeight="1" spans="1:5">
      <c r="A483" s="5">
        <v>480</v>
      </c>
      <c r="B483" s="1087" t="s">
        <v>1144</v>
      </c>
      <c r="C483" s="1088" t="s">
        <v>165</v>
      </c>
      <c r="D483" s="1088" t="s">
        <v>1145</v>
      </c>
      <c r="E483" s="1077">
        <v>152041.8375</v>
      </c>
    </row>
    <row r="484" ht="37" customHeight="1" spans="1:5">
      <c r="A484" s="5">
        <v>481</v>
      </c>
      <c r="B484" s="1087" t="s">
        <v>1146</v>
      </c>
      <c r="C484" s="1088" t="s">
        <v>135</v>
      </c>
      <c r="D484" s="1448" t="s">
        <v>1147</v>
      </c>
      <c r="E484" s="1077">
        <v>80226.0636</v>
      </c>
    </row>
    <row r="485" ht="37" customHeight="1" spans="1:5">
      <c r="A485" s="5">
        <v>482</v>
      </c>
      <c r="B485" s="1087" t="s">
        <v>1148</v>
      </c>
      <c r="C485" s="1088" t="s">
        <v>1149</v>
      </c>
      <c r="D485" s="1088" t="s">
        <v>1150</v>
      </c>
      <c r="E485" s="1081">
        <v>52337.868274</v>
      </c>
    </row>
    <row r="486" ht="37" customHeight="1" spans="1:5">
      <c r="A486" s="5">
        <v>483</v>
      </c>
      <c r="B486" s="1087" t="s">
        <v>1151</v>
      </c>
      <c r="C486" s="1088" t="s">
        <v>97</v>
      </c>
      <c r="D486" s="1448" t="s">
        <v>1152</v>
      </c>
      <c r="E486" s="1081">
        <v>94660.3031</v>
      </c>
    </row>
    <row r="487" ht="37" customHeight="1" spans="1:5">
      <c r="A487" s="5">
        <v>484</v>
      </c>
      <c r="B487" s="1087" t="s">
        <v>1153</v>
      </c>
      <c r="C487" s="1088" t="s">
        <v>165</v>
      </c>
      <c r="D487" s="1088" t="s">
        <v>1154</v>
      </c>
      <c r="E487" s="1081">
        <v>30726.0636</v>
      </c>
    </row>
    <row r="488" ht="37" customHeight="1" spans="1:5">
      <c r="A488" s="5">
        <v>485</v>
      </c>
      <c r="B488" s="1087" t="s">
        <v>1155</v>
      </c>
      <c r="C488" s="1088" t="s">
        <v>135</v>
      </c>
      <c r="D488" s="1448" t="s">
        <v>1156</v>
      </c>
      <c r="E488" s="1081">
        <v>93199.908274</v>
      </c>
    </row>
    <row r="489" ht="37" customHeight="1" spans="1:5">
      <c r="A489" s="5">
        <v>486</v>
      </c>
      <c r="B489" s="1087" t="s">
        <v>1157</v>
      </c>
      <c r="C489" s="1088" t="s">
        <v>135</v>
      </c>
      <c r="D489" s="1448" t="s">
        <v>1158</v>
      </c>
      <c r="E489" s="1081">
        <v>92199.908274</v>
      </c>
    </row>
    <row r="490" ht="37" customHeight="1" spans="1:5">
      <c r="A490" s="5">
        <v>487</v>
      </c>
      <c r="B490" s="1087" t="s">
        <v>1159</v>
      </c>
      <c r="C490" s="1088" t="s">
        <v>135</v>
      </c>
      <c r="D490" s="1448" t="s">
        <v>1160</v>
      </c>
      <c r="E490" s="1081">
        <v>44987.0636</v>
      </c>
    </row>
    <row r="491" ht="37" customHeight="1" spans="1:5">
      <c r="A491" s="5">
        <v>488</v>
      </c>
      <c r="B491" s="1087" t="s">
        <v>1161</v>
      </c>
      <c r="C491" s="1088" t="s">
        <v>135</v>
      </c>
      <c r="D491" s="1448" t="s">
        <v>1162</v>
      </c>
      <c r="E491" s="1081">
        <v>76916.25</v>
      </c>
    </row>
    <row r="492" ht="37" customHeight="1" spans="1:5">
      <c r="A492" s="5">
        <v>489</v>
      </c>
      <c r="B492" s="1087" t="s">
        <v>1163</v>
      </c>
      <c r="C492" s="1088" t="s">
        <v>165</v>
      </c>
      <c r="D492" s="1088">
        <v>4230189537</v>
      </c>
      <c r="E492" s="1081">
        <v>64415.8636</v>
      </c>
    </row>
    <row r="493" ht="37" customHeight="1" spans="1:5">
      <c r="A493" s="5">
        <v>490</v>
      </c>
      <c r="B493" s="1087" t="s">
        <v>1164</v>
      </c>
      <c r="C493" s="1088" t="s">
        <v>135</v>
      </c>
      <c r="D493" s="1448" t="s">
        <v>1165</v>
      </c>
      <c r="E493" s="1081">
        <v>79726.0636</v>
      </c>
    </row>
    <row r="494" ht="37" customHeight="1" spans="1:5">
      <c r="A494" s="5">
        <v>491</v>
      </c>
      <c r="B494" s="1087" t="s">
        <v>1166</v>
      </c>
      <c r="C494" s="1088" t="s">
        <v>113</v>
      </c>
      <c r="D494" s="1448" t="s">
        <v>1167</v>
      </c>
      <c r="E494" s="1081">
        <v>84335.8636</v>
      </c>
    </row>
    <row r="495" ht="37" customHeight="1" spans="1:5">
      <c r="A495" s="5">
        <v>492</v>
      </c>
      <c r="B495" s="1087" t="s">
        <v>1168</v>
      </c>
      <c r="C495" s="1088" t="s">
        <v>135</v>
      </c>
      <c r="D495" s="1448" t="s">
        <v>1169</v>
      </c>
      <c r="E495" s="1081">
        <v>992.730266666709</v>
      </c>
    </row>
    <row r="496" ht="37" customHeight="1" spans="1:5">
      <c r="A496" s="5">
        <v>493</v>
      </c>
      <c r="B496" s="1087" t="s">
        <v>1170</v>
      </c>
      <c r="C496" s="1088" t="s">
        <v>165</v>
      </c>
      <c r="D496" s="1088" t="s">
        <v>1171</v>
      </c>
      <c r="E496" s="1077">
        <v>80726.0636</v>
      </c>
    </row>
    <row r="497" ht="37" customHeight="1" spans="1:5">
      <c r="A497" s="5">
        <v>494</v>
      </c>
      <c r="B497" s="1087" t="s">
        <v>1172</v>
      </c>
      <c r="C497" s="1088" t="s">
        <v>135</v>
      </c>
      <c r="D497" s="1448" t="s">
        <v>1173</v>
      </c>
      <c r="E497" s="1077">
        <v>79726.0636</v>
      </c>
    </row>
    <row r="498" ht="37" customHeight="1" spans="1:5">
      <c r="A498" s="5">
        <v>495</v>
      </c>
      <c r="B498" s="1087" t="s">
        <v>1174</v>
      </c>
      <c r="C498" s="1088" t="s">
        <v>135</v>
      </c>
      <c r="D498" s="1088" t="s">
        <v>1175</v>
      </c>
      <c r="E498" s="1077">
        <v>79726.0636</v>
      </c>
    </row>
    <row r="499" ht="37" customHeight="1" spans="1:5">
      <c r="A499" s="5">
        <v>496</v>
      </c>
      <c r="B499" s="1087" t="s">
        <v>1176</v>
      </c>
      <c r="C499" s="1088" t="s">
        <v>93</v>
      </c>
      <c r="D499" s="1088" t="s">
        <v>1177</v>
      </c>
      <c r="E499" s="1077">
        <v>77060.5632</v>
      </c>
    </row>
    <row r="500" ht="37" customHeight="1" spans="1:5">
      <c r="A500" s="5">
        <v>497</v>
      </c>
      <c r="B500" s="1087" t="s">
        <v>1178</v>
      </c>
      <c r="C500" s="1088" t="s">
        <v>915</v>
      </c>
      <c r="D500" s="1088" t="s">
        <v>1179</v>
      </c>
      <c r="E500" s="1077">
        <v>67060.5632</v>
      </c>
    </row>
    <row r="501" ht="37" customHeight="1" spans="1:5">
      <c r="A501" s="5">
        <v>498</v>
      </c>
      <c r="B501" s="1087" t="s">
        <v>1180</v>
      </c>
      <c r="C501" s="1088" t="s">
        <v>934</v>
      </c>
      <c r="D501" s="1088">
        <v>7043413482</v>
      </c>
      <c r="E501" s="1077">
        <v>56227.27</v>
      </c>
    </row>
    <row r="502" ht="37" customHeight="1" spans="1:5">
      <c r="A502" s="5">
        <v>499</v>
      </c>
      <c r="B502" s="1087" t="s">
        <v>1181</v>
      </c>
      <c r="C502" s="1088" t="s">
        <v>113</v>
      </c>
      <c r="D502" s="1088">
        <v>2069867640</v>
      </c>
      <c r="E502" s="1077">
        <v>78271.7364</v>
      </c>
    </row>
    <row r="503" ht="37" customHeight="1" spans="1:5">
      <c r="A503" s="5">
        <v>500</v>
      </c>
      <c r="B503" s="1087" t="s">
        <v>1182</v>
      </c>
      <c r="C503" s="1088" t="s">
        <v>259</v>
      </c>
      <c r="D503" s="1088">
        <v>6172463059</v>
      </c>
      <c r="E503" s="1077">
        <v>77916.2</v>
      </c>
    </row>
    <row r="504" ht="37" customHeight="1" spans="1:5">
      <c r="A504" s="5">
        <v>501</v>
      </c>
      <c r="B504" s="1087" t="s">
        <v>1183</v>
      </c>
      <c r="C504" s="1088" t="s">
        <v>135</v>
      </c>
      <c r="D504" s="1088" t="s">
        <v>1184</v>
      </c>
      <c r="E504" s="1077">
        <v>76060.6</v>
      </c>
    </row>
    <row r="505" ht="37" customHeight="1" spans="1:5">
      <c r="A505" s="5">
        <v>502</v>
      </c>
      <c r="B505" s="1087" t="s">
        <v>1185</v>
      </c>
      <c r="C505" s="1088" t="s">
        <v>915</v>
      </c>
      <c r="D505" s="1088" t="s">
        <v>1186</v>
      </c>
      <c r="E505" s="1077">
        <v>77838.536</v>
      </c>
    </row>
    <row r="506" ht="37" customHeight="1" spans="1:5">
      <c r="A506" s="5">
        <v>503</v>
      </c>
      <c r="B506" s="1087" t="s">
        <v>1187</v>
      </c>
      <c r="C506" s="1088" t="s">
        <v>259</v>
      </c>
      <c r="D506" s="1088">
        <v>6239730414</v>
      </c>
      <c r="E506" s="1077">
        <v>77943.6</v>
      </c>
    </row>
    <row r="507" ht="37" customHeight="1" spans="1:5">
      <c r="A507" s="5">
        <v>504</v>
      </c>
      <c r="B507" s="1087" t="s">
        <v>1188</v>
      </c>
      <c r="C507" s="1088" t="s">
        <v>915</v>
      </c>
      <c r="D507" s="1088" t="s">
        <v>1189</v>
      </c>
      <c r="E507" s="1077">
        <v>77943.6</v>
      </c>
    </row>
    <row r="508" ht="37" customHeight="1" spans="1:5">
      <c r="A508" s="5">
        <v>505</v>
      </c>
      <c r="B508" s="1087" t="s">
        <v>1190</v>
      </c>
      <c r="C508" s="1088" t="s">
        <v>915</v>
      </c>
      <c r="D508" s="1088" t="s">
        <v>1191</v>
      </c>
      <c r="E508" s="1077">
        <v>77915.8184</v>
      </c>
    </row>
    <row r="509" ht="37" customHeight="1" spans="1:5">
      <c r="A509" s="5">
        <v>506</v>
      </c>
      <c r="B509" s="1087" t="s">
        <v>1192</v>
      </c>
      <c r="C509" s="1088" t="s">
        <v>313</v>
      </c>
      <c r="D509" s="1088">
        <v>6491976014</v>
      </c>
      <c r="E509" s="1077">
        <v>75205</v>
      </c>
    </row>
    <row r="510" ht="37" customHeight="1" spans="1:5">
      <c r="A510" s="5">
        <v>507</v>
      </c>
      <c r="B510" s="1087" t="s">
        <v>1193</v>
      </c>
      <c r="C510" s="1088" t="s">
        <v>165</v>
      </c>
      <c r="D510" s="1088">
        <v>2116988676</v>
      </c>
      <c r="E510" s="1077">
        <v>80376.6236</v>
      </c>
    </row>
    <row r="511" ht="37" customHeight="1" spans="1:5">
      <c r="A511" s="5">
        <v>508</v>
      </c>
      <c r="B511" s="1087" t="s">
        <v>1194</v>
      </c>
      <c r="C511" s="1088" t="s">
        <v>165</v>
      </c>
      <c r="D511" s="1088" t="s">
        <v>1195</v>
      </c>
      <c r="E511" s="1077">
        <v>74702.0636</v>
      </c>
    </row>
    <row r="512" ht="37" customHeight="1" spans="1:5">
      <c r="A512" s="5">
        <v>509</v>
      </c>
      <c r="B512" s="1087" t="s">
        <v>1196</v>
      </c>
      <c r="C512" s="1088" t="s">
        <v>135</v>
      </c>
      <c r="D512" s="1088" t="s">
        <v>1197</v>
      </c>
      <c r="E512" s="1077">
        <v>74702.0636</v>
      </c>
    </row>
    <row r="513" ht="37" customHeight="1" spans="1:5">
      <c r="A513" s="5">
        <v>510</v>
      </c>
      <c r="B513" s="1087" t="s">
        <v>1198</v>
      </c>
      <c r="C513" s="1088" t="s">
        <v>135</v>
      </c>
      <c r="D513" s="1088" t="s">
        <v>1199</v>
      </c>
      <c r="E513" s="1077">
        <v>79702.0636</v>
      </c>
    </row>
    <row r="514" ht="37" customHeight="1" spans="1:5">
      <c r="A514" s="5">
        <v>511</v>
      </c>
      <c r="B514" s="1087" t="s">
        <v>1200</v>
      </c>
      <c r="C514" s="1088" t="s">
        <v>135</v>
      </c>
      <c r="D514" s="1088" t="s">
        <v>1201</v>
      </c>
      <c r="E514" s="1077">
        <v>72810.5686</v>
      </c>
    </row>
    <row r="515" ht="37" customHeight="1" spans="1:5">
      <c r="A515" s="5">
        <v>512</v>
      </c>
      <c r="B515" s="1087" t="s">
        <v>1202</v>
      </c>
      <c r="C515" s="1088" t="s">
        <v>135</v>
      </c>
      <c r="D515" s="1088" t="s">
        <v>1203</v>
      </c>
      <c r="E515" s="1077">
        <v>71060.5632</v>
      </c>
    </row>
    <row r="516" ht="37" customHeight="1" spans="1:5">
      <c r="A516" s="5">
        <v>513</v>
      </c>
      <c r="B516" s="1087" t="s">
        <v>1204</v>
      </c>
      <c r="C516" s="1088" t="s">
        <v>259</v>
      </c>
      <c r="D516" s="1088">
        <v>6236048594</v>
      </c>
      <c r="E516" s="1077">
        <v>76060.5632</v>
      </c>
    </row>
    <row r="517" ht="37" customHeight="1" spans="1:5">
      <c r="A517" s="5">
        <v>514</v>
      </c>
      <c r="B517" s="1087" t="s">
        <v>1205</v>
      </c>
      <c r="C517" s="1088" t="s">
        <v>135</v>
      </c>
      <c r="D517" s="1088" t="s">
        <v>1206</v>
      </c>
      <c r="E517" s="1077">
        <v>51948.2636</v>
      </c>
    </row>
    <row r="518" ht="37" customHeight="1" spans="1:5">
      <c r="A518" s="5">
        <v>515</v>
      </c>
      <c r="B518" s="1087" t="s">
        <v>1207</v>
      </c>
      <c r="C518" s="1088" t="s">
        <v>422</v>
      </c>
      <c r="D518" s="1088">
        <v>3031963246</v>
      </c>
      <c r="E518" s="1077">
        <v>57907.8816</v>
      </c>
    </row>
    <row r="519" ht="37" customHeight="1" spans="1:5">
      <c r="A519" s="5">
        <v>516</v>
      </c>
      <c r="B519" s="1087" t="s">
        <v>1208</v>
      </c>
      <c r="C519" s="1088" t="s">
        <v>135</v>
      </c>
      <c r="D519" s="1088" t="s">
        <v>1209</v>
      </c>
      <c r="E519" s="1077">
        <v>79726.0636</v>
      </c>
    </row>
    <row r="520" ht="37" customHeight="1" spans="1:5">
      <c r="A520" s="5">
        <v>517</v>
      </c>
      <c r="B520" s="1087" t="s">
        <v>1210</v>
      </c>
      <c r="C520" s="1088" t="s">
        <v>135</v>
      </c>
      <c r="D520" s="1088" t="s">
        <v>1211</v>
      </c>
      <c r="E520" s="1077">
        <v>79726.0636</v>
      </c>
    </row>
    <row r="521" ht="37" customHeight="1" spans="1:5">
      <c r="A521" s="5">
        <v>518</v>
      </c>
      <c r="B521" s="1087" t="s">
        <v>1212</v>
      </c>
      <c r="C521" s="1088" t="s">
        <v>165</v>
      </c>
      <c r="D521" s="1088" t="s">
        <v>1213</v>
      </c>
      <c r="E521" s="1077">
        <v>69726.0636</v>
      </c>
    </row>
    <row r="522" ht="37" customHeight="1" spans="1:5">
      <c r="A522" s="5">
        <v>519</v>
      </c>
      <c r="B522" s="1087" t="s">
        <v>1214</v>
      </c>
      <c r="C522" s="1088" t="s">
        <v>135</v>
      </c>
      <c r="D522" s="1088" t="s">
        <v>1215</v>
      </c>
      <c r="E522" s="1077">
        <v>79726.0636</v>
      </c>
    </row>
    <row r="523" ht="37" customHeight="1" spans="1:5">
      <c r="A523" s="5">
        <v>520</v>
      </c>
      <c r="B523" s="1087" t="s">
        <v>1216</v>
      </c>
      <c r="C523" s="1088" t="s">
        <v>165</v>
      </c>
      <c r="D523" s="1088">
        <v>2210969917</v>
      </c>
      <c r="E523" s="1077">
        <v>79726.0636</v>
      </c>
    </row>
    <row r="524" ht="37" customHeight="1" spans="1:5">
      <c r="A524" s="5">
        <v>521</v>
      </c>
      <c r="B524" s="1087" t="s">
        <v>1217</v>
      </c>
      <c r="C524" s="1088" t="s">
        <v>135</v>
      </c>
      <c r="D524" s="1448" t="s">
        <v>1218</v>
      </c>
      <c r="E524" s="1077">
        <v>79726.0636</v>
      </c>
    </row>
    <row r="525" ht="37" customHeight="1" spans="1:5">
      <c r="A525" s="5">
        <v>522</v>
      </c>
      <c r="B525" s="1087" t="s">
        <v>1219</v>
      </c>
      <c r="C525" s="1088" t="s">
        <v>135</v>
      </c>
      <c r="D525" s="1448" t="s">
        <v>1220</v>
      </c>
      <c r="E525" s="1077">
        <v>35726.0636</v>
      </c>
    </row>
    <row r="526" ht="37" customHeight="1" spans="1:5">
      <c r="A526" s="5">
        <v>523</v>
      </c>
      <c r="B526" s="1087" t="s">
        <v>1221</v>
      </c>
      <c r="C526" s="1088" t="s">
        <v>135</v>
      </c>
      <c r="D526" s="1448" t="s">
        <v>1222</v>
      </c>
      <c r="E526" s="1077">
        <v>39726.0636</v>
      </c>
    </row>
    <row r="527" ht="37" customHeight="1" spans="1:5">
      <c r="A527" s="5">
        <v>524</v>
      </c>
      <c r="B527" s="1087" t="s">
        <v>1223</v>
      </c>
      <c r="C527" s="1088" t="s">
        <v>135</v>
      </c>
      <c r="D527" s="1448" t="s">
        <v>1224</v>
      </c>
      <c r="E527" s="1077">
        <v>79726.0636</v>
      </c>
    </row>
    <row r="528" ht="37" customHeight="1" spans="1:5">
      <c r="A528" s="5">
        <v>525</v>
      </c>
      <c r="B528" s="1087" t="s">
        <v>1225</v>
      </c>
      <c r="C528" s="1088" t="s">
        <v>135</v>
      </c>
      <c r="D528" s="1448" t="s">
        <v>1226</v>
      </c>
      <c r="E528" s="1077">
        <v>64726.0636</v>
      </c>
    </row>
    <row r="529" ht="37" customHeight="1" spans="1:5">
      <c r="A529" s="5">
        <v>526</v>
      </c>
      <c r="B529" s="1087" t="s">
        <v>1227</v>
      </c>
      <c r="C529" s="1088" t="s">
        <v>135</v>
      </c>
      <c r="D529" s="1448" t="s">
        <v>1228</v>
      </c>
      <c r="E529" s="1077">
        <v>79726.0636</v>
      </c>
    </row>
    <row r="530" ht="37" customHeight="1" spans="1:5">
      <c r="A530" s="5">
        <v>527</v>
      </c>
      <c r="B530" s="1087" t="s">
        <v>1229</v>
      </c>
      <c r="C530" s="1088" t="s">
        <v>165</v>
      </c>
      <c r="D530" s="1448" t="s">
        <v>1230</v>
      </c>
      <c r="E530" s="1077">
        <v>57893.0636</v>
      </c>
    </row>
    <row r="531" ht="37" customHeight="1" spans="1:5">
      <c r="A531" s="5">
        <v>528</v>
      </c>
      <c r="B531" s="1087" t="s">
        <v>1231</v>
      </c>
      <c r="C531" s="1088" t="s">
        <v>165</v>
      </c>
      <c r="D531" s="1088">
        <v>2116983705</v>
      </c>
      <c r="E531" s="1077">
        <v>80726.0636</v>
      </c>
    </row>
    <row r="532" ht="37" customHeight="1" spans="1:5">
      <c r="A532" s="5">
        <v>529</v>
      </c>
      <c r="B532" s="1087" t="s">
        <v>1232</v>
      </c>
      <c r="C532" s="1088" t="s">
        <v>113</v>
      </c>
      <c r="D532" s="1088">
        <v>2137066771</v>
      </c>
      <c r="E532" s="1077">
        <v>80726.0636</v>
      </c>
    </row>
    <row r="533" ht="37" customHeight="1" spans="1:5">
      <c r="A533" s="5">
        <v>530</v>
      </c>
      <c r="B533" s="1087" t="s">
        <v>1233</v>
      </c>
      <c r="C533" s="1088" t="s">
        <v>135</v>
      </c>
      <c r="D533" s="1448" t="s">
        <v>1234</v>
      </c>
      <c r="E533" s="1077">
        <v>81397.7135166667</v>
      </c>
    </row>
    <row r="534" ht="37" customHeight="1" spans="1:5">
      <c r="A534" s="5">
        <v>531</v>
      </c>
      <c r="B534" s="1087" t="s">
        <v>1235</v>
      </c>
      <c r="C534" s="1088" t="s">
        <v>135</v>
      </c>
      <c r="D534" s="1088" t="s">
        <v>1236</v>
      </c>
      <c r="E534" s="1077">
        <v>80301.7636</v>
      </c>
    </row>
    <row r="535" ht="37" customHeight="1" spans="1:5">
      <c r="A535" s="5">
        <v>532</v>
      </c>
      <c r="B535" s="1087" t="s">
        <v>1237</v>
      </c>
      <c r="C535" s="1088" t="s">
        <v>135</v>
      </c>
      <c r="D535" s="1088" t="s">
        <v>1238</v>
      </c>
      <c r="E535" s="1077">
        <v>61392.7302666667</v>
      </c>
    </row>
    <row r="536" ht="37" customHeight="1" spans="1:5">
      <c r="A536" s="5">
        <v>533</v>
      </c>
      <c r="B536" s="1087" t="s">
        <v>1239</v>
      </c>
      <c r="C536" s="1088" t="s">
        <v>165</v>
      </c>
      <c r="D536" s="1088" t="s">
        <v>1240</v>
      </c>
      <c r="E536" s="1077">
        <v>47503.84</v>
      </c>
    </row>
    <row r="537" ht="37" customHeight="1" spans="1:5">
      <c r="A537" s="5">
        <v>534</v>
      </c>
      <c r="B537" s="1087" t="s">
        <v>1241</v>
      </c>
      <c r="C537" s="1088" t="s">
        <v>135</v>
      </c>
      <c r="D537" s="1448" t="s">
        <v>1242</v>
      </c>
      <c r="E537" s="1077">
        <v>80476.0636</v>
      </c>
    </row>
    <row r="538" ht="37" customHeight="1" spans="1:5">
      <c r="A538" s="5">
        <v>535</v>
      </c>
      <c r="B538" s="1087" t="s">
        <v>1243</v>
      </c>
      <c r="C538" s="1088" t="s">
        <v>93</v>
      </c>
      <c r="D538" s="1088" t="s">
        <v>1244</v>
      </c>
      <c r="E538" s="1077">
        <v>80214.8393166667</v>
      </c>
    </row>
    <row r="539" ht="37" customHeight="1" spans="1:5">
      <c r="A539" s="5">
        <v>536</v>
      </c>
      <c r="B539" s="1087" t="s">
        <v>1245</v>
      </c>
      <c r="C539" s="1088" t="s">
        <v>113</v>
      </c>
      <c r="D539" s="1088">
        <v>2065262058</v>
      </c>
      <c r="E539" s="1077">
        <v>74860.3149333333</v>
      </c>
    </row>
    <row r="540" ht="37" customHeight="1" spans="1:5">
      <c r="A540" s="5">
        <v>537</v>
      </c>
      <c r="B540" s="1087" t="s">
        <v>1246</v>
      </c>
      <c r="C540" s="1088" t="s">
        <v>915</v>
      </c>
      <c r="D540" s="1448" t="s">
        <v>1247</v>
      </c>
      <c r="E540" s="1077">
        <v>76915.8636</v>
      </c>
    </row>
    <row r="541" ht="37" customHeight="1" spans="1:5">
      <c r="A541" s="5">
        <v>538</v>
      </c>
      <c r="B541" s="1087" t="s">
        <v>1248</v>
      </c>
      <c r="C541" s="1088" t="s">
        <v>113</v>
      </c>
      <c r="D541" s="1088" t="s">
        <v>1249</v>
      </c>
      <c r="E541" s="1077">
        <v>67300</v>
      </c>
    </row>
    <row r="542" ht="37" customHeight="1" spans="1:5">
      <c r="A542" s="5">
        <v>539</v>
      </c>
      <c r="B542" s="1087" t="s">
        <v>1250</v>
      </c>
      <c r="C542" s="1088" t="s">
        <v>113</v>
      </c>
      <c r="D542" s="1088" t="s">
        <v>1251</v>
      </c>
      <c r="E542" s="1077">
        <v>176211.7967</v>
      </c>
    </row>
    <row r="543" ht="37" customHeight="1" spans="1:5">
      <c r="A543" s="5">
        <v>540</v>
      </c>
      <c r="B543" s="1087" t="s">
        <v>1252</v>
      </c>
      <c r="C543" s="1088" t="s">
        <v>313</v>
      </c>
      <c r="D543" s="1088">
        <v>1006003562</v>
      </c>
      <c r="E543" s="1077">
        <f>'NON TEACHING STAFF'!CE216</f>
        <v>87276.7136</v>
      </c>
    </row>
    <row r="544" ht="37" customHeight="1" spans="1:5">
      <c r="A544" s="5">
        <v>541</v>
      </c>
      <c r="B544" s="1087" t="s">
        <v>1253</v>
      </c>
      <c r="C544" s="1088" t="s">
        <v>113</v>
      </c>
      <c r="D544" s="1088" t="s">
        <v>1254</v>
      </c>
      <c r="E544" s="1077">
        <v>105978.00625</v>
      </c>
    </row>
    <row r="545" ht="37" customHeight="1" spans="1:5">
      <c r="A545" s="5">
        <v>542</v>
      </c>
      <c r="B545" s="1087" t="s">
        <v>1255</v>
      </c>
      <c r="C545" s="1088" t="s">
        <v>93</v>
      </c>
      <c r="D545" s="1088">
        <v>3053649972</v>
      </c>
      <c r="E545" s="1077">
        <v>121454.6736</v>
      </c>
    </row>
    <row r="546" ht="37" customHeight="1" spans="1:5">
      <c r="A546" s="5">
        <v>543</v>
      </c>
      <c r="B546" s="1087" t="s">
        <v>1256</v>
      </c>
      <c r="C546" s="1088" t="s">
        <v>354</v>
      </c>
      <c r="D546" s="1088">
        <v>6016200005</v>
      </c>
      <c r="E546" s="1077">
        <v>55210.2864</v>
      </c>
    </row>
    <row r="547" ht="37" customHeight="1" spans="1:5">
      <c r="A547" s="5">
        <v>544</v>
      </c>
      <c r="B547" s="1087" t="s">
        <v>1257</v>
      </c>
      <c r="C547" s="1088" t="s">
        <v>127</v>
      </c>
      <c r="D547" s="1088" t="s">
        <v>1258</v>
      </c>
      <c r="E547" s="1077">
        <v>119149.4036</v>
      </c>
    </row>
    <row r="548" ht="37" customHeight="1" spans="1:5">
      <c r="A548" s="5">
        <v>545</v>
      </c>
      <c r="B548" s="1087" t="s">
        <v>1259</v>
      </c>
      <c r="C548" s="1088" t="s">
        <v>97</v>
      </c>
      <c r="D548" s="1088" t="s">
        <v>1260</v>
      </c>
      <c r="E548" s="1077">
        <v>133543.6264</v>
      </c>
    </row>
    <row r="549" ht="37" customHeight="1" spans="1:5">
      <c r="A549" s="5">
        <v>546</v>
      </c>
      <c r="B549" s="1087" t="s">
        <v>1261</v>
      </c>
      <c r="C549" s="1088" t="s">
        <v>422</v>
      </c>
      <c r="D549" s="1088">
        <v>3032264177</v>
      </c>
      <c r="E549" s="1077">
        <v>127021.2964</v>
      </c>
    </row>
    <row r="550" ht="37" customHeight="1" spans="1:5">
      <c r="A550" s="5">
        <v>547</v>
      </c>
      <c r="B550" s="1087" t="s">
        <v>1262</v>
      </c>
      <c r="C550" s="1088" t="s">
        <v>127</v>
      </c>
      <c r="D550" s="1088" t="s">
        <v>1263</v>
      </c>
      <c r="E550" s="1077">
        <v>140454.6736</v>
      </c>
    </row>
    <row r="551" ht="37" customHeight="1" spans="1:5">
      <c r="A551" s="5">
        <v>548</v>
      </c>
      <c r="B551" s="1087" t="s">
        <v>1264</v>
      </c>
      <c r="C551" s="1088" t="s">
        <v>165</v>
      </c>
      <c r="D551" s="1448" t="s">
        <v>1265</v>
      </c>
      <c r="E551" s="1077">
        <v>116598.726887619</v>
      </c>
    </row>
    <row r="552" ht="37" customHeight="1" spans="1:5">
      <c r="A552" s="5">
        <v>549</v>
      </c>
      <c r="B552" s="1087" t="s">
        <v>1266</v>
      </c>
      <c r="C552" s="1088" t="s">
        <v>915</v>
      </c>
      <c r="D552" s="1448" t="s">
        <v>1267</v>
      </c>
      <c r="E552" s="1077">
        <v>107584.5264</v>
      </c>
    </row>
    <row r="553" ht="37" customHeight="1" spans="1:5">
      <c r="A553" s="5">
        <v>550</v>
      </c>
      <c r="B553" s="1087" t="s">
        <v>1268</v>
      </c>
      <c r="C553" s="1088" t="s">
        <v>165</v>
      </c>
      <c r="D553" s="1088">
        <v>2083690745</v>
      </c>
      <c r="E553" s="1077">
        <v>110931.0564</v>
      </c>
    </row>
    <row r="554" ht="37" customHeight="1" spans="1:5">
      <c r="A554" s="5">
        <v>551</v>
      </c>
      <c r="B554" s="1087" t="s">
        <v>1269</v>
      </c>
      <c r="C554" s="1088" t="s">
        <v>135</v>
      </c>
      <c r="D554" s="1448" t="s">
        <v>1270</v>
      </c>
      <c r="E554" s="1077">
        <v>129760.473493333</v>
      </c>
    </row>
    <row r="555" ht="37" customHeight="1" spans="1:5">
      <c r="A555" s="5">
        <v>552</v>
      </c>
      <c r="B555" s="1087" t="s">
        <v>1271</v>
      </c>
      <c r="C555" s="1088" t="s">
        <v>313</v>
      </c>
      <c r="D555" s="1448" t="s">
        <v>1272</v>
      </c>
      <c r="E555" s="1077">
        <v>191506.776466667</v>
      </c>
    </row>
    <row r="556" ht="37" customHeight="1" spans="1:5">
      <c r="A556" s="5">
        <v>553</v>
      </c>
      <c r="B556" s="1087" t="s">
        <v>1273</v>
      </c>
      <c r="C556" s="1088" t="s">
        <v>915</v>
      </c>
      <c r="D556" s="1448" t="s">
        <v>1274</v>
      </c>
      <c r="E556" s="1077">
        <v>212428.9698</v>
      </c>
    </row>
    <row r="557" ht="37" customHeight="1" spans="1:5">
      <c r="A557" s="5">
        <v>554</v>
      </c>
      <c r="B557" s="1087" t="s">
        <v>1275</v>
      </c>
      <c r="C557" s="1088" t="s">
        <v>259</v>
      </c>
      <c r="D557" s="1088">
        <v>6239313426</v>
      </c>
      <c r="E557" s="1077">
        <v>174681.311033333</v>
      </c>
    </row>
    <row r="558" ht="37" customHeight="1" spans="1:5">
      <c r="A558" s="5">
        <v>555</v>
      </c>
      <c r="B558" s="1087" t="s">
        <v>1276</v>
      </c>
      <c r="C558" s="1088" t="s">
        <v>97</v>
      </c>
      <c r="D558" s="1448" t="s">
        <v>1277</v>
      </c>
      <c r="E558" s="1077">
        <v>151473.668333333</v>
      </c>
    </row>
    <row r="559" ht="37" customHeight="1" spans="1:5">
      <c r="A559" s="5">
        <v>556</v>
      </c>
      <c r="B559" s="1087" t="s">
        <v>1278</v>
      </c>
      <c r="C559" s="1088" t="s">
        <v>113</v>
      </c>
      <c r="D559" s="1448" t="s">
        <v>1279</v>
      </c>
      <c r="E559" s="1077">
        <v>153824.370633333</v>
      </c>
    </row>
    <row r="560" ht="37" customHeight="1" spans="1:5">
      <c r="A560" s="5">
        <v>557</v>
      </c>
      <c r="B560" s="1087" t="s">
        <v>1280</v>
      </c>
      <c r="C560" s="1088" t="s">
        <v>113</v>
      </c>
      <c r="D560" s="1448" t="s">
        <v>1281</v>
      </c>
      <c r="E560" s="1077">
        <v>186107.370633333</v>
      </c>
    </row>
    <row r="561" ht="37" customHeight="1" spans="1:5">
      <c r="A561" s="5">
        <v>558</v>
      </c>
      <c r="B561" s="1087" t="s">
        <v>1282</v>
      </c>
      <c r="C561" s="1088" t="s">
        <v>127</v>
      </c>
      <c r="D561" s="1448" t="s">
        <v>1283</v>
      </c>
      <c r="E561" s="1077">
        <v>186107.370633333</v>
      </c>
    </row>
    <row r="562" ht="37" customHeight="1" spans="1:5">
      <c r="A562" s="5">
        <v>559</v>
      </c>
      <c r="B562" s="1087" t="s">
        <v>1284</v>
      </c>
      <c r="C562" s="1088" t="s">
        <v>127</v>
      </c>
      <c r="D562" s="1448" t="s">
        <v>1285</v>
      </c>
      <c r="E562" s="1077">
        <v>188107.370633333</v>
      </c>
    </row>
    <row r="563" ht="37" customHeight="1" spans="1:5">
      <c r="A563" s="5">
        <v>560</v>
      </c>
      <c r="B563" s="1087" t="s">
        <v>1286</v>
      </c>
      <c r="C563" s="1088" t="s">
        <v>97</v>
      </c>
      <c r="D563" s="1448" t="s">
        <v>1287</v>
      </c>
      <c r="E563" s="1077">
        <v>40690.3706333334</v>
      </c>
    </row>
    <row r="564" ht="37" customHeight="1" spans="1:5">
      <c r="A564" s="5">
        <v>561</v>
      </c>
      <c r="B564" s="1087" t="s">
        <v>1288</v>
      </c>
      <c r="C564" s="1088" t="s">
        <v>127</v>
      </c>
      <c r="D564" s="1448" t="s">
        <v>1289</v>
      </c>
      <c r="E564" s="1077">
        <v>52851.8206333334</v>
      </c>
    </row>
    <row r="565" ht="37" customHeight="1" spans="1:5">
      <c r="A565" s="5">
        <v>562</v>
      </c>
      <c r="B565" s="1087" t="s">
        <v>1290</v>
      </c>
      <c r="C565" s="1088" t="s">
        <v>113</v>
      </c>
      <c r="D565" s="1448" t="s">
        <v>1291</v>
      </c>
      <c r="E565" s="1077">
        <v>167573.370633333</v>
      </c>
    </row>
    <row r="566" ht="37" customHeight="1" spans="1:5">
      <c r="A566" s="5">
        <v>563</v>
      </c>
      <c r="B566" s="1087" t="s">
        <v>1292</v>
      </c>
      <c r="C566" s="1088" t="s">
        <v>422</v>
      </c>
      <c r="D566" s="1448" t="s">
        <v>1293</v>
      </c>
      <c r="E566" s="1077">
        <v>122677.53</v>
      </c>
    </row>
    <row r="567" ht="37" customHeight="1" spans="1:5">
      <c r="A567" s="5">
        <v>564</v>
      </c>
      <c r="B567" s="1087" t="s">
        <v>1294</v>
      </c>
      <c r="C567" s="1088" t="s">
        <v>145</v>
      </c>
      <c r="D567" s="1448" t="s">
        <v>1295</v>
      </c>
      <c r="E567" s="1077">
        <v>32251.6564</v>
      </c>
    </row>
    <row r="568" ht="37" customHeight="1" spans="1:5">
      <c r="A568" s="5">
        <v>565</v>
      </c>
      <c r="B568" s="1087" t="s">
        <v>1296</v>
      </c>
      <c r="C568" s="1088" t="s">
        <v>135</v>
      </c>
      <c r="D568" s="1448" t="s">
        <v>1297</v>
      </c>
      <c r="E568" s="1077">
        <v>156372.2064</v>
      </c>
    </row>
    <row r="569" ht="37" customHeight="1" spans="1:5">
      <c r="A569" s="5">
        <v>566</v>
      </c>
      <c r="B569" s="1087" t="s">
        <v>1298</v>
      </c>
      <c r="C569" s="1091" t="s">
        <v>127</v>
      </c>
      <c r="D569" s="1449" t="s">
        <v>1299</v>
      </c>
      <c r="E569" s="1077">
        <v>125299.1564</v>
      </c>
    </row>
    <row r="570" ht="37" customHeight="1" spans="1:5">
      <c r="A570" s="5">
        <v>567</v>
      </c>
      <c r="B570" s="1087" t="s">
        <v>1300</v>
      </c>
      <c r="C570" s="1088" t="s">
        <v>97</v>
      </c>
      <c r="D570" s="1448" t="s">
        <v>1301</v>
      </c>
      <c r="E570" s="1077">
        <v>385653.5664</v>
      </c>
    </row>
    <row r="571" ht="37" customHeight="1" spans="1:5">
      <c r="A571" s="5">
        <v>568</v>
      </c>
      <c r="B571" s="1087" t="s">
        <v>1302</v>
      </c>
      <c r="C571" s="1088" t="s">
        <v>127</v>
      </c>
      <c r="D571" s="1448" t="s">
        <v>1303</v>
      </c>
      <c r="E571" s="1077">
        <v>333393.207838</v>
      </c>
    </row>
    <row r="572" ht="37" customHeight="1" spans="1:5">
      <c r="A572" s="5">
        <v>569</v>
      </c>
      <c r="B572" s="1087" t="s">
        <v>1304</v>
      </c>
      <c r="C572" s="1088" t="s">
        <v>97</v>
      </c>
      <c r="D572" s="1448" t="s">
        <v>1305</v>
      </c>
      <c r="E572" s="1077">
        <v>157578.203333333</v>
      </c>
    </row>
    <row r="573" ht="37" customHeight="1" spans="1:5">
      <c r="A573" s="5">
        <v>570</v>
      </c>
      <c r="B573" s="1087" t="s">
        <v>1306</v>
      </c>
      <c r="C573" s="1088" t="s">
        <v>101</v>
      </c>
      <c r="D573" s="1448" t="s">
        <v>1307</v>
      </c>
      <c r="E573" s="1077">
        <v>118167.147173333</v>
      </c>
    </row>
    <row r="574" ht="37" customHeight="1" spans="1:5">
      <c r="A574" s="5">
        <v>571</v>
      </c>
      <c r="B574" s="1087" t="s">
        <v>1308</v>
      </c>
      <c r="C574" s="1088" t="s">
        <v>165</v>
      </c>
      <c r="D574" s="1448" t="s">
        <v>1309</v>
      </c>
      <c r="E574" s="1077">
        <v>77915.8173333333</v>
      </c>
    </row>
    <row r="575" ht="37" customHeight="1" spans="1:5">
      <c r="A575" s="5">
        <v>572</v>
      </c>
      <c r="B575" s="1087" t="s">
        <v>1310</v>
      </c>
      <c r="C575" s="1088" t="s">
        <v>135</v>
      </c>
      <c r="D575" s="1448" t="s">
        <v>1311</v>
      </c>
      <c r="E575" s="1077">
        <v>79531.7364</v>
      </c>
    </row>
    <row r="576" ht="37" customHeight="1" spans="1:5">
      <c r="A576" s="5">
        <v>573</v>
      </c>
      <c r="B576" s="1087" t="s">
        <v>1312</v>
      </c>
      <c r="C576" s="1088" t="s">
        <v>97</v>
      </c>
      <c r="D576" s="1448" t="s">
        <v>1313</v>
      </c>
      <c r="E576" s="1077">
        <v>39175</v>
      </c>
    </row>
    <row r="577" ht="37" customHeight="1" spans="1:5">
      <c r="A577" s="5">
        <v>574</v>
      </c>
      <c r="B577" s="1087" t="s">
        <v>1314</v>
      </c>
      <c r="C577" s="1088" t="s">
        <v>135</v>
      </c>
      <c r="D577" s="1448" t="s">
        <v>1315</v>
      </c>
      <c r="E577" s="1077">
        <v>73300</v>
      </c>
    </row>
    <row r="578" ht="37" customHeight="1" spans="1:5">
      <c r="A578" s="5">
        <v>575</v>
      </c>
      <c r="B578" s="1087" t="s">
        <v>1316</v>
      </c>
      <c r="C578" s="1088" t="s">
        <v>113</v>
      </c>
      <c r="D578" s="1448" t="s">
        <v>1317</v>
      </c>
      <c r="E578" s="1077">
        <v>45383</v>
      </c>
    </row>
    <row r="579" ht="37" customHeight="1" spans="1:5">
      <c r="A579" s="5">
        <v>576</v>
      </c>
      <c r="B579" s="1087" t="s">
        <v>1318</v>
      </c>
      <c r="C579" s="1088" t="s">
        <v>915</v>
      </c>
      <c r="D579" s="1448" t="s">
        <v>1319</v>
      </c>
      <c r="E579" s="1077">
        <v>45800</v>
      </c>
    </row>
    <row r="580" ht="37" customHeight="1" spans="1:5">
      <c r="A580" s="5">
        <v>577</v>
      </c>
      <c r="B580" s="1087" t="s">
        <v>1320</v>
      </c>
      <c r="C580" s="1088" t="s">
        <v>135</v>
      </c>
      <c r="D580" s="1448" t="s">
        <v>1321</v>
      </c>
      <c r="E580" s="1077">
        <v>73300</v>
      </c>
    </row>
    <row r="581" ht="37" customHeight="1" spans="1:5">
      <c r="A581" s="5">
        <v>578</v>
      </c>
      <c r="B581" s="1087" t="s">
        <v>1322</v>
      </c>
      <c r="C581" s="1088" t="s">
        <v>145</v>
      </c>
      <c r="D581" s="1448" t="s">
        <v>1323</v>
      </c>
      <c r="E581" s="1077">
        <v>135710.86</v>
      </c>
    </row>
    <row r="582" ht="37" customHeight="1" spans="1:5">
      <c r="A582" s="5">
        <v>579</v>
      </c>
      <c r="B582" s="1087" t="s">
        <v>1324</v>
      </c>
      <c r="C582" s="1088" t="s">
        <v>127</v>
      </c>
      <c r="D582" s="1448" t="s">
        <v>1325</v>
      </c>
      <c r="E582" s="1077">
        <v>92057.6736</v>
      </c>
    </row>
    <row r="583" ht="37" customHeight="1" spans="1:5">
      <c r="A583" s="5">
        <v>580</v>
      </c>
      <c r="B583" s="1087" t="s">
        <v>1326</v>
      </c>
      <c r="C583" s="1088" t="s">
        <v>422</v>
      </c>
      <c r="D583" s="1448" t="s">
        <v>1327</v>
      </c>
      <c r="E583" s="1077">
        <v>89195.3306</v>
      </c>
    </row>
    <row r="584" ht="37" customHeight="1" spans="1:5">
      <c r="A584" s="5">
        <v>581</v>
      </c>
      <c r="B584" s="1087" t="s">
        <v>1328</v>
      </c>
      <c r="C584" s="1088" t="s">
        <v>313</v>
      </c>
      <c r="D584" s="1088">
        <v>2962056016</v>
      </c>
      <c r="E584" s="1077">
        <v>88195.3306</v>
      </c>
    </row>
    <row r="585" ht="37" customHeight="1" spans="1:5">
      <c r="A585" s="5">
        <v>582</v>
      </c>
      <c r="B585" s="1087" t="s">
        <v>1329</v>
      </c>
      <c r="C585" s="1088" t="s">
        <v>915</v>
      </c>
      <c r="D585" s="1088" t="s">
        <v>1330</v>
      </c>
      <c r="E585" s="1077">
        <v>89195.3306</v>
      </c>
    </row>
    <row r="586" ht="37" customHeight="1" spans="1:5">
      <c r="A586" s="5">
        <v>583</v>
      </c>
      <c r="B586" s="1087" t="s">
        <v>1331</v>
      </c>
      <c r="C586" s="1088" t="s">
        <v>113</v>
      </c>
      <c r="D586" s="1088">
        <v>2047617658</v>
      </c>
      <c r="E586" s="1077">
        <v>133841.24</v>
      </c>
    </row>
    <row r="587" ht="37" customHeight="1" spans="1:5">
      <c r="A587" s="5">
        <v>584</v>
      </c>
      <c r="B587" s="1087" t="s">
        <v>1332</v>
      </c>
      <c r="C587" s="1088" t="s">
        <v>165</v>
      </c>
      <c r="D587" s="1448" t="s">
        <v>1333</v>
      </c>
      <c r="E587" s="1077">
        <v>153316.4036</v>
      </c>
    </row>
    <row r="588" ht="37" customHeight="1" spans="1:5">
      <c r="A588" s="5">
        <v>585</v>
      </c>
      <c r="B588" s="1087" t="s">
        <v>1334</v>
      </c>
      <c r="C588" s="1088" t="s">
        <v>97</v>
      </c>
      <c r="D588" s="1448" t="s">
        <v>1335</v>
      </c>
      <c r="E588" s="1077">
        <v>91200</v>
      </c>
    </row>
    <row r="589" ht="37" customHeight="1" spans="1:5">
      <c r="A589" s="5">
        <v>586</v>
      </c>
      <c r="B589" s="1087" t="s">
        <v>1336</v>
      </c>
      <c r="C589" s="1088" t="s">
        <v>871</v>
      </c>
      <c r="D589" s="1448" t="s">
        <v>1337</v>
      </c>
      <c r="E589" s="1077">
        <v>92000</v>
      </c>
    </row>
    <row r="590" ht="37" customHeight="1" spans="1:5">
      <c r="A590" s="5">
        <v>587</v>
      </c>
      <c r="B590" s="1087" t="s">
        <v>1338</v>
      </c>
      <c r="C590" s="1088" t="s">
        <v>151</v>
      </c>
      <c r="D590" s="1088">
        <v>3188158835</v>
      </c>
      <c r="E590" s="1077">
        <v>164618.362</v>
      </c>
    </row>
    <row r="591" ht="37" customHeight="1" spans="1:5">
      <c r="A591" s="5">
        <v>588</v>
      </c>
      <c r="B591" s="1087" t="s">
        <v>1339</v>
      </c>
      <c r="C591" s="1088" t="s">
        <v>97</v>
      </c>
      <c r="D591" s="1088">
        <v>1486320677</v>
      </c>
      <c r="E591" s="1077">
        <v>91618.362</v>
      </c>
    </row>
    <row r="592" ht="37" customHeight="1" spans="1:5">
      <c r="A592" s="5">
        <v>589</v>
      </c>
      <c r="B592" s="1087" t="s">
        <v>1340</v>
      </c>
      <c r="C592" s="1088" t="s">
        <v>127</v>
      </c>
      <c r="D592" s="1448" t="s">
        <v>1341</v>
      </c>
      <c r="E592" s="1077">
        <v>139618.362</v>
      </c>
    </row>
    <row r="593" ht="37" customHeight="1" spans="1:5">
      <c r="A593" s="5">
        <v>590</v>
      </c>
      <c r="B593" s="1087" t="s">
        <v>1342</v>
      </c>
      <c r="C593" s="1088" t="s">
        <v>113</v>
      </c>
      <c r="D593" s="1088">
        <v>2084152385</v>
      </c>
      <c r="E593" s="1077">
        <v>142618.362</v>
      </c>
    </row>
    <row r="594" ht="37" customHeight="1" spans="1:5">
      <c r="A594" s="5">
        <v>591</v>
      </c>
      <c r="B594" s="1087" t="s">
        <v>1343</v>
      </c>
      <c r="C594" s="1088" t="s">
        <v>113</v>
      </c>
      <c r="D594" s="1088">
        <v>2036943230</v>
      </c>
      <c r="E594" s="1077">
        <v>144618.362</v>
      </c>
    </row>
    <row r="595" ht="37" customHeight="1" spans="1:5">
      <c r="A595" s="5">
        <v>592</v>
      </c>
      <c r="B595" s="1087" t="s">
        <v>1344</v>
      </c>
      <c r="C595" s="1088" t="s">
        <v>97</v>
      </c>
      <c r="D595" s="1448" t="s">
        <v>1345</v>
      </c>
      <c r="E595" s="1077">
        <v>85120.3136</v>
      </c>
    </row>
    <row r="596" ht="37" customHeight="1" spans="1:5">
      <c r="A596" s="5">
        <v>593</v>
      </c>
      <c r="B596" s="1087" t="s">
        <v>1346</v>
      </c>
      <c r="C596" s="1088" t="s">
        <v>127</v>
      </c>
      <c r="D596" s="1448" t="s">
        <v>1347</v>
      </c>
      <c r="E596" s="1077">
        <v>118454.6736</v>
      </c>
    </row>
    <row r="597" ht="37" customHeight="1" spans="1:5">
      <c r="A597" s="5">
        <v>594</v>
      </c>
      <c r="B597" s="1087" t="s">
        <v>1348</v>
      </c>
      <c r="C597" s="1088" t="s">
        <v>127</v>
      </c>
      <c r="D597" s="1448" t="s">
        <v>1349</v>
      </c>
      <c r="E597" s="1077">
        <v>130454.6736</v>
      </c>
    </row>
    <row r="598" ht="37" customHeight="1" spans="1:5">
      <c r="A598" s="5">
        <v>595</v>
      </c>
      <c r="B598" s="1087" t="s">
        <v>1350</v>
      </c>
      <c r="C598" s="1088" t="s">
        <v>93</v>
      </c>
      <c r="D598" s="1448" t="s">
        <v>1351</v>
      </c>
      <c r="E598" s="1077">
        <v>100454.6736</v>
      </c>
    </row>
    <row r="599" ht="37" customHeight="1" spans="1:5">
      <c r="A599" s="5">
        <v>596</v>
      </c>
      <c r="B599" s="1087" t="s">
        <v>1352</v>
      </c>
      <c r="C599" s="1092" t="s">
        <v>113</v>
      </c>
      <c r="D599" s="1450" t="s">
        <v>1353</v>
      </c>
      <c r="E599" s="1077">
        <v>120454.6736</v>
      </c>
    </row>
    <row r="600" ht="37" customHeight="1" spans="1:5">
      <c r="A600" s="5">
        <v>597</v>
      </c>
      <c r="B600" s="1087" t="s">
        <v>1354</v>
      </c>
      <c r="C600" s="1088" t="s">
        <v>113</v>
      </c>
      <c r="D600" s="1088">
        <v>2055382773</v>
      </c>
      <c r="E600" s="1077">
        <v>115454.6736</v>
      </c>
    </row>
    <row r="601" ht="37" customHeight="1" spans="1:5">
      <c r="A601" s="5">
        <v>598</v>
      </c>
      <c r="B601" s="1087" t="s">
        <v>1355</v>
      </c>
      <c r="C601" s="1088" t="s">
        <v>135</v>
      </c>
      <c r="D601" s="1448" t="s">
        <v>1356</v>
      </c>
      <c r="E601" s="1077">
        <v>140454.6736</v>
      </c>
    </row>
    <row r="602" ht="37" customHeight="1" spans="1:5">
      <c r="A602" s="5">
        <v>599</v>
      </c>
      <c r="B602" s="1087" t="s">
        <v>1357</v>
      </c>
      <c r="C602" s="1088" t="s">
        <v>151</v>
      </c>
      <c r="D602" s="1088">
        <v>3043097208</v>
      </c>
      <c r="E602" s="1077">
        <v>135454.6736</v>
      </c>
    </row>
    <row r="603" ht="37" customHeight="1" spans="1:5">
      <c r="A603" s="5">
        <v>600</v>
      </c>
      <c r="B603" s="1087" t="s">
        <v>1358</v>
      </c>
      <c r="C603" s="1088" t="s">
        <v>97</v>
      </c>
      <c r="D603" s="1448" t="s">
        <v>1359</v>
      </c>
      <c r="E603" s="1077">
        <v>140454.6736</v>
      </c>
    </row>
    <row r="604" ht="37" customHeight="1" spans="1:5">
      <c r="A604" s="5">
        <v>601</v>
      </c>
      <c r="B604" s="1087" t="s">
        <v>1360</v>
      </c>
      <c r="C604" s="1088" t="s">
        <v>97</v>
      </c>
      <c r="D604" s="1448" t="s">
        <v>1361</v>
      </c>
      <c r="E604" s="1077">
        <v>140454.6736</v>
      </c>
    </row>
    <row r="605" ht="37" customHeight="1" spans="1:5">
      <c r="A605" s="5">
        <v>602</v>
      </c>
      <c r="B605" s="1087" t="s">
        <v>1362</v>
      </c>
      <c r="C605" s="1088" t="s">
        <v>259</v>
      </c>
      <c r="D605" s="1088">
        <v>6977214401</v>
      </c>
      <c r="E605" s="1077">
        <v>113454.6736</v>
      </c>
    </row>
    <row r="606" ht="37" customHeight="1" spans="1:5">
      <c r="A606" s="5">
        <v>603</v>
      </c>
      <c r="B606" s="1087" t="s">
        <v>1363</v>
      </c>
      <c r="C606" s="1088" t="s">
        <v>127</v>
      </c>
      <c r="D606" s="1448" t="s">
        <v>1364</v>
      </c>
      <c r="E606" s="1077">
        <v>140454.6736</v>
      </c>
    </row>
    <row r="607" ht="37" customHeight="1" spans="1:5">
      <c r="A607" s="5">
        <v>604</v>
      </c>
      <c r="B607" s="1087" t="s">
        <v>1365</v>
      </c>
      <c r="C607" s="1088" t="s">
        <v>151</v>
      </c>
      <c r="D607" s="1088">
        <v>3052050287</v>
      </c>
      <c r="E607" s="1077">
        <v>138454.6736</v>
      </c>
    </row>
    <row r="608" ht="37" customHeight="1" spans="1:5">
      <c r="A608" s="5">
        <v>605</v>
      </c>
      <c r="B608" s="1087" t="s">
        <v>1366</v>
      </c>
      <c r="C608" s="1088" t="s">
        <v>157</v>
      </c>
      <c r="D608" s="1448" t="s">
        <v>1367</v>
      </c>
      <c r="E608" s="1077">
        <v>138454.6736</v>
      </c>
    </row>
    <row r="609" ht="37" customHeight="1" spans="1:5">
      <c r="A609" s="5">
        <v>606</v>
      </c>
      <c r="B609" s="1087" t="s">
        <v>1368</v>
      </c>
      <c r="C609" s="1088" t="s">
        <v>113</v>
      </c>
      <c r="D609" s="1088">
        <v>2313075476</v>
      </c>
      <c r="E609" s="1077">
        <v>104454.6736</v>
      </c>
    </row>
    <row r="610" ht="37" customHeight="1" spans="1:5">
      <c r="A610" s="5">
        <v>607</v>
      </c>
      <c r="B610" s="1087" t="s">
        <v>1369</v>
      </c>
      <c r="C610" s="1088" t="s">
        <v>97</v>
      </c>
      <c r="D610" s="1448" t="s">
        <v>1370</v>
      </c>
      <c r="E610" s="1077">
        <v>138454.6736</v>
      </c>
    </row>
    <row r="611" ht="37" customHeight="1" spans="1:5">
      <c r="A611" s="5">
        <v>608</v>
      </c>
      <c r="B611" s="1087" t="s">
        <v>1371</v>
      </c>
      <c r="C611" s="1088" t="s">
        <v>97</v>
      </c>
      <c r="D611" s="1448" t="s">
        <v>1372</v>
      </c>
      <c r="E611" s="1077">
        <v>135454.6736</v>
      </c>
    </row>
    <row r="612" ht="37" customHeight="1" spans="1:5">
      <c r="A612" s="5">
        <v>609</v>
      </c>
      <c r="B612" s="1087" t="s">
        <v>1373</v>
      </c>
      <c r="C612" s="1088" t="s">
        <v>127</v>
      </c>
      <c r="D612" s="1448" t="s">
        <v>1374</v>
      </c>
      <c r="E612" s="1077">
        <v>128454.6736</v>
      </c>
    </row>
    <row r="613" ht="37" customHeight="1" spans="1:5">
      <c r="A613" s="5">
        <v>610</v>
      </c>
      <c r="B613" s="1087" t="s">
        <v>1375</v>
      </c>
      <c r="C613" s="1088" t="s">
        <v>127</v>
      </c>
      <c r="D613" s="1448" t="s">
        <v>1376</v>
      </c>
      <c r="E613" s="1077">
        <v>125454.6736</v>
      </c>
    </row>
    <row r="614" ht="37" customHeight="1" spans="1:5">
      <c r="A614" s="5">
        <v>611</v>
      </c>
      <c r="B614" s="1087" t="s">
        <v>1377</v>
      </c>
      <c r="C614" s="1088" t="s">
        <v>97</v>
      </c>
      <c r="D614" s="1448" t="s">
        <v>1378</v>
      </c>
      <c r="E614" s="1077">
        <v>82884.6736</v>
      </c>
    </row>
    <row r="615" ht="37" customHeight="1" spans="1:5">
      <c r="A615" s="5">
        <v>612</v>
      </c>
      <c r="B615" s="1087" t="s">
        <v>1379</v>
      </c>
      <c r="C615" s="1088" t="s">
        <v>127</v>
      </c>
      <c r="D615" s="1448" t="s">
        <v>1380</v>
      </c>
      <c r="E615" s="1077">
        <v>143454.6736</v>
      </c>
    </row>
    <row r="616" ht="37" customHeight="1" spans="1:5">
      <c r="A616" s="5">
        <v>613</v>
      </c>
      <c r="B616" s="1087" t="s">
        <v>1381</v>
      </c>
      <c r="C616" s="1088" t="s">
        <v>93</v>
      </c>
      <c r="D616" s="1088">
        <v>3003572134</v>
      </c>
      <c r="E616" s="1077">
        <v>140454.6736</v>
      </c>
    </row>
    <row r="617" ht="37" customHeight="1" spans="1:5">
      <c r="A617" s="5">
        <v>614</v>
      </c>
      <c r="B617" s="1087" t="s">
        <v>1382</v>
      </c>
      <c r="C617" s="1088" t="s">
        <v>93</v>
      </c>
      <c r="D617" s="1088">
        <v>3199206929</v>
      </c>
      <c r="E617" s="1077">
        <v>140454.6736</v>
      </c>
    </row>
    <row r="618" ht="37" customHeight="1" spans="1:5">
      <c r="A618" s="5">
        <v>615</v>
      </c>
      <c r="B618" s="1087" t="s">
        <v>1383</v>
      </c>
      <c r="C618" s="1088" t="s">
        <v>165</v>
      </c>
      <c r="D618" s="1448" t="s">
        <v>950</v>
      </c>
      <c r="E618" s="1077">
        <v>135454.6736</v>
      </c>
    </row>
    <row r="619" ht="37" customHeight="1" spans="1:5">
      <c r="A619" s="5">
        <v>616</v>
      </c>
      <c r="B619" s="1087" t="s">
        <v>1384</v>
      </c>
      <c r="C619" s="1088" t="s">
        <v>259</v>
      </c>
      <c r="D619" s="1088">
        <v>6013258606</v>
      </c>
      <c r="E619" s="1077">
        <v>130454.6736</v>
      </c>
    </row>
    <row r="620" ht="37" customHeight="1" spans="1:5">
      <c r="A620" s="5">
        <v>617</v>
      </c>
      <c r="B620" s="1087" t="s">
        <v>1385</v>
      </c>
      <c r="C620" s="1088" t="s">
        <v>122</v>
      </c>
      <c r="D620" s="1088">
        <v>9304210749</v>
      </c>
      <c r="E620" s="1077">
        <v>128454.6736</v>
      </c>
    </row>
    <row r="621" ht="37" customHeight="1" spans="1:5">
      <c r="A621" s="5">
        <v>618</v>
      </c>
      <c r="B621" s="1087" t="s">
        <v>1386</v>
      </c>
      <c r="C621" s="1088" t="s">
        <v>93</v>
      </c>
      <c r="D621" s="1088">
        <v>3061002932</v>
      </c>
      <c r="E621" s="1077">
        <v>100177.6736</v>
      </c>
    </row>
    <row r="622" ht="37" customHeight="1" spans="1:5">
      <c r="A622" s="5">
        <v>619</v>
      </c>
      <c r="B622" s="1087" t="s">
        <v>1387</v>
      </c>
      <c r="C622" s="1088" t="s">
        <v>313</v>
      </c>
      <c r="D622" s="1088">
        <v>2873298015</v>
      </c>
      <c r="E622" s="1077">
        <v>140454.6736</v>
      </c>
    </row>
    <row r="623" ht="37" customHeight="1" spans="1:5">
      <c r="A623" s="5">
        <v>620</v>
      </c>
      <c r="B623" s="1087" t="s">
        <v>1388</v>
      </c>
      <c r="C623" s="1088" t="s">
        <v>165</v>
      </c>
      <c r="D623" s="1088">
        <v>2392989615</v>
      </c>
      <c r="E623" s="1077">
        <v>138454.6736</v>
      </c>
    </row>
    <row r="624" ht="37" customHeight="1" spans="1:5">
      <c r="A624" s="5">
        <v>621</v>
      </c>
      <c r="B624" s="1087" t="s">
        <v>1389</v>
      </c>
      <c r="C624" s="1088" t="s">
        <v>165</v>
      </c>
      <c r="D624" s="1088">
        <v>2836364444</v>
      </c>
      <c r="E624" s="1077">
        <v>135454.6736</v>
      </c>
    </row>
    <row r="625" ht="37" customHeight="1" spans="1:5">
      <c r="A625" s="5">
        <v>622</v>
      </c>
      <c r="B625" s="1087" t="s">
        <v>1390</v>
      </c>
      <c r="C625" s="1088" t="s">
        <v>113</v>
      </c>
      <c r="D625" s="1088">
        <v>2147647827</v>
      </c>
      <c r="E625" s="1077">
        <v>103454.6736</v>
      </c>
    </row>
    <row r="626" ht="37" customHeight="1" spans="1:5">
      <c r="A626" s="5">
        <v>623</v>
      </c>
      <c r="B626" s="1087" t="s">
        <v>1391</v>
      </c>
      <c r="C626" s="1088" t="s">
        <v>93</v>
      </c>
      <c r="D626" s="1088">
        <v>3098088459</v>
      </c>
      <c r="E626" s="1077">
        <v>140454.6736</v>
      </c>
    </row>
    <row r="627" ht="37" customHeight="1" spans="1:5">
      <c r="A627" s="5">
        <v>624</v>
      </c>
      <c r="B627" s="1087" t="s">
        <v>1392</v>
      </c>
      <c r="C627" s="1088" t="s">
        <v>915</v>
      </c>
      <c r="D627" s="1448" t="s">
        <v>1393</v>
      </c>
      <c r="E627" s="1077">
        <v>110121.340266667</v>
      </c>
    </row>
    <row r="628" ht="37" customHeight="1" spans="1:5">
      <c r="A628" s="5">
        <v>625</v>
      </c>
      <c r="B628" s="1087" t="s">
        <v>1394</v>
      </c>
      <c r="C628" s="1088" t="s">
        <v>93</v>
      </c>
      <c r="D628" s="1088">
        <v>3128038087</v>
      </c>
      <c r="E628" s="1077">
        <v>138454.6736</v>
      </c>
    </row>
    <row r="629" ht="37" customHeight="1" spans="1:5">
      <c r="A629" s="5">
        <v>626</v>
      </c>
      <c r="B629" s="1087" t="s">
        <v>1395</v>
      </c>
      <c r="C629" s="1088" t="s">
        <v>97</v>
      </c>
      <c r="D629" s="1448" t="s">
        <v>1396</v>
      </c>
      <c r="E629" s="1077">
        <v>123454.6736</v>
      </c>
    </row>
    <row r="630" ht="37" customHeight="1" spans="1:5">
      <c r="A630" s="5">
        <v>627</v>
      </c>
      <c r="B630" s="1087" t="s">
        <v>1397</v>
      </c>
      <c r="C630" s="1088" t="s">
        <v>93</v>
      </c>
      <c r="D630" s="1088">
        <v>3096466875</v>
      </c>
      <c r="E630" s="1077">
        <v>118454.6736</v>
      </c>
    </row>
    <row r="631" ht="37" customHeight="1" spans="1:5">
      <c r="A631" s="5">
        <v>628</v>
      </c>
      <c r="B631" s="1087" t="s">
        <v>1398</v>
      </c>
      <c r="C631" s="1088" t="s">
        <v>97</v>
      </c>
      <c r="D631" s="1448" t="s">
        <v>1399</v>
      </c>
      <c r="E631" s="1077">
        <v>128454.6736</v>
      </c>
    </row>
    <row r="632" ht="37" customHeight="1" spans="1:5">
      <c r="A632" s="5">
        <v>629</v>
      </c>
      <c r="B632" s="1087" t="s">
        <v>1400</v>
      </c>
      <c r="C632" s="1088" t="s">
        <v>1401</v>
      </c>
      <c r="D632" s="1088">
        <v>3132681938</v>
      </c>
      <c r="E632" s="1077">
        <v>138454.6736</v>
      </c>
    </row>
    <row r="633" ht="37" customHeight="1" spans="1:5">
      <c r="A633" s="5">
        <v>630</v>
      </c>
      <c r="B633" s="1087" t="s">
        <v>1402</v>
      </c>
      <c r="C633" s="1088" t="s">
        <v>1403</v>
      </c>
      <c r="D633" s="1448" t="s">
        <v>1404</v>
      </c>
      <c r="E633" s="1077">
        <v>138454.6736</v>
      </c>
    </row>
    <row r="634" ht="37" customHeight="1" spans="1:5">
      <c r="A634" s="5">
        <v>631</v>
      </c>
      <c r="B634" s="1087" t="s">
        <v>1405</v>
      </c>
      <c r="C634" s="1088" t="s">
        <v>101</v>
      </c>
      <c r="D634" s="1088">
        <v>4951059378</v>
      </c>
      <c r="E634" s="1077">
        <v>130454.6736</v>
      </c>
    </row>
    <row r="635" ht="37" customHeight="1" spans="1:5">
      <c r="A635" s="5">
        <v>632</v>
      </c>
      <c r="B635" s="1087" t="s">
        <v>1406</v>
      </c>
      <c r="C635" s="1088" t="s">
        <v>873</v>
      </c>
      <c r="D635" s="1448" t="s">
        <v>1407</v>
      </c>
      <c r="E635" s="1077">
        <v>140454.6736</v>
      </c>
    </row>
    <row r="636" ht="37" customHeight="1" spans="1:5">
      <c r="A636" s="5">
        <v>633</v>
      </c>
      <c r="B636" s="1087" t="s">
        <v>1408</v>
      </c>
      <c r="C636" s="1088" t="s">
        <v>1409</v>
      </c>
      <c r="D636" s="1448" t="s">
        <v>1410</v>
      </c>
      <c r="E636" s="1077">
        <v>120454.6736</v>
      </c>
    </row>
    <row r="637" ht="37" customHeight="1" spans="1:5">
      <c r="A637" s="5">
        <v>634</v>
      </c>
      <c r="B637" s="1087" t="s">
        <v>1411</v>
      </c>
      <c r="C637" s="1088" t="s">
        <v>165</v>
      </c>
      <c r="D637" s="1088">
        <v>2407381355</v>
      </c>
      <c r="E637" s="1077">
        <v>130454.6736</v>
      </c>
    </row>
    <row r="638" ht="37" customHeight="1" spans="1:5">
      <c r="A638" s="5">
        <v>635</v>
      </c>
      <c r="B638" s="1087" t="s">
        <v>1412</v>
      </c>
      <c r="C638" s="1088" t="s">
        <v>1401</v>
      </c>
      <c r="D638" s="1088">
        <v>3148934626</v>
      </c>
      <c r="E638" s="1077">
        <v>156670.3136</v>
      </c>
    </row>
    <row r="639" ht="37" customHeight="1" spans="1:5">
      <c r="A639" s="5">
        <v>636</v>
      </c>
      <c r="B639" s="1087" t="s">
        <v>1413</v>
      </c>
      <c r="C639" s="1088" t="s">
        <v>1096</v>
      </c>
      <c r="D639" s="1448" t="s">
        <v>1414</v>
      </c>
      <c r="E639" s="1077">
        <v>104870.3136</v>
      </c>
    </row>
    <row r="640" ht="37" customHeight="1" spans="1:5">
      <c r="A640" s="5">
        <v>637</v>
      </c>
      <c r="B640" s="1087" t="s">
        <v>1415</v>
      </c>
      <c r="C640" s="1088" t="s">
        <v>1409</v>
      </c>
      <c r="D640" s="1448" t="s">
        <v>1416</v>
      </c>
      <c r="E640" s="1077">
        <v>128454.6736</v>
      </c>
    </row>
    <row r="641" ht="37" customHeight="1" spans="1:5">
      <c r="A641" s="5">
        <v>638</v>
      </c>
      <c r="B641" s="1087" t="s">
        <v>1417</v>
      </c>
      <c r="C641" s="1088" t="s">
        <v>113</v>
      </c>
      <c r="D641" s="1088">
        <v>2046255873</v>
      </c>
      <c r="E641" s="1077">
        <v>119454.6736</v>
      </c>
    </row>
    <row r="642" ht="37" customHeight="1" spans="1:5">
      <c r="A642" s="5">
        <v>639</v>
      </c>
      <c r="B642" s="1087" t="s">
        <v>1418</v>
      </c>
      <c r="C642" s="1088" t="s">
        <v>145</v>
      </c>
      <c r="D642" s="1448" t="s">
        <v>1419</v>
      </c>
      <c r="E642" s="1077">
        <v>118454.6736</v>
      </c>
    </row>
    <row r="643" ht="37" customHeight="1" spans="1:5">
      <c r="A643" s="5">
        <v>640</v>
      </c>
      <c r="B643" s="1087" t="s">
        <v>1420</v>
      </c>
      <c r="C643" s="1091"/>
      <c r="D643" s="1091"/>
      <c r="E643" s="1077">
        <v>138454.6736</v>
      </c>
    </row>
    <row r="644" ht="37" customHeight="1" spans="1:5">
      <c r="A644" s="5">
        <v>641</v>
      </c>
      <c r="B644" s="1087" t="s">
        <v>1421</v>
      </c>
      <c r="C644" s="1088" t="s">
        <v>97</v>
      </c>
      <c r="D644" s="1448" t="s">
        <v>1422</v>
      </c>
      <c r="E644" s="1077">
        <v>155210.86</v>
      </c>
    </row>
    <row r="645" ht="37" customHeight="1" spans="1:5">
      <c r="A645" s="5">
        <v>642</v>
      </c>
      <c r="B645" s="1087" t="s">
        <v>1423</v>
      </c>
      <c r="C645" s="1088" t="s">
        <v>127</v>
      </c>
      <c r="D645" s="1448" t="s">
        <v>1424</v>
      </c>
      <c r="E645" s="1077">
        <v>155210.86</v>
      </c>
    </row>
    <row r="646" ht="37" customHeight="1" spans="1:5">
      <c r="A646" s="5">
        <v>643</v>
      </c>
      <c r="B646" s="1087" t="s">
        <v>1425</v>
      </c>
      <c r="C646" s="1088" t="s">
        <v>165</v>
      </c>
      <c r="D646" s="1088">
        <v>2117993479</v>
      </c>
      <c r="E646" s="1077">
        <v>157210.86</v>
      </c>
    </row>
    <row r="647" ht="37" customHeight="1" spans="1:5">
      <c r="A647" s="5">
        <v>644</v>
      </c>
      <c r="B647" s="1087" t="s">
        <v>1426</v>
      </c>
      <c r="C647" s="1088" t="s">
        <v>113</v>
      </c>
      <c r="D647" s="1088">
        <v>2113777097</v>
      </c>
      <c r="E647" s="1077">
        <v>155210.86</v>
      </c>
    </row>
    <row r="648" ht="37" customHeight="1" spans="1:5">
      <c r="A648" s="5">
        <v>645</v>
      </c>
      <c r="B648" s="1087" t="s">
        <v>1427</v>
      </c>
      <c r="C648" s="1088" t="s">
        <v>165</v>
      </c>
      <c r="D648" s="1088">
        <v>2193378762</v>
      </c>
      <c r="E648" s="1077">
        <v>155210.86</v>
      </c>
    </row>
    <row r="649" s="549" customFormat="1" ht="37" customHeight="1" spans="1:5">
      <c r="A649" s="1093">
        <v>646</v>
      </c>
      <c r="B649" s="1094" t="s">
        <v>1428</v>
      </c>
      <c r="C649" s="1088" t="s">
        <v>354</v>
      </c>
      <c r="D649" s="1088">
        <v>6006204037</v>
      </c>
      <c r="E649" s="1081"/>
    </row>
    <row r="650" ht="37" customHeight="1" spans="1:5">
      <c r="A650" s="5">
        <v>647</v>
      </c>
      <c r="B650" s="1087" t="s">
        <v>1429</v>
      </c>
      <c r="C650" s="1088" t="s">
        <v>122</v>
      </c>
      <c r="D650" s="1448" t="s">
        <v>1430</v>
      </c>
      <c r="E650" s="1077">
        <v>160210.86</v>
      </c>
    </row>
    <row r="651" ht="37" customHeight="1" spans="1:5">
      <c r="A651" s="5">
        <v>648</v>
      </c>
      <c r="B651" s="1087" t="s">
        <v>1431</v>
      </c>
      <c r="C651" s="1088" t="s">
        <v>113</v>
      </c>
      <c r="D651" s="1088">
        <v>2066152639</v>
      </c>
      <c r="E651" s="1077">
        <v>153210.86</v>
      </c>
    </row>
    <row r="652" ht="37" customHeight="1" spans="1:5">
      <c r="A652" s="5">
        <v>649</v>
      </c>
      <c r="B652" s="1087" t="s">
        <v>1432</v>
      </c>
      <c r="C652" s="1088" t="s">
        <v>113</v>
      </c>
      <c r="D652" s="1088">
        <v>2017278489</v>
      </c>
      <c r="E652" s="1077">
        <v>185224.86</v>
      </c>
    </row>
    <row r="653" ht="37" customHeight="1" spans="1:5">
      <c r="A653" s="5">
        <v>650</v>
      </c>
      <c r="B653" s="1087" t="s">
        <v>1433</v>
      </c>
      <c r="C653" s="1088" t="s">
        <v>165</v>
      </c>
      <c r="D653" s="1088">
        <v>2265116917</v>
      </c>
      <c r="E653" s="1077">
        <v>157710.86</v>
      </c>
    </row>
    <row r="654" ht="37" customHeight="1" spans="1:5">
      <c r="A654" s="5">
        <v>651</v>
      </c>
      <c r="B654" s="1087" t="s">
        <v>1434</v>
      </c>
      <c r="C654" s="1088" t="s">
        <v>157</v>
      </c>
      <c r="D654" s="1448" t="s">
        <v>1435</v>
      </c>
      <c r="E654" s="1077">
        <v>183224.86</v>
      </c>
    </row>
    <row r="655" ht="37" customHeight="1" spans="1:5">
      <c r="A655" s="5">
        <v>652</v>
      </c>
      <c r="B655" s="1087" t="s">
        <v>1436</v>
      </c>
      <c r="C655" s="1088" t="s">
        <v>1437</v>
      </c>
      <c r="D655" s="1448" t="s">
        <v>1438</v>
      </c>
      <c r="E655" s="1077">
        <v>157210.86</v>
      </c>
    </row>
    <row r="656" ht="37" customHeight="1" spans="1:5">
      <c r="A656" s="5">
        <v>653</v>
      </c>
      <c r="B656" s="1087" t="s">
        <v>1439</v>
      </c>
      <c r="C656" s="1088" t="s">
        <v>135</v>
      </c>
      <c r="D656" s="1448" t="s">
        <v>1440</v>
      </c>
      <c r="E656" s="1077">
        <v>157210.86</v>
      </c>
    </row>
    <row r="657" ht="37" customHeight="1" spans="1:5">
      <c r="A657" s="5">
        <v>654</v>
      </c>
      <c r="B657" s="1087" t="s">
        <v>1441</v>
      </c>
      <c r="C657" s="1088" t="s">
        <v>1442</v>
      </c>
      <c r="D657" s="1448" t="s">
        <v>1443</v>
      </c>
      <c r="E657" s="1077">
        <v>178766.5264</v>
      </c>
    </row>
    <row r="658" ht="37" customHeight="1" spans="1:5">
      <c r="A658" s="5">
        <v>655</v>
      </c>
      <c r="B658" s="1087" t="s">
        <v>1444</v>
      </c>
      <c r="C658" s="1088" t="s">
        <v>97</v>
      </c>
      <c r="D658" s="1448" t="s">
        <v>1445</v>
      </c>
      <c r="E658" s="1077">
        <v>118670.3136</v>
      </c>
    </row>
    <row r="659" ht="37" customHeight="1" spans="1:5">
      <c r="A659" s="5">
        <v>656</v>
      </c>
      <c r="B659" s="1087" t="s">
        <v>1446</v>
      </c>
      <c r="C659" s="1088" t="s">
        <v>97</v>
      </c>
      <c r="D659" s="1448" t="s">
        <v>1447</v>
      </c>
      <c r="E659" s="1077">
        <v>155088.164416667</v>
      </c>
    </row>
    <row r="660" ht="37" customHeight="1" spans="1:5">
      <c r="A660" s="5">
        <v>657</v>
      </c>
      <c r="B660" s="1087" t="s">
        <v>1448</v>
      </c>
      <c r="C660" s="1088" t="s">
        <v>97</v>
      </c>
      <c r="D660" s="1448" t="s">
        <v>1449</v>
      </c>
      <c r="E660" s="1077">
        <v>157088.164416667</v>
      </c>
    </row>
    <row r="661" ht="37" customHeight="1" spans="1:5">
      <c r="A661" s="5">
        <v>658</v>
      </c>
      <c r="B661" s="1087" t="s">
        <v>1450</v>
      </c>
      <c r="C661" s="1088" t="s">
        <v>675</v>
      </c>
      <c r="D661" s="1088">
        <v>3119084228</v>
      </c>
      <c r="E661" s="1077">
        <v>140454.6736</v>
      </c>
    </row>
    <row r="662" ht="37" customHeight="1" spans="1:5">
      <c r="A662" s="5">
        <v>659</v>
      </c>
      <c r="B662" s="1087" t="s">
        <v>1451</v>
      </c>
      <c r="C662" s="1088" t="s">
        <v>165</v>
      </c>
      <c r="D662" s="1088">
        <v>2001471962</v>
      </c>
      <c r="E662" s="1077">
        <v>115670.3136</v>
      </c>
    </row>
    <row r="663" ht="37" customHeight="1" spans="1:5">
      <c r="A663" s="5">
        <v>660</v>
      </c>
      <c r="B663" s="1087" t="s">
        <v>1452</v>
      </c>
      <c r="C663" s="1088" t="s">
        <v>135</v>
      </c>
      <c r="D663" s="1448" t="s">
        <v>1453</v>
      </c>
      <c r="E663" s="1077">
        <v>184716.850816667</v>
      </c>
    </row>
    <row r="664" ht="37" customHeight="1" spans="1:5">
      <c r="A664" s="5">
        <v>661</v>
      </c>
      <c r="B664" s="1087" t="s">
        <v>1454</v>
      </c>
      <c r="C664" s="1088" t="s">
        <v>259</v>
      </c>
      <c r="D664" s="1448" t="s">
        <v>1455</v>
      </c>
      <c r="E664" s="1077">
        <v>183575.720816667</v>
      </c>
    </row>
    <row r="665" ht="37" customHeight="1" spans="1:5">
      <c r="A665" s="5">
        <v>662</v>
      </c>
      <c r="B665" s="1087" t="s">
        <v>1456</v>
      </c>
      <c r="C665" s="1088" t="s">
        <v>93</v>
      </c>
      <c r="D665" s="1448" t="s">
        <v>1457</v>
      </c>
      <c r="E665" s="1077">
        <v>193498.281122222</v>
      </c>
    </row>
    <row r="666" ht="37" customHeight="1" spans="1:5">
      <c r="A666" s="5">
        <v>663</v>
      </c>
      <c r="B666" s="1087" t="s">
        <v>1458</v>
      </c>
      <c r="C666" s="1088" t="s">
        <v>259</v>
      </c>
      <c r="D666" s="1448" t="s">
        <v>1459</v>
      </c>
      <c r="E666" s="1077">
        <v>195498.281122222</v>
      </c>
    </row>
    <row r="667" ht="37" customHeight="1" spans="1:5">
      <c r="A667" s="5">
        <v>664</v>
      </c>
      <c r="B667" s="1087" t="s">
        <v>1460</v>
      </c>
      <c r="C667" s="1088" t="s">
        <v>113</v>
      </c>
      <c r="D667" s="1448" t="s">
        <v>1461</v>
      </c>
      <c r="E667" s="1077">
        <v>143454.6736</v>
      </c>
    </row>
    <row r="668" ht="37" customHeight="1" spans="1:5">
      <c r="A668" s="5">
        <v>665</v>
      </c>
      <c r="B668" s="1087" t="s">
        <v>1462</v>
      </c>
      <c r="C668" s="1088" t="s">
        <v>113</v>
      </c>
      <c r="D668" s="1448" t="s">
        <v>1463</v>
      </c>
      <c r="E668" s="1077">
        <v>143454.6736</v>
      </c>
    </row>
    <row r="669" spans="1:5">
      <c r="A669" s="10"/>
      <c r="B669" s="10" t="s">
        <v>1464</v>
      </c>
      <c r="C669" s="10"/>
      <c r="D669" s="10"/>
      <c r="E669" s="1095">
        <f>SUM(E331:E668)</f>
        <v>41815815.6890504</v>
      </c>
    </row>
    <row r="670" spans="1:5">
      <c r="A670" s="10"/>
      <c r="B670" s="10" t="s">
        <v>1465</v>
      </c>
      <c r="C670" s="10"/>
      <c r="D670" s="10"/>
      <c r="E670" s="1095">
        <f>E669+E330</f>
        <v>118615978.284745</v>
      </c>
    </row>
  </sheetData>
  <mergeCells count="2">
    <mergeCell ref="A1:E1"/>
    <mergeCell ref="A331:E331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E556"/>
  <sheetViews>
    <sheetView view="pageBreakPreview" zoomScale="67" zoomScaleNormal="75" workbookViewId="0">
      <selection activeCell="B35" sqref="B35"/>
    </sheetView>
  </sheetViews>
  <sheetFormatPr defaultColWidth="11.5047619047619" defaultRowHeight="33"/>
  <cols>
    <col min="1" max="1" width="24.1619047619048" style="665" customWidth="1"/>
    <col min="2" max="2" width="73.1619047619048" style="666" customWidth="1"/>
    <col min="3" max="3" width="48" style="662" customWidth="1"/>
    <col min="4" max="4" width="42.6666666666667" style="666" customWidth="1"/>
    <col min="5" max="5" width="43.8285714285714" style="667" customWidth="1"/>
    <col min="6" max="6" width="47.5047619047619" style="666" customWidth="1"/>
    <col min="7" max="7" width="35.1619047619048" style="667" customWidth="1"/>
    <col min="8" max="8" width="11.5047619047619" style="666" hidden="1" customWidth="1"/>
    <col min="9" max="9" width="29" style="667" hidden="1" customWidth="1"/>
    <col min="10" max="10" width="38.1619047619048" style="667" hidden="1" customWidth="1"/>
    <col min="11" max="11" width="11.8285714285714" style="666" hidden="1" customWidth="1"/>
    <col min="12" max="12" width="9.66666666666667" style="666" hidden="1" customWidth="1"/>
    <col min="13" max="13" width="0.161904761904762" style="666" hidden="1" customWidth="1"/>
    <col min="14" max="14" width="11.3333333333333" style="666" hidden="1" customWidth="1"/>
    <col min="15" max="15" width="0.333333333333333" style="666" hidden="1" customWidth="1"/>
    <col min="16" max="16" width="0.161904761904762" style="666" hidden="1" customWidth="1"/>
    <col min="17" max="18" width="0.161904761904762" style="666" customWidth="1"/>
    <col min="19" max="19" width="11.1619047619048" style="666" customWidth="1"/>
    <col min="20" max="20" width="9.16190476190476" style="666" customWidth="1"/>
    <col min="21" max="21" width="8.16190476190476" style="666" customWidth="1"/>
    <col min="22" max="22" width="7" style="666" customWidth="1"/>
    <col min="23" max="24" width="4.66666666666667" style="666" customWidth="1"/>
    <col min="25" max="25" width="5.82857142857143" style="666" customWidth="1"/>
    <col min="26" max="26" width="7.5047619047619" style="666" customWidth="1"/>
    <col min="27" max="27" width="8.66666666666667" style="666" customWidth="1"/>
    <col min="28" max="28" width="6.33333333333333" style="666" customWidth="1"/>
    <col min="29" max="30" width="8.33333333333333" style="666" customWidth="1"/>
    <col min="31" max="32" width="6.66666666666667" style="666" customWidth="1"/>
    <col min="33" max="33" width="5.82857142857143" style="666" customWidth="1"/>
    <col min="34" max="34" width="8.66666666666667" style="666" customWidth="1"/>
    <col min="35" max="35" width="4.33333333333333" style="666" hidden="1" customWidth="1"/>
    <col min="36" max="36" width="10.8285714285714" style="666" customWidth="1"/>
    <col min="37" max="37" width="10.8285714285714" style="666" hidden="1" customWidth="1"/>
    <col min="38" max="38" width="9.16190476190476" style="666" hidden="1" customWidth="1"/>
    <col min="39" max="39" width="0.666666666666667" style="666" hidden="1" customWidth="1"/>
    <col min="40" max="40" width="0.333333333333333" style="666" hidden="1" customWidth="1"/>
    <col min="41" max="41" width="0.161904761904762" style="666" hidden="1" customWidth="1"/>
    <col min="42" max="42" width="4.66666666666667" style="666" hidden="1" customWidth="1"/>
    <col min="43" max="43" width="6.82857142857143" style="666" hidden="1" customWidth="1"/>
    <col min="44" max="44" width="9.33333333333333" style="666" customWidth="1"/>
    <col min="45" max="45" width="6.33333333333333" style="666" customWidth="1"/>
    <col min="46" max="46" width="10.1619047619048" style="666" customWidth="1"/>
    <col min="47" max="48" width="6.16190476190476" style="666" customWidth="1"/>
    <col min="49" max="49" width="5.82857142857143" style="666" customWidth="1"/>
    <col min="50" max="50" width="7.5047619047619" style="666" customWidth="1"/>
    <col min="51" max="51" width="9" style="666" customWidth="1"/>
    <col min="52" max="52" width="7.66666666666667" style="666" customWidth="1"/>
    <col min="53" max="54" width="7" style="666" customWidth="1"/>
    <col min="55" max="56" width="8.33333333333333" style="666" customWidth="1"/>
    <col min="57" max="57" width="5.5047619047619" style="666" customWidth="1"/>
    <col min="58" max="59" width="5.5047619047619" style="668" customWidth="1"/>
    <col min="60" max="62" width="7" style="666" customWidth="1"/>
    <col min="63" max="63" width="5.82857142857143" style="666" customWidth="1"/>
    <col min="64" max="64" width="9.33333333333333" style="666" customWidth="1"/>
    <col min="65" max="65" width="5.82857142857143" style="666" customWidth="1"/>
    <col min="66" max="66" width="6.16190476190476" style="666" customWidth="1"/>
    <col min="67" max="67" width="4.82857142857143" style="666" customWidth="1"/>
    <col min="68" max="68" width="0.161904761904762" style="666" customWidth="1"/>
    <col min="69" max="69" width="0.161904761904762" style="666" hidden="1" customWidth="1"/>
    <col min="70" max="70" width="6.5047619047619" style="666" hidden="1" customWidth="1"/>
    <col min="71" max="72" width="8" style="666" customWidth="1"/>
    <col min="73" max="73" width="6.5047619047619" style="666" customWidth="1"/>
    <col min="74" max="77" width="6.66666666666667" style="666" customWidth="1"/>
    <col min="78" max="78" width="6.33333333333333" style="666" customWidth="1"/>
    <col min="79" max="79" width="9.66666666666667" style="666" customWidth="1"/>
    <col min="80" max="80" width="8.16190476190476" style="666" hidden="1" customWidth="1"/>
    <col min="81" max="81" width="10.8285714285714" style="666" customWidth="1"/>
    <col min="82" max="82" width="9.16190476190476" style="666" customWidth="1"/>
    <col min="83" max="83" width="13.6666666666667" style="666" customWidth="1"/>
    <col min="84" max="84" width="16.8285714285714" style="669" customWidth="1"/>
    <col min="85" max="85" width="13.1619047619048" style="666" hidden="1" customWidth="1"/>
    <col min="86" max="86" width="18.3333333333333" style="666" hidden="1" customWidth="1"/>
    <col min="87" max="87" width="20.8285714285714" style="666" hidden="1" customWidth="1"/>
    <col min="88" max="96" width="11.5047619047619" style="666" hidden="1" customWidth="1"/>
    <col min="97" max="97" width="1.16190476190476" style="666" hidden="1" customWidth="1"/>
    <col min="98" max="98" width="25.8285714285714" style="666" hidden="1" customWidth="1"/>
    <col min="99" max="99" width="27.5047619047619" style="666" hidden="1" customWidth="1"/>
    <col min="100" max="100" width="29.6666666666667" style="666" hidden="1" customWidth="1"/>
    <col min="101" max="101" width="11.6666666666667" style="666" hidden="1" customWidth="1"/>
    <col min="102" max="102" width="12.5047619047619" style="666" hidden="1" customWidth="1"/>
    <col min="103" max="103" width="14.5047619047619" style="666" hidden="1" customWidth="1"/>
    <col min="104" max="104" width="10.6666666666667" style="666" hidden="1" customWidth="1"/>
    <col min="105" max="105" width="26.8285714285714" style="666" hidden="1" customWidth="1"/>
    <col min="106" max="106" width="28.1619047619048" style="670" customWidth="1"/>
    <col min="107" max="107" width="32.8285714285714" style="666" customWidth="1"/>
    <col min="108" max="108" width="36.8285714285714" style="666" customWidth="1"/>
    <col min="109" max="109" width="51.8285714285714" style="666" customWidth="1"/>
    <col min="110" max="16384" width="11.5047619047619" style="666"/>
  </cols>
  <sheetData>
    <row r="1" ht="204" customHeight="1" spans="1:105">
      <c r="A1" s="671" t="s">
        <v>1466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1"/>
      <c r="AI1" s="671"/>
      <c r="AJ1" s="671"/>
      <c r="AK1" s="671"/>
      <c r="AL1" s="671"/>
      <c r="AM1" s="671"/>
      <c r="AN1" s="671"/>
      <c r="AO1" s="671"/>
      <c r="AP1" s="671"/>
      <c r="AQ1" s="671"/>
      <c r="AR1" s="671"/>
      <c r="AS1" s="671"/>
      <c r="AT1" s="671"/>
      <c r="AU1" s="671"/>
      <c r="AV1" s="671"/>
      <c r="AW1" s="671"/>
      <c r="AX1" s="671"/>
      <c r="AY1" s="671"/>
      <c r="AZ1" s="671"/>
      <c r="BA1" s="671"/>
      <c r="BB1" s="671"/>
      <c r="BC1" s="671"/>
      <c r="BD1" s="671"/>
      <c r="BE1" s="671"/>
      <c r="BF1" s="671"/>
      <c r="BG1" s="671"/>
      <c r="BH1" s="671"/>
      <c r="BI1" s="671"/>
      <c r="BJ1" s="671"/>
      <c r="BK1" s="671"/>
      <c r="BL1" s="671"/>
      <c r="BM1" s="671"/>
      <c r="BN1" s="671"/>
      <c r="BO1" s="671"/>
      <c r="BP1" s="671"/>
      <c r="BQ1" s="671"/>
      <c r="BR1" s="671"/>
      <c r="BS1" s="671"/>
      <c r="BT1" s="671"/>
      <c r="BU1" s="671"/>
      <c r="BV1" s="671"/>
      <c r="BW1" s="671"/>
      <c r="BX1" s="671"/>
      <c r="BY1" s="671"/>
      <c r="BZ1" s="671"/>
      <c r="CA1" s="671"/>
      <c r="CB1" s="671"/>
      <c r="CC1" s="671"/>
      <c r="CD1" s="671"/>
      <c r="CE1" s="671"/>
      <c r="CF1" s="671"/>
      <c r="CG1" s="671"/>
      <c r="CH1" s="737"/>
      <c r="CI1" s="737"/>
      <c r="CJ1" s="737"/>
      <c r="CK1" s="737"/>
      <c r="CL1" s="737"/>
      <c r="CM1" s="737"/>
      <c r="CN1" s="737"/>
      <c r="CO1" s="737"/>
      <c r="CP1" s="737"/>
      <c r="CQ1" s="737"/>
      <c r="CR1" s="737"/>
      <c r="CS1" s="737"/>
      <c r="CT1" s="737"/>
      <c r="CU1" s="737"/>
      <c r="CV1" s="737"/>
      <c r="CW1" s="737"/>
      <c r="CX1" s="737"/>
      <c r="CY1" s="737"/>
      <c r="CZ1" s="737"/>
      <c r="DA1" s="764"/>
    </row>
    <row r="2" ht="91.5" spans="1:105">
      <c r="A2" s="671" t="s">
        <v>1467</v>
      </c>
      <c r="B2" s="671"/>
      <c r="C2" s="671"/>
      <c r="D2" s="671"/>
      <c r="E2" s="671"/>
      <c r="F2" s="671"/>
      <c r="G2" s="671"/>
      <c r="H2" s="671"/>
      <c r="I2" s="671"/>
      <c r="J2" s="671"/>
      <c r="K2" s="671"/>
      <c r="L2" s="671"/>
      <c r="M2" s="671"/>
      <c r="N2" s="671"/>
      <c r="O2" s="671"/>
      <c r="P2" s="671"/>
      <c r="Q2" s="671"/>
      <c r="R2" s="671"/>
      <c r="S2" s="671"/>
      <c r="T2" s="671"/>
      <c r="U2" s="671"/>
      <c r="V2" s="671"/>
      <c r="W2" s="671"/>
      <c r="X2" s="671"/>
      <c r="Y2" s="671"/>
      <c r="Z2" s="671"/>
      <c r="AA2" s="671"/>
      <c r="AB2" s="671"/>
      <c r="AC2" s="671"/>
      <c r="AD2" s="671"/>
      <c r="AE2" s="671"/>
      <c r="AF2" s="671"/>
      <c r="AG2" s="671"/>
      <c r="AH2" s="671"/>
      <c r="AI2" s="671"/>
      <c r="AJ2" s="671"/>
      <c r="AK2" s="671"/>
      <c r="AL2" s="671"/>
      <c r="AM2" s="671"/>
      <c r="AN2" s="671"/>
      <c r="AO2" s="671"/>
      <c r="AP2" s="671"/>
      <c r="AQ2" s="671"/>
      <c r="AR2" s="671"/>
      <c r="AS2" s="671"/>
      <c r="AT2" s="671"/>
      <c r="AU2" s="671"/>
      <c r="AV2" s="671"/>
      <c r="AW2" s="671"/>
      <c r="AX2" s="671"/>
      <c r="AY2" s="671"/>
      <c r="AZ2" s="671"/>
      <c r="BA2" s="671"/>
      <c r="BB2" s="671"/>
      <c r="BC2" s="671"/>
      <c r="BD2" s="671"/>
      <c r="BE2" s="671"/>
      <c r="BF2" s="671"/>
      <c r="BG2" s="671"/>
      <c r="BH2" s="671"/>
      <c r="BI2" s="671"/>
      <c r="BJ2" s="671"/>
      <c r="BK2" s="671"/>
      <c r="BL2" s="671"/>
      <c r="BM2" s="671"/>
      <c r="BN2" s="671"/>
      <c r="BO2" s="671"/>
      <c r="BP2" s="671"/>
      <c r="BQ2" s="671"/>
      <c r="BR2" s="671"/>
      <c r="BS2" s="671"/>
      <c r="BT2" s="671"/>
      <c r="BU2" s="671"/>
      <c r="BV2" s="671"/>
      <c r="BW2" s="671"/>
      <c r="BX2" s="671"/>
      <c r="BY2" s="671"/>
      <c r="BZ2" s="671"/>
      <c r="CA2" s="671"/>
      <c r="CB2" s="671"/>
      <c r="CC2" s="671"/>
      <c r="CD2" s="671"/>
      <c r="CE2" s="671"/>
      <c r="CF2" s="671"/>
      <c r="CG2" s="671"/>
      <c r="CH2" s="737"/>
      <c r="CI2" s="737"/>
      <c r="CJ2" s="737"/>
      <c r="CK2" s="737"/>
      <c r="CL2" s="737"/>
      <c r="CM2" s="737"/>
      <c r="CN2" s="737"/>
      <c r="CO2" s="737"/>
      <c r="CP2" s="737"/>
      <c r="CQ2" s="737"/>
      <c r="CR2" s="737"/>
      <c r="CS2" s="737"/>
      <c r="CT2" s="737"/>
      <c r="CU2" s="737"/>
      <c r="CV2" s="750">
        <f>CC342</f>
        <v>7307489.96717997</v>
      </c>
      <c r="CW2" s="737"/>
      <c r="CX2" s="737"/>
      <c r="CY2" s="737"/>
      <c r="CZ2" s="737"/>
      <c r="DA2" s="764"/>
    </row>
    <row r="3" ht="409.5" customHeight="1" spans="1:106">
      <c r="A3" s="66" t="s">
        <v>2</v>
      </c>
      <c r="B3" s="66" t="s">
        <v>1468</v>
      </c>
      <c r="C3" s="66" t="s">
        <v>4</v>
      </c>
      <c r="D3" s="66" t="s">
        <v>5</v>
      </c>
      <c r="E3" s="66" t="s">
        <v>860</v>
      </c>
      <c r="F3" s="66" t="s">
        <v>1469</v>
      </c>
      <c r="G3" s="66" t="s">
        <v>1470</v>
      </c>
      <c r="H3" s="672" t="s">
        <v>1471</v>
      </c>
      <c r="I3" s="683" t="s">
        <v>7</v>
      </c>
      <c r="J3" s="683" t="s">
        <v>8</v>
      </c>
      <c r="K3" s="684" t="s">
        <v>1472</v>
      </c>
      <c r="L3" s="684" t="s">
        <v>9</v>
      </c>
      <c r="M3" s="684" t="s">
        <v>1473</v>
      </c>
      <c r="N3" s="684"/>
      <c r="O3" s="684" t="s">
        <v>14</v>
      </c>
      <c r="P3" s="684"/>
      <c r="Q3" s="684" t="s">
        <v>1474</v>
      </c>
      <c r="R3" s="684" t="s">
        <v>1475</v>
      </c>
      <c r="S3" s="684" t="s">
        <v>14</v>
      </c>
      <c r="T3" s="701" t="s">
        <v>1476</v>
      </c>
      <c r="U3" s="701" t="s">
        <v>20</v>
      </c>
      <c r="V3" s="701" t="s">
        <v>1477</v>
      </c>
      <c r="W3" s="701" t="s">
        <v>16</v>
      </c>
      <c r="X3" s="701" t="s">
        <v>1478</v>
      </c>
      <c r="Y3" s="701" t="s">
        <v>1479</v>
      </c>
      <c r="Z3" s="701" t="s">
        <v>1480</v>
      </c>
      <c r="AA3" s="705" t="s">
        <v>15</v>
      </c>
      <c r="AB3" s="705" t="s">
        <v>17</v>
      </c>
      <c r="AC3" s="705" t="s">
        <v>26</v>
      </c>
      <c r="AD3" s="706" t="s">
        <v>1481</v>
      </c>
      <c r="AE3" s="707" t="str">
        <f>'[5] NON-TEACHING STAFF'!$R$2</f>
        <v>LABOTRATORY  HAZARD</v>
      </c>
      <c r="AF3" s="707" t="s">
        <v>1482</v>
      </c>
      <c r="AG3" s="707" t="s">
        <v>1483</v>
      </c>
      <c r="AH3" s="707" t="s">
        <v>25</v>
      </c>
      <c r="AI3" s="707"/>
      <c r="AJ3" s="706" t="s">
        <v>1484</v>
      </c>
      <c r="AK3" s="706" t="s">
        <v>1485</v>
      </c>
      <c r="AL3" s="706" t="s">
        <v>1486</v>
      </c>
      <c r="AM3" s="706" t="s">
        <v>1483</v>
      </c>
      <c r="AN3" s="706" t="s">
        <v>1487</v>
      </c>
      <c r="AO3" s="706" t="s">
        <v>1488</v>
      </c>
      <c r="AP3" s="706" t="s">
        <v>1489</v>
      </c>
      <c r="AQ3" s="706" t="s">
        <v>1490</v>
      </c>
      <c r="AR3" s="706" t="s">
        <v>1491</v>
      </c>
      <c r="AS3" s="706" t="s">
        <v>1492</v>
      </c>
      <c r="AT3" s="715" t="s">
        <v>1493</v>
      </c>
      <c r="AU3" s="684" t="s">
        <v>1494</v>
      </c>
      <c r="AV3" s="684" t="s">
        <v>1495</v>
      </c>
      <c r="AW3" s="701" t="s">
        <v>35</v>
      </c>
      <c r="AX3" s="701" t="s">
        <v>1496</v>
      </c>
      <c r="AY3" s="701" t="s">
        <v>1497</v>
      </c>
      <c r="AZ3" s="701" t="s">
        <v>1498</v>
      </c>
      <c r="BA3" s="684" t="s">
        <v>1499</v>
      </c>
      <c r="BB3" s="684" t="s">
        <v>1500</v>
      </c>
      <c r="BC3" s="684" t="s">
        <v>1501</v>
      </c>
      <c r="BD3" s="716" t="s">
        <v>1502</v>
      </c>
      <c r="BE3" s="716" t="s">
        <v>1503</v>
      </c>
      <c r="BF3" s="684" t="s">
        <v>1504</v>
      </c>
      <c r="BG3" s="701" t="s">
        <v>40</v>
      </c>
      <c r="BH3" s="725" t="s">
        <v>1505</v>
      </c>
      <c r="BI3" s="684" t="s">
        <v>1506</v>
      </c>
      <c r="BJ3" s="684" t="s">
        <v>1507</v>
      </c>
      <c r="BK3" s="684" t="s">
        <v>38</v>
      </c>
      <c r="BL3" s="684" t="s">
        <v>1508</v>
      </c>
      <c r="BM3" s="701" t="s">
        <v>1509</v>
      </c>
      <c r="BN3" s="701" t="s">
        <v>1510</v>
      </c>
      <c r="BO3" s="684" t="s">
        <v>1511</v>
      </c>
      <c r="BP3" s="684" t="s">
        <v>1512</v>
      </c>
      <c r="BQ3" s="701" t="s">
        <v>1513</v>
      </c>
      <c r="BR3" s="701" t="s">
        <v>56</v>
      </c>
      <c r="BS3" s="701" t="s">
        <v>1514</v>
      </c>
      <c r="BT3" s="701" t="s">
        <v>45</v>
      </c>
      <c r="BU3" s="701" t="s">
        <v>1515</v>
      </c>
      <c r="BV3" s="684" t="s">
        <v>1516</v>
      </c>
      <c r="BW3" s="684" t="s">
        <v>39</v>
      </c>
      <c r="BX3" s="684" t="s">
        <v>47</v>
      </c>
      <c r="BY3" s="684" t="s">
        <v>50</v>
      </c>
      <c r="BZ3" s="734" t="s">
        <v>56</v>
      </c>
      <c r="CA3" s="734" t="s">
        <v>59</v>
      </c>
      <c r="CB3" s="734" t="s">
        <v>60</v>
      </c>
      <c r="CC3" s="734" t="s">
        <v>62</v>
      </c>
      <c r="CD3" s="734" t="s">
        <v>1517</v>
      </c>
      <c r="CE3" s="734" t="s">
        <v>1518</v>
      </c>
      <c r="CF3" s="728" t="s">
        <v>67</v>
      </c>
      <c r="CG3" s="734" t="s">
        <v>67</v>
      </c>
      <c r="CH3" s="738" t="s">
        <v>68</v>
      </c>
      <c r="CI3" s="738" t="s">
        <v>69</v>
      </c>
      <c r="CJ3" s="738" t="s">
        <v>60</v>
      </c>
      <c r="CK3" s="738" t="s">
        <v>70</v>
      </c>
      <c r="CL3" s="738" t="s">
        <v>71</v>
      </c>
      <c r="CM3" s="738" t="s">
        <v>72</v>
      </c>
      <c r="CN3" s="738" t="s">
        <v>73</v>
      </c>
      <c r="CO3" s="738" t="s">
        <v>74</v>
      </c>
      <c r="CP3" s="738" t="s">
        <v>75</v>
      </c>
      <c r="CQ3" s="738" t="s">
        <v>76</v>
      </c>
      <c r="CR3" s="738" t="s">
        <v>77</v>
      </c>
      <c r="CS3" s="738" t="s">
        <v>78</v>
      </c>
      <c r="CT3" s="738" t="s">
        <v>80</v>
      </c>
      <c r="CU3" s="738" t="s">
        <v>81</v>
      </c>
      <c r="CV3" s="738" t="s">
        <v>82</v>
      </c>
      <c r="CW3" s="738" t="s">
        <v>83</v>
      </c>
      <c r="CX3" s="751" t="s">
        <v>84</v>
      </c>
      <c r="CY3" s="752" t="s">
        <v>85</v>
      </c>
      <c r="CZ3" s="752" t="s">
        <v>86</v>
      </c>
      <c r="DA3" s="765" t="s">
        <v>87</v>
      </c>
      <c r="DB3" s="670" t="s">
        <v>88</v>
      </c>
    </row>
    <row r="4" s="656" customFormat="1" ht="222" customHeight="1" spans="1:106">
      <c r="A4" s="673">
        <v>327</v>
      </c>
      <c r="B4" s="673" t="s">
        <v>1519</v>
      </c>
      <c r="C4" s="673" t="s">
        <v>1520</v>
      </c>
      <c r="D4" s="673" t="s">
        <v>1521</v>
      </c>
      <c r="E4" s="673" t="s">
        <v>873</v>
      </c>
      <c r="F4" s="673" t="s">
        <v>1522</v>
      </c>
      <c r="G4" s="673" t="s">
        <v>1523</v>
      </c>
      <c r="H4" s="674"/>
      <c r="I4" s="683" t="s">
        <v>127</v>
      </c>
      <c r="J4" s="683" t="s">
        <v>1522</v>
      </c>
      <c r="K4" s="685" t="s">
        <v>1524</v>
      </c>
      <c r="L4" s="685">
        <v>1967327</v>
      </c>
      <c r="M4" s="685" t="e">
        <v>#REF!</v>
      </c>
      <c r="N4" s="685">
        <v>2022036</v>
      </c>
      <c r="O4" s="685">
        <v>168503</v>
      </c>
      <c r="P4" s="685"/>
      <c r="Q4" s="685">
        <v>42125.75</v>
      </c>
      <c r="R4" s="685">
        <v>30000</v>
      </c>
      <c r="S4" s="689">
        <v>246327.33</v>
      </c>
      <c r="T4" s="702"/>
      <c r="U4" s="702"/>
      <c r="V4" s="702"/>
      <c r="W4" s="702"/>
      <c r="X4" s="702"/>
      <c r="Y4" s="702"/>
      <c r="Z4" s="702"/>
      <c r="AA4" s="708"/>
      <c r="AB4" s="708">
        <v>25000</v>
      </c>
      <c r="AC4" s="708">
        <v>2500</v>
      </c>
      <c r="AD4" s="708"/>
      <c r="AE4" s="708">
        <v>30000</v>
      </c>
      <c r="AF4" s="708"/>
      <c r="AG4" s="708"/>
      <c r="AH4" s="708"/>
      <c r="AI4" s="708"/>
      <c r="AJ4" s="708">
        <v>2500</v>
      </c>
      <c r="AK4" s="708"/>
      <c r="AL4" s="708">
        <v>383.33</v>
      </c>
      <c r="AM4" s="708"/>
      <c r="AN4" s="708"/>
      <c r="AO4" s="708"/>
      <c r="AP4" s="708"/>
      <c r="AQ4" s="708"/>
      <c r="AR4" s="708"/>
      <c r="AS4" s="708"/>
      <c r="AT4" s="708">
        <v>1000</v>
      </c>
      <c r="AU4" s="702">
        <f>S4*0.04</f>
        <v>9853.0932</v>
      </c>
      <c r="AV4" s="702"/>
      <c r="AW4" s="702"/>
      <c r="AX4" s="702"/>
      <c r="AY4" s="702"/>
      <c r="AZ4" s="702"/>
      <c r="BA4" s="702"/>
      <c r="BB4" s="702"/>
      <c r="BC4" s="702"/>
      <c r="BD4" s="717"/>
      <c r="BE4" s="717"/>
      <c r="BF4" s="702"/>
      <c r="BG4" s="702"/>
      <c r="BH4" s="726"/>
      <c r="BI4" s="702">
        <f>S4*0.04</f>
        <v>9853.0932</v>
      </c>
      <c r="BJ4" s="702"/>
      <c r="BK4" s="702"/>
      <c r="BL4" s="702">
        <v>10000</v>
      </c>
      <c r="BM4" s="702"/>
      <c r="BN4" s="702"/>
      <c r="BO4" s="702">
        <v>0</v>
      </c>
      <c r="BP4" s="702"/>
      <c r="BQ4" s="702"/>
      <c r="BR4" s="702"/>
      <c r="BS4" s="702"/>
      <c r="BT4" s="702"/>
      <c r="BU4" s="702"/>
      <c r="BV4" s="702"/>
      <c r="BW4" s="702"/>
      <c r="BX4" s="702"/>
      <c r="BY4" s="702">
        <v>2000</v>
      </c>
      <c r="BZ4" s="732">
        <v>1500</v>
      </c>
      <c r="CA4" s="702">
        <v>5520.2416</v>
      </c>
      <c r="CB4" s="702"/>
      <c r="CC4" s="702">
        <v>38629.66</v>
      </c>
      <c r="CD4" s="702">
        <f>AR4+AJ4+AH4+AG4+AE4+AF4+AD4+AC4+AB4+AA4+Z4+Y4+X4+W4+V4+U4+U4+T4+S4</f>
        <v>306327.33</v>
      </c>
      <c r="CE4" s="702">
        <v>78356.09</v>
      </c>
      <c r="CF4" s="739">
        <f t="shared" ref="CF4:CF24" si="0">CD4-CE4</f>
        <v>227971.24</v>
      </c>
      <c r="CG4" s="739">
        <f t="shared" ref="CG4:CG67" si="1">CD4-CF4</f>
        <v>78356.09</v>
      </c>
      <c r="CH4" s="740"/>
      <c r="CI4" s="740"/>
      <c r="CJ4" s="740"/>
      <c r="CK4" s="740"/>
      <c r="CL4" s="740"/>
      <c r="CM4" s="740"/>
      <c r="CN4" s="740"/>
      <c r="CO4" s="740"/>
      <c r="CP4" s="740"/>
      <c r="CQ4" s="740"/>
      <c r="CR4" s="740"/>
      <c r="CS4" s="740"/>
      <c r="CT4" s="740"/>
      <c r="CU4" s="740"/>
      <c r="CV4" s="740"/>
      <c r="CW4" s="740"/>
      <c r="CX4" s="753"/>
      <c r="CY4" s="673"/>
      <c r="CZ4" s="673"/>
      <c r="DA4" s="766"/>
      <c r="DB4" s="675"/>
    </row>
    <row r="5" ht="236" customHeight="1" spans="1:107">
      <c r="A5" s="675">
        <v>328</v>
      </c>
      <c r="B5" s="676" t="s">
        <v>869</v>
      </c>
      <c r="C5" s="677" t="s">
        <v>1520</v>
      </c>
      <c r="D5" s="677" t="s">
        <v>1521</v>
      </c>
      <c r="E5" s="677" t="s">
        <v>113</v>
      </c>
      <c r="F5" s="677">
        <v>2067399897</v>
      </c>
      <c r="G5" s="677" t="s">
        <v>1523</v>
      </c>
      <c r="H5" s="678"/>
      <c r="I5" s="681" t="s">
        <v>113</v>
      </c>
      <c r="J5" s="686">
        <v>2067399897</v>
      </c>
      <c r="K5" s="687">
        <f>'[5] NON-TEACHING STAFF'!$J$4</f>
        <v>22271942001</v>
      </c>
      <c r="L5" s="688">
        <v>1967327</v>
      </c>
      <c r="M5" s="688" t="e">
        <f>S5-#REF!</f>
        <v>#REF!</v>
      </c>
      <c r="N5" s="689">
        <v>2022036</v>
      </c>
      <c r="O5" s="689">
        <v>168503</v>
      </c>
      <c r="P5" s="689"/>
      <c r="Q5" s="689">
        <v>42125.75</v>
      </c>
      <c r="R5" s="689">
        <v>30000</v>
      </c>
      <c r="S5" s="689">
        <v>246327.33</v>
      </c>
      <c r="T5" s="689"/>
      <c r="U5" s="689"/>
      <c r="V5" s="689"/>
      <c r="W5" s="689"/>
      <c r="X5" s="689"/>
      <c r="Y5" s="689"/>
      <c r="Z5" s="689"/>
      <c r="AA5" s="689"/>
      <c r="AB5" s="689"/>
      <c r="AC5" s="689">
        <v>2500</v>
      </c>
      <c r="AD5" s="689"/>
      <c r="AE5" s="689">
        <v>30000</v>
      </c>
      <c r="AF5" s="689"/>
      <c r="AG5" s="689"/>
      <c r="AH5" s="712"/>
      <c r="AI5" s="712"/>
      <c r="AJ5" s="689">
        <v>2500</v>
      </c>
      <c r="AK5" s="689"/>
      <c r="AL5" s="689">
        <v>383.33</v>
      </c>
      <c r="AM5" s="689"/>
      <c r="AN5" s="689"/>
      <c r="AO5" s="689">
        <v>0</v>
      </c>
      <c r="AP5" s="689"/>
      <c r="AQ5" s="689"/>
      <c r="AR5" s="689"/>
      <c r="AS5" s="689"/>
      <c r="AT5" s="689">
        <v>1000</v>
      </c>
      <c r="AU5" s="689">
        <f>S5*0.04</f>
        <v>9853.0932</v>
      </c>
      <c r="AV5" s="689"/>
      <c r="AW5" s="689"/>
      <c r="AX5" s="718"/>
      <c r="AY5" s="718"/>
      <c r="AZ5" s="718"/>
      <c r="BA5" s="689"/>
      <c r="BB5" s="689"/>
      <c r="BC5" s="689"/>
      <c r="BD5" s="719"/>
      <c r="BE5" s="719"/>
      <c r="BF5" s="689"/>
      <c r="BG5" s="689"/>
      <c r="BH5" s="727"/>
      <c r="BI5" s="728">
        <f>S5*0.04</f>
        <v>9853.0932</v>
      </c>
      <c r="BJ5" s="689"/>
      <c r="BK5" s="689"/>
      <c r="BL5" s="689"/>
      <c r="BM5" s="689"/>
      <c r="BN5" s="689"/>
      <c r="BO5" s="689">
        <v>20000</v>
      </c>
      <c r="BP5" s="689"/>
      <c r="BQ5" s="689"/>
      <c r="BR5" s="731"/>
      <c r="BS5" s="731"/>
      <c r="BT5" s="731"/>
      <c r="BU5" s="731"/>
      <c r="BV5" s="731"/>
      <c r="BW5" s="731"/>
      <c r="BX5" s="731"/>
      <c r="BY5" s="731"/>
      <c r="BZ5" s="731">
        <v>1500</v>
      </c>
      <c r="CA5" s="718">
        <f>CD5*0.02</f>
        <v>5626.5466</v>
      </c>
      <c r="CB5" s="735"/>
      <c r="CC5" s="741">
        <v>34429.66</v>
      </c>
      <c r="CD5" s="702">
        <f>AR5+AJ5+AH5+AG5+AE5+AF5+AD5+AC5+AB5+AA5+Z5+Y5+X5+W5+V5+U5+U5+T5+S5</f>
        <v>281327.33</v>
      </c>
      <c r="CE5" s="731">
        <f>SUM(AU5:CC5)+AT5</f>
        <v>82262.393</v>
      </c>
      <c r="CF5" s="739">
        <f t="shared" si="0"/>
        <v>199064.937</v>
      </c>
      <c r="CG5" s="742">
        <f t="shared" si="1"/>
        <v>82262.393</v>
      </c>
      <c r="CH5" s="743" t="e">
        <f>'[6]JACKSON AKPOJARO '!C163*12</f>
        <v>#REF!</v>
      </c>
      <c r="CI5" s="744" t="e">
        <f>200000+(0.2*CH5)</f>
        <v>#REF!</v>
      </c>
      <c r="CJ5" s="745">
        <f t="shared" ref="CJ5:CJ33" si="2">CB5*12</f>
        <v>0</v>
      </c>
      <c r="CK5" s="748" t="e">
        <f>SUM(CI5:CJ5)</f>
        <v>#REF!</v>
      </c>
      <c r="CL5" s="749" t="e">
        <f>+CH5-CK5</f>
        <v>#REF!</v>
      </c>
      <c r="CM5" s="744"/>
      <c r="CN5" s="745" t="e">
        <f>IF((CL5&gt;0),(IF((CL5&gt;300000),(300000*7%),(CL5*7%))),(CH5*1%))</f>
        <v>#REF!</v>
      </c>
      <c r="CO5" s="745" t="e">
        <f>IF((CL5-300000)&gt;0,(IF((CL5&gt;600000),(300000*11%),((CL5-300000)*11%))),(""))</f>
        <v>#REF!</v>
      </c>
      <c r="CP5" s="745" t="e">
        <f>IF(((CL5-600000)&gt;0),(IF((CL5&gt;1100000),(500000*15%),((CL5-600000)*15%))),(""))</f>
        <v>#REF!</v>
      </c>
      <c r="CQ5" s="745" t="e">
        <f>IF(((CL5-(1100000))&gt;0),(IF((CL5&gt;(1600000)),((500000)*19%),((CL5-(1100000))*19%))),(""))</f>
        <v>#REF!</v>
      </c>
      <c r="CR5" s="745" t="e">
        <f>IF(((CL5-(1600000))&gt;0),(IF((CL5&gt;(3200000)),((1600000)*21%),((CL5-(1600000))*21%))),(""))</f>
        <v>#REF!</v>
      </c>
      <c r="CS5" s="745" t="e">
        <f>IF(((CL5-(3200000))&gt;0),(IF((CL5&gt;(3200000)),((CL5-(3200000))*24%),(0))),(""))</f>
        <v>#REF!</v>
      </c>
      <c r="CT5" s="754" t="e">
        <f t="shared" ref="CT5:CT12" si="3">1%*CH5</f>
        <v>#REF!</v>
      </c>
      <c r="CU5" s="755" t="e">
        <f t="shared" ref="CU5:CU12" si="4">MAX(CT5:CT5)</f>
        <v>#REF!</v>
      </c>
      <c r="CV5" s="756">
        <f t="shared" ref="CV5:CV17" si="5">CC5</f>
        <v>34429.66</v>
      </c>
      <c r="CW5" s="757"/>
      <c r="CX5" s="758"/>
      <c r="CY5" s="759"/>
      <c r="CZ5" s="760"/>
      <c r="DA5" s="767"/>
      <c r="DB5" s="675"/>
      <c r="DC5" s="666" t="s">
        <v>1525</v>
      </c>
    </row>
    <row r="6" ht="236" customHeight="1" spans="1:105">
      <c r="A6" s="673">
        <v>329</v>
      </c>
      <c r="B6" s="676" t="s">
        <v>870</v>
      </c>
      <c r="C6" s="677" t="s">
        <v>1520</v>
      </c>
      <c r="D6" s="677" t="s">
        <v>1526</v>
      </c>
      <c r="E6" s="675" t="s">
        <v>871</v>
      </c>
      <c r="F6" s="675">
        <v>6017466005</v>
      </c>
      <c r="G6" s="677" t="s">
        <v>1523</v>
      </c>
      <c r="H6" s="679"/>
      <c r="I6" s="681" t="s">
        <v>259</v>
      </c>
      <c r="J6" s="686">
        <v>6017466005</v>
      </c>
      <c r="K6" s="687" t="str">
        <f>'[5] NON-TEACHING STAFF'!$J$5</f>
        <v>22297388274</v>
      </c>
      <c r="L6" s="688">
        <v>1967327</v>
      </c>
      <c r="M6" s="688" t="e">
        <f>S6-#REF!</f>
        <v>#REF!</v>
      </c>
      <c r="N6" s="689">
        <v>2022036</v>
      </c>
      <c r="O6" s="689">
        <v>168503</v>
      </c>
      <c r="P6" s="689"/>
      <c r="Q6" s="689">
        <v>42125.75</v>
      </c>
      <c r="R6" s="689">
        <v>30000</v>
      </c>
      <c r="S6" s="689">
        <v>246327.33</v>
      </c>
      <c r="T6" s="691"/>
      <c r="U6" s="691"/>
      <c r="V6" s="691"/>
      <c r="W6" s="691"/>
      <c r="X6" s="691"/>
      <c r="Y6" s="691"/>
      <c r="Z6" s="691"/>
      <c r="AA6" s="691"/>
      <c r="AB6" s="691">
        <v>25000</v>
      </c>
      <c r="AC6" s="689">
        <v>2500</v>
      </c>
      <c r="AD6" s="691"/>
      <c r="AE6" s="691">
        <v>30000</v>
      </c>
      <c r="AF6" s="691"/>
      <c r="AG6" s="691"/>
      <c r="AH6" s="691"/>
      <c r="AI6" s="691"/>
      <c r="AJ6" s="691">
        <v>2500</v>
      </c>
      <c r="AK6" s="691"/>
      <c r="AL6" s="691">
        <v>383.33</v>
      </c>
      <c r="AM6" s="691"/>
      <c r="AN6" s="691"/>
      <c r="AO6" s="691">
        <v>0</v>
      </c>
      <c r="AP6" s="691"/>
      <c r="AQ6" s="691"/>
      <c r="AR6" s="691"/>
      <c r="AS6" s="691"/>
      <c r="AT6" s="689">
        <v>1000</v>
      </c>
      <c r="AU6" s="689">
        <f t="shared" ref="AU6:AU52" si="6">S6*0.04</f>
        <v>9853.0932</v>
      </c>
      <c r="AV6" s="689"/>
      <c r="AW6" s="689"/>
      <c r="AX6" s="718"/>
      <c r="AY6" s="718"/>
      <c r="AZ6" s="718"/>
      <c r="BA6" s="689"/>
      <c r="BB6" s="689"/>
      <c r="BC6" s="689"/>
      <c r="BD6" s="719"/>
      <c r="BE6" s="719"/>
      <c r="BF6" s="724"/>
      <c r="BG6" s="724"/>
      <c r="BH6" s="727"/>
      <c r="BI6" s="689">
        <v>9625.15</v>
      </c>
      <c r="BJ6" s="689"/>
      <c r="BK6" s="689"/>
      <c r="BL6" s="689"/>
      <c r="BM6" s="689"/>
      <c r="BN6" s="689"/>
      <c r="BO6" s="689">
        <v>100000</v>
      </c>
      <c r="BP6" s="689"/>
      <c r="BQ6" s="689"/>
      <c r="BR6" s="731"/>
      <c r="BS6" s="731"/>
      <c r="BT6" s="731"/>
      <c r="BU6" s="731"/>
      <c r="BV6" s="731"/>
      <c r="BW6" s="731"/>
      <c r="BX6" s="731"/>
      <c r="BY6" s="731"/>
      <c r="BZ6" s="731">
        <v>1500</v>
      </c>
      <c r="CA6" s="718">
        <f t="shared" ref="CA6:CA65" si="7">CD6*0.02</f>
        <v>6126.5466</v>
      </c>
      <c r="CB6" s="735">
        <v>0</v>
      </c>
      <c r="CC6" s="741">
        <v>38629.66</v>
      </c>
      <c r="CD6" s="702">
        <f t="shared" ref="CD6:CD69" si="8">AR6+AJ6+AH6+AG6+AE6+AF6+AD6+AC6+AB6+AA6+Z6+Y6+X6+W6+V6+U6+U6+T6+S6</f>
        <v>306327.33</v>
      </c>
      <c r="CE6" s="731">
        <f>SUM(AU6:CC6)+AT6</f>
        <v>166734.4498</v>
      </c>
      <c r="CF6" s="739">
        <f t="shared" si="0"/>
        <v>139592.8802</v>
      </c>
      <c r="CG6" s="742">
        <f t="shared" si="1"/>
        <v>166734.4498</v>
      </c>
      <c r="CH6" s="743" t="e">
        <f>'[6]JACKSON AKPOJARO '!C166*12</f>
        <v>#REF!</v>
      </c>
      <c r="CI6" s="744" t="e">
        <f>200000+(0.2*CH6)</f>
        <v>#REF!</v>
      </c>
      <c r="CJ6" s="745">
        <f t="shared" si="2"/>
        <v>0</v>
      </c>
      <c r="CK6" s="748" t="e">
        <f>SUM(CI6:CJ6)</f>
        <v>#REF!</v>
      </c>
      <c r="CL6" s="749" t="e">
        <f>+CH6-CK6</f>
        <v>#REF!</v>
      </c>
      <c r="CM6" s="744"/>
      <c r="CN6" s="745" t="e">
        <f>IF((CL6&gt;0),(IF((CL6&gt;300000),(300000*7%),(CL6*7%))),(CH6*1%))</f>
        <v>#REF!</v>
      </c>
      <c r="CO6" s="745" t="e">
        <f>IF((CL6-300000)&gt;0,(IF((CL6&gt;600000),(300000*11%),((CL6-300000)*11%))),(""))</f>
        <v>#REF!</v>
      </c>
      <c r="CP6" s="745" t="e">
        <f>IF(((CL6-600000)&gt;0),(IF((CL6&gt;1100000),(500000*15%),((CL6-600000)*15%))),(""))</f>
        <v>#REF!</v>
      </c>
      <c r="CQ6" s="745" t="e">
        <f>IF(((CL6-(1100000))&gt;0),(IF((CL6&gt;(1600000)),((500000)*19%),((CL6-(1100000))*19%))),(""))</f>
        <v>#REF!</v>
      </c>
      <c r="CR6" s="745" t="e">
        <f>IF(((CL6-(1600000))&gt;0),(IF((CL6&gt;(3200000)),((1600000)*21%),((CL6-(1600000))*21%))),(""))</f>
        <v>#REF!</v>
      </c>
      <c r="CS6" s="745" t="e">
        <f>IF(((CL6-(3200000))&gt;0),(IF((CL6&gt;(3200000)),((CL6-(3200000))*24%),(0))),(""))</f>
        <v>#REF!</v>
      </c>
      <c r="CT6" s="754" t="e">
        <f t="shared" si="3"/>
        <v>#REF!</v>
      </c>
      <c r="CU6" s="755" t="e">
        <f t="shared" si="4"/>
        <v>#REF!</v>
      </c>
      <c r="CV6" s="756">
        <f t="shared" si="5"/>
        <v>38629.66</v>
      </c>
      <c r="CW6" s="757"/>
      <c r="CX6" s="758"/>
      <c r="CY6" s="759"/>
      <c r="CZ6" s="760"/>
      <c r="DA6" s="767"/>
    </row>
    <row r="7" ht="236" customHeight="1" spans="1:105">
      <c r="A7" s="675">
        <v>330</v>
      </c>
      <c r="B7" s="676" t="s">
        <v>872</v>
      </c>
      <c r="C7" s="677" t="s">
        <v>1527</v>
      </c>
      <c r="D7" s="677" t="s">
        <v>1528</v>
      </c>
      <c r="E7" s="675" t="s">
        <v>873</v>
      </c>
      <c r="F7" s="1451" t="s">
        <v>874</v>
      </c>
      <c r="G7" s="677" t="s">
        <v>1529</v>
      </c>
      <c r="H7" s="679"/>
      <c r="I7" s="681" t="s">
        <v>127</v>
      </c>
      <c r="J7" s="686" t="s">
        <v>874</v>
      </c>
      <c r="K7" s="690">
        <f>'[5] NON-TEACHING STAFF'!$J$7</f>
        <v>22179869639</v>
      </c>
      <c r="L7" s="688">
        <v>2652896</v>
      </c>
      <c r="M7" s="688" t="e">
        <f>S7-#REF!</f>
        <v>#REF!</v>
      </c>
      <c r="N7" s="691">
        <v>3397732</v>
      </c>
      <c r="O7" s="691">
        <v>283144.333333333</v>
      </c>
      <c r="P7" s="691"/>
      <c r="Q7" s="691">
        <v>70786.0833333333</v>
      </c>
      <c r="R7" s="691">
        <v>30000</v>
      </c>
      <c r="S7" s="689">
        <v>397013.92</v>
      </c>
      <c r="T7" s="691"/>
      <c r="U7" s="691"/>
      <c r="V7" s="691"/>
      <c r="W7" s="691"/>
      <c r="X7" s="691"/>
      <c r="Y7" s="691"/>
      <c r="Z7" s="691"/>
      <c r="AA7" s="691">
        <f>S7*0.35/3</f>
        <v>46318.2906666667</v>
      </c>
      <c r="AB7" s="691">
        <v>25000</v>
      </c>
      <c r="AC7" s="689">
        <v>2500</v>
      </c>
      <c r="AD7" s="691"/>
      <c r="AE7" s="691"/>
      <c r="AF7" s="691"/>
      <c r="AG7" s="691"/>
      <c r="AH7" s="691"/>
      <c r="AI7" s="691"/>
      <c r="AJ7" s="691">
        <v>2500</v>
      </c>
      <c r="AK7" s="691"/>
      <c r="AL7" s="691">
        <v>383.33</v>
      </c>
      <c r="AM7" s="691"/>
      <c r="AN7" s="691"/>
      <c r="AO7" s="691">
        <v>0</v>
      </c>
      <c r="AP7" s="691"/>
      <c r="AQ7" s="691"/>
      <c r="AR7" s="691"/>
      <c r="AS7" s="691"/>
      <c r="AT7" s="691"/>
      <c r="AU7" s="689">
        <f t="shared" si="6"/>
        <v>15880.5568</v>
      </c>
      <c r="AV7" s="689"/>
      <c r="AW7" s="691">
        <v>2500</v>
      </c>
      <c r="AX7" s="718">
        <f>S7*0.02</f>
        <v>7940.2784</v>
      </c>
      <c r="AY7" s="718"/>
      <c r="AZ7" s="718"/>
      <c r="BA7" s="691"/>
      <c r="BB7" s="691"/>
      <c r="BC7" s="691"/>
      <c r="BD7" s="720"/>
      <c r="BE7" s="719"/>
      <c r="BF7" s="691"/>
      <c r="BG7" s="691"/>
      <c r="BH7" s="729"/>
      <c r="BI7" s="691"/>
      <c r="BJ7" s="691"/>
      <c r="BK7" s="691"/>
      <c r="BL7" s="691">
        <v>7500</v>
      </c>
      <c r="BM7" s="691"/>
      <c r="BN7" s="691"/>
      <c r="BO7" s="691">
        <v>35000</v>
      </c>
      <c r="BP7" s="691"/>
      <c r="BQ7" s="691"/>
      <c r="BR7" s="732"/>
      <c r="BS7" s="732"/>
      <c r="BT7" s="732"/>
      <c r="BU7" s="732"/>
      <c r="BV7" s="732"/>
      <c r="BW7" s="732"/>
      <c r="BX7" s="732"/>
      <c r="BY7" s="732"/>
      <c r="BZ7" s="731">
        <v>2500</v>
      </c>
      <c r="CA7" s="718">
        <f t="shared" si="7"/>
        <v>9466.64421333333</v>
      </c>
      <c r="CB7" s="736"/>
      <c r="CC7" s="741">
        <v>69546.45</v>
      </c>
      <c r="CD7" s="702">
        <f t="shared" si="8"/>
        <v>473332.210666667</v>
      </c>
      <c r="CE7" s="731">
        <f t="shared" ref="CE7:CE70" si="9">SUM(AU7:CC7)+AT7</f>
        <v>150333.929413333</v>
      </c>
      <c r="CF7" s="739">
        <f t="shared" si="0"/>
        <v>322998.281253333</v>
      </c>
      <c r="CG7" s="742">
        <f t="shared" si="1"/>
        <v>150333.929413333</v>
      </c>
      <c r="CH7" s="743" t="e">
        <f>'[6]JACKSON AKPOJARO '!C167*12</f>
        <v>#REF!</v>
      </c>
      <c r="CI7" s="744" t="e">
        <f>200000+(0.2*CH7)</f>
        <v>#REF!</v>
      </c>
      <c r="CJ7" s="745">
        <f t="shared" si="2"/>
        <v>0</v>
      </c>
      <c r="CK7" s="748" t="e">
        <f>SUM(CI7:CJ7)</f>
        <v>#REF!</v>
      </c>
      <c r="CL7" s="749" t="e">
        <f>+CH7-CK7</f>
        <v>#REF!</v>
      </c>
      <c r="CM7" s="744"/>
      <c r="CN7" s="745" t="e">
        <f>IF((CL7&gt;0),(IF((CL7&gt;300000),(300000*7%),(CL7*7%))),(CH7*1%))</f>
        <v>#REF!</v>
      </c>
      <c r="CO7" s="745" t="e">
        <f>IF((CL7-300000)&gt;0,(IF((CL7&gt;600000),(300000*11%),((CL7-300000)*11%))),(""))</f>
        <v>#REF!</v>
      </c>
      <c r="CP7" s="745" t="e">
        <f>IF(((CL7-600000)&gt;0),(IF((CL7&gt;1100000),(500000*15%),((CL7-600000)*15%))),(""))</f>
        <v>#REF!</v>
      </c>
      <c r="CQ7" s="745" t="e">
        <f>IF(((CL7-(1100000))&gt;0),(IF((CL7&gt;(1600000)),((500000)*19%),((CL7-(1100000))*19%))),(""))</f>
        <v>#REF!</v>
      </c>
      <c r="CR7" s="745" t="e">
        <f>IF(((CL7-(1600000))&gt;0),(IF((CL7&gt;(3200000)),((1600000)*21%),((CL7-(1600000))*21%))),(""))</f>
        <v>#REF!</v>
      </c>
      <c r="CS7" s="745" t="e">
        <f>IF(((CL7-(3200000))&gt;0),(IF((CL7&gt;(3200000)),((CL7-(3200000))*24%),(0))),(""))</f>
        <v>#REF!</v>
      </c>
      <c r="CT7" s="754" t="e">
        <f t="shared" si="3"/>
        <v>#REF!</v>
      </c>
      <c r="CU7" s="755" t="e">
        <f t="shared" si="4"/>
        <v>#REF!</v>
      </c>
      <c r="CV7" s="756">
        <f t="shared" si="5"/>
        <v>69546.45</v>
      </c>
      <c r="CW7" s="757"/>
      <c r="CX7" s="758"/>
      <c r="CY7" s="759"/>
      <c r="CZ7" s="760"/>
      <c r="DA7" s="767"/>
    </row>
    <row r="8" ht="236" customHeight="1" spans="1:105">
      <c r="A8" s="673">
        <v>331</v>
      </c>
      <c r="B8" s="676" t="s">
        <v>875</v>
      </c>
      <c r="C8" s="677" t="s">
        <v>1527</v>
      </c>
      <c r="D8" s="677" t="s">
        <v>1530</v>
      </c>
      <c r="E8" s="677" t="s">
        <v>871</v>
      </c>
      <c r="F8" s="675">
        <v>5331903472</v>
      </c>
      <c r="G8" s="677" t="s">
        <v>1531</v>
      </c>
      <c r="H8" s="679"/>
      <c r="I8" s="692" t="s">
        <v>259</v>
      </c>
      <c r="J8" s="692">
        <v>5331903472</v>
      </c>
      <c r="K8" s="687" t="str">
        <f>'[5] NON-TEACHING STAFF'!$J$9</f>
        <v>22343652566</v>
      </c>
      <c r="L8" s="688">
        <v>1556908</v>
      </c>
      <c r="M8" s="688" t="e">
        <f>S8-#REF!</f>
        <v>#REF!</v>
      </c>
      <c r="N8" s="689">
        <v>1661433</v>
      </c>
      <c r="O8" s="689">
        <v>138452.75</v>
      </c>
      <c r="P8" s="689"/>
      <c r="Q8" s="689">
        <v>34613.1875</v>
      </c>
      <c r="R8" s="689">
        <v>30000</v>
      </c>
      <c r="S8" s="689">
        <v>208310.75</v>
      </c>
      <c r="T8" s="689"/>
      <c r="U8" s="689"/>
      <c r="V8" s="689"/>
      <c r="W8" s="689"/>
      <c r="X8" s="689"/>
      <c r="Y8" s="689"/>
      <c r="Z8" s="689"/>
      <c r="AA8" s="691"/>
      <c r="AB8" s="691"/>
      <c r="AC8" s="689">
        <v>2500</v>
      </c>
      <c r="AD8" s="691"/>
      <c r="AE8" s="689">
        <f>AE6</f>
        <v>30000</v>
      </c>
      <c r="AF8" s="689"/>
      <c r="AG8" s="689"/>
      <c r="AH8" s="689"/>
      <c r="AI8" s="689"/>
      <c r="AJ8" s="689">
        <v>2500</v>
      </c>
      <c r="AK8" s="689"/>
      <c r="AL8" s="689">
        <v>383.33</v>
      </c>
      <c r="AM8" s="689"/>
      <c r="AN8" s="689"/>
      <c r="AO8" s="689"/>
      <c r="AP8" s="689"/>
      <c r="AQ8" s="689"/>
      <c r="AR8" s="689"/>
      <c r="AS8" s="689"/>
      <c r="AT8" s="689"/>
      <c r="AU8" s="689">
        <f t="shared" si="6"/>
        <v>8332.43</v>
      </c>
      <c r="AV8" s="689"/>
      <c r="AW8" s="691">
        <v>1500</v>
      </c>
      <c r="AX8" s="718"/>
      <c r="AY8" s="718"/>
      <c r="AZ8" s="718"/>
      <c r="BA8" s="691"/>
      <c r="BB8" s="689"/>
      <c r="BC8" s="689"/>
      <c r="BD8" s="719"/>
      <c r="BE8" s="719"/>
      <c r="BF8" s="689"/>
      <c r="BG8" s="689"/>
      <c r="BH8" s="727"/>
      <c r="BI8" s="689"/>
      <c r="BJ8" s="689"/>
      <c r="BK8" s="689"/>
      <c r="BL8" s="689">
        <v>10000</v>
      </c>
      <c r="BM8" s="689"/>
      <c r="BN8" s="689"/>
      <c r="BO8" s="689">
        <v>82500</v>
      </c>
      <c r="BP8" s="689"/>
      <c r="BQ8" s="689"/>
      <c r="BR8" s="731"/>
      <c r="BS8" s="731"/>
      <c r="BT8" s="731"/>
      <c r="BU8" s="731"/>
      <c r="BV8" s="731"/>
      <c r="BW8" s="731"/>
      <c r="BX8" s="731"/>
      <c r="BY8" s="731"/>
      <c r="BZ8" s="731">
        <v>1000</v>
      </c>
      <c r="CA8" s="718">
        <f t="shared" si="7"/>
        <v>4866.215</v>
      </c>
      <c r="CB8" s="735"/>
      <c r="CC8" s="731">
        <v>28042.87</v>
      </c>
      <c r="CD8" s="702">
        <f t="shared" si="8"/>
        <v>243310.75</v>
      </c>
      <c r="CE8" s="731">
        <f t="shared" si="9"/>
        <v>136241.515</v>
      </c>
      <c r="CF8" s="739">
        <f t="shared" si="0"/>
        <v>107069.235</v>
      </c>
      <c r="CG8" s="742">
        <f t="shared" si="1"/>
        <v>136241.515</v>
      </c>
      <c r="CH8" s="743" t="e">
        <f>'[6]JACKSON AKPOJARO '!C168*12</f>
        <v>#REF!</v>
      </c>
      <c r="CI8" s="744" t="e">
        <f t="shared" ref="CI8:CI86" si="10">200000+(0.2*CH8)</f>
        <v>#REF!</v>
      </c>
      <c r="CJ8" s="745">
        <f t="shared" si="2"/>
        <v>0</v>
      </c>
      <c r="CK8" s="748" t="e">
        <f t="shared" ref="CK8:CK86" si="11">SUM(CI8:CJ8)</f>
        <v>#REF!</v>
      </c>
      <c r="CL8" s="749" t="e">
        <f t="shared" ref="CL8:CL86" si="12">+CH8-CK8</f>
        <v>#REF!</v>
      </c>
      <c r="CM8" s="744"/>
      <c r="CN8" s="745" t="e">
        <f t="shared" ref="CN8:CN86" si="13">IF((CL8&gt;0),(IF((CL8&gt;300000),(300000*7%),(CL8*7%))),(CH8*1%))</f>
        <v>#REF!</v>
      </c>
      <c r="CO8" s="745" t="e">
        <f t="shared" ref="CO8:CO86" si="14">IF((CL8-300000)&gt;0,(IF((CL8&gt;600000),(300000*11%),((CL8-300000)*11%))),(""))</f>
        <v>#REF!</v>
      </c>
      <c r="CP8" s="745" t="e">
        <f t="shared" ref="CP8:CP86" si="15">IF(((CL8-600000)&gt;0),(IF((CL8&gt;1100000),(500000*15%),((CL8-600000)*15%))),(""))</f>
        <v>#REF!</v>
      </c>
      <c r="CQ8" s="745" t="e">
        <f t="shared" ref="CQ8:CQ86" si="16">IF(((CL8-(1100000))&gt;0),(IF((CL8&gt;(1600000)),((500000)*19%),((CL8-(1100000))*19%))),(""))</f>
        <v>#REF!</v>
      </c>
      <c r="CR8" s="745" t="e">
        <f t="shared" ref="CR8:CR86" si="17">IF(((CL8-(1600000))&gt;0),(IF((CL8&gt;(3200000)),((1600000)*21%),((CL8-(1600000))*21%))),(""))</f>
        <v>#REF!</v>
      </c>
      <c r="CS8" s="745" t="e">
        <f t="shared" ref="CS8:CS86" si="18">IF(((CL8-(3200000))&gt;0),(IF((CL8&gt;(3200000)),((CL8-(3200000))*24%),(0))),(""))</f>
        <v>#REF!</v>
      </c>
      <c r="CT8" s="754" t="e">
        <f t="shared" si="3"/>
        <v>#REF!</v>
      </c>
      <c r="CU8" s="755" t="e">
        <f t="shared" si="4"/>
        <v>#REF!</v>
      </c>
      <c r="CV8" s="756">
        <f t="shared" si="5"/>
        <v>28042.87</v>
      </c>
      <c r="CW8" s="757"/>
      <c r="CX8" s="758"/>
      <c r="CY8" s="759"/>
      <c r="CZ8" s="760"/>
      <c r="DA8" s="767"/>
    </row>
    <row r="9" ht="236" customHeight="1" spans="1:105">
      <c r="A9" s="675">
        <v>332</v>
      </c>
      <c r="B9" s="676" t="s">
        <v>876</v>
      </c>
      <c r="C9" s="677" t="s">
        <v>1527</v>
      </c>
      <c r="D9" s="677" t="s">
        <v>1528</v>
      </c>
      <c r="E9" s="675" t="s">
        <v>135</v>
      </c>
      <c r="F9" s="1451" t="s">
        <v>877</v>
      </c>
      <c r="G9" s="677" t="s">
        <v>1532</v>
      </c>
      <c r="H9" s="679"/>
      <c r="I9" s="681" t="s">
        <v>135</v>
      </c>
      <c r="J9" s="686" t="s">
        <v>877</v>
      </c>
      <c r="K9" s="693" t="str">
        <f>'[5] NON-TEACHING STAFF'!$J$9</f>
        <v>22343652566</v>
      </c>
      <c r="L9" s="688">
        <v>2915643</v>
      </c>
      <c r="M9" s="688" t="e">
        <f>S9-#REF!</f>
        <v>#REF!</v>
      </c>
      <c r="N9" s="689">
        <v>3003155</v>
      </c>
      <c r="O9" s="689">
        <v>191880.5</v>
      </c>
      <c r="P9" s="689"/>
      <c r="Q9" s="689">
        <v>47970.125</v>
      </c>
      <c r="R9" s="689">
        <v>30000</v>
      </c>
      <c r="S9" s="689">
        <v>344679.75</v>
      </c>
      <c r="T9" s="689"/>
      <c r="U9" s="689"/>
      <c r="V9" s="689"/>
      <c r="W9" s="689"/>
      <c r="X9" s="689"/>
      <c r="Y9" s="689"/>
      <c r="Z9" s="689"/>
      <c r="AA9" s="691">
        <v>46318.29</v>
      </c>
      <c r="AB9" s="689">
        <v>25000</v>
      </c>
      <c r="AC9" s="689">
        <v>2500</v>
      </c>
      <c r="AD9" s="689"/>
      <c r="AE9" s="689"/>
      <c r="AF9" s="689"/>
      <c r="AG9" s="689"/>
      <c r="AH9" s="689">
        <v>46000</v>
      </c>
      <c r="AI9" s="689"/>
      <c r="AJ9" s="689">
        <v>2500</v>
      </c>
      <c r="AK9" s="689"/>
      <c r="AL9" s="689">
        <v>383.33</v>
      </c>
      <c r="AM9" s="689"/>
      <c r="AN9" s="689"/>
      <c r="AO9" s="689"/>
      <c r="AP9" s="689"/>
      <c r="AQ9" s="689"/>
      <c r="AR9" s="689"/>
      <c r="AS9" s="689"/>
      <c r="AT9" s="689"/>
      <c r="AU9" s="689">
        <f t="shared" si="6"/>
        <v>13787.19</v>
      </c>
      <c r="AV9" s="689"/>
      <c r="AW9" s="689">
        <v>2500</v>
      </c>
      <c r="AX9" s="718">
        <f>S9*0.02</f>
        <v>6893.595</v>
      </c>
      <c r="AY9" s="718"/>
      <c r="AZ9" s="718"/>
      <c r="BA9" s="689"/>
      <c r="BB9" s="689"/>
      <c r="BC9" s="689"/>
      <c r="BD9" s="719"/>
      <c r="BE9" s="719"/>
      <c r="BF9" s="689"/>
      <c r="BG9" s="689"/>
      <c r="BH9" s="727"/>
      <c r="BI9" s="689"/>
      <c r="BJ9" s="689"/>
      <c r="BK9" s="689"/>
      <c r="BL9" s="689">
        <v>7500</v>
      </c>
      <c r="BM9" s="689"/>
      <c r="BN9" s="689"/>
      <c r="BO9" s="689">
        <v>96912.25</v>
      </c>
      <c r="BP9" s="689"/>
      <c r="BQ9" s="689"/>
      <c r="BR9" s="731"/>
      <c r="BS9" s="731"/>
      <c r="BT9" s="731"/>
      <c r="BU9" s="731"/>
      <c r="BV9" s="731"/>
      <c r="BW9" s="731"/>
      <c r="BX9" s="731"/>
      <c r="BY9" s="731"/>
      <c r="BZ9" s="731">
        <v>2000</v>
      </c>
      <c r="CA9" s="718">
        <f t="shared" si="7"/>
        <v>9339.9608</v>
      </c>
      <c r="CB9" s="735"/>
      <c r="CC9" s="746">
        <v>68330.29</v>
      </c>
      <c r="CD9" s="702">
        <f t="shared" si="8"/>
        <v>466998.04</v>
      </c>
      <c r="CE9" s="731">
        <f t="shared" si="9"/>
        <v>207263.2858</v>
      </c>
      <c r="CF9" s="739">
        <f t="shared" si="0"/>
        <v>259734.7542</v>
      </c>
      <c r="CG9" s="742">
        <f t="shared" si="1"/>
        <v>207263.2858</v>
      </c>
      <c r="CH9" s="743" t="e">
        <f>'[6]JACKSON AKPOJARO '!C169*12</f>
        <v>#REF!</v>
      </c>
      <c r="CI9" s="744" t="e">
        <f t="shared" si="10"/>
        <v>#REF!</v>
      </c>
      <c r="CJ9" s="745">
        <f t="shared" si="2"/>
        <v>0</v>
      </c>
      <c r="CK9" s="748" t="e">
        <f t="shared" si="11"/>
        <v>#REF!</v>
      </c>
      <c r="CL9" s="749" t="e">
        <f t="shared" si="12"/>
        <v>#REF!</v>
      </c>
      <c r="CM9" s="744"/>
      <c r="CN9" s="745" t="e">
        <f t="shared" si="13"/>
        <v>#REF!</v>
      </c>
      <c r="CO9" s="745" t="e">
        <f t="shared" si="14"/>
        <v>#REF!</v>
      </c>
      <c r="CP9" s="745" t="e">
        <f t="shared" si="15"/>
        <v>#REF!</v>
      </c>
      <c r="CQ9" s="745" t="e">
        <f t="shared" si="16"/>
        <v>#REF!</v>
      </c>
      <c r="CR9" s="745" t="e">
        <f t="shared" si="17"/>
        <v>#REF!</v>
      </c>
      <c r="CS9" s="745" t="e">
        <f t="shared" si="18"/>
        <v>#REF!</v>
      </c>
      <c r="CT9" s="754" t="e">
        <f t="shared" si="3"/>
        <v>#REF!</v>
      </c>
      <c r="CU9" s="755" t="e">
        <f t="shared" si="4"/>
        <v>#REF!</v>
      </c>
      <c r="CV9" s="756">
        <f t="shared" si="5"/>
        <v>68330.29</v>
      </c>
      <c r="CW9" s="757"/>
      <c r="CX9" s="758"/>
      <c r="CY9" s="759"/>
      <c r="CZ9" s="760"/>
      <c r="DA9" s="767"/>
    </row>
    <row r="10" ht="236" customHeight="1" spans="1:105">
      <c r="A10" s="673">
        <v>333</v>
      </c>
      <c r="B10" s="676" t="s">
        <v>878</v>
      </c>
      <c r="C10" s="677" t="s">
        <v>1533</v>
      </c>
      <c r="D10" s="677" t="s">
        <v>1534</v>
      </c>
      <c r="E10" s="677" t="s">
        <v>113</v>
      </c>
      <c r="F10" s="677" t="s">
        <v>879</v>
      </c>
      <c r="G10" s="677" t="s">
        <v>1532</v>
      </c>
      <c r="H10" s="679"/>
      <c r="I10" s="681" t="s">
        <v>113</v>
      </c>
      <c r="J10" s="686">
        <v>2047902019</v>
      </c>
      <c r="K10" s="693" t="str">
        <f>'[5] NON-TEACHING STAFF'!$J$10</f>
        <v>22326449084</v>
      </c>
      <c r="L10" s="688">
        <v>2915643</v>
      </c>
      <c r="M10" s="688" t="e">
        <f>S10-#REF!</f>
        <v>#REF!</v>
      </c>
      <c r="N10" s="689">
        <v>3003155</v>
      </c>
      <c r="O10" s="689">
        <v>191880.5</v>
      </c>
      <c r="P10" s="689"/>
      <c r="Q10" s="689">
        <v>47970.125</v>
      </c>
      <c r="R10" s="689">
        <v>30000</v>
      </c>
      <c r="S10" s="689">
        <v>344679.75</v>
      </c>
      <c r="T10" s="689"/>
      <c r="U10" s="689"/>
      <c r="V10" s="689"/>
      <c r="W10" s="689"/>
      <c r="X10" s="689"/>
      <c r="Y10" s="689"/>
      <c r="Z10" s="689"/>
      <c r="AA10" s="691">
        <v>46318.29</v>
      </c>
      <c r="AB10" s="689">
        <v>25000</v>
      </c>
      <c r="AC10" s="689">
        <v>2500</v>
      </c>
      <c r="AD10" s="689"/>
      <c r="AE10" s="689"/>
      <c r="AF10" s="689"/>
      <c r="AG10" s="689"/>
      <c r="AH10" s="689"/>
      <c r="AI10" s="689"/>
      <c r="AJ10" s="689">
        <v>2500</v>
      </c>
      <c r="AK10" s="689"/>
      <c r="AL10" s="689">
        <v>383.33</v>
      </c>
      <c r="AM10" s="689"/>
      <c r="AN10" s="689"/>
      <c r="AO10" s="689"/>
      <c r="AP10" s="689"/>
      <c r="AQ10" s="689"/>
      <c r="AR10" s="689"/>
      <c r="AS10" s="689"/>
      <c r="AT10" s="689"/>
      <c r="AU10" s="689">
        <f t="shared" si="6"/>
        <v>13787.19</v>
      </c>
      <c r="AV10" s="689"/>
      <c r="AW10" s="689"/>
      <c r="AX10" s="718">
        <f t="shared" ref="AX10:AX52" si="19">S10*0.02</f>
        <v>6893.595</v>
      </c>
      <c r="AY10" s="718"/>
      <c r="AZ10" s="718"/>
      <c r="BA10" s="689"/>
      <c r="BB10" s="689"/>
      <c r="BC10" s="689"/>
      <c r="BD10" s="719"/>
      <c r="BE10" s="719"/>
      <c r="BF10" s="689"/>
      <c r="BG10" s="689"/>
      <c r="BH10" s="727"/>
      <c r="BI10" s="689"/>
      <c r="BJ10" s="689"/>
      <c r="BK10" s="689"/>
      <c r="BL10" s="689"/>
      <c r="BM10" s="689"/>
      <c r="BN10" s="689"/>
      <c r="BO10" s="689">
        <v>10000</v>
      </c>
      <c r="BP10" s="689"/>
      <c r="BQ10" s="689"/>
      <c r="BR10" s="731"/>
      <c r="BS10" s="731"/>
      <c r="BT10" s="731"/>
      <c r="BU10" s="731"/>
      <c r="BV10" s="731"/>
      <c r="BW10" s="731"/>
      <c r="BX10" s="731"/>
      <c r="BY10" s="731"/>
      <c r="BZ10" s="731">
        <v>2000</v>
      </c>
      <c r="CA10" s="718">
        <f t="shared" si="7"/>
        <v>8419.9608</v>
      </c>
      <c r="CB10" s="735"/>
      <c r="CC10" s="746">
        <v>59498.29</v>
      </c>
      <c r="CD10" s="702">
        <f t="shared" si="8"/>
        <v>420998.04</v>
      </c>
      <c r="CE10" s="731">
        <f t="shared" si="9"/>
        <v>100599.0358</v>
      </c>
      <c r="CF10" s="739">
        <f t="shared" si="0"/>
        <v>320399.0042</v>
      </c>
      <c r="CG10" s="742">
        <f t="shared" si="1"/>
        <v>100599.0358</v>
      </c>
      <c r="CH10" s="743" t="e">
        <f>'[6]JACKSON AKPOJARO '!C170*12</f>
        <v>#REF!</v>
      </c>
      <c r="CI10" s="744" t="e">
        <f t="shared" si="10"/>
        <v>#REF!</v>
      </c>
      <c r="CJ10" s="745">
        <f t="shared" si="2"/>
        <v>0</v>
      </c>
      <c r="CK10" s="748" t="e">
        <f t="shared" si="11"/>
        <v>#REF!</v>
      </c>
      <c r="CL10" s="749" t="e">
        <f t="shared" si="12"/>
        <v>#REF!</v>
      </c>
      <c r="CM10" s="744"/>
      <c r="CN10" s="745" t="e">
        <f t="shared" si="13"/>
        <v>#REF!</v>
      </c>
      <c r="CO10" s="745" t="e">
        <f t="shared" si="14"/>
        <v>#REF!</v>
      </c>
      <c r="CP10" s="745" t="e">
        <f t="shared" si="15"/>
        <v>#REF!</v>
      </c>
      <c r="CQ10" s="745" t="e">
        <f t="shared" si="16"/>
        <v>#REF!</v>
      </c>
      <c r="CR10" s="745" t="e">
        <f t="shared" si="17"/>
        <v>#REF!</v>
      </c>
      <c r="CS10" s="745" t="e">
        <f t="shared" si="18"/>
        <v>#REF!</v>
      </c>
      <c r="CT10" s="754" t="e">
        <f t="shared" si="3"/>
        <v>#REF!</v>
      </c>
      <c r="CU10" s="755" t="e">
        <f t="shared" si="4"/>
        <v>#REF!</v>
      </c>
      <c r="CV10" s="756">
        <f t="shared" si="5"/>
        <v>59498.29</v>
      </c>
      <c r="CW10" s="757"/>
      <c r="CX10" s="758"/>
      <c r="CY10" s="759"/>
      <c r="CZ10" s="760"/>
      <c r="DA10" s="767"/>
    </row>
    <row r="11" ht="236" customHeight="1" spans="1:105">
      <c r="A11" s="675">
        <v>334</v>
      </c>
      <c r="B11" s="676" t="s">
        <v>880</v>
      </c>
      <c r="C11" s="677" t="s">
        <v>1527</v>
      </c>
      <c r="D11" s="677" t="s">
        <v>1528</v>
      </c>
      <c r="E11" s="677" t="s">
        <v>871</v>
      </c>
      <c r="F11" s="677">
        <v>6170236860</v>
      </c>
      <c r="G11" s="677" t="s">
        <v>1532</v>
      </c>
      <c r="H11" s="679"/>
      <c r="I11" s="33" t="s">
        <v>259</v>
      </c>
      <c r="J11" s="33">
        <v>6170236860</v>
      </c>
      <c r="K11" s="687" t="str">
        <f>'[5] NON-TEACHING STAFF'!$J$11</f>
        <v>22309529464</v>
      </c>
      <c r="L11" s="688">
        <v>2915643</v>
      </c>
      <c r="M11" s="688" t="e">
        <f>S11-#REF!</f>
        <v>#REF!</v>
      </c>
      <c r="N11" s="689">
        <v>3003155</v>
      </c>
      <c r="O11" s="689">
        <v>191880.5</v>
      </c>
      <c r="P11" s="689"/>
      <c r="Q11" s="689">
        <v>47970.125</v>
      </c>
      <c r="R11" s="689">
        <v>30000</v>
      </c>
      <c r="S11" s="689">
        <v>344679.75</v>
      </c>
      <c r="T11" s="689"/>
      <c r="U11" s="689"/>
      <c r="V11" s="689"/>
      <c r="W11" s="689"/>
      <c r="X11" s="689"/>
      <c r="Y11" s="689"/>
      <c r="Z11" s="689"/>
      <c r="AA11" s="691">
        <v>46318.29</v>
      </c>
      <c r="AB11" s="689">
        <v>25000</v>
      </c>
      <c r="AC11" s="689">
        <v>2500</v>
      </c>
      <c r="AD11" s="689"/>
      <c r="AE11" s="689"/>
      <c r="AF11" s="689"/>
      <c r="AG11" s="689"/>
      <c r="AH11" s="689"/>
      <c r="AI11" s="689"/>
      <c r="AJ11" s="689">
        <v>2500</v>
      </c>
      <c r="AK11" s="689"/>
      <c r="AL11" s="689">
        <v>383.33</v>
      </c>
      <c r="AM11" s="689"/>
      <c r="AN11" s="689"/>
      <c r="AO11" s="689"/>
      <c r="AP11" s="689"/>
      <c r="AQ11" s="689"/>
      <c r="AR11" s="689"/>
      <c r="AS11" s="689"/>
      <c r="AT11" s="689"/>
      <c r="AU11" s="689">
        <f t="shared" si="6"/>
        <v>13787.19</v>
      </c>
      <c r="AV11" s="689"/>
      <c r="AW11" s="689">
        <v>2500</v>
      </c>
      <c r="AX11" s="718">
        <f t="shared" si="19"/>
        <v>6893.595</v>
      </c>
      <c r="AY11" s="718"/>
      <c r="AZ11" s="718"/>
      <c r="BA11" s="689"/>
      <c r="BB11" s="689"/>
      <c r="BC11" s="689"/>
      <c r="BD11" s="719"/>
      <c r="BE11" s="719"/>
      <c r="BF11" s="689"/>
      <c r="BG11" s="689"/>
      <c r="BH11" s="727"/>
      <c r="BI11" s="689"/>
      <c r="BJ11" s="689"/>
      <c r="BK11" s="689"/>
      <c r="BL11" s="689"/>
      <c r="BM11" s="689"/>
      <c r="BN11" s="689"/>
      <c r="BO11" s="689">
        <v>103750.333333333</v>
      </c>
      <c r="BP11" s="689"/>
      <c r="BQ11" s="689"/>
      <c r="BR11" s="731"/>
      <c r="BS11" s="731"/>
      <c r="BT11" s="731"/>
      <c r="BU11" s="731"/>
      <c r="BV11" s="731"/>
      <c r="BW11" s="731"/>
      <c r="BX11" s="731"/>
      <c r="BY11" s="731"/>
      <c r="BZ11" s="731">
        <v>2000</v>
      </c>
      <c r="CA11" s="718">
        <f t="shared" si="7"/>
        <v>8419.9608</v>
      </c>
      <c r="CB11" s="735"/>
      <c r="CC11" s="746">
        <v>59498.29</v>
      </c>
      <c r="CD11" s="702">
        <f t="shared" si="8"/>
        <v>420998.04</v>
      </c>
      <c r="CE11" s="731">
        <f t="shared" si="9"/>
        <v>196849.369133333</v>
      </c>
      <c r="CF11" s="739">
        <f t="shared" si="0"/>
        <v>224148.670866667</v>
      </c>
      <c r="CG11" s="742">
        <f t="shared" si="1"/>
        <v>196849.369133333</v>
      </c>
      <c r="CH11" s="743" t="e">
        <f>'[6]JACKSON AKPOJARO '!C171*12</f>
        <v>#REF!</v>
      </c>
      <c r="CI11" s="744" t="e">
        <f t="shared" si="10"/>
        <v>#REF!</v>
      </c>
      <c r="CJ11" s="745">
        <f t="shared" si="2"/>
        <v>0</v>
      </c>
      <c r="CK11" s="748" t="e">
        <f t="shared" si="11"/>
        <v>#REF!</v>
      </c>
      <c r="CL11" s="749" t="e">
        <f t="shared" si="12"/>
        <v>#REF!</v>
      </c>
      <c r="CM11" s="744"/>
      <c r="CN11" s="745" t="e">
        <f t="shared" si="13"/>
        <v>#REF!</v>
      </c>
      <c r="CO11" s="745" t="e">
        <f t="shared" si="14"/>
        <v>#REF!</v>
      </c>
      <c r="CP11" s="745" t="e">
        <f t="shared" si="15"/>
        <v>#REF!</v>
      </c>
      <c r="CQ11" s="745" t="e">
        <f t="shared" si="16"/>
        <v>#REF!</v>
      </c>
      <c r="CR11" s="745" t="e">
        <f t="shared" si="17"/>
        <v>#REF!</v>
      </c>
      <c r="CS11" s="745" t="e">
        <f t="shared" si="18"/>
        <v>#REF!</v>
      </c>
      <c r="CT11" s="754" t="e">
        <f t="shared" si="3"/>
        <v>#REF!</v>
      </c>
      <c r="CU11" s="755" t="e">
        <f t="shared" si="4"/>
        <v>#REF!</v>
      </c>
      <c r="CV11" s="756">
        <f t="shared" si="5"/>
        <v>59498.29</v>
      </c>
      <c r="CW11" s="757"/>
      <c r="CX11" s="758"/>
      <c r="CY11" s="759"/>
      <c r="CZ11" s="760"/>
      <c r="DA11" s="767"/>
    </row>
    <row r="12" ht="236" customHeight="1" spans="1:105">
      <c r="A12" s="673">
        <v>335</v>
      </c>
      <c r="B12" s="676" t="s">
        <v>881</v>
      </c>
      <c r="C12" s="677" t="s">
        <v>1527</v>
      </c>
      <c r="D12" s="677" t="s">
        <v>1535</v>
      </c>
      <c r="E12" s="677" t="s">
        <v>93</v>
      </c>
      <c r="F12" s="677">
        <v>3119660547</v>
      </c>
      <c r="G12" s="677" t="s">
        <v>1536</v>
      </c>
      <c r="H12" s="679"/>
      <c r="I12" s="681" t="s">
        <v>93</v>
      </c>
      <c r="J12" s="686">
        <v>3119660547</v>
      </c>
      <c r="K12" s="687" t="str">
        <f>'[5] NON-TEACHING STAFF'!$J$12</f>
        <v>22242094308</v>
      </c>
      <c r="L12" s="688">
        <v>2022036</v>
      </c>
      <c r="M12" s="688" t="e">
        <f>S12-#REF!</f>
        <v>#REF!</v>
      </c>
      <c r="N12" s="689">
        <v>2214985</v>
      </c>
      <c r="O12" s="689">
        <v>184582.083333333</v>
      </c>
      <c r="P12" s="689"/>
      <c r="Q12" s="689">
        <v>46145.5208333333</v>
      </c>
      <c r="R12" s="689">
        <v>30000</v>
      </c>
      <c r="S12" s="689">
        <v>269850.63</v>
      </c>
      <c r="T12" s="689"/>
      <c r="U12" s="689"/>
      <c r="V12" s="689"/>
      <c r="W12" s="689"/>
      <c r="X12" s="689"/>
      <c r="Y12" s="689"/>
      <c r="Z12" s="689"/>
      <c r="AA12" s="689"/>
      <c r="AB12" s="689"/>
      <c r="AC12" s="689">
        <v>2500</v>
      </c>
      <c r="AD12" s="689"/>
      <c r="AE12" s="689"/>
      <c r="AF12" s="689"/>
      <c r="AG12" s="689"/>
      <c r="AH12" s="689">
        <v>46000</v>
      </c>
      <c r="AI12" s="689"/>
      <c r="AJ12" s="689">
        <v>2500</v>
      </c>
      <c r="AK12" s="689"/>
      <c r="AL12" s="689">
        <v>383.33</v>
      </c>
      <c r="AM12" s="689"/>
      <c r="AN12" s="689"/>
      <c r="AO12" s="689"/>
      <c r="AP12" s="689"/>
      <c r="AQ12" s="689"/>
      <c r="AR12" s="689"/>
      <c r="AS12" s="689"/>
      <c r="AT12" s="689"/>
      <c r="AU12" s="689">
        <f t="shared" si="6"/>
        <v>10794.0252</v>
      </c>
      <c r="AV12" s="689"/>
      <c r="AW12" s="689">
        <v>2000</v>
      </c>
      <c r="AX12" s="718">
        <f t="shared" si="19"/>
        <v>5397.0126</v>
      </c>
      <c r="AY12" s="718"/>
      <c r="AZ12" s="718"/>
      <c r="BA12" s="689"/>
      <c r="BB12" s="689"/>
      <c r="BC12" s="689"/>
      <c r="BD12" s="719"/>
      <c r="BE12" s="719"/>
      <c r="BF12" s="689"/>
      <c r="BG12" s="689"/>
      <c r="BH12" s="727"/>
      <c r="BI12" s="689"/>
      <c r="BJ12" s="689"/>
      <c r="BK12" s="689"/>
      <c r="BL12" s="689">
        <v>10000</v>
      </c>
      <c r="BM12" s="689">
        <f>'TopLifters '!C7</f>
        <v>66667</v>
      </c>
      <c r="BN12" s="689"/>
      <c r="BO12" s="689">
        <v>30000</v>
      </c>
      <c r="BP12" s="689"/>
      <c r="BQ12" s="689"/>
      <c r="BR12" s="731"/>
      <c r="BS12" s="731"/>
      <c r="BT12" s="731"/>
      <c r="BU12" s="731"/>
      <c r="BV12" s="731"/>
      <c r="BW12" s="731"/>
      <c r="BX12" s="731">
        <v>5000</v>
      </c>
      <c r="BY12" s="731">
        <v>2000</v>
      </c>
      <c r="BZ12" s="731">
        <v>2000</v>
      </c>
      <c r="CA12" s="718">
        <f t="shared" si="7"/>
        <v>6417.0126</v>
      </c>
      <c r="CB12" s="735"/>
      <c r="CC12" s="731">
        <v>41069.57</v>
      </c>
      <c r="CD12" s="702">
        <f t="shared" si="8"/>
        <v>320850.63</v>
      </c>
      <c r="CE12" s="731">
        <f t="shared" si="9"/>
        <v>181344.6204</v>
      </c>
      <c r="CF12" s="739">
        <f t="shared" si="0"/>
        <v>139506.0096</v>
      </c>
      <c r="CG12" s="742">
        <f t="shared" si="1"/>
        <v>181344.6204</v>
      </c>
      <c r="CH12" s="743" t="e">
        <f>'[6]JACKSON AKPOJARO '!C172*12</f>
        <v>#REF!</v>
      </c>
      <c r="CI12" s="744" t="e">
        <f t="shared" si="10"/>
        <v>#REF!</v>
      </c>
      <c r="CJ12" s="745">
        <f t="shared" si="2"/>
        <v>0</v>
      </c>
      <c r="CK12" s="748" t="e">
        <f t="shared" si="11"/>
        <v>#REF!</v>
      </c>
      <c r="CL12" s="749" t="e">
        <f t="shared" si="12"/>
        <v>#REF!</v>
      </c>
      <c r="CM12" s="744"/>
      <c r="CN12" s="745" t="e">
        <f t="shared" si="13"/>
        <v>#REF!</v>
      </c>
      <c r="CO12" s="745" t="e">
        <f t="shared" si="14"/>
        <v>#REF!</v>
      </c>
      <c r="CP12" s="745" t="e">
        <f t="shared" si="15"/>
        <v>#REF!</v>
      </c>
      <c r="CQ12" s="745" t="e">
        <f t="shared" si="16"/>
        <v>#REF!</v>
      </c>
      <c r="CR12" s="745" t="e">
        <f t="shared" si="17"/>
        <v>#REF!</v>
      </c>
      <c r="CS12" s="745" t="e">
        <f t="shared" si="18"/>
        <v>#REF!</v>
      </c>
      <c r="CT12" s="754" t="e">
        <f t="shared" si="3"/>
        <v>#REF!</v>
      </c>
      <c r="CU12" s="755" t="e">
        <f t="shared" si="4"/>
        <v>#REF!</v>
      </c>
      <c r="CV12" s="756">
        <f t="shared" si="5"/>
        <v>41069.57</v>
      </c>
      <c r="CW12" s="757"/>
      <c r="CX12" s="758"/>
      <c r="CY12" s="759"/>
      <c r="CZ12" s="760"/>
      <c r="DA12" s="767"/>
    </row>
    <row r="13" ht="236" customHeight="1" spans="1:105">
      <c r="A13" s="675">
        <v>336</v>
      </c>
      <c r="B13" s="676" t="s">
        <v>882</v>
      </c>
      <c r="C13" s="677" t="s">
        <v>1527</v>
      </c>
      <c r="D13" s="677" t="s">
        <v>1530</v>
      </c>
      <c r="E13" s="677" t="s">
        <v>871</v>
      </c>
      <c r="F13" s="677">
        <v>6239775462</v>
      </c>
      <c r="G13" s="677" t="s">
        <v>1532</v>
      </c>
      <c r="H13" s="679"/>
      <c r="I13" s="33" t="s">
        <v>259</v>
      </c>
      <c r="J13" s="33">
        <v>6239775462</v>
      </c>
      <c r="K13" s="687">
        <f>'[5] NON-TEACHING STAFF'!$J$13</f>
        <v>22282150042</v>
      </c>
      <c r="L13" s="688">
        <f>L11</f>
        <v>2915643</v>
      </c>
      <c r="M13" s="688" t="e">
        <f>S13-#REF!</f>
        <v>#REF!</v>
      </c>
      <c r="N13" s="689">
        <v>3003155</v>
      </c>
      <c r="O13" s="689">
        <v>191880.5</v>
      </c>
      <c r="P13" s="689"/>
      <c r="Q13" s="689">
        <v>47970.125</v>
      </c>
      <c r="R13" s="689">
        <v>30000</v>
      </c>
      <c r="S13" s="689">
        <v>344679.75</v>
      </c>
      <c r="T13" s="689"/>
      <c r="U13" s="689"/>
      <c r="V13" s="689"/>
      <c r="W13" s="689"/>
      <c r="X13" s="689"/>
      <c r="Y13" s="689"/>
      <c r="Z13" s="689"/>
      <c r="AA13" s="689">
        <v>46318.29</v>
      </c>
      <c r="AB13" s="689">
        <v>12500</v>
      </c>
      <c r="AC13" s="689">
        <v>2500</v>
      </c>
      <c r="AD13" s="689"/>
      <c r="AE13" s="689"/>
      <c r="AF13" s="689"/>
      <c r="AG13" s="689"/>
      <c r="AH13" s="689"/>
      <c r="AI13" s="689"/>
      <c r="AJ13" s="689">
        <v>2500</v>
      </c>
      <c r="AK13" s="689"/>
      <c r="AL13" s="689">
        <v>383.33</v>
      </c>
      <c r="AM13" s="689"/>
      <c r="AN13" s="689"/>
      <c r="AO13" s="689"/>
      <c r="AP13" s="689"/>
      <c r="AQ13" s="689"/>
      <c r="AR13" s="689"/>
      <c r="AS13" s="689"/>
      <c r="AT13" s="689"/>
      <c r="AU13" s="689">
        <f t="shared" si="6"/>
        <v>13787.19</v>
      </c>
      <c r="AV13" s="689"/>
      <c r="AW13" s="689">
        <v>2500</v>
      </c>
      <c r="AX13" s="718">
        <f t="shared" si="19"/>
        <v>6893.595</v>
      </c>
      <c r="AY13" s="718"/>
      <c r="AZ13" s="718"/>
      <c r="BA13" s="689"/>
      <c r="BB13" s="689"/>
      <c r="BC13" s="689"/>
      <c r="BD13" s="719"/>
      <c r="BE13" s="719"/>
      <c r="BF13" s="689"/>
      <c r="BG13" s="689"/>
      <c r="BH13" s="727"/>
      <c r="BI13" s="689"/>
      <c r="BJ13" s="689"/>
      <c r="BK13" s="689"/>
      <c r="BL13" s="689"/>
      <c r="BM13" s="689"/>
      <c r="BN13" s="689"/>
      <c r="BO13" s="689">
        <v>26666.6666666667</v>
      </c>
      <c r="BP13" s="689"/>
      <c r="BQ13" s="689"/>
      <c r="BR13" s="731"/>
      <c r="BS13" s="731"/>
      <c r="BT13" s="731"/>
      <c r="BU13" s="731"/>
      <c r="BV13" s="731"/>
      <c r="BW13" s="731"/>
      <c r="BX13" s="731"/>
      <c r="BY13" s="731"/>
      <c r="BZ13" s="731">
        <v>2000</v>
      </c>
      <c r="CA13" s="718">
        <f t="shared" si="7"/>
        <v>8169.9608</v>
      </c>
      <c r="CB13" s="735"/>
      <c r="CC13" s="731">
        <v>57098.29</v>
      </c>
      <c r="CD13" s="702">
        <f t="shared" si="8"/>
        <v>408498.04</v>
      </c>
      <c r="CE13" s="731">
        <f t="shared" si="9"/>
        <v>117115.702466667</v>
      </c>
      <c r="CF13" s="739">
        <f t="shared" si="0"/>
        <v>291382.337533333</v>
      </c>
      <c r="CG13" s="742">
        <f t="shared" si="1"/>
        <v>117115.702466667</v>
      </c>
      <c r="CH13" s="743" t="e">
        <f>'[6]JACKSON AKPOJARO '!C173*12</f>
        <v>#REF!</v>
      </c>
      <c r="CI13" s="744" t="e">
        <f t="shared" si="10"/>
        <v>#REF!</v>
      </c>
      <c r="CJ13" s="745">
        <f t="shared" si="2"/>
        <v>0</v>
      </c>
      <c r="CK13" s="748" t="e">
        <f t="shared" si="11"/>
        <v>#REF!</v>
      </c>
      <c r="CL13" s="749" t="e">
        <f t="shared" si="12"/>
        <v>#REF!</v>
      </c>
      <c r="CM13" s="744"/>
      <c r="CN13" s="745" t="e">
        <f t="shared" si="13"/>
        <v>#REF!</v>
      </c>
      <c r="CO13" s="745" t="e">
        <f t="shared" si="14"/>
        <v>#REF!</v>
      </c>
      <c r="CP13" s="745" t="e">
        <f t="shared" si="15"/>
        <v>#REF!</v>
      </c>
      <c r="CQ13" s="745" t="e">
        <f t="shared" si="16"/>
        <v>#REF!</v>
      </c>
      <c r="CR13" s="745" t="e">
        <f t="shared" si="17"/>
        <v>#REF!</v>
      </c>
      <c r="CS13" s="745" t="e">
        <f t="shared" si="18"/>
        <v>#REF!</v>
      </c>
      <c r="CT13" s="754" t="e">
        <f t="shared" ref="CT13:CT17" si="20">1%*CH13</f>
        <v>#REF!</v>
      </c>
      <c r="CU13" s="755" t="e">
        <f t="shared" ref="CU13:CU40" si="21">MAX(CT13:CT13)</f>
        <v>#REF!</v>
      </c>
      <c r="CV13" s="756">
        <f t="shared" si="5"/>
        <v>57098.29</v>
      </c>
      <c r="CW13" s="757"/>
      <c r="CX13" s="758"/>
      <c r="CY13" s="759"/>
      <c r="CZ13" s="760"/>
      <c r="DA13" s="767"/>
    </row>
    <row r="14" ht="236" customHeight="1" spans="1:105">
      <c r="A14" s="673">
        <v>337</v>
      </c>
      <c r="B14" s="676" t="s">
        <v>883</v>
      </c>
      <c r="C14" s="677" t="s">
        <v>1533</v>
      </c>
      <c r="D14" s="677" t="s">
        <v>1537</v>
      </c>
      <c r="E14" s="677" t="s">
        <v>97</v>
      </c>
      <c r="F14" s="677" t="s">
        <v>884</v>
      </c>
      <c r="G14" s="677" t="s">
        <v>1538</v>
      </c>
      <c r="H14" s="679"/>
      <c r="I14" s="33" t="s">
        <v>97</v>
      </c>
      <c r="J14" s="33" t="s">
        <v>884</v>
      </c>
      <c r="K14" s="687">
        <f>'[5] NON-TEACHING STAFF'!$J$14</f>
        <v>22344927920</v>
      </c>
      <c r="L14" s="688">
        <v>520773</v>
      </c>
      <c r="M14" s="688" t="e">
        <f>S14-#REF!</f>
        <v>#REF!</v>
      </c>
      <c r="N14" s="689">
        <v>520773</v>
      </c>
      <c r="O14" s="689">
        <v>43397.75</v>
      </c>
      <c r="P14" s="689"/>
      <c r="Q14" s="689">
        <v>10849.4375</v>
      </c>
      <c r="R14" s="689">
        <v>42499.98</v>
      </c>
      <c r="S14" s="689">
        <v>99732.83</v>
      </c>
      <c r="T14" s="689"/>
      <c r="U14" s="689"/>
      <c r="V14" s="689"/>
      <c r="W14" s="689"/>
      <c r="X14" s="689"/>
      <c r="Y14" s="689"/>
      <c r="Z14" s="689"/>
      <c r="AA14" s="689"/>
      <c r="AB14" s="689"/>
      <c r="AC14" s="689">
        <v>2500</v>
      </c>
      <c r="AD14" s="689"/>
      <c r="AE14" s="689"/>
      <c r="AF14" s="689"/>
      <c r="AG14" s="689"/>
      <c r="AH14" s="689"/>
      <c r="AI14" s="689"/>
      <c r="AJ14" s="689">
        <v>2500</v>
      </c>
      <c r="AK14" s="689"/>
      <c r="AL14" s="689">
        <v>383.33</v>
      </c>
      <c r="AM14" s="689"/>
      <c r="AN14" s="689"/>
      <c r="AO14" s="689"/>
      <c r="AP14" s="689"/>
      <c r="AQ14" s="689"/>
      <c r="AR14" s="689"/>
      <c r="AS14" s="689"/>
      <c r="AT14" s="689"/>
      <c r="AU14" s="689">
        <f>S14*0.03</f>
        <v>2991.9849</v>
      </c>
      <c r="AV14" s="689"/>
      <c r="AW14" s="689"/>
      <c r="AX14" s="718"/>
      <c r="AY14" s="718"/>
      <c r="AZ14" s="718"/>
      <c r="BA14" s="689"/>
      <c r="BB14" s="689">
        <v>25000</v>
      </c>
      <c r="BC14" s="689"/>
      <c r="BD14" s="719"/>
      <c r="BE14" s="719">
        <f t="shared" ref="BE14:BE67" si="22">S14*0.03</f>
        <v>2991.9849</v>
      </c>
      <c r="BF14" s="689"/>
      <c r="BG14" s="689"/>
      <c r="BH14" s="727"/>
      <c r="BI14" s="689"/>
      <c r="BJ14" s="689"/>
      <c r="BK14" s="724"/>
      <c r="BL14" s="689"/>
      <c r="BM14" s="689"/>
      <c r="BN14" s="689"/>
      <c r="BO14" s="689">
        <v>45625</v>
      </c>
      <c r="BP14" s="689"/>
      <c r="BQ14" s="689"/>
      <c r="BR14" s="731"/>
      <c r="BS14" s="731"/>
      <c r="BT14" s="731"/>
      <c r="BU14" s="731"/>
      <c r="BV14" s="731"/>
      <c r="BW14" s="731"/>
      <c r="BX14" s="731"/>
      <c r="BY14" s="731"/>
      <c r="BZ14" s="731">
        <v>500</v>
      </c>
      <c r="CA14" s="718">
        <f t="shared" si="7"/>
        <v>2094.6566</v>
      </c>
      <c r="CB14" s="735"/>
      <c r="CC14" s="731">
        <v>7067.94</v>
      </c>
      <c r="CD14" s="702">
        <f t="shared" si="8"/>
        <v>104732.83</v>
      </c>
      <c r="CE14" s="731">
        <f t="shared" si="9"/>
        <v>86271.5664</v>
      </c>
      <c r="CF14" s="739">
        <f t="shared" si="0"/>
        <v>18461.2636</v>
      </c>
      <c r="CG14" s="742">
        <f t="shared" si="1"/>
        <v>86271.5664</v>
      </c>
      <c r="CH14" s="743" t="e">
        <f>'[6]JACKSON AKPOJARO '!C174*12</f>
        <v>#REF!</v>
      </c>
      <c r="CI14" s="744" t="e">
        <f t="shared" si="10"/>
        <v>#REF!</v>
      </c>
      <c r="CJ14" s="745">
        <f t="shared" si="2"/>
        <v>0</v>
      </c>
      <c r="CK14" s="748" t="e">
        <f t="shared" si="11"/>
        <v>#REF!</v>
      </c>
      <c r="CL14" s="749" t="e">
        <f t="shared" si="12"/>
        <v>#REF!</v>
      </c>
      <c r="CM14" s="744"/>
      <c r="CN14" s="745" t="e">
        <f t="shared" si="13"/>
        <v>#REF!</v>
      </c>
      <c r="CO14" s="745" t="e">
        <f t="shared" si="14"/>
        <v>#REF!</v>
      </c>
      <c r="CP14" s="745" t="e">
        <f t="shared" si="15"/>
        <v>#REF!</v>
      </c>
      <c r="CQ14" s="745" t="e">
        <f t="shared" si="16"/>
        <v>#REF!</v>
      </c>
      <c r="CR14" s="745" t="e">
        <f t="shared" si="17"/>
        <v>#REF!</v>
      </c>
      <c r="CS14" s="745" t="e">
        <f t="shared" si="18"/>
        <v>#REF!</v>
      </c>
      <c r="CT14" s="754" t="e">
        <f t="shared" si="20"/>
        <v>#REF!</v>
      </c>
      <c r="CU14" s="755" t="e">
        <f t="shared" si="21"/>
        <v>#REF!</v>
      </c>
      <c r="CV14" s="756">
        <f t="shared" si="5"/>
        <v>7067.94</v>
      </c>
      <c r="CW14" s="757"/>
      <c r="CX14" s="758"/>
      <c r="CY14" s="759"/>
      <c r="CZ14" s="760"/>
      <c r="DA14" s="767"/>
    </row>
    <row r="15" ht="236" customHeight="1" spans="1:105">
      <c r="A15" s="675">
        <v>338</v>
      </c>
      <c r="B15" s="676" t="s">
        <v>885</v>
      </c>
      <c r="C15" s="677" t="s">
        <v>1533</v>
      </c>
      <c r="D15" s="677" t="s">
        <v>1539</v>
      </c>
      <c r="E15" s="677" t="s">
        <v>165</v>
      </c>
      <c r="F15" s="677">
        <v>2120701852</v>
      </c>
      <c r="G15" s="677" t="s">
        <v>1540</v>
      </c>
      <c r="H15" s="679"/>
      <c r="I15" s="681" t="s">
        <v>165</v>
      </c>
      <c r="J15" s="686">
        <v>2120701852</v>
      </c>
      <c r="K15" s="687" t="str">
        <f>'[5] NON-TEACHING STAFF'!$J$15</f>
        <v>22433306432</v>
      </c>
      <c r="L15" s="688">
        <v>1194251</v>
      </c>
      <c r="M15" s="688" t="e">
        <f>S15-#REF!</f>
        <v>#REF!</v>
      </c>
      <c r="N15" s="689">
        <v>1194251</v>
      </c>
      <c r="O15" s="689">
        <v>99520.9166666667</v>
      </c>
      <c r="P15" s="689"/>
      <c r="Q15" s="689">
        <v>24880.2291666667</v>
      </c>
      <c r="R15" s="689">
        <v>30000.17</v>
      </c>
      <c r="S15" s="689">
        <v>165441.5</v>
      </c>
      <c r="T15" s="689"/>
      <c r="U15" s="689"/>
      <c r="V15" s="689"/>
      <c r="W15" s="689"/>
      <c r="X15" s="689"/>
      <c r="Y15" s="689"/>
      <c r="Z15" s="689"/>
      <c r="AA15" s="689"/>
      <c r="AB15" s="689"/>
      <c r="AC15" s="689">
        <v>2500</v>
      </c>
      <c r="AD15" s="689"/>
      <c r="AE15" s="689"/>
      <c r="AF15" s="689"/>
      <c r="AG15" s="689"/>
      <c r="AH15" s="689"/>
      <c r="AI15" s="689"/>
      <c r="AJ15" s="689">
        <v>2500</v>
      </c>
      <c r="AK15" s="689"/>
      <c r="AL15" s="689">
        <v>383.33</v>
      </c>
      <c r="AM15" s="689"/>
      <c r="AN15" s="689"/>
      <c r="AO15" s="689"/>
      <c r="AP15" s="689"/>
      <c r="AQ15" s="689"/>
      <c r="AR15" s="689"/>
      <c r="AS15" s="689"/>
      <c r="AT15" s="689"/>
      <c r="AU15" s="689">
        <f t="shared" si="6"/>
        <v>6617.66</v>
      </c>
      <c r="AV15" s="689"/>
      <c r="AW15" s="689"/>
      <c r="AX15" s="718"/>
      <c r="AY15" s="718"/>
      <c r="AZ15" s="718"/>
      <c r="BA15" s="689"/>
      <c r="BB15" s="689"/>
      <c r="BC15" s="689"/>
      <c r="BD15" s="719"/>
      <c r="BE15" s="719">
        <f t="shared" si="22"/>
        <v>4963.245</v>
      </c>
      <c r="BF15" s="689"/>
      <c r="BG15" s="689"/>
      <c r="BH15" s="727"/>
      <c r="BI15" s="689"/>
      <c r="BJ15" s="689"/>
      <c r="BK15" s="724"/>
      <c r="BL15" s="689">
        <v>7500</v>
      </c>
      <c r="BM15" s="689"/>
      <c r="BN15" s="689"/>
      <c r="BO15" s="689">
        <v>0</v>
      </c>
      <c r="BP15" s="689"/>
      <c r="BQ15" s="689"/>
      <c r="BR15" s="731"/>
      <c r="BS15" s="731"/>
      <c r="BT15" s="731"/>
      <c r="BU15" s="731"/>
      <c r="BV15" s="731"/>
      <c r="BW15" s="731"/>
      <c r="BX15" s="731"/>
      <c r="BY15" s="731"/>
      <c r="BZ15" s="731">
        <v>500</v>
      </c>
      <c r="CA15" s="718">
        <f t="shared" si="7"/>
        <v>3408.83</v>
      </c>
      <c r="CB15" s="735"/>
      <c r="CC15" s="731">
        <v>16073.77</v>
      </c>
      <c r="CD15" s="702">
        <f t="shared" si="8"/>
        <v>170441.5</v>
      </c>
      <c r="CE15" s="731">
        <f t="shared" si="9"/>
        <v>39063.505</v>
      </c>
      <c r="CF15" s="739">
        <f t="shared" si="0"/>
        <v>131377.995</v>
      </c>
      <c r="CG15" s="742">
        <f t="shared" si="1"/>
        <v>39063.505</v>
      </c>
      <c r="CH15" s="743" t="e">
        <f>'[6]JACKSON AKPOJARO '!C175*12</f>
        <v>#REF!</v>
      </c>
      <c r="CI15" s="744" t="e">
        <f t="shared" si="10"/>
        <v>#REF!</v>
      </c>
      <c r="CJ15" s="745">
        <f t="shared" si="2"/>
        <v>0</v>
      </c>
      <c r="CK15" s="748" t="e">
        <f t="shared" si="11"/>
        <v>#REF!</v>
      </c>
      <c r="CL15" s="749" t="e">
        <f t="shared" si="12"/>
        <v>#REF!</v>
      </c>
      <c r="CM15" s="744"/>
      <c r="CN15" s="745" t="e">
        <f t="shared" si="13"/>
        <v>#REF!</v>
      </c>
      <c r="CO15" s="745" t="e">
        <f t="shared" si="14"/>
        <v>#REF!</v>
      </c>
      <c r="CP15" s="745" t="e">
        <f t="shared" si="15"/>
        <v>#REF!</v>
      </c>
      <c r="CQ15" s="745" t="e">
        <f t="shared" si="16"/>
        <v>#REF!</v>
      </c>
      <c r="CR15" s="745" t="e">
        <f t="shared" si="17"/>
        <v>#REF!</v>
      </c>
      <c r="CS15" s="745" t="e">
        <f t="shared" si="18"/>
        <v>#REF!</v>
      </c>
      <c r="CT15" s="754" t="e">
        <f t="shared" si="20"/>
        <v>#REF!</v>
      </c>
      <c r="CU15" s="755" t="e">
        <f t="shared" si="21"/>
        <v>#REF!</v>
      </c>
      <c r="CV15" s="756">
        <f t="shared" si="5"/>
        <v>16073.77</v>
      </c>
      <c r="CW15" s="757"/>
      <c r="CX15" s="758"/>
      <c r="CY15" s="759"/>
      <c r="CZ15" s="760"/>
      <c r="DA15" s="767"/>
    </row>
    <row r="16" ht="236" customHeight="1" spans="1:105">
      <c r="A16" s="673">
        <v>339</v>
      </c>
      <c r="B16" s="676" t="s">
        <v>886</v>
      </c>
      <c r="C16" s="677" t="s">
        <v>1533</v>
      </c>
      <c r="D16" s="677" t="s">
        <v>1541</v>
      </c>
      <c r="E16" s="677" t="s">
        <v>113</v>
      </c>
      <c r="F16" s="677" t="s">
        <v>887</v>
      </c>
      <c r="G16" s="677" t="s">
        <v>1542</v>
      </c>
      <c r="H16" s="679"/>
      <c r="I16" s="681" t="s">
        <v>113</v>
      </c>
      <c r="J16" s="686">
        <v>2185980269</v>
      </c>
      <c r="K16" s="687" t="str">
        <f>'[5] NON-TEACHING STAFF'!$J$16</f>
        <v>22419981006</v>
      </c>
      <c r="L16" s="688">
        <v>1065971</v>
      </c>
      <c r="M16" s="688" t="e">
        <f>S16-#REF!</f>
        <v>#REF!</v>
      </c>
      <c r="N16" s="689">
        <v>1098041</v>
      </c>
      <c r="O16" s="689">
        <v>91503.4166666667</v>
      </c>
      <c r="P16" s="689"/>
      <c r="Q16" s="689">
        <v>22875.8541666667</v>
      </c>
      <c r="R16" s="689">
        <v>30000</v>
      </c>
      <c r="S16" s="689">
        <v>160985.42</v>
      </c>
      <c r="T16" s="689"/>
      <c r="U16" s="689"/>
      <c r="V16" s="689"/>
      <c r="W16" s="689"/>
      <c r="X16" s="689"/>
      <c r="Y16" s="689"/>
      <c r="Z16" s="689"/>
      <c r="AA16" s="689"/>
      <c r="AB16" s="689"/>
      <c r="AC16" s="689">
        <v>2500</v>
      </c>
      <c r="AD16" s="689"/>
      <c r="AE16" s="689"/>
      <c r="AF16" s="689"/>
      <c r="AG16" s="689"/>
      <c r="AH16" s="689"/>
      <c r="AI16" s="689"/>
      <c r="AJ16" s="689">
        <v>2500</v>
      </c>
      <c r="AK16" s="689"/>
      <c r="AL16" s="689">
        <v>383.33</v>
      </c>
      <c r="AM16" s="689"/>
      <c r="AN16" s="689"/>
      <c r="AO16" s="689"/>
      <c r="AP16" s="689"/>
      <c r="AQ16" s="689"/>
      <c r="AR16" s="689"/>
      <c r="AS16" s="689"/>
      <c r="AT16" s="689"/>
      <c r="AU16" s="689">
        <f t="shared" si="6"/>
        <v>6439.4168</v>
      </c>
      <c r="AV16" s="689"/>
      <c r="AW16" s="689"/>
      <c r="AX16" s="718"/>
      <c r="AY16" s="718"/>
      <c r="AZ16" s="718"/>
      <c r="BA16" s="689"/>
      <c r="BB16" s="689"/>
      <c r="BC16" s="689"/>
      <c r="BD16" s="719"/>
      <c r="BE16" s="719">
        <f t="shared" si="22"/>
        <v>4829.5626</v>
      </c>
      <c r="BF16" s="689"/>
      <c r="BG16" s="689"/>
      <c r="BH16" s="727"/>
      <c r="BI16" s="689"/>
      <c r="BJ16" s="689"/>
      <c r="BK16" s="724"/>
      <c r="BL16" s="689"/>
      <c r="BM16" s="689">
        <v>66667</v>
      </c>
      <c r="BN16" s="689"/>
      <c r="BO16" s="689">
        <v>0</v>
      </c>
      <c r="BP16" s="689"/>
      <c r="BQ16" s="689"/>
      <c r="BR16" s="731"/>
      <c r="BS16" s="731">
        <v>50720</v>
      </c>
      <c r="BT16" s="731"/>
      <c r="BU16" s="731"/>
      <c r="BV16" s="731"/>
      <c r="BW16" s="731"/>
      <c r="BX16" s="731"/>
      <c r="BY16" s="731"/>
      <c r="BZ16" s="731">
        <v>500</v>
      </c>
      <c r="CA16" s="718">
        <f t="shared" si="7"/>
        <v>3319.7084</v>
      </c>
      <c r="CB16" s="735"/>
      <c r="CC16" s="731">
        <v>14636.45</v>
      </c>
      <c r="CD16" s="702">
        <f t="shared" si="8"/>
        <v>165985.42</v>
      </c>
      <c r="CE16" s="731">
        <f t="shared" si="9"/>
        <v>147112.1378</v>
      </c>
      <c r="CF16" s="739">
        <f t="shared" si="0"/>
        <v>18873.2822</v>
      </c>
      <c r="CG16" s="742">
        <f t="shared" si="1"/>
        <v>147112.1378</v>
      </c>
      <c r="CH16" s="743" t="e">
        <f>'[6]JACKSON AKPOJARO '!C176*12</f>
        <v>#REF!</v>
      </c>
      <c r="CI16" s="744" t="e">
        <f t="shared" si="10"/>
        <v>#REF!</v>
      </c>
      <c r="CJ16" s="745">
        <f t="shared" si="2"/>
        <v>0</v>
      </c>
      <c r="CK16" s="748" t="e">
        <f t="shared" si="11"/>
        <v>#REF!</v>
      </c>
      <c r="CL16" s="749" t="e">
        <f t="shared" si="12"/>
        <v>#REF!</v>
      </c>
      <c r="CM16" s="744"/>
      <c r="CN16" s="745" t="e">
        <f t="shared" si="13"/>
        <v>#REF!</v>
      </c>
      <c r="CO16" s="745" t="e">
        <f t="shared" si="14"/>
        <v>#REF!</v>
      </c>
      <c r="CP16" s="745" t="e">
        <f t="shared" si="15"/>
        <v>#REF!</v>
      </c>
      <c r="CQ16" s="745" t="e">
        <f t="shared" si="16"/>
        <v>#REF!</v>
      </c>
      <c r="CR16" s="745" t="e">
        <f t="shared" si="17"/>
        <v>#REF!</v>
      </c>
      <c r="CS16" s="745" t="e">
        <f t="shared" si="18"/>
        <v>#REF!</v>
      </c>
      <c r="CT16" s="754" t="e">
        <f t="shared" si="20"/>
        <v>#REF!</v>
      </c>
      <c r="CU16" s="755" t="e">
        <f t="shared" si="21"/>
        <v>#REF!</v>
      </c>
      <c r="CV16" s="756">
        <f t="shared" si="5"/>
        <v>14636.45</v>
      </c>
      <c r="CW16" s="757"/>
      <c r="CX16" s="758"/>
      <c r="CY16" s="759"/>
      <c r="CZ16" s="760"/>
      <c r="DA16" s="767"/>
    </row>
    <row r="17" ht="236" customHeight="1" spans="1:105">
      <c r="A17" s="675">
        <v>340</v>
      </c>
      <c r="B17" s="676" t="s">
        <v>888</v>
      </c>
      <c r="C17" s="677" t="s">
        <v>1533</v>
      </c>
      <c r="D17" s="677" t="s">
        <v>1543</v>
      </c>
      <c r="E17" s="677" t="s">
        <v>889</v>
      </c>
      <c r="F17" s="677" t="s">
        <v>890</v>
      </c>
      <c r="G17" s="677" t="s">
        <v>1544</v>
      </c>
      <c r="H17" s="679"/>
      <c r="I17" s="694" t="s">
        <v>122</v>
      </c>
      <c r="J17" s="686" t="s">
        <v>890</v>
      </c>
      <c r="K17" s="687" t="str">
        <f>'[5] NON-TEACHING STAFF'!$J$17</f>
        <v>22435584786</v>
      </c>
      <c r="L17" s="688">
        <v>638685</v>
      </c>
      <c r="M17" s="688" t="e">
        <f>S17-#REF!</f>
        <v>#REF!</v>
      </c>
      <c r="N17" s="689">
        <v>638685</v>
      </c>
      <c r="O17" s="689">
        <v>54679.17</v>
      </c>
      <c r="P17" s="689"/>
      <c r="Q17" s="689">
        <v>13669.7925</v>
      </c>
      <c r="R17" s="689">
        <v>40000</v>
      </c>
      <c r="S17" s="689">
        <v>110168.25</v>
      </c>
      <c r="T17" s="689"/>
      <c r="U17" s="689"/>
      <c r="V17" s="689"/>
      <c r="W17" s="689"/>
      <c r="X17" s="689"/>
      <c r="Y17" s="689"/>
      <c r="Z17" s="689"/>
      <c r="AA17" s="689"/>
      <c r="AB17" s="689"/>
      <c r="AC17" s="689">
        <v>2500</v>
      </c>
      <c r="AD17" s="689"/>
      <c r="AE17" s="689"/>
      <c r="AF17" s="689"/>
      <c r="AG17" s="689"/>
      <c r="AH17" s="689"/>
      <c r="AI17" s="689"/>
      <c r="AJ17" s="689">
        <v>2500</v>
      </c>
      <c r="AK17" s="689"/>
      <c r="AL17" s="689">
        <v>383.33</v>
      </c>
      <c r="AM17" s="689"/>
      <c r="AN17" s="689"/>
      <c r="AO17" s="689"/>
      <c r="AP17" s="689"/>
      <c r="AQ17" s="689"/>
      <c r="AR17" s="689"/>
      <c r="AS17" s="689"/>
      <c r="AT17" s="689"/>
      <c r="AU17" s="689">
        <f>S17*0.03</f>
        <v>3305.0475</v>
      </c>
      <c r="AV17" s="689"/>
      <c r="AW17" s="689"/>
      <c r="AX17" s="718"/>
      <c r="AY17" s="718"/>
      <c r="AZ17" s="718"/>
      <c r="BA17" s="689"/>
      <c r="BB17" s="689"/>
      <c r="BC17" s="689"/>
      <c r="BD17" s="719"/>
      <c r="BE17" s="719">
        <f t="shared" si="22"/>
        <v>3305.0475</v>
      </c>
      <c r="BF17" s="689"/>
      <c r="BG17" s="689"/>
      <c r="BH17" s="727"/>
      <c r="BI17" s="689"/>
      <c r="BJ17" s="689"/>
      <c r="BK17" s="689"/>
      <c r="BL17" s="689"/>
      <c r="BM17" s="689"/>
      <c r="BN17" s="689"/>
      <c r="BO17" s="689">
        <v>0</v>
      </c>
      <c r="BP17" s="689"/>
      <c r="BQ17" s="689"/>
      <c r="BR17" s="731"/>
      <c r="BS17" s="731"/>
      <c r="BT17" s="731"/>
      <c r="BU17" s="731"/>
      <c r="BV17" s="731"/>
      <c r="BW17" s="731"/>
      <c r="BX17" s="731"/>
      <c r="BY17" s="731"/>
      <c r="BZ17" s="731">
        <v>500</v>
      </c>
      <c r="CA17" s="718">
        <f t="shared" si="7"/>
        <v>2303.365</v>
      </c>
      <c r="CB17" s="735"/>
      <c r="CC17" s="731">
        <v>8320.19</v>
      </c>
      <c r="CD17" s="702">
        <f t="shared" si="8"/>
        <v>115168.25</v>
      </c>
      <c r="CE17" s="731">
        <f t="shared" si="9"/>
        <v>17733.65</v>
      </c>
      <c r="CF17" s="739">
        <f t="shared" si="0"/>
        <v>97434.6</v>
      </c>
      <c r="CG17" s="742">
        <f t="shared" si="1"/>
        <v>17733.65</v>
      </c>
      <c r="CH17" s="743" t="e">
        <f>'[6]JACKSON AKPOJARO '!C177*12</f>
        <v>#REF!</v>
      </c>
      <c r="CI17" s="744" t="e">
        <f t="shared" si="10"/>
        <v>#REF!</v>
      </c>
      <c r="CJ17" s="745">
        <f t="shared" si="2"/>
        <v>0</v>
      </c>
      <c r="CK17" s="748" t="e">
        <f t="shared" si="11"/>
        <v>#REF!</v>
      </c>
      <c r="CL17" s="749" t="e">
        <f t="shared" si="12"/>
        <v>#REF!</v>
      </c>
      <c r="CM17" s="744"/>
      <c r="CN17" s="745" t="e">
        <f t="shared" si="13"/>
        <v>#REF!</v>
      </c>
      <c r="CO17" s="745" t="e">
        <f t="shared" si="14"/>
        <v>#REF!</v>
      </c>
      <c r="CP17" s="745" t="e">
        <f t="shared" si="15"/>
        <v>#REF!</v>
      </c>
      <c r="CQ17" s="745" t="e">
        <f t="shared" si="16"/>
        <v>#REF!</v>
      </c>
      <c r="CR17" s="745" t="e">
        <f t="shared" si="17"/>
        <v>#REF!</v>
      </c>
      <c r="CS17" s="745" t="e">
        <f t="shared" si="18"/>
        <v>#REF!</v>
      </c>
      <c r="CT17" s="754" t="e">
        <f t="shared" si="20"/>
        <v>#REF!</v>
      </c>
      <c r="CU17" s="755" t="e">
        <f t="shared" si="21"/>
        <v>#REF!</v>
      </c>
      <c r="CV17" s="756">
        <f t="shared" si="5"/>
        <v>8320.19</v>
      </c>
      <c r="CW17" s="757"/>
      <c r="CX17" s="758"/>
      <c r="CY17" s="759"/>
      <c r="CZ17" s="760"/>
      <c r="DA17" s="767"/>
    </row>
    <row r="18" ht="236" customHeight="1" spans="1:106">
      <c r="A18" s="673">
        <v>341</v>
      </c>
      <c r="B18" s="676" t="s">
        <v>891</v>
      </c>
      <c r="C18" s="677" t="s">
        <v>1545</v>
      </c>
      <c r="D18" s="677" t="s">
        <v>1546</v>
      </c>
      <c r="E18" s="677" t="s">
        <v>892</v>
      </c>
      <c r="F18" s="677" t="s">
        <v>893</v>
      </c>
      <c r="G18" s="677" t="s">
        <v>1547</v>
      </c>
      <c r="H18" s="679"/>
      <c r="I18" s="681" t="s">
        <v>892</v>
      </c>
      <c r="J18" s="686" t="s">
        <v>893</v>
      </c>
      <c r="K18" s="695"/>
      <c r="L18" s="688" t="e">
        <f>#REF!*12</f>
        <v>#REF!</v>
      </c>
      <c r="M18" s="688" t="e">
        <f>S18-#REF!</f>
        <v>#REF!</v>
      </c>
      <c r="N18" s="689"/>
      <c r="O18" s="689">
        <v>555351.17</v>
      </c>
      <c r="P18" s="689"/>
      <c r="Q18" s="689">
        <v>0</v>
      </c>
      <c r="R18" s="689">
        <v>0</v>
      </c>
      <c r="S18" s="689">
        <f t="shared" ref="S18:S27" si="23">SUM(O18:R18)</f>
        <v>555351.17</v>
      </c>
      <c r="T18" s="689"/>
      <c r="U18" s="689"/>
      <c r="V18" s="689"/>
      <c r="W18" s="689"/>
      <c r="X18" s="689"/>
      <c r="Y18" s="709"/>
      <c r="Z18" s="709">
        <f>[7]Sheet5!$D$22</f>
        <v>83302.68</v>
      </c>
      <c r="AA18" s="709"/>
      <c r="AB18" s="689">
        <f>'[5] NON-TEACHING STAFF'!$O$19</f>
        <v>62500</v>
      </c>
      <c r="AC18" s="689">
        <v>2500</v>
      </c>
      <c r="AD18" s="689"/>
      <c r="AE18" s="668"/>
      <c r="AF18" s="668"/>
      <c r="AG18" s="689">
        <v>60000</v>
      </c>
      <c r="AH18" s="689">
        <v>52500</v>
      </c>
      <c r="AI18" s="689"/>
      <c r="AJ18" s="689">
        <v>2500</v>
      </c>
      <c r="AK18" s="689"/>
      <c r="AL18" s="689">
        <v>383.33</v>
      </c>
      <c r="AM18" s="689">
        <f>'[5] NON-TEACHING STAFF'!$P$19</f>
        <v>128000</v>
      </c>
      <c r="AN18" s="689"/>
      <c r="AO18" s="689"/>
      <c r="AP18" s="689"/>
      <c r="AQ18" s="689"/>
      <c r="AR18" s="689"/>
      <c r="AS18" s="689"/>
      <c r="AT18" s="689"/>
      <c r="AU18" s="689">
        <f t="shared" si="6"/>
        <v>22214.0468</v>
      </c>
      <c r="AV18" s="689"/>
      <c r="AW18" s="689">
        <v>5000</v>
      </c>
      <c r="AX18" s="718">
        <f t="shared" si="19"/>
        <v>11107.0234</v>
      </c>
      <c r="AY18" s="718"/>
      <c r="AZ18" s="718"/>
      <c r="BA18" s="689"/>
      <c r="BB18" s="689">
        <v>50000</v>
      </c>
      <c r="BC18" s="689"/>
      <c r="BD18" s="719"/>
      <c r="BE18" s="719"/>
      <c r="BF18" s="689"/>
      <c r="BG18" s="689"/>
      <c r="BH18" s="727"/>
      <c r="BI18" s="689"/>
      <c r="BJ18" s="689"/>
      <c r="BK18" s="689"/>
      <c r="BL18" s="689"/>
      <c r="BM18" s="689"/>
      <c r="BN18" s="689"/>
      <c r="BO18" s="689">
        <v>200000</v>
      </c>
      <c r="BP18" s="689"/>
      <c r="BQ18" s="689"/>
      <c r="BR18" s="731"/>
      <c r="BS18" s="731"/>
      <c r="BT18" s="731"/>
      <c r="BU18" s="731"/>
      <c r="BV18" s="731"/>
      <c r="BW18" s="731"/>
      <c r="BX18" s="731">
        <v>5000</v>
      </c>
      <c r="BY18" s="731"/>
      <c r="BZ18" s="731">
        <v>3500</v>
      </c>
      <c r="CA18" s="718">
        <f t="shared" si="7"/>
        <v>16373.077</v>
      </c>
      <c r="CB18" s="735"/>
      <c r="CC18" s="731">
        <v>135848.205866667</v>
      </c>
      <c r="CD18" s="702">
        <f t="shared" si="8"/>
        <v>818653.85</v>
      </c>
      <c r="CE18" s="731">
        <f t="shared" si="9"/>
        <v>449042.353066667</v>
      </c>
      <c r="CF18" s="739">
        <f t="shared" si="0"/>
        <v>369611.496933333</v>
      </c>
      <c r="CG18" s="742">
        <f t="shared" si="1"/>
        <v>449042.353066667</v>
      </c>
      <c r="CH18" s="743" t="e">
        <f>'[6]JACKSON AKPOJARO '!C181*12</f>
        <v>#REF!</v>
      </c>
      <c r="CI18" s="744" t="e">
        <f t="shared" si="10"/>
        <v>#REF!</v>
      </c>
      <c r="CJ18" s="745">
        <f t="shared" si="2"/>
        <v>0</v>
      </c>
      <c r="CK18" s="748" t="e">
        <f t="shared" si="11"/>
        <v>#REF!</v>
      </c>
      <c r="CL18" s="749" t="e">
        <f t="shared" si="12"/>
        <v>#REF!</v>
      </c>
      <c r="CM18" s="744"/>
      <c r="CN18" s="745" t="e">
        <f t="shared" si="13"/>
        <v>#REF!</v>
      </c>
      <c r="CO18" s="745" t="e">
        <f t="shared" si="14"/>
        <v>#REF!</v>
      </c>
      <c r="CP18" s="745" t="e">
        <f t="shared" si="15"/>
        <v>#REF!</v>
      </c>
      <c r="CQ18" s="745" t="e">
        <f t="shared" si="16"/>
        <v>#REF!</v>
      </c>
      <c r="CR18" s="745" t="e">
        <f t="shared" si="17"/>
        <v>#REF!</v>
      </c>
      <c r="CS18" s="745" t="e">
        <f t="shared" si="18"/>
        <v>#REF!</v>
      </c>
      <c r="CT18" s="754">
        <v>181556.94</v>
      </c>
      <c r="CU18" s="755">
        <f t="shared" si="21"/>
        <v>181556.94</v>
      </c>
      <c r="CV18" s="756">
        <v>181556.94</v>
      </c>
      <c r="CW18" s="757"/>
      <c r="CX18" s="758"/>
      <c r="CY18" s="759"/>
      <c r="CZ18" s="760"/>
      <c r="DA18" s="767"/>
      <c r="DB18" s="768"/>
    </row>
    <row r="19" ht="236" customHeight="1" spans="1:105">
      <c r="A19" s="675">
        <v>342</v>
      </c>
      <c r="B19" s="676" t="s">
        <v>894</v>
      </c>
      <c r="C19" s="677" t="s">
        <v>1545</v>
      </c>
      <c r="D19" s="677" t="s">
        <v>1548</v>
      </c>
      <c r="E19" s="677" t="s">
        <v>165</v>
      </c>
      <c r="F19" s="677" t="s">
        <v>895</v>
      </c>
      <c r="G19" s="677" t="s">
        <v>1547</v>
      </c>
      <c r="H19" s="679"/>
      <c r="I19" s="694" t="s">
        <v>122</v>
      </c>
      <c r="J19" s="686" t="s">
        <v>1549</v>
      </c>
      <c r="K19" s="687">
        <f>'[5] NON-TEACHING STAFF'!$J$23</f>
        <v>22252211997</v>
      </c>
      <c r="L19" s="688">
        <v>2828060</v>
      </c>
      <c r="M19" s="688" t="e">
        <f>S19-#REF!</f>
        <v>#REF!</v>
      </c>
      <c r="N19" s="689"/>
      <c r="O19" s="689">
        <v>555351.17</v>
      </c>
      <c r="P19" s="689"/>
      <c r="Q19" s="689">
        <v>0</v>
      </c>
      <c r="R19" s="689">
        <v>0</v>
      </c>
      <c r="S19" s="689">
        <f t="shared" si="23"/>
        <v>555351.17</v>
      </c>
      <c r="T19" s="689"/>
      <c r="U19" s="689"/>
      <c r="V19" s="689">
        <v>40000</v>
      </c>
      <c r="W19" s="689"/>
      <c r="X19" s="689"/>
      <c r="Y19" s="709"/>
      <c r="Z19" s="709">
        <f>[7]Sheet5!$D$22</f>
        <v>83302.68</v>
      </c>
      <c r="AA19" s="709"/>
      <c r="AB19" s="689">
        <f>'[5] NON-TEACHING STAFF'!$O$19</f>
        <v>62500</v>
      </c>
      <c r="AC19" s="689">
        <v>2500</v>
      </c>
      <c r="AD19" s="689"/>
      <c r="AE19" s="689"/>
      <c r="AF19" s="689"/>
      <c r="AG19" s="689">
        <v>60000</v>
      </c>
      <c r="AH19" s="689">
        <v>52500</v>
      </c>
      <c r="AI19" s="689"/>
      <c r="AJ19" s="689">
        <v>2500</v>
      </c>
      <c r="AK19" s="689"/>
      <c r="AL19" s="689">
        <v>383.33</v>
      </c>
      <c r="AM19" s="689"/>
      <c r="AN19" s="689"/>
      <c r="AO19" s="689"/>
      <c r="AP19" s="689"/>
      <c r="AQ19" s="689"/>
      <c r="AR19" s="689"/>
      <c r="AS19" s="689"/>
      <c r="AT19" s="689"/>
      <c r="AU19" s="689">
        <f t="shared" si="6"/>
        <v>22214.0468</v>
      </c>
      <c r="AV19" s="689"/>
      <c r="AW19" s="689"/>
      <c r="AX19" s="718">
        <f t="shared" si="19"/>
        <v>11107.0234</v>
      </c>
      <c r="AY19" s="718"/>
      <c r="AZ19" s="718"/>
      <c r="BA19" s="689"/>
      <c r="BB19" s="689">
        <f>250000+83333.33</f>
        <v>333333.33</v>
      </c>
      <c r="BC19" s="689"/>
      <c r="BD19" s="719"/>
      <c r="BE19" s="719"/>
      <c r="BF19" s="689"/>
      <c r="BG19" s="689"/>
      <c r="BH19" s="727">
        <v>3000</v>
      </c>
      <c r="BI19" s="689"/>
      <c r="BJ19" s="689"/>
      <c r="BK19" s="689"/>
      <c r="BL19" s="689"/>
      <c r="BM19" s="689"/>
      <c r="BN19" s="689"/>
      <c r="BO19" s="733">
        <v>243024</v>
      </c>
      <c r="BP19" s="733"/>
      <c r="BQ19" s="689"/>
      <c r="BR19" s="731"/>
      <c r="BS19" s="731"/>
      <c r="BT19" s="731"/>
      <c r="BU19" s="731"/>
      <c r="BV19" s="731"/>
      <c r="BW19" s="731"/>
      <c r="BX19" s="731">
        <v>5000</v>
      </c>
      <c r="BY19" s="731"/>
      <c r="BZ19" s="731">
        <v>3500</v>
      </c>
      <c r="CA19" s="718">
        <f t="shared" si="7"/>
        <v>17173.077</v>
      </c>
      <c r="CB19" s="735"/>
      <c r="CC19" s="731">
        <v>143528.205866667</v>
      </c>
      <c r="CD19" s="702">
        <f t="shared" si="8"/>
        <v>858653.85</v>
      </c>
      <c r="CE19" s="731">
        <f t="shared" si="9"/>
        <v>781879.683066667</v>
      </c>
      <c r="CF19" s="739">
        <f t="shared" si="0"/>
        <v>76774.1669333333</v>
      </c>
      <c r="CG19" s="742">
        <f t="shared" si="1"/>
        <v>781879.683066667</v>
      </c>
      <c r="CH19" s="743" t="e">
        <f>'[6]JACKSON AKPOJARO '!C183*12</f>
        <v>#REF!</v>
      </c>
      <c r="CI19" s="744" t="e">
        <f t="shared" si="10"/>
        <v>#REF!</v>
      </c>
      <c r="CJ19" s="745">
        <f t="shared" si="2"/>
        <v>0</v>
      </c>
      <c r="CK19" s="748" t="e">
        <f t="shared" si="11"/>
        <v>#REF!</v>
      </c>
      <c r="CL19" s="749" t="e">
        <f t="shared" si="12"/>
        <v>#REF!</v>
      </c>
      <c r="CM19" s="744"/>
      <c r="CN19" s="745" t="e">
        <f t="shared" si="13"/>
        <v>#REF!</v>
      </c>
      <c r="CO19" s="745" t="e">
        <f t="shared" si="14"/>
        <v>#REF!</v>
      </c>
      <c r="CP19" s="745" t="e">
        <f t="shared" si="15"/>
        <v>#REF!</v>
      </c>
      <c r="CQ19" s="745" t="e">
        <f t="shared" si="16"/>
        <v>#REF!</v>
      </c>
      <c r="CR19" s="745" t="e">
        <f t="shared" si="17"/>
        <v>#REF!</v>
      </c>
      <c r="CS19" s="745" t="e">
        <f t="shared" si="18"/>
        <v>#REF!</v>
      </c>
      <c r="CT19" s="754" t="e">
        <f t="shared" ref="CT19:CT40" si="24">1%*CH19</f>
        <v>#REF!</v>
      </c>
      <c r="CU19" s="755" t="e">
        <f t="shared" si="21"/>
        <v>#REF!</v>
      </c>
      <c r="CV19" s="756">
        <f t="shared" ref="CV19:CV26" si="25">CC19</f>
        <v>143528.205866667</v>
      </c>
      <c r="CW19" s="757"/>
      <c r="CX19" s="758"/>
      <c r="CY19" s="759"/>
      <c r="CZ19" s="760"/>
      <c r="DA19" s="767"/>
    </row>
    <row r="20" ht="236" customHeight="1" spans="1:106">
      <c r="A20" s="673">
        <v>343</v>
      </c>
      <c r="B20" s="676" t="s">
        <v>896</v>
      </c>
      <c r="C20" s="677" t="s">
        <v>1550</v>
      </c>
      <c r="D20" s="677" t="s">
        <v>1551</v>
      </c>
      <c r="E20" s="677" t="s">
        <v>113</v>
      </c>
      <c r="F20" s="677" t="s">
        <v>897</v>
      </c>
      <c r="G20" s="677" t="s">
        <v>1552</v>
      </c>
      <c r="H20" s="679"/>
      <c r="I20" s="681" t="s">
        <v>113</v>
      </c>
      <c r="J20" s="686">
        <v>2196498670</v>
      </c>
      <c r="K20" s="687">
        <f>'[5] NON-TEACHING STAFF'!$J$24</f>
        <v>22173480742</v>
      </c>
      <c r="L20" s="688">
        <v>2828060</v>
      </c>
      <c r="M20" s="688" t="e">
        <f>S20-#REF!</f>
        <v>#REF!</v>
      </c>
      <c r="N20" s="689">
        <v>3523334</v>
      </c>
      <c r="O20" s="689">
        <v>293611.166666667</v>
      </c>
      <c r="P20" s="689"/>
      <c r="Q20" s="689">
        <v>73402.7916666667</v>
      </c>
      <c r="R20" s="689">
        <v>30000</v>
      </c>
      <c r="S20" s="689">
        <v>410097.33</v>
      </c>
      <c r="T20" s="689"/>
      <c r="U20" s="689"/>
      <c r="V20" s="689">
        <v>40000</v>
      </c>
      <c r="W20" s="689"/>
      <c r="X20" s="689"/>
      <c r="Y20" s="689"/>
      <c r="Z20" s="689"/>
      <c r="AA20" s="689">
        <f>S20*0.35/3</f>
        <v>47844.6885</v>
      </c>
      <c r="AB20" s="689">
        <v>25000</v>
      </c>
      <c r="AC20" s="689">
        <v>2500</v>
      </c>
      <c r="AD20" s="689"/>
      <c r="AE20" s="689"/>
      <c r="AF20" s="689"/>
      <c r="AG20" s="689"/>
      <c r="AH20" s="689">
        <v>51750</v>
      </c>
      <c r="AI20" s="689"/>
      <c r="AJ20" s="689">
        <v>2500</v>
      </c>
      <c r="AK20" s="689"/>
      <c r="AL20" s="689">
        <v>383.33</v>
      </c>
      <c r="AM20" s="689"/>
      <c r="AN20" s="689"/>
      <c r="AO20" s="689"/>
      <c r="AP20" s="689"/>
      <c r="AQ20" s="689"/>
      <c r="AR20" s="689"/>
      <c r="AS20" s="689"/>
      <c r="AT20" s="689"/>
      <c r="AU20" s="689">
        <f t="shared" si="6"/>
        <v>16403.8932</v>
      </c>
      <c r="AV20" s="689"/>
      <c r="AW20" s="689"/>
      <c r="AX20" s="718">
        <f t="shared" si="19"/>
        <v>8201.9466</v>
      </c>
      <c r="AY20" s="718"/>
      <c r="AZ20" s="718"/>
      <c r="BA20" s="689"/>
      <c r="BB20" s="689"/>
      <c r="BC20" s="689"/>
      <c r="BD20" s="719"/>
      <c r="BE20" s="719"/>
      <c r="BF20" s="689"/>
      <c r="BG20" s="689"/>
      <c r="BH20" s="727">
        <v>3000</v>
      </c>
      <c r="BI20" s="689"/>
      <c r="BJ20" s="689"/>
      <c r="BK20" s="689"/>
      <c r="BL20" s="689"/>
      <c r="BM20" s="689"/>
      <c r="BN20" s="689"/>
      <c r="BO20" s="689">
        <v>205416.666666667</v>
      </c>
      <c r="BP20" s="689"/>
      <c r="BQ20" s="689"/>
      <c r="BR20" s="731"/>
      <c r="BS20" s="731"/>
      <c r="BT20" s="731"/>
      <c r="BU20" s="731"/>
      <c r="BV20" s="731"/>
      <c r="BW20" s="731"/>
      <c r="BX20" s="731">
        <v>5000</v>
      </c>
      <c r="BY20" s="731"/>
      <c r="BZ20" s="731">
        <v>2500</v>
      </c>
      <c r="CA20" s="718">
        <f t="shared" si="7"/>
        <v>11593.84037</v>
      </c>
      <c r="CB20" s="735"/>
      <c r="CC20" s="731">
        <v>89967.53</v>
      </c>
      <c r="CD20" s="702">
        <f t="shared" si="8"/>
        <v>579692.0185</v>
      </c>
      <c r="CE20" s="731">
        <f t="shared" si="9"/>
        <v>342083.876836667</v>
      </c>
      <c r="CF20" s="739">
        <f t="shared" si="0"/>
        <v>237608.141663333</v>
      </c>
      <c r="CG20" s="742">
        <f t="shared" si="1"/>
        <v>342083.876836667</v>
      </c>
      <c r="CH20" s="743" t="e">
        <f>'[6]JACKSON AKPOJARO '!C184*12</f>
        <v>#REF!</v>
      </c>
      <c r="CI20" s="744" t="e">
        <f t="shared" si="10"/>
        <v>#REF!</v>
      </c>
      <c r="CJ20" s="745">
        <f t="shared" si="2"/>
        <v>0</v>
      </c>
      <c r="CK20" s="748" t="e">
        <f t="shared" si="11"/>
        <v>#REF!</v>
      </c>
      <c r="CL20" s="749" t="e">
        <f t="shared" si="12"/>
        <v>#REF!</v>
      </c>
      <c r="CM20" s="744"/>
      <c r="CN20" s="745" t="e">
        <f t="shared" si="13"/>
        <v>#REF!</v>
      </c>
      <c r="CO20" s="745" t="e">
        <f t="shared" si="14"/>
        <v>#REF!</v>
      </c>
      <c r="CP20" s="745" t="e">
        <f t="shared" si="15"/>
        <v>#REF!</v>
      </c>
      <c r="CQ20" s="745" t="e">
        <f t="shared" si="16"/>
        <v>#REF!</v>
      </c>
      <c r="CR20" s="745" t="e">
        <f t="shared" si="17"/>
        <v>#REF!</v>
      </c>
      <c r="CS20" s="745" t="e">
        <f t="shared" si="18"/>
        <v>#REF!</v>
      </c>
      <c r="CT20" s="754" t="e">
        <f t="shared" si="24"/>
        <v>#REF!</v>
      </c>
      <c r="CU20" s="755" t="e">
        <f t="shared" si="21"/>
        <v>#REF!</v>
      </c>
      <c r="CV20" s="756">
        <f t="shared" si="25"/>
        <v>89967.53</v>
      </c>
      <c r="CW20" s="757"/>
      <c r="CX20" s="758"/>
      <c r="CY20" s="759"/>
      <c r="CZ20" s="760"/>
      <c r="DA20" s="767"/>
      <c r="DB20" s="768"/>
    </row>
    <row r="21" ht="236" customHeight="1" spans="1:105">
      <c r="A21" s="675">
        <v>344</v>
      </c>
      <c r="B21" s="676" t="s">
        <v>898</v>
      </c>
      <c r="C21" s="677" t="s">
        <v>1527</v>
      </c>
      <c r="D21" s="677" t="s">
        <v>1553</v>
      </c>
      <c r="E21" s="677" t="s">
        <v>135</v>
      </c>
      <c r="F21" s="1452" t="s">
        <v>899</v>
      </c>
      <c r="G21" s="677" t="s">
        <v>1554</v>
      </c>
      <c r="H21" s="679"/>
      <c r="I21" s="681" t="s">
        <v>135</v>
      </c>
      <c r="J21" s="686" t="s">
        <v>899</v>
      </c>
      <c r="K21" s="687">
        <f>'[5] NON-TEACHING STAFF'!$J$25</f>
        <v>22300772577</v>
      </c>
      <c r="L21" s="688">
        <v>1762132</v>
      </c>
      <c r="M21" s="688" t="e">
        <f>S21-#REF!</f>
        <v>#REF!</v>
      </c>
      <c r="N21" s="689">
        <v>1857913</v>
      </c>
      <c r="O21" s="689">
        <v>154826.083333333</v>
      </c>
      <c r="P21" s="689"/>
      <c r="Q21" s="689">
        <v>38706.5208333333</v>
      </c>
      <c r="R21" s="689">
        <v>30000</v>
      </c>
      <c r="S21" s="689">
        <v>229231.25</v>
      </c>
      <c r="T21" s="689"/>
      <c r="U21" s="689"/>
      <c r="V21" s="689"/>
      <c r="W21" s="689"/>
      <c r="X21" s="689"/>
      <c r="Y21" s="689"/>
      <c r="Z21" s="689"/>
      <c r="AA21" s="689"/>
      <c r="AB21" s="689"/>
      <c r="AC21" s="689">
        <v>2500</v>
      </c>
      <c r="AD21" s="689"/>
      <c r="AE21" s="689"/>
      <c r="AF21" s="689"/>
      <c r="AG21" s="689"/>
      <c r="AH21" s="689"/>
      <c r="AI21" s="689"/>
      <c r="AJ21" s="689">
        <v>2500</v>
      </c>
      <c r="AK21" s="689"/>
      <c r="AL21" s="689">
        <v>383.33</v>
      </c>
      <c r="AM21" s="689"/>
      <c r="AN21" s="689"/>
      <c r="AO21" s="689"/>
      <c r="AP21" s="689"/>
      <c r="AQ21" s="689"/>
      <c r="AR21" s="689"/>
      <c r="AS21" s="689"/>
      <c r="AT21" s="689"/>
      <c r="AU21" s="689">
        <f t="shared" si="6"/>
        <v>9169.25</v>
      </c>
      <c r="AV21" s="689"/>
      <c r="AW21" s="689">
        <v>1500</v>
      </c>
      <c r="AX21" s="718">
        <f t="shared" si="19"/>
        <v>4584.625</v>
      </c>
      <c r="AY21" s="718"/>
      <c r="AZ21" s="718"/>
      <c r="BA21" s="689"/>
      <c r="BB21" s="689"/>
      <c r="BC21" s="689"/>
      <c r="BD21" s="719"/>
      <c r="BE21" s="719"/>
      <c r="BF21" s="689"/>
      <c r="BG21" s="689"/>
      <c r="BH21" s="727"/>
      <c r="BI21" s="689"/>
      <c r="BJ21" s="689"/>
      <c r="BK21" s="689"/>
      <c r="BL21" s="689"/>
      <c r="BM21" s="689"/>
      <c r="BN21" s="689"/>
      <c r="BO21" s="689">
        <v>22666.67</v>
      </c>
      <c r="BP21" s="689"/>
      <c r="BQ21" s="689"/>
      <c r="BR21" s="731"/>
      <c r="BS21" s="731"/>
      <c r="BT21" s="731"/>
      <c r="BU21" s="731"/>
      <c r="BV21" s="731"/>
      <c r="BW21" s="731"/>
      <c r="BX21" s="731"/>
      <c r="BY21" s="731"/>
      <c r="BZ21" s="731">
        <v>1000</v>
      </c>
      <c r="CA21" s="718">
        <f t="shared" si="7"/>
        <v>4684.625</v>
      </c>
      <c r="CB21" s="735"/>
      <c r="CC21" s="747">
        <v>25517.52</v>
      </c>
      <c r="CD21" s="702">
        <f t="shared" si="8"/>
        <v>234231.25</v>
      </c>
      <c r="CE21" s="731">
        <f t="shared" si="9"/>
        <v>69122.69</v>
      </c>
      <c r="CF21" s="739">
        <f t="shared" si="0"/>
        <v>165108.56</v>
      </c>
      <c r="CG21" s="742">
        <f t="shared" si="1"/>
        <v>69122.69</v>
      </c>
      <c r="CH21" s="743" t="e">
        <f>'[6]JACKSON AKPOJARO '!C185*12</f>
        <v>#REF!</v>
      </c>
      <c r="CI21" s="744" t="e">
        <f t="shared" si="10"/>
        <v>#REF!</v>
      </c>
      <c r="CJ21" s="745">
        <f t="shared" si="2"/>
        <v>0</v>
      </c>
      <c r="CK21" s="748" t="e">
        <f t="shared" si="11"/>
        <v>#REF!</v>
      </c>
      <c r="CL21" s="749" t="e">
        <f t="shared" si="12"/>
        <v>#REF!</v>
      </c>
      <c r="CM21" s="744"/>
      <c r="CN21" s="745" t="e">
        <f t="shared" si="13"/>
        <v>#REF!</v>
      </c>
      <c r="CO21" s="745" t="e">
        <f t="shared" si="14"/>
        <v>#REF!</v>
      </c>
      <c r="CP21" s="745" t="e">
        <f t="shared" si="15"/>
        <v>#REF!</v>
      </c>
      <c r="CQ21" s="745" t="e">
        <f t="shared" si="16"/>
        <v>#REF!</v>
      </c>
      <c r="CR21" s="745" t="e">
        <f t="shared" si="17"/>
        <v>#REF!</v>
      </c>
      <c r="CS21" s="745" t="e">
        <f t="shared" si="18"/>
        <v>#REF!</v>
      </c>
      <c r="CT21" s="754" t="e">
        <f t="shared" si="24"/>
        <v>#REF!</v>
      </c>
      <c r="CU21" s="755" t="e">
        <f t="shared" si="21"/>
        <v>#REF!</v>
      </c>
      <c r="CV21" s="756">
        <f t="shared" si="25"/>
        <v>25517.52</v>
      </c>
      <c r="CW21" s="757"/>
      <c r="CX21" s="758"/>
      <c r="CY21" s="759"/>
      <c r="CZ21" s="760"/>
      <c r="DA21" s="767"/>
    </row>
    <row r="22" ht="236" customHeight="1" spans="1:105">
      <c r="A22" s="673">
        <v>345</v>
      </c>
      <c r="B22" s="676" t="s">
        <v>900</v>
      </c>
      <c r="C22" s="677" t="s">
        <v>1533</v>
      </c>
      <c r="D22" s="677" t="s">
        <v>1555</v>
      </c>
      <c r="E22" s="677" t="s">
        <v>93</v>
      </c>
      <c r="F22" s="677">
        <v>3080189126</v>
      </c>
      <c r="G22" s="677" t="s">
        <v>1556</v>
      </c>
      <c r="H22" s="679"/>
      <c r="I22" s="681" t="s">
        <v>93</v>
      </c>
      <c r="J22" s="686">
        <v>3080189126</v>
      </c>
      <c r="K22" s="687"/>
      <c r="L22" s="688">
        <v>1343017</v>
      </c>
      <c r="M22" s="688" t="e">
        <f>S22-#REF!</f>
        <v>#REF!</v>
      </c>
      <c r="N22" s="689">
        <v>1343017</v>
      </c>
      <c r="O22" s="689">
        <v>111918.083333333</v>
      </c>
      <c r="P22" s="689"/>
      <c r="Q22" s="689">
        <v>27979.5208333333</v>
      </c>
      <c r="R22" s="689">
        <v>30000</v>
      </c>
      <c r="S22" s="689">
        <v>182087.33</v>
      </c>
      <c r="T22" s="689"/>
      <c r="U22" s="689"/>
      <c r="V22" s="689"/>
      <c r="W22" s="689"/>
      <c r="X22" s="689"/>
      <c r="Y22" s="689"/>
      <c r="Z22" s="689"/>
      <c r="AA22" s="689"/>
      <c r="AB22" s="689"/>
      <c r="AC22" s="689">
        <v>2500</v>
      </c>
      <c r="AD22" s="689"/>
      <c r="AE22" s="689"/>
      <c r="AF22" s="689"/>
      <c r="AG22" s="689"/>
      <c r="AH22" s="689"/>
      <c r="AI22" s="689"/>
      <c r="AJ22" s="689">
        <v>2500</v>
      </c>
      <c r="AK22" s="689"/>
      <c r="AL22" s="689">
        <v>383.33</v>
      </c>
      <c r="AM22" s="689"/>
      <c r="AN22" s="689"/>
      <c r="AO22" s="689"/>
      <c r="AP22" s="689"/>
      <c r="AQ22" s="689"/>
      <c r="AR22" s="689"/>
      <c r="AS22" s="689"/>
      <c r="AT22" s="689"/>
      <c r="AU22" s="689">
        <f t="shared" si="6"/>
        <v>7283.4932</v>
      </c>
      <c r="AV22" s="689"/>
      <c r="AW22" s="689"/>
      <c r="AX22" s="718">
        <f t="shared" si="19"/>
        <v>3641.7466</v>
      </c>
      <c r="AY22" s="718"/>
      <c r="AZ22" s="718"/>
      <c r="BA22" s="689"/>
      <c r="BB22" s="689"/>
      <c r="BC22" s="689"/>
      <c r="BD22" s="719"/>
      <c r="BE22" s="719"/>
      <c r="BF22" s="689"/>
      <c r="BG22" s="689"/>
      <c r="BH22" s="727"/>
      <c r="BI22" s="689"/>
      <c r="BJ22" s="689"/>
      <c r="BK22" s="689"/>
      <c r="BL22" s="689">
        <v>7500</v>
      </c>
      <c r="BM22" s="689"/>
      <c r="BN22" s="689"/>
      <c r="BO22" s="689">
        <v>0</v>
      </c>
      <c r="BP22" s="689"/>
      <c r="BQ22" s="689"/>
      <c r="BR22" s="731"/>
      <c r="BS22" s="731"/>
      <c r="BT22" s="731"/>
      <c r="BU22" s="731"/>
      <c r="BV22" s="731"/>
      <c r="BW22" s="731"/>
      <c r="BX22" s="731"/>
      <c r="BY22" s="731"/>
      <c r="BZ22" s="731">
        <v>1000</v>
      </c>
      <c r="CA22" s="718">
        <f t="shared" si="7"/>
        <v>3741.7466</v>
      </c>
      <c r="CB22" s="735"/>
      <c r="CC22" s="731">
        <v>18603.94</v>
      </c>
      <c r="CD22" s="702">
        <f t="shared" si="8"/>
        <v>187087.33</v>
      </c>
      <c r="CE22" s="731">
        <f t="shared" si="9"/>
        <v>41770.9264</v>
      </c>
      <c r="CF22" s="739">
        <f t="shared" si="0"/>
        <v>145316.4036</v>
      </c>
      <c r="CG22" s="742">
        <f t="shared" si="1"/>
        <v>41770.9264</v>
      </c>
      <c r="CH22" s="743" t="e">
        <f>'[6]JACKSON AKPOJARO '!C186*12</f>
        <v>#REF!</v>
      </c>
      <c r="CI22" s="744" t="e">
        <f t="shared" si="10"/>
        <v>#REF!</v>
      </c>
      <c r="CJ22" s="745">
        <f t="shared" si="2"/>
        <v>0</v>
      </c>
      <c r="CK22" s="748" t="e">
        <f t="shared" si="11"/>
        <v>#REF!</v>
      </c>
      <c r="CL22" s="749" t="e">
        <f t="shared" si="12"/>
        <v>#REF!</v>
      </c>
      <c r="CM22" s="744"/>
      <c r="CN22" s="745" t="e">
        <f t="shared" si="13"/>
        <v>#REF!</v>
      </c>
      <c r="CO22" s="745" t="e">
        <f t="shared" si="14"/>
        <v>#REF!</v>
      </c>
      <c r="CP22" s="745" t="e">
        <f t="shared" si="15"/>
        <v>#REF!</v>
      </c>
      <c r="CQ22" s="745" t="e">
        <f t="shared" si="16"/>
        <v>#REF!</v>
      </c>
      <c r="CR22" s="745" t="e">
        <f t="shared" si="17"/>
        <v>#REF!</v>
      </c>
      <c r="CS22" s="745" t="e">
        <f t="shared" si="18"/>
        <v>#REF!</v>
      </c>
      <c r="CT22" s="754" t="e">
        <f t="shared" si="24"/>
        <v>#REF!</v>
      </c>
      <c r="CU22" s="755" t="e">
        <f t="shared" si="21"/>
        <v>#REF!</v>
      </c>
      <c r="CV22" s="756">
        <f t="shared" si="25"/>
        <v>18603.94</v>
      </c>
      <c r="CW22" s="757"/>
      <c r="CX22" s="758"/>
      <c r="CY22" s="759"/>
      <c r="CZ22" s="760"/>
      <c r="DA22" s="767"/>
    </row>
    <row r="23" ht="236" customHeight="1" spans="1:105">
      <c r="A23" s="675">
        <v>346</v>
      </c>
      <c r="B23" s="676" t="s">
        <v>901</v>
      </c>
      <c r="C23" s="677" t="s">
        <v>1533</v>
      </c>
      <c r="D23" s="677" t="s">
        <v>1557</v>
      </c>
      <c r="E23" s="677" t="s">
        <v>873</v>
      </c>
      <c r="F23" s="677" t="s">
        <v>902</v>
      </c>
      <c r="G23" s="677" t="s">
        <v>1558</v>
      </c>
      <c r="H23" s="679"/>
      <c r="I23" s="681" t="s">
        <v>127</v>
      </c>
      <c r="J23" s="686" t="s">
        <v>902</v>
      </c>
      <c r="K23" s="687" t="str">
        <f>'[5] NON-TEACHING STAFF'!$J$27</f>
        <v>22278531941</v>
      </c>
      <c r="L23" s="688">
        <v>2064227</v>
      </c>
      <c r="M23" s="688" t="e">
        <f>S23-#REF!</f>
        <v>#REF!</v>
      </c>
      <c r="N23" s="689">
        <v>2064227</v>
      </c>
      <c r="O23" s="689">
        <v>173061.92</v>
      </c>
      <c r="P23" s="689"/>
      <c r="Q23" s="689">
        <v>43265.48</v>
      </c>
      <c r="R23" s="689">
        <v>30000</v>
      </c>
      <c r="S23" s="689">
        <v>257724.67</v>
      </c>
      <c r="T23" s="689"/>
      <c r="U23" s="689"/>
      <c r="V23" s="689"/>
      <c r="W23" s="689"/>
      <c r="X23" s="689"/>
      <c r="Y23" s="689"/>
      <c r="Z23" s="689"/>
      <c r="AA23" s="689"/>
      <c r="AB23" s="689">
        <v>25000</v>
      </c>
      <c r="AC23" s="689">
        <v>2500</v>
      </c>
      <c r="AD23" s="689"/>
      <c r="AE23" s="689"/>
      <c r="AF23" s="689"/>
      <c r="AG23" s="689"/>
      <c r="AH23" s="689"/>
      <c r="AI23" s="689"/>
      <c r="AJ23" s="689">
        <v>2500</v>
      </c>
      <c r="AK23" s="689"/>
      <c r="AL23" s="689">
        <v>383.33</v>
      </c>
      <c r="AM23" s="689"/>
      <c r="AN23" s="689"/>
      <c r="AO23" s="689"/>
      <c r="AP23" s="689"/>
      <c r="AQ23" s="689"/>
      <c r="AR23" s="689"/>
      <c r="AS23" s="689"/>
      <c r="AT23" s="689"/>
      <c r="AU23" s="689">
        <f t="shared" si="6"/>
        <v>10308.9868</v>
      </c>
      <c r="AV23" s="689"/>
      <c r="AW23" s="689">
        <v>1500</v>
      </c>
      <c r="AX23" s="718">
        <f t="shared" si="19"/>
        <v>5154.4934</v>
      </c>
      <c r="AY23" s="718"/>
      <c r="AZ23" s="718"/>
      <c r="BA23" s="689"/>
      <c r="BB23" s="689"/>
      <c r="BC23" s="689"/>
      <c r="BD23" s="719"/>
      <c r="BE23" s="719"/>
      <c r="BF23" s="689"/>
      <c r="BG23" s="689"/>
      <c r="BH23" s="727"/>
      <c r="BI23" s="689"/>
      <c r="BJ23" s="689"/>
      <c r="BK23" s="689"/>
      <c r="BL23" s="689"/>
      <c r="BM23" s="689"/>
      <c r="BN23" s="689"/>
      <c r="BO23" s="689">
        <v>10000</v>
      </c>
      <c r="BP23" s="689"/>
      <c r="BQ23" s="689"/>
      <c r="BR23" s="731"/>
      <c r="BS23" s="731"/>
      <c r="BT23" s="731"/>
      <c r="BU23" s="731"/>
      <c r="BV23" s="731"/>
      <c r="BW23" s="731"/>
      <c r="BX23" s="731"/>
      <c r="BY23" s="731"/>
      <c r="BZ23" s="731">
        <v>1000</v>
      </c>
      <c r="CA23" s="718">
        <f t="shared" si="7"/>
        <v>5754.4934</v>
      </c>
      <c r="CB23" s="735"/>
      <c r="CC23" s="731">
        <v>35504.41</v>
      </c>
      <c r="CD23" s="702">
        <f t="shared" si="8"/>
        <v>287724.67</v>
      </c>
      <c r="CE23" s="731">
        <f t="shared" si="9"/>
        <v>69222.3836</v>
      </c>
      <c r="CF23" s="739">
        <f t="shared" si="0"/>
        <v>218502.2864</v>
      </c>
      <c r="CG23" s="742">
        <f t="shared" si="1"/>
        <v>69222.3836</v>
      </c>
      <c r="CH23" s="743" t="e">
        <f>'[6]JACKSON AKPOJARO '!C186*12</f>
        <v>#REF!</v>
      </c>
      <c r="CI23" s="744" t="e">
        <f t="shared" si="10"/>
        <v>#REF!</v>
      </c>
      <c r="CJ23" s="745">
        <f t="shared" si="2"/>
        <v>0</v>
      </c>
      <c r="CK23" s="748" t="e">
        <f t="shared" si="11"/>
        <v>#REF!</v>
      </c>
      <c r="CL23" s="749" t="e">
        <f t="shared" si="12"/>
        <v>#REF!</v>
      </c>
      <c r="CM23" s="744"/>
      <c r="CN23" s="745" t="e">
        <f t="shared" si="13"/>
        <v>#REF!</v>
      </c>
      <c r="CO23" s="745" t="e">
        <f t="shared" si="14"/>
        <v>#REF!</v>
      </c>
      <c r="CP23" s="745" t="e">
        <f t="shared" si="15"/>
        <v>#REF!</v>
      </c>
      <c r="CQ23" s="745" t="e">
        <f t="shared" si="16"/>
        <v>#REF!</v>
      </c>
      <c r="CR23" s="745" t="e">
        <f t="shared" si="17"/>
        <v>#REF!</v>
      </c>
      <c r="CS23" s="745" t="e">
        <f t="shared" si="18"/>
        <v>#REF!</v>
      </c>
      <c r="CT23" s="754" t="e">
        <f t="shared" si="24"/>
        <v>#REF!</v>
      </c>
      <c r="CU23" s="755" t="e">
        <f t="shared" si="21"/>
        <v>#REF!</v>
      </c>
      <c r="CV23" s="756">
        <f t="shared" si="25"/>
        <v>35504.41</v>
      </c>
      <c r="CW23" s="757"/>
      <c r="CX23" s="758"/>
      <c r="CY23" s="759"/>
      <c r="CZ23" s="760"/>
      <c r="DA23" s="767"/>
    </row>
    <row r="24" ht="236" customHeight="1" spans="1:105">
      <c r="A24" s="673">
        <v>347</v>
      </c>
      <c r="B24" s="676" t="s">
        <v>903</v>
      </c>
      <c r="C24" s="677" t="s">
        <v>1527</v>
      </c>
      <c r="D24" s="677" t="s">
        <v>1535</v>
      </c>
      <c r="E24" s="677" t="s">
        <v>135</v>
      </c>
      <c r="F24" s="1452" t="s">
        <v>904</v>
      </c>
      <c r="G24" s="677" t="s">
        <v>1559</v>
      </c>
      <c r="H24" s="679"/>
      <c r="I24" s="681" t="s">
        <v>135</v>
      </c>
      <c r="J24" s="686" t="s">
        <v>904</v>
      </c>
      <c r="K24" s="687" t="str">
        <f>'[5] NON-TEACHING STAFF'!$J$29</f>
        <v>22212807961</v>
      </c>
      <c r="L24" s="688">
        <v>2350280</v>
      </c>
      <c r="M24" s="688" t="e">
        <f>S24-#REF!</f>
        <v>#REF!</v>
      </c>
      <c r="N24" s="689">
        <v>2477732</v>
      </c>
      <c r="O24" s="689">
        <v>206477.666666667</v>
      </c>
      <c r="P24" s="689"/>
      <c r="Q24" s="689">
        <v>51619.4166666667</v>
      </c>
      <c r="R24" s="689">
        <v>30000</v>
      </c>
      <c r="S24" s="689">
        <v>297220.17</v>
      </c>
      <c r="T24" s="689"/>
      <c r="U24" s="689"/>
      <c r="V24" s="689"/>
      <c r="W24" s="689"/>
      <c r="X24" s="689"/>
      <c r="Y24" s="689"/>
      <c r="Z24" s="689"/>
      <c r="AA24" s="689"/>
      <c r="AB24" s="689">
        <v>25000</v>
      </c>
      <c r="AC24" s="689">
        <v>2500</v>
      </c>
      <c r="AD24" s="689"/>
      <c r="AE24" s="689"/>
      <c r="AF24" s="689"/>
      <c r="AG24" s="689"/>
      <c r="AH24" s="689">
        <v>46000</v>
      </c>
      <c r="AI24" s="689"/>
      <c r="AJ24" s="689">
        <v>2500</v>
      </c>
      <c r="AK24" s="689"/>
      <c r="AL24" s="689">
        <v>383.33</v>
      </c>
      <c r="AM24" s="689"/>
      <c r="AN24" s="689"/>
      <c r="AO24" s="689"/>
      <c r="AP24" s="689"/>
      <c r="AQ24" s="689"/>
      <c r="AR24" s="689"/>
      <c r="AS24" s="689"/>
      <c r="AT24" s="689"/>
      <c r="AU24" s="689">
        <f t="shared" si="6"/>
        <v>11888.8068</v>
      </c>
      <c r="AV24" s="689"/>
      <c r="AW24" s="689">
        <v>2000</v>
      </c>
      <c r="AX24" s="718">
        <f t="shared" si="19"/>
        <v>5944.4034</v>
      </c>
      <c r="AY24" s="718"/>
      <c r="AZ24" s="718"/>
      <c r="BA24" s="689"/>
      <c r="BB24" s="689"/>
      <c r="BC24" s="689"/>
      <c r="BD24" s="719"/>
      <c r="BE24" s="719"/>
      <c r="BF24" s="689"/>
      <c r="BG24" s="689"/>
      <c r="BH24" s="727"/>
      <c r="BI24" s="689"/>
      <c r="BJ24" s="689"/>
      <c r="BK24" s="689"/>
      <c r="BL24" s="689"/>
      <c r="BM24" s="689"/>
      <c r="BN24" s="689"/>
      <c r="BO24" s="689">
        <v>66666.6666666667</v>
      </c>
      <c r="BP24" s="689"/>
      <c r="BQ24" s="689"/>
      <c r="BR24" s="731"/>
      <c r="BS24" s="731"/>
      <c r="BT24" s="731"/>
      <c r="BU24" s="731"/>
      <c r="BV24" s="731"/>
      <c r="BW24" s="731"/>
      <c r="BX24" s="731"/>
      <c r="BY24" s="731"/>
      <c r="BZ24" s="731">
        <v>2000</v>
      </c>
      <c r="CA24" s="718">
        <f t="shared" si="7"/>
        <v>7464.4034</v>
      </c>
      <c r="CB24" s="735"/>
      <c r="CC24" s="731">
        <v>50324.94</v>
      </c>
      <c r="CD24" s="702">
        <f t="shared" si="8"/>
        <v>373220.17</v>
      </c>
      <c r="CE24" s="731">
        <f t="shared" si="9"/>
        <v>146289.220266667</v>
      </c>
      <c r="CF24" s="739">
        <f t="shared" si="0"/>
        <v>226930.949733333</v>
      </c>
      <c r="CG24" s="742">
        <f t="shared" si="1"/>
        <v>146289.220266667</v>
      </c>
      <c r="CH24" s="743" t="e">
        <f>'[6]JACKSON AKPOJARO '!C187*12</f>
        <v>#REF!</v>
      </c>
      <c r="CI24" s="744" t="e">
        <f t="shared" si="10"/>
        <v>#REF!</v>
      </c>
      <c r="CJ24" s="745">
        <f t="shared" si="2"/>
        <v>0</v>
      </c>
      <c r="CK24" s="748" t="e">
        <f t="shared" si="11"/>
        <v>#REF!</v>
      </c>
      <c r="CL24" s="749" t="e">
        <f t="shared" si="12"/>
        <v>#REF!</v>
      </c>
      <c r="CM24" s="744"/>
      <c r="CN24" s="745" t="e">
        <f t="shared" si="13"/>
        <v>#REF!</v>
      </c>
      <c r="CO24" s="745" t="e">
        <f t="shared" si="14"/>
        <v>#REF!</v>
      </c>
      <c r="CP24" s="745" t="e">
        <f t="shared" si="15"/>
        <v>#REF!</v>
      </c>
      <c r="CQ24" s="745" t="e">
        <f t="shared" si="16"/>
        <v>#REF!</v>
      </c>
      <c r="CR24" s="745" t="e">
        <f t="shared" si="17"/>
        <v>#REF!</v>
      </c>
      <c r="CS24" s="745" t="e">
        <f t="shared" si="18"/>
        <v>#REF!</v>
      </c>
      <c r="CT24" s="754" t="e">
        <f t="shared" si="24"/>
        <v>#REF!</v>
      </c>
      <c r="CU24" s="755" t="e">
        <f t="shared" si="21"/>
        <v>#REF!</v>
      </c>
      <c r="CV24" s="756">
        <f t="shared" si="25"/>
        <v>50324.94</v>
      </c>
      <c r="CW24" s="757"/>
      <c r="CX24" s="758"/>
      <c r="CY24" s="759"/>
      <c r="CZ24" s="760"/>
      <c r="DA24" s="767"/>
    </row>
    <row r="25" ht="236" customHeight="1" spans="1:105">
      <c r="A25" s="675">
        <v>348</v>
      </c>
      <c r="B25" s="676" t="s">
        <v>905</v>
      </c>
      <c r="C25" s="677" t="s">
        <v>1527</v>
      </c>
      <c r="D25" s="677" t="s">
        <v>1528</v>
      </c>
      <c r="E25" s="677" t="s">
        <v>135</v>
      </c>
      <c r="F25" s="1452" t="s">
        <v>906</v>
      </c>
      <c r="G25" s="677" t="s">
        <v>1560</v>
      </c>
      <c r="H25" s="679"/>
      <c r="I25" s="681" t="s">
        <v>135</v>
      </c>
      <c r="J25" s="686" t="s">
        <v>906</v>
      </c>
      <c r="K25" s="696"/>
      <c r="L25" s="688">
        <v>3774536</v>
      </c>
      <c r="M25" s="688" t="e">
        <f>S25-#REF!</f>
        <v>#REF!</v>
      </c>
      <c r="N25" s="689">
        <v>3648934</v>
      </c>
      <c r="O25" s="689">
        <v>304077.833333333</v>
      </c>
      <c r="P25" s="689"/>
      <c r="Q25" s="689">
        <v>76019.4583333333</v>
      </c>
      <c r="R25" s="689">
        <v>30000</v>
      </c>
      <c r="S25" s="689">
        <v>423180.92</v>
      </c>
      <c r="T25" s="691"/>
      <c r="U25" s="691"/>
      <c r="V25" s="691"/>
      <c r="W25" s="691"/>
      <c r="X25" s="691"/>
      <c r="Y25" s="691"/>
      <c r="Z25" s="691"/>
      <c r="AA25" s="691">
        <f>S25*0.35/3</f>
        <v>49371.1073333333</v>
      </c>
      <c r="AB25" s="689">
        <v>25000</v>
      </c>
      <c r="AC25" s="689">
        <v>2500</v>
      </c>
      <c r="AD25" s="691"/>
      <c r="AE25" s="691"/>
      <c r="AF25" s="691"/>
      <c r="AG25" s="691"/>
      <c r="AH25" s="691"/>
      <c r="AI25" s="691"/>
      <c r="AJ25" s="691">
        <v>2500</v>
      </c>
      <c r="AK25" s="691"/>
      <c r="AL25" s="691">
        <v>383.33</v>
      </c>
      <c r="AM25" s="691"/>
      <c r="AN25" s="691"/>
      <c r="AO25" s="691"/>
      <c r="AP25" s="691"/>
      <c r="AQ25" s="691"/>
      <c r="AR25" s="691"/>
      <c r="AS25" s="691"/>
      <c r="AT25" s="691"/>
      <c r="AU25" s="689">
        <f t="shared" si="6"/>
        <v>16927.2368</v>
      </c>
      <c r="AV25" s="689"/>
      <c r="AW25" s="689">
        <v>2500</v>
      </c>
      <c r="AX25" s="718">
        <f t="shared" si="19"/>
        <v>8463.6184</v>
      </c>
      <c r="AY25" s="718"/>
      <c r="AZ25" s="718"/>
      <c r="BA25" s="691"/>
      <c r="BB25" s="691">
        <v>100000</v>
      </c>
      <c r="BC25" s="691"/>
      <c r="BD25" s="720"/>
      <c r="BE25" s="719"/>
      <c r="BF25" s="691"/>
      <c r="BG25" s="691"/>
      <c r="BH25" s="729"/>
      <c r="BI25" s="691"/>
      <c r="BJ25" s="691"/>
      <c r="BK25" s="691"/>
      <c r="BL25" s="691">
        <v>15000</v>
      </c>
      <c r="BM25" s="691"/>
      <c r="BN25" s="691"/>
      <c r="BO25" s="689">
        <v>160277.333333333</v>
      </c>
      <c r="BP25" s="689"/>
      <c r="BQ25" s="691"/>
      <c r="BR25" s="732"/>
      <c r="BS25" s="732"/>
      <c r="BT25" s="732"/>
      <c r="BU25" s="732"/>
      <c r="BV25" s="732"/>
      <c r="BW25" s="732"/>
      <c r="BX25" s="732"/>
      <c r="BY25" s="732"/>
      <c r="BZ25" s="731">
        <v>2500</v>
      </c>
      <c r="CA25" s="718">
        <f t="shared" si="7"/>
        <v>10051.0405466667</v>
      </c>
      <c r="CB25" s="736"/>
      <c r="CC25" s="731">
        <v>75156.66</v>
      </c>
      <c r="CD25" s="702">
        <f t="shared" si="8"/>
        <v>502552.027333333</v>
      </c>
      <c r="CE25" s="731">
        <f t="shared" si="9"/>
        <v>390875.88908</v>
      </c>
      <c r="CF25" s="739">
        <f t="shared" ref="CF25:CF69" si="26">CD25-CE25</f>
        <v>111676.138253333</v>
      </c>
      <c r="CG25" s="742">
        <f t="shared" si="1"/>
        <v>390875.88908</v>
      </c>
      <c r="CH25" s="743" t="e">
        <f>'[6]JACKSON AKPOJARO '!C189*12</f>
        <v>#REF!</v>
      </c>
      <c r="CI25" s="744" t="e">
        <f t="shared" si="10"/>
        <v>#REF!</v>
      </c>
      <c r="CJ25" s="745">
        <f t="shared" si="2"/>
        <v>0</v>
      </c>
      <c r="CK25" s="748" t="e">
        <f t="shared" si="11"/>
        <v>#REF!</v>
      </c>
      <c r="CL25" s="749" t="e">
        <f t="shared" si="12"/>
        <v>#REF!</v>
      </c>
      <c r="CM25" s="744"/>
      <c r="CN25" s="745" t="e">
        <f t="shared" si="13"/>
        <v>#REF!</v>
      </c>
      <c r="CO25" s="745" t="e">
        <f t="shared" si="14"/>
        <v>#REF!</v>
      </c>
      <c r="CP25" s="745" t="e">
        <f t="shared" si="15"/>
        <v>#REF!</v>
      </c>
      <c r="CQ25" s="745" t="e">
        <f t="shared" si="16"/>
        <v>#REF!</v>
      </c>
      <c r="CR25" s="745" t="e">
        <f t="shared" si="17"/>
        <v>#REF!</v>
      </c>
      <c r="CS25" s="745" t="e">
        <f t="shared" si="18"/>
        <v>#REF!</v>
      </c>
      <c r="CT25" s="754" t="e">
        <f t="shared" si="24"/>
        <v>#REF!</v>
      </c>
      <c r="CU25" s="755" t="e">
        <f t="shared" si="21"/>
        <v>#REF!</v>
      </c>
      <c r="CV25" s="756">
        <f t="shared" si="25"/>
        <v>75156.66</v>
      </c>
      <c r="CW25" s="756"/>
      <c r="CX25" s="761"/>
      <c r="CY25" s="754"/>
      <c r="CZ25" s="762"/>
      <c r="DA25" s="769"/>
    </row>
    <row r="26" ht="236" customHeight="1" spans="1:106">
      <c r="A26" s="673">
        <v>349</v>
      </c>
      <c r="B26" s="676" t="s">
        <v>907</v>
      </c>
      <c r="C26" s="677" t="s">
        <v>1527</v>
      </c>
      <c r="D26" s="677" t="s">
        <v>1535</v>
      </c>
      <c r="E26" s="677" t="s">
        <v>93</v>
      </c>
      <c r="F26" s="677">
        <v>3061017477</v>
      </c>
      <c r="G26" s="677" t="s">
        <v>1536</v>
      </c>
      <c r="H26" s="679"/>
      <c r="I26" s="681" t="s">
        <v>93</v>
      </c>
      <c r="J26" s="686">
        <v>3061017477</v>
      </c>
      <c r="K26" s="687">
        <v>22261410235</v>
      </c>
      <c r="L26" s="688">
        <v>2022036</v>
      </c>
      <c r="M26" s="688" t="e">
        <f>S26-#REF!</f>
        <v>#REF!</v>
      </c>
      <c r="N26" s="689">
        <v>2214985</v>
      </c>
      <c r="O26" s="689">
        <v>184582.083333333</v>
      </c>
      <c r="P26" s="689"/>
      <c r="Q26" s="689">
        <v>46145.5208333333</v>
      </c>
      <c r="R26" s="689">
        <v>30000</v>
      </c>
      <c r="S26" s="689">
        <v>269850.67</v>
      </c>
      <c r="T26" s="689"/>
      <c r="U26" s="689"/>
      <c r="V26" s="689"/>
      <c r="W26" s="689"/>
      <c r="X26" s="689"/>
      <c r="Y26" s="689"/>
      <c r="Z26" s="689"/>
      <c r="AA26" s="689"/>
      <c r="AB26" s="689">
        <v>25000</v>
      </c>
      <c r="AC26" s="689">
        <v>2500</v>
      </c>
      <c r="AD26" s="689"/>
      <c r="AE26" s="689"/>
      <c r="AF26" s="689"/>
      <c r="AG26" s="689"/>
      <c r="AH26" s="689"/>
      <c r="AI26" s="689"/>
      <c r="AJ26" s="689">
        <v>2500</v>
      </c>
      <c r="AK26" s="689"/>
      <c r="AL26" s="689">
        <v>383.33</v>
      </c>
      <c r="AM26" s="689"/>
      <c r="AN26" s="689"/>
      <c r="AO26" s="689"/>
      <c r="AP26" s="689"/>
      <c r="AQ26" s="689"/>
      <c r="AR26" s="689"/>
      <c r="AS26" s="689"/>
      <c r="AT26" s="689"/>
      <c r="AU26" s="689">
        <f t="shared" si="6"/>
        <v>10794.0268</v>
      </c>
      <c r="AV26" s="689"/>
      <c r="AW26" s="689">
        <v>2000</v>
      </c>
      <c r="AX26" s="718">
        <f t="shared" si="19"/>
        <v>5397.0134</v>
      </c>
      <c r="AY26" s="718"/>
      <c r="AZ26" s="718"/>
      <c r="BA26" s="689"/>
      <c r="BB26" s="689"/>
      <c r="BC26" s="689"/>
      <c r="BD26" s="719"/>
      <c r="BE26" s="719"/>
      <c r="BF26" s="689"/>
      <c r="BG26" s="689"/>
      <c r="BH26" s="727"/>
      <c r="BI26" s="689"/>
      <c r="BJ26" s="689"/>
      <c r="BK26" s="689"/>
      <c r="BL26" s="689"/>
      <c r="BM26" s="689"/>
      <c r="BN26" s="689"/>
      <c r="BO26" s="689">
        <v>0</v>
      </c>
      <c r="BP26" s="689"/>
      <c r="BQ26" s="689"/>
      <c r="BR26" s="731"/>
      <c r="BS26" s="731"/>
      <c r="BT26" s="731"/>
      <c r="BU26" s="731"/>
      <c r="BV26" s="731"/>
      <c r="BW26" s="731"/>
      <c r="BX26" s="731"/>
      <c r="BY26" s="731">
        <v>2000</v>
      </c>
      <c r="BZ26" s="731">
        <v>2000</v>
      </c>
      <c r="CA26" s="718">
        <f t="shared" si="7"/>
        <v>5997.0134</v>
      </c>
      <c r="CB26" s="735"/>
      <c r="CC26" s="731">
        <v>37541.58</v>
      </c>
      <c r="CD26" s="702">
        <f t="shared" si="8"/>
        <v>299850.67</v>
      </c>
      <c r="CE26" s="731">
        <f t="shared" si="9"/>
        <v>65729.6336</v>
      </c>
      <c r="CF26" s="739">
        <f t="shared" si="26"/>
        <v>234121.0364</v>
      </c>
      <c r="CG26" s="742">
        <f t="shared" si="1"/>
        <v>65729.6336</v>
      </c>
      <c r="CH26" s="743" t="e">
        <f>'[6]JACKSON AKPOJARO '!C190*12</f>
        <v>#REF!</v>
      </c>
      <c r="CI26" s="744" t="e">
        <f t="shared" si="10"/>
        <v>#REF!</v>
      </c>
      <c r="CJ26" s="745">
        <f t="shared" si="2"/>
        <v>0</v>
      </c>
      <c r="CK26" s="748" t="e">
        <f t="shared" si="11"/>
        <v>#REF!</v>
      </c>
      <c r="CL26" s="749" t="e">
        <f t="shared" si="12"/>
        <v>#REF!</v>
      </c>
      <c r="CM26" s="744"/>
      <c r="CN26" s="745" t="e">
        <f t="shared" si="13"/>
        <v>#REF!</v>
      </c>
      <c r="CO26" s="745" t="e">
        <f t="shared" si="14"/>
        <v>#REF!</v>
      </c>
      <c r="CP26" s="745" t="e">
        <f t="shared" si="15"/>
        <v>#REF!</v>
      </c>
      <c r="CQ26" s="745" t="e">
        <f t="shared" si="16"/>
        <v>#REF!</v>
      </c>
      <c r="CR26" s="745" t="e">
        <f t="shared" si="17"/>
        <v>#REF!</v>
      </c>
      <c r="CS26" s="745" t="e">
        <f t="shared" si="18"/>
        <v>#REF!</v>
      </c>
      <c r="CT26" s="754" t="e">
        <f t="shared" si="24"/>
        <v>#REF!</v>
      </c>
      <c r="CU26" s="755" t="e">
        <f t="shared" si="21"/>
        <v>#REF!</v>
      </c>
      <c r="CV26" s="756">
        <f t="shared" si="25"/>
        <v>37541.58</v>
      </c>
      <c r="CW26" s="757"/>
      <c r="CX26" s="758"/>
      <c r="CY26" s="759"/>
      <c r="CZ26" s="760"/>
      <c r="DA26" s="767"/>
      <c r="DB26" s="770"/>
    </row>
    <row r="27" ht="236" customHeight="1" spans="1:107">
      <c r="A27" s="675">
        <v>350</v>
      </c>
      <c r="B27" s="676" t="s">
        <v>908</v>
      </c>
      <c r="C27" s="677" t="s">
        <v>1561</v>
      </c>
      <c r="D27" s="677" t="s">
        <v>1555</v>
      </c>
      <c r="E27" s="677" t="s">
        <v>873</v>
      </c>
      <c r="F27" s="1452" t="s">
        <v>909</v>
      </c>
      <c r="G27" s="677" t="s">
        <v>1562</v>
      </c>
      <c r="H27" s="680"/>
      <c r="I27" s="681" t="s">
        <v>127</v>
      </c>
      <c r="J27" s="686" t="s">
        <v>909</v>
      </c>
      <c r="K27" s="697" t="str">
        <f>'[5] NON-TEACHING STAFF'!$J$33</f>
        <v>22202025092</v>
      </c>
      <c r="L27" s="698">
        <v>4025741</v>
      </c>
      <c r="M27" s="688" t="e">
        <f>S27-#REF!</f>
        <v>#REF!</v>
      </c>
      <c r="N27" s="689">
        <v>4025741</v>
      </c>
      <c r="O27" s="689">
        <v>335478.416666667</v>
      </c>
      <c r="P27" s="689"/>
      <c r="Q27" s="689">
        <v>83869.6041666667</v>
      </c>
      <c r="R27" s="689">
        <v>30000</v>
      </c>
      <c r="S27" s="689">
        <f t="shared" si="23"/>
        <v>449348.020833333</v>
      </c>
      <c r="T27" s="703"/>
      <c r="U27" s="703"/>
      <c r="V27" s="703"/>
      <c r="W27" s="703"/>
      <c r="X27" s="703"/>
      <c r="Y27" s="703"/>
      <c r="Z27" s="703"/>
      <c r="AA27" s="703">
        <f>S27*0.35/3</f>
        <v>52423.9357638889</v>
      </c>
      <c r="AB27" s="703"/>
      <c r="AC27" s="689">
        <v>2500</v>
      </c>
      <c r="AD27" s="703"/>
      <c r="AE27" s="703"/>
      <c r="AF27" s="703"/>
      <c r="AG27" s="703"/>
      <c r="AH27" s="703"/>
      <c r="AI27" s="703"/>
      <c r="AJ27" s="689">
        <v>2500</v>
      </c>
      <c r="AK27" s="703"/>
      <c r="AL27" s="703">
        <v>383.33</v>
      </c>
      <c r="AM27" s="703"/>
      <c r="AN27" s="703"/>
      <c r="AO27" s="703"/>
      <c r="AP27" s="703"/>
      <c r="AQ27" s="703"/>
      <c r="AR27" s="703"/>
      <c r="AS27" s="703"/>
      <c r="AT27" s="703"/>
      <c r="AU27" s="689">
        <f t="shared" si="6"/>
        <v>17973.9208333333</v>
      </c>
      <c r="AV27" s="689"/>
      <c r="AW27" s="703"/>
      <c r="AX27" s="718">
        <f t="shared" si="19"/>
        <v>8986.96041666667</v>
      </c>
      <c r="AY27" s="718"/>
      <c r="AZ27" s="718"/>
      <c r="BA27" s="703"/>
      <c r="BB27" s="703"/>
      <c r="BC27" s="703"/>
      <c r="BD27" s="721"/>
      <c r="BE27" s="719"/>
      <c r="BF27" s="703"/>
      <c r="BG27" s="703"/>
      <c r="BH27" s="730"/>
      <c r="BI27" s="703"/>
      <c r="BJ27" s="703"/>
      <c r="BK27" s="703"/>
      <c r="BL27" s="691"/>
      <c r="BM27" s="691"/>
      <c r="BN27" s="691"/>
      <c r="BO27" s="691">
        <v>116667</v>
      </c>
      <c r="BP27" s="691"/>
      <c r="BQ27" s="691"/>
      <c r="BR27" s="732"/>
      <c r="BS27" s="732"/>
      <c r="BT27" s="732"/>
      <c r="BU27" s="732"/>
      <c r="BV27" s="732"/>
      <c r="BW27" s="732"/>
      <c r="BX27" s="732"/>
      <c r="BY27" s="732"/>
      <c r="BZ27" s="731">
        <v>3500</v>
      </c>
      <c r="CA27" s="718">
        <f t="shared" si="7"/>
        <v>10135.4391319444</v>
      </c>
      <c r="CB27" s="736"/>
      <c r="CC27" s="731">
        <v>75966.8823333333</v>
      </c>
      <c r="CD27" s="702">
        <f t="shared" si="8"/>
        <v>506771.956597222</v>
      </c>
      <c r="CE27" s="731">
        <f t="shared" si="9"/>
        <v>233230.202715278</v>
      </c>
      <c r="CF27" s="739">
        <f t="shared" si="26"/>
        <v>273541.753881944</v>
      </c>
      <c r="CG27" s="742">
        <f t="shared" si="1"/>
        <v>233230.202715278</v>
      </c>
      <c r="CH27" s="743" t="e">
        <f>'[6]JACKSON AKPOJARO '!C191*12</f>
        <v>#REF!</v>
      </c>
      <c r="CI27" s="744" t="e">
        <f t="shared" si="10"/>
        <v>#REF!</v>
      </c>
      <c r="CJ27" s="745">
        <f t="shared" si="2"/>
        <v>0</v>
      </c>
      <c r="CK27" s="748" t="e">
        <f t="shared" si="11"/>
        <v>#REF!</v>
      </c>
      <c r="CL27" s="749" t="e">
        <f t="shared" si="12"/>
        <v>#REF!</v>
      </c>
      <c r="CM27" s="744"/>
      <c r="CN27" s="745" t="e">
        <f t="shared" si="13"/>
        <v>#REF!</v>
      </c>
      <c r="CO27" s="745" t="e">
        <f t="shared" si="14"/>
        <v>#REF!</v>
      </c>
      <c r="CP27" s="745" t="e">
        <f t="shared" si="15"/>
        <v>#REF!</v>
      </c>
      <c r="CQ27" s="745" t="e">
        <f t="shared" si="16"/>
        <v>#REF!</v>
      </c>
      <c r="CR27" s="745" t="e">
        <f t="shared" si="17"/>
        <v>#REF!</v>
      </c>
      <c r="CS27" s="745" t="e">
        <f t="shared" si="18"/>
        <v>#REF!</v>
      </c>
      <c r="CT27" s="754" t="e">
        <f t="shared" si="24"/>
        <v>#REF!</v>
      </c>
      <c r="CU27" s="755" t="e">
        <f t="shared" si="21"/>
        <v>#REF!</v>
      </c>
      <c r="CV27" s="756">
        <v>47322.49</v>
      </c>
      <c r="CW27" s="763"/>
      <c r="CX27" s="758"/>
      <c r="CY27" s="759"/>
      <c r="CZ27" s="760"/>
      <c r="DA27" s="767"/>
      <c r="DC27" s="771"/>
    </row>
    <row r="28" ht="236" customHeight="1" spans="1:106">
      <c r="A28" s="673">
        <v>351</v>
      </c>
      <c r="B28" s="676" t="s">
        <v>910</v>
      </c>
      <c r="C28" s="677" t="s">
        <v>1533</v>
      </c>
      <c r="D28" s="677" t="s">
        <v>1563</v>
      </c>
      <c r="E28" s="677" t="s">
        <v>113</v>
      </c>
      <c r="F28" s="677" t="s">
        <v>911</v>
      </c>
      <c r="G28" s="677" t="s">
        <v>1564</v>
      </c>
      <c r="H28" s="679"/>
      <c r="I28" s="681" t="s">
        <v>113</v>
      </c>
      <c r="J28" s="686">
        <v>2052579347</v>
      </c>
      <c r="K28" s="690"/>
      <c r="L28" s="688">
        <v>1471351</v>
      </c>
      <c r="M28" s="688" t="e">
        <f>S28-#REF!</f>
        <v>#REF!</v>
      </c>
      <c r="N28" s="689">
        <v>1514130</v>
      </c>
      <c r="O28" s="689">
        <v>126177.5</v>
      </c>
      <c r="P28" s="689"/>
      <c r="Q28" s="689">
        <v>31544.375</v>
      </c>
      <c r="R28" s="689">
        <v>30000</v>
      </c>
      <c r="S28" s="689">
        <v>197821.33</v>
      </c>
      <c r="T28" s="691"/>
      <c r="U28" s="691"/>
      <c r="V28" s="691"/>
      <c r="W28" s="691"/>
      <c r="X28" s="691"/>
      <c r="Y28" s="691"/>
      <c r="Z28" s="691"/>
      <c r="AA28" s="691"/>
      <c r="AB28" s="691"/>
      <c r="AC28" s="689">
        <v>2500</v>
      </c>
      <c r="AD28" s="691"/>
      <c r="AE28" s="691"/>
      <c r="AF28" s="691"/>
      <c r="AG28" s="691"/>
      <c r="AH28" s="691">
        <v>25000</v>
      </c>
      <c r="AI28" s="691"/>
      <c r="AJ28" s="691">
        <v>2500</v>
      </c>
      <c r="AK28" s="691">
        <v>2500</v>
      </c>
      <c r="AL28" s="691">
        <v>2500</v>
      </c>
      <c r="AM28" s="691">
        <v>2500</v>
      </c>
      <c r="AN28" s="691">
        <v>2500</v>
      </c>
      <c r="AO28" s="691">
        <v>2500</v>
      </c>
      <c r="AP28" s="691">
        <v>2500</v>
      </c>
      <c r="AQ28" s="691">
        <v>2500</v>
      </c>
      <c r="AR28" s="691"/>
      <c r="AS28" s="691"/>
      <c r="AT28" s="691"/>
      <c r="AU28" s="689">
        <f t="shared" si="6"/>
        <v>7912.8532</v>
      </c>
      <c r="AV28" s="689"/>
      <c r="AW28" s="691"/>
      <c r="AX28" s="718">
        <f t="shared" si="19"/>
        <v>3956.4266</v>
      </c>
      <c r="AY28" s="718"/>
      <c r="AZ28" s="718"/>
      <c r="BA28" s="691"/>
      <c r="BB28" s="691"/>
      <c r="BC28" s="691"/>
      <c r="BD28" s="720"/>
      <c r="BE28" s="719"/>
      <c r="BF28" s="691"/>
      <c r="BG28" s="691"/>
      <c r="BH28" s="729"/>
      <c r="BI28" s="691"/>
      <c r="BJ28" s="691"/>
      <c r="BK28" s="691"/>
      <c r="BL28" s="689"/>
      <c r="BM28" s="689"/>
      <c r="BN28" s="689"/>
      <c r="BO28" s="689">
        <v>97455</v>
      </c>
      <c r="BP28" s="689"/>
      <c r="BQ28" s="689"/>
      <c r="BR28" s="731"/>
      <c r="BS28" s="731"/>
      <c r="BT28" s="731"/>
      <c r="BU28" s="731"/>
      <c r="BV28" s="731"/>
      <c r="BW28" s="731"/>
      <c r="BX28" s="731"/>
      <c r="BY28" s="731"/>
      <c r="BZ28" s="731">
        <v>1000</v>
      </c>
      <c r="CA28" s="718">
        <f t="shared" si="7"/>
        <v>4556.4266</v>
      </c>
      <c r="CB28" s="735"/>
      <c r="CC28" s="731">
        <v>25440.65</v>
      </c>
      <c r="CD28" s="702">
        <f t="shared" si="8"/>
        <v>227821.33</v>
      </c>
      <c r="CE28" s="731">
        <f t="shared" si="9"/>
        <v>140321.3564</v>
      </c>
      <c r="CF28" s="739">
        <f t="shared" si="26"/>
        <v>87499.9736</v>
      </c>
      <c r="CG28" s="742">
        <f t="shared" si="1"/>
        <v>140321.3564</v>
      </c>
      <c r="CH28" s="743" t="e">
        <f>'[6]JACKSON AKPOJARO '!C193*12</f>
        <v>#REF!</v>
      </c>
      <c r="CI28" s="744" t="e">
        <f t="shared" si="10"/>
        <v>#REF!</v>
      </c>
      <c r="CJ28" s="745">
        <f t="shared" si="2"/>
        <v>0</v>
      </c>
      <c r="CK28" s="748" t="e">
        <f t="shared" si="11"/>
        <v>#REF!</v>
      </c>
      <c r="CL28" s="749" t="e">
        <f t="shared" si="12"/>
        <v>#REF!</v>
      </c>
      <c r="CM28" s="744"/>
      <c r="CN28" s="745" t="e">
        <f t="shared" si="13"/>
        <v>#REF!</v>
      </c>
      <c r="CO28" s="745" t="e">
        <f t="shared" si="14"/>
        <v>#REF!</v>
      </c>
      <c r="CP28" s="745" t="e">
        <f t="shared" si="15"/>
        <v>#REF!</v>
      </c>
      <c r="CQ28" s="745" t="e">
        <f t="shared" si="16"/>
        <v>#REF!</v>
      </c>
      <c r="CR28" s="745" t="e">
        <f t="shared" si="17"/>
        <v>#REF!</v>
      </c>
      <c r="CS28" s="745" t="e">
        <f t="shared" si="18"/>
        <v>#REF!</v>
      </c>
      <c r="CT28" s="754" t="e">
        <f t="shared" si="24"/>
        <v>#REF!</v>
      </c>
      <c r="CU28" s="755" t="e">
        <f t="shared" si="21"/>
        <v>#REF!</v>
      </c>
      <c r="CV28" s="756">
        <f>CC28</f>
        <v>25440.65</v>
      </c>
      <c r="CW28" s="757"/>
      <c r="CX28" s="758"/>
      <c r="CY28" s="759"/>
      <c r="CZ28" s="760"/>
      <c r="DA28" s="767"/>
      <c r="DB28" s="770"/>
    </row>
    <row r="29" ht="236" customHeight="1" spans="1:105">
      <c r="A29" s="675">
        <v>352</v>
      </c>
      <c r="B29" s="676" t="s">
        <v>912</v>
      </c>
      <c r="C29" s="677" t="s">
        <v>1533</v>
      </c>
      <c r="D29" s="677" t="s">
        <v>1565</v>
      </c>
      <c r="E29" s="677" t="s">
        <v>113</v>
      </c>
      <c r="F29" s="677" t="s">
        <v>913</v>
      </c>
      <c r="G29" s="677" t="s">
        <v>1544</v>
      </c>
      <c r="H29" s="679"/>
      <c r="I29" s="681" t="s">
        <v>113</v>
      </c>
      <c r="J29" s="686">
        <v>2103764171</v>
      </c>
      <c r="K29" s="687">
        <v>22453419020</v>
      </c>
      <c r="L29" s="688">
        <v>638685</v>
      </c>
      <c r="M29" s="688" t="e">
        <f>S29-#REF!</f>
        <v>#REF!</v>
      </c>
      <c r="N29" s="689">
        <v>656150</v>
      </c>
      <c r="O29" s="689">
        <v>54679.1666666667</v>
      </c>
      <c r="P29" s="689"/>
      <c r="Q29" s="689">
        <v>13669.7916666667</v>
      </c>
      <c r="R29" s="689">
        <v>40000</v>
      </c>
      <c r="S29" s="689">
        <v>110168.25</v>
      </c>
      <c r="T29" s="689"/>
      <c r="U29" s="689"/>
      <c r="V29" s="689"/>
      <c r="W29" s="689"/>
      <c r="X29" s="689"/>
      <c r="Y29" s="689"/>
      <c r="Z29" s="689"/>
      <c r="AA29" s="689"/>
      <c r="AB29" s="689"/>
      <c r="AC29" s="689">
        <v>2500</v>
      </c>
      <c r="AD29" s="689"/>
      <c r="AE29" s="689"/>
      <c r="AF29" s="689"/>
      <c r="AG29" s="689"/>
      <c r="AH29" s="689"/>
      <c r="AI29" s="689"/>
      <c r="AJ29" s="691">
        <v>2500</v>
      </c>
      <c r="AK29" s="691">
        <v>2500</v>
      </c>
      <c r="AL29" s="691">
        <v>2500</v>
      </c>
      <c r="AM29" s="691">
        <v>2500</v>
      </c>
      <c r="AN29" s="691">
        <v>2500</v>
      </c>
      <c r="AO29" s="691">
        <v>2500</v>
      </c>
      <c r="AP29" s="691">
        <v>2500</v>
      </c>
      <c r="AQ29" s="691">
        <v>2500</v>
      </c>
      <c r="AR29" s="689"/>
      <c r="AS29" s="689"/>
      <c r="AT29" s="689"/>
      <c r="AU29" s="689">
        <f>S29*0.03</f>
        <v>3305.0475</v>
      </c>
      <c r="AV29" s="689"/>
      <c r="AW29" s="689"/>
      <c r="AX29" s="718"/>
      <c r="AY29" s="718"/>
      <c r="AZ29" s="718"/>
      <c r="BA29" s="689"/>
      <c r="BB29" s="689"/>
      <c r="BC29" s="689"/>
      <c r="BD29" s="719"/>
      <c r="BE29" s="719">
        <f t="shared" si="22"/>
        <v>3305.0475</v>
      </c>
      <c r="BF29" s="689"/>
      <c r="BG29" s="689"/>
      <c r="BH29" s="727"/>
      <c r="BI29" s="689"/>
      <c r="BJ29" s="689"/>
      <c r="BK29" s="689"/>
      <c r="BL29" s="689"/>
      <c r="BM29" s="689"/>
      <c r="BN29" s="689"/>
      <c r="BO29" s="689">
        <v>0</v>
      </c>
      <c r="BP29" s="689"/>
      <c r="BQ29" s="689"/>
      <c r="BR29" s="731"/>
      <c r="BS29" s="731"/>
      <c r="BT29" s="731"/>
      <c r="BU29" s="731"/>
      <c r="BV29" s="731"/>
      <c r="BW29" s="731"/>
      <c r="BX29" s="731"/>
      <c r="BY29" s="731">
        <v>1000</v>
      </c>
      <c r="BZ29" s="731">
        <f>500*2</f>
        <v>1000</v>
      </c>
      <c r="CA29" s="718">
        <f t="shared" si="7"/>
        <v>2303.365</v>
      </c>
      <c r="CB29" s="735"/>
      <c r="CC29" s="731">
        <v>8320.19</v>
      </c>
      <c r="CD29" s="702">
        <f t="shared" si="8"/>
        <v>115168.25</v>
      </c>
      <c r="CE29" s="731">
        <f t="shared" si="9"/>
        <v>19233.65</v>
      </c>
      <c r="CF29" s="739">
        <f t="shared" si="26"/>
        <v>95934.6</v>
      </c>
      <c r="CG29" s="742">
        <f t="shared" si="1"/>
        <v>19233.65</v>
      </c>
      <c r="CH29" s="743" t="e">
        <f>'[6]JACKSON AKPOJARO '!C194*12</f>
        <v>#REF!</v>
      </c>
      <c r="CI29" s="744" t="e">
        <f t="shared" si="10"/>
        <v>#REF!</v>
      </c>
      <c r="CJ29" s="745">
        <f t="shared" si="2"/>
        <v>0</v>
      </c>
      <c r="CK29" s="748" t="e">
        <f t="shared" si="11"/>
        <v>#REF!</v>
      </c>
      <c r="CL29" s="749" t="e">
        <f t="shared" si="12"/>
        <v>#REF!</v>
      </c>
      <c r="CM29" s="744"/>
      <c r="CN29" s="745" t="e">
        <f t="shared" si="13"/>
        <v>#REF!</v>
      </c>
      <c r="CO29" s="745" t="e">
        <f t="shared" si="14"/>
        <v>#REF!</v>
      </c>
      <c r="CP29" s="745" t="e">
        <f t="shared" si="15"/>
        <v>#REF!</v>
      </c>
      <c r="CQ29" s="745" t="e">
        <f t="shared" si="16"/>
        <v>#REF!</v>
      </c>
      <c r="CR29" s="745" t="e">
        <f t="shared" si="17"/>
        <v>#REF!</v>
      </c>
      <c r="CS29" s="745" t="e">
        <f t="shared" si="18"/>
        <v>#REF!</v>
      </c>
      <c r="CT29" s="754" t="e">
        <f t="shared" si="24"/>
        <v>#REF!</v>
      </c>
      <c r="CU29" s="755" t="e">
        <f t="shared" si="21"/>
        <v>#REF!</v>
      </c>
      <c r="CV29" s="756">
        <f>CC29</f>
        <v>8320.19</v>
      </c>
      <c r="CW29" s="757"/>
      <c r="CX29" s="758"/>
      <c r="CY29" s="759"/>
      <c r="CZ29" s="760"/>
      <c r="DA29" s="767"/>
    </row>
    <row r="30" ht="236" customHeight="1" spans="1:106">
      <c r="A30" s="673">
        <v>353</v>
      </c>
      <c r="B30" s="676" t="s">
        <v>914</v>
      </c>
      <c r="C30" s="677" t="s">
        <v>1520</v>
      </c>
      <c r="D30" s="677" t="s">
        <v>1566</v>
      </c>
      <c r="E30" s="677" t="s">
        <v>915</v>
      </c>
      <c r="F30" s="1452" t="s">
        <v>916</v>
      </c>
      <c r="G30" s="677" t="s">
        <v>1567</v>
      </c>
      <c r="H30" s="679"/>
      <c r="I30" s="681" t="s">
        <v>135</v>
      </c>
      <c r="J30" s="686" t="s">
        <v>916</v>
      </c>
      <c r="K30" s="687" t="str">
        <f>'[5] NON-TEACHING STAFF'!$J$37</f>
        <v>22261685510</v>
      </c>
      <c r="L30" s="688">
        <v>1913180</v>
      </c>
      <c r="M30" s="688" t="e">
        <f>S30-#REF!</f>
        <v>#REF!</v>
      </c>
      <c r="N30" s="689">
        <v>1862830</v>
      </c>
      <c r="O30" s="689">
        <v>163943.92</v>
      </c>
      <c r="P30" s="689"/>
      <c r="Q30" s="689">
        <v>40985.98</v>
      </c>
      <c r="R30" s="689">
        <v>30000</v>
      </c>
      <c r="S30" s="689">
        <v>240628.67</v>
      </c>
      <c r="T30" s="689"/>
      <c r="U30" s="689"/>
      <c r="V30" s="689"/>
      <c r="W30" s="689"/>
      <c r="X30" s="689"/>
      <c r="Y30" s="689"/>
      <c r="Z30" s="689"/>
      <c r="AA30" s="689"/>
      <c r="AB30" s="689"/>
      <c r="AC30" s="689">
        <v>2500</v>
      </c>
      <c r="AD30" s="689"/>
      <c r="AE30" s="689">
        <v>30000</v>
      </c>
      <c r="AF30" s="689"/>
      <c r="AG30" s="689"/>
      <c r="AH30" s="689"/>
      <c r="AI30" s="689"/>
      <c r="AJ30" s="689">
        <v>2500</v>
      </c>
      <c r="AK30" s="689"/>
      <c r="AL30" s="689">
        <v>383.33</v>
      </c>
      <c r="AM30" s="689"/>
      <c r="AN30" s="689"/>
      <c r="AO30" s="689"/>
      <c r="AP30" s="689"/>
      <c r="AQ30" s="689"/>
      <c r="AR30" s="689"/>
      <c r="AS30" s="689"/>
      <c r="AT30" s="689"/>
      <c r="AU30" s="689">
        <f t="shared" si="6"/>
        <v>9625.1468</v>
      </c>
      <c r="AV30" s="689"/>
      <c r="AW30" s="689"/>
      <c r="AX30" s="718">
        <f>S30*0.02</f>
        <v>4812.5734</v>
      </c>
      <c r="AY30" s="718"/>
      <c r="AZ30" s="718">
        <v>1000</v>
      </c>
      <c r="BA30" s="689"/>
      <c r="BB30" s="689"/>
      <c r="BC30" s="689"/>
      <c r="BD30" s="719"/>
      <c r="BE30" s="719"/>
      <c r="BF30" s="689"/>
      <c r="BG30" s="689"/>
      <c r="BH30" s="727"/>
      <c r="BI30" s="689"/>
      <c r="BJ30" s="689"/>
      <c r="BK30" s="689"/>
      <c r="BL30" s="689">
        <v>15000</v>
      </c>
      <c r="BM30" s="689"/>
      <c r="BN30" s="689"/>
      <c r="BO30" s="689">
        <v>85000</v>
      </c>
      <c r="BP30" s="689"/>
      <c r="BQ30" s="689"/>
      <c r="BR30" s="731"/>
      <c r="BS30" s="731"/>
      <c r="BT30" s="731"/>
      <c r="BU30" s="731"/>
      <c r="BV30" s="731"/>
      <c r="BW30" s="731"/>
      <c r="BX30" s="731"/>
      <c r="BY30" s="731"/>
      <c r="BZ30" s="731">
        <v>1000</v>
      </c>
      <c r="CA30" s="718">
        <f t="shared" si="7"/>
        <v>5512.5734</v>
      </c>
      <c r="CB30" s="735"/>
      <c r="CC30" s="731">
        <v>33472.28</v>
      </c>
      <c r="CD30" s="702">
        <f t="shared" si="8"/>
        <v>275628.67</v>
      </c>
      <c r="CE30" s="731">
        <f t="shared" si="9"/>
        <v>155422.5736</v>
      </c>
      <c r="CF30" s="739">
        <f t="shared" si="26"/>
        <v>120206.0964</v>
      </c>
      <c r="CG30" s="742">
        <f t="shared" si="1"/>
        <v>155422.5736</v>
      </c>
      <c r="CH30" s="743" t="e">
        <f>'[6]JACKSON AKPOJARO '!C195*12</f>
        <v>#REF!</v>
      </c>
      <c r="CI30" s="744" t="e">
        <f t="shared" si="10"/>
        <v>#REF!</v>
      </c>
      <c r="CJ30" s="745">
        <f t="shared" si="2"/>
        <v>0</v>
      </c>
      <c r="CK30" s="748" t="e">
        <f t="shared" si="11"/>
        <v>#REF!</v>
      </c>
      <c r="CL30" s="749" t="e">
        <f t="shared" si="12"/>
        <v>#REF!</v>
      </c>
      <c r="CM30" s="744"/>
      <c r="CN30" s="745" t="e">
        <f t="shared" si="13"/>
        <v>#REF!</v>
      </c>
      <c r="CO30" s="745" t="e">
        <f t="shared" si="14"/>
        <v>#REF!</v>
      </c>
      <c r="CP30" s="745" t="e">
        <f t="shared" si="15"/>
        <v>#REF!</v>
      </c>
      <c r="CQ30" s="745" t="e">
        <f t="shared" si="16"/>
        <v>#REF!</v>
      </c>
      <c r="CR30" s="745" t="e">
        <f t="shared" si="17"/>
        <v>#REF!</v>
      </c>
      <c r="CS30" s="745" t="e">
        <f t="shared" si="18"/>
        <v>#REF!</v>
      </c>
      <c r="CT30" s="754" t="e">
        <f t="shared" si="24"/>
        <v>#REF!</v>
      </c>
      <c r="CU30" s="755" t="e">
        <f t="shared" si="21"/>
        <v>#REF!</v>
      </c>
      <c r="CV30" s="756">
        <f>CC30</f>
        <v>33472.28</v>
      </c>
      <c r="CW30" s="757"/>
      <c r="CX30" s="758"/>
      <c r="CY30" s="759"/>
      <c r="CZ30" s="760"/>
      <c r="DA30" s="767"/>
      <c r="DB30" s="770"/>
    </row>
    <row r="31" ht="236" customHeight="1" spans="1:105">
      <c r="A31" s="675">
        <v>354</v>
      </c>
      <c r="B31" s="676" t="s">
        <v>917</v>
      </c>
      <c r="C31" s="677" t="s">
        <v>1533</v>
      </c>
      <c r="D31" s="677" t="s">
        <v>1568</v>
      </c>
      <c r="E31" s="677" t="s">
        <v>915</v>
      </c>
      <c r="F31" s="1452" t="s">
        <v>918</v>
      </c>
      <c r="G31" s="677" t="s">
        <v>1569</v>
      </c>
      <c r="H31" s="679"/>
      <c r="I31" s="681" t="s">
        <v>915</v>
      </c>
      <c r="J31" s="686" t="s">
        <v>918</v>
      </c>
      <c r="K31" s="687"/>
      <c r="L31" s="688">
        <v>535105</v>
      </c>
      <c r="M31" s="688" t="e">
        <f>S31-#REF!</f>
        <v>#REF!</v>
      </c>
      <c r="N31" s="689">
        <v>535105</v>
      </c>
      <c r="O31" s="689">
        <v>45786.42</v>
      </c>
      <c r="P31" s="689"/>
      <c r="Q31" s="689">
        <v>11446.605</v>
      </c>
      <c r="R31" s="689">
        <v>42499.81</v>
      </c>
      <c r="S31" s="689">
        <v>101071.92</v>
      </c>
      <c r="T31" s="704"/>
      <c r="U31" s="704"/>
      <c r="V31" s="704"/>
      <c r="W31" s="689"/>
      <c r="X31" s="689"/>
      <c r="Y31" s="689"/>
      <c r="Z31" s="689"/>
      <c r="AA31" s="689"/>
      <c r="AB31" s="689"/>
      <c r="AC31" s="689">
        <v>2500</v>
      </c>
      <c r="AD31" s="689"/>
      <c r="AE31" s="689"/>
      <c r="AF31" s="689"/>
      <c r="AG31" s="689"/>
      <c r="AH31" s="689"/>
      <c r="AI31" s="689"/>
      <c r="AJ31" s="689">
        <v>2500</v>
      </c>
      <c r="AK31" s="689"/>
      <c r="AL31" s="689">
        <v>383.33</v>
      </c>
      <c r="AM31" s="689"/>
      <c r="AN31" s="689"/>
      <c r="AO31" s="689"/>
      <c r="AP31" s="689"/>
      <c r="AQ31" s="689"/>
      <c r="AR31" s="689"/>
      <c r="AS31" s="689"/>
      <c r="AT31" s="689"/>
      <c r="AU31" s="689">
        <f>S31*0.03</f>
        <v>3032.1576</v>
      </c>
      <c r="AV31" s="689"/>
      <c r="AW31" s="689"/>
      <c r="AX31" s="718"/>
      <c r="AY31" s="718"/>
      <c r="AZ31" s="718"/>
      <c r="BA31" s="689"/>
      <c r="BB31" s="689">
        <v>13890.88</v>
      </c>
      <c r="BC31" s="689"/>
      <c r="BD31" s="719"/>
      <c r="BE31" s="719">
        <f t="shared" si="22"/>
        <v>3032.1576</v>
      </c>
      <c r="BF31" s="689"/>
      <c r="BG31" s="689"/>
      <c r="BH31" s="727"/>
      <c r="BI31" s="689"/>
      <c r="BJ31" s="689"/>
      <c r="BK31" s="689"/>
      <c r="BL31" s="689"/>
      <c r="BM31" s="689"/>
      <c r="BN31" s="689"/>
      <c r="BO31" s="689">
        <v>46666.666</v>
      </c>
      <c r="BP31" s="689"/>
      <c r="BQ31" s="689"/>
      <c r="BR31" s="731"/>
      <c r="BS31" s="731"/>
      <c r="BT31" s="731"/>
      <c r="BU31" s="731"/>
      <c r="BV31" s="731"/>
      <c r="BW31" s="731"/>
      <c r="BX31" s="731"/>
      <c r="BY31" s="731"/>
      <c r="BZ31" s="731">
        <v>500</v>
      </c>
      <c r="CA31" s="718">
        <f t="shared" si="7"/>
        <v>2121.4384</v>
      </c>
      <c r="CB31" s="735"/>
      <c r="CC31" s="731">
        <v>7228.83</v>
      </c>
      <c r="CD31" s="702">
        <f t="shared" si="8"/>
        <v>106071.92</v>
      </c>
      <c r="CE31" s="731">
        <f t="shared" si="9"/>
        <v>76472.1296</v>
      </c>
      <c r="CF31" s="739">
        <f t="shared" si="26"/>
        <v>29599.7904</v>
      </c>
      <c r="CG31" s="742">
        <f t="shared" si="1"/>
        <v>76472.1296</v>
      </c>
      <c r="CH31" s="743" t="e">
        <f>'[6]JACKSON AKPOJARO '!C196*12</f>
        <v>#REF!</v>
      </c>
      <c r="CI31" s="744" t="e">
        <f t="shared" si="10"/>
        <v>#REF!</v>
      </c>
      <c r="CJ31" s="745">
        <f t="shared" si="2"/>
        <v>0</v>
      </c>
      <c r="CK31" s="748" t="e">
        <f t="shared" si="11"/>
        <v>#REF!</v>
      </c>
      <c r="CL31" s="749" t="e">
        <f t="shared" si="12"/>
        <v>#REF!</v>
      </c>
      <c r="CM31" s="744"/>
      <c r="CN31" s="745" t="e">
        <f t="shared" si="13"/>
        <v>#REF!</v>
      </c>
      <c r="CO31" s="745" t="e">
        <f t="shared" si="14"/>
        <v>#REF!</v>
      </c>
      <c r="CP31" s="745" t="e">
        <f t="shared" si="15"/>
        <v>#REF!</v>
      </c>
      <c r="CQ31" s="745" t="e">
        <f t="shared" si="16"/>
        <v>#REF!</v>
      </c>
      <c r="CR31" s="745" t="e">
        <f t="shared" si="17"/>
        <v>#REF!</v>
      </c>
      <c r="CS31" s="745" t="e">
        <f t="shared" si="18"/>
        <v>#REF!</v>
      </c>
      <c r="CT31" s="754" t="e">
        <f t="shared" si="24"/>
        <v>#REF!</v>
      </c>
      <c r="CU31" s="755" t="e">
        <f t="shared" si="21"/>
        <v>#REF!</v>
      </c>
      <c r="CV31" s="756">
        <f>CC31</f>
        <v>7228.83</v>
      </c>
      <c r="CW31" s="757"/>
      <c r="CX31" s="758"/>
      <c r="CY31" s="759"/>
      <c r="CZ31" s="760"/>
      <c r="DA31" s="767"/>
    </row>
    <row r="32" ht="236" customHeight="1" spans="1:105">
      <c r="A32" s="673">
        <v>355</v>
      </c>
      <c r="B32" s="676" t="s">
        <v>919</v>
      </c>
      <c r="C32" s="677" t="s">
        <v>1527</v>
      </c>
      <c r="D32" s="677" t="s">
        <v>1535</v>
      </c>
      <c r="E32" s="677" t="s">
        <v>93</v>
      </c>
      <c r="F32" s="677" t="s">
        <v>920</v>
      </c>
      <c r="G32" s="677" t="s">
        <v>1536</v>
      </c>
      <c r="H32" s="679"/>
      <c r="I32" s="681" t="s">
        <v>93</v>
      </c>
      <c r="J32" s="686">
        <v>3084731925</v>
      </c>
      <c r="K32" s="687">
        <f>'[5] NON-TEACHING STAFF'!$J$39</f>
        <v>22201205251</v>
      </c>
      <c r="L32" s="688">
        <v>2022036</v>
      </c>
      <c r="M32" s="688" t="e">
        <f>S32-#REF!</f>
        <v>#REF!</v>
      </c>
      <c r="N32" s="689">
        <v>2214985</v>
      </c>
      <c r="O32" s="689">
        <v>184582.083333333</v>
      </c>
      <c r="P32" s="689"/>
      <c r="Q32" s="689">
        <v>46145.5208333333</v>
      </c>
      <c r="R32" s="689">
        <v>30000</v>
      </c>
      <c r="S32" s="689">
        <v>269850.67</v>
      </c>
      <c r="T32" s="689"/>
      <c r="U32" s="689"/>
      <c r="V32" s="689"/>
      <c r="W32" s="689"/>
      <c r="X32" s="689"/>
      <c r="Y32" s="689"/>
      <c r="Z32" s="689"/>
      <c r="AA32" s="689"/>
      <c r="AB32" s="689">
        <v>25000</v>
      </c>
      <c r="AC32" s="689">
        <v>2500</v>
      </c>
      <c r="AD32" s="689"/>
      <c r="AE32" s="689"/>
      <c r="AF32" s="689"/>
      <c r="AG32" s="689"/>
      <c r="AH32" s="689"/>
      <c r="AI32" s="689"/>
      <c r="AJ32" s="689">
        <v>2500</v>
      </c>
      <c r="AK32" s="689"/>
      <c r="AL32" s="689">
        <v>383.33</v>
      </c>
      <c r="AM32" s="689"/>
      <c r="AN32" s="689"/>
      <c r="AO32" s="689"/>
      <c r="AP32" s="689"/>
      <c r="AQ32" s="689"/>
      <c r="AR32" s="689"/>
      <c r="AS32" s="689"/>
      <c r="AT32" s="689"/>
      <c r="AU32" s="689">
        <f>S32*0.04</f>
        <v>10794.0268</v>
      </c>
      <c r="AV32" s="689"/>
      <c r="AW32" s="689">
        <v>2000</v>
      </c>
      <c r="AX32" s="718">
        <f>S32*0.02</f>
        <v>5397.0134</v>
      </c>
      <c r="AY32" s="718"/>
      <c r="AZ32" s="718"/>
      <c r="BA32" s="689"/>
      <c r="BB32" s="722">
        <v>33333.33</v>
      </c>
      <c r="BC32" s="689"/>
      <c r="BD32" s="719"/>
      <c r="BE32" s="719"/>
      <c r="BF32" s="689"/>
      <c r="BG32" s="689"/>
      <c r="BH32" s="727"/>
      <c r="BI32" s="689"/>
      <c r="BJ32" s="689"/>
      <c r="BK32" s="689"/>
      <c r="BL32" s="689">
        <v>10000</v>
      </c>
      <c r="BM32" s="689"/>
      <c r="BN32" s="689"/>
      <c r="BO32" s="689">
        <v>62750</v>
      </c>
      <c r="BP32" s="689"/>
      <c r="BQ32" s="689"/>
      <c r="BR32" s="731"/>
      <c r="BS32" s="731"/>
      <c r="BT32" s="731"/>
      <c r="BU32" s="731"/>
      <c r="BV32" s="731">
        <v>1250</v>
      </c>
      <c r="BW32" s="731"/>
      <c r="BX32" s="731"/>
      <c r="BY32" s="731">
        <v>2000</v>
      </c>
      <c r="BZ32" s="731">
        <v>2000</v>
      </c>
      <c r="CA32" s="718">
        <f t="shared" si="7"/>
        <v>5997.0134</v>
      </c>
      <c r="CB32" s="735"/>
      <c r="CC32" s="731">
        <v>37541.5792266667</v>
      </c>
      <c r="CD32" s="702">
        <f t="shared" si="8"/>
        <v>299850.67</v>
      </c>
      <c r="CE32" s="731">
        <f t="shared" si="9"/>
        <v>173062.962826667</v>
      </c>
      <c r="CF32" s="739">
        <f t="shared" si="26"/>
        <v>126787.707173333</v>
      </c>
      <c r="CG32" s="742">
        <f t="shared" si="1"/>
        <v>173062.962826667</v>
      </c>
      <c r="CH32" s="743" t="e">
        <f>'[6]JACKSON AKPOJARO '!C197*12</f>
        <v>#REF!</v>
      </c>
      <c r="CI32" s="744" t="e">
        <f t="shared" si="10"/>
        <v>#REF!</v>
      </c>
      <c r="CJ32" s="745">
        <f t="shared" si="2"/>
        <v>0</v>
      </c>
      <c r="CK32" s="748" t="e">
        <f t="shared" si="11"/>
        <v>#REF!</v>
      </c>
      <c r="CL32" s="749" t="e">
        <f t="shared" si="12"/>
        <v>#REF!</v>
      </c>
      <c r="CM32" s="744"/>
      <c r="CN32" s="745" t="e">
        <f t="shared" si="13"/>
        <v>#REF!</v>
      </c>
      <c r="CO32" s="745" t="e">
        <f t="shared" si="14"/>
        <v>#REF!</v>
      </c>
      <c r="CP32" s="745" t="e">
        <f t="shared" si="15"/>
        <v>#REF!</v>
      </c>
      <c r="CQ32" s="745" t="e">
        <f t="shared" si="16"/>
        <v>#REF!</v>
      </c>
      <c r="CR32" s="745" t="e">
        <f t="shared" si="17"/>
        <v>#REF!</v>
      </c>
      <c r="CS32" s="745" t="e">
        <f t="shared" si="18"/>
        <v>#REF!</v>
      </c>
      <c r="CT32" s="754" t="e">
        <f t="shared" si="24"/>
        <v>#REF!</v>
      </c>
      <c r="CU32" s="755" t="e">
        <f t="shared" si="21"/>
        <v>#REF!</v>
      </c>
      <c r="CV32" s="756">
        <f>CC32</f>
        <v>37541.5792266667</v>
      </c>
      <c r="CW32" s="757"/>
      <c r="CX32" s="758"/>
      <c r="CY32" s="759"/>
      <c r="CZ32" s="760"/>
      <c r="DA32" s="767"/>
    </row>
    <row r="33" ht="236" customHeight="1" spans="1:105">
      <c r="A33" s="675">
        <v>356</v>
      </c>
      <c r="B33" s="676" t="s">
        <v>921</v>
      </c>
      <c r="C33" s="677" t="s">
        <v>1527</v>
      </c>
      <c r="D33" s="677" t="s">
        <v>1570</v>
      </c>
      <c r="E33" s="677" t="s">
        <v>135</v>
      </c>
      <c r="F33" s="1452" t="s">
        <v>922</v>
      </c>
      <c r="G33" s="677" t="s">
        <v>1571</v>
      </c>
      <c r="H33" s="679"/>
      <c r="I33" s="681" t="s">
        <v>915</v>
      </c>
      <c r="J33" s="686" t="s">
        <v>922</v>
      </c>
      <c r="K33" s="687" t="str">
        <f>'[5] NON-TEACHING STAFF'!$J$40</f>
        <v>22257608444</v>
      </c>
      <c r="L33" s="688">
        <v>4025741</v>
      </c>
      <c r="M33" s="688" t="e">
        <f>S33-#REF!</f>
        <v>#REF!</v>
      </c>
      <c r="N33" s="689">
        <v>4627173</v>
      </c>
      <c r="O33" s="689">
        <v>385597.75</v>
      </c>
      <c r="P33" s="689"/>
      <c r="Q33" s="689">
        <v>96399.4375</v>
      </c>
      <c r="R33" s="689">
        <v>30000</v>
      </c>
      <c r="S33" s="689">
        <v>527811.58</v>
      </c>
      <c r="T33" s="689"/>
      <c r="U33" s="689"/>
      <c r="V33" s="689"/>
      <c r="W33" s="689"/>
      <c r="X33" s="689"/>
      <c r="Y33" s="689"/>
      <c r="Z33" s="689"/>
      <c r="AA33" s="689">
        <v>51750</v>
      </c>
      <c r="AB33" s="689">
        <v>25000</v>
      </c>
      <c r="AC33" s="689">
        <v>2500</v>
      </c>
      <c r="AD33" s="689"/>
      <c r="AE33" s="689"/>
      <c r="AF33" s="689"/>
      <c r="AG33" s="689"/>
      <c r="AH33" s="689"/>
      <c r="AI33" s="689"/>
      <c r="AJ33" s="689">
        <v>2500</v>
      </c>
      <c r="AK33" s="689"/>
      <c r="AL33" s="689">
        <v>383.33</v>
      </c>
      <c r="AM33" s="689"/>
      <c r="AN33" s="689"/>
      <c r="AO33" s="689"/>
      <c r="AP33" s="689"/>
      <c r="AQ33" s="689"/>
      <c r="AR33" s="689"/>
      <c r="AS33" s="689"/>
      <c r="AT33" s="689"/>
      <c r="AU33" s="689">
        <f>S33*0.04</f>
        <v>21112.4632</v>
      </c>
      <c r="AV33" s="689"/>
      <c r="AW33" s="689">
        <v>3000</v>
      </c>
      <c r="AX33" s="718">
        <f>S33*0.02</f>
        <v>10556.2316</v>
      </c>
      <c r="AY33" s="718"/>
      <c r="AZ33" s="718"/>
      <c r="BA33" s="689"/>
      <c r="BB33" s="689"/>
      <c r="BC33" s="689"/>
      <c r="BD33" s="719"/>
      <c r="BE33" s="719"/>
      <c r="BF33" s="689"/>
      <c r="BG33" s="689"/>
      <c r="BH33" s="727"/>
      <c r="BI33" s="689"/>
      <c r="BJ33" s="689"/>
      <c r="BK33" s="689"/>
      <c r="BL33" s="689">
        <v>10000</v>
      </c>
      <c r="BM33" s="689"/>
      <c r="BN33" s="689"/>
      <c r="BO33" s="689">
        <v>101667</v>
      </c>
      <c r="BP33" s="689"/>
      <c r="BQ33" s="689"/>
      <c r="BR33" s="731"/>
      <c r="BS33" s="731"/>
      <c r="BT33" s="731"/>
      <c r="BU33" s="731"/>
      <c r="BV33" s="731"/>
      <c r="BW33" s="731"/>
      <c r="BX33" s="731"/>
      <c r="BY33" s="731">
        <v>2000</v>
      </c>
      <c r="BZ33" s="731">
        <v>2500</v>
      </c>
      <c r="CA33" s="718">
        <f t="shared" si="7"/>
        <v>12191.2316</v>
      </c>
      <c r="CB33" s="735"/>
      <c r="CC33" s="731">
        <v>95702.49</v>
      </c>
      <c r="CD33" s="702">
        <f t="shared" si="8"/>
        <v>609561.58</v>
      </c>
      <c r="CE33" s="731">
        <f t="shared" si="9"/>
        <v>258729.4164</v>
      </c>
      <c r="CF33" s="739">
        <f t="shared" si="26"/>
        <v>350832.1636</v>
      </c>
      <c r="CG33" s="742">
        <f t="shared" si="1"/>
        <v>258729.4164</v>
      </c>
      <c r="CH33" s="743" t="e">
        <f>'[6]JACKSON AKPOJARO '!C198*12</f>
        <v>#REF!</v>
      </c>
      <c r="CI33" s="744" t="e">
        <f t="shared" si="10"/>
        <v>#REF!</v>
      </c>
      <c r="CJ33" s="745">
        <f t="shared" si="2"/>
        <v>0</v>
      </c>
      <c r="CK33" s="748" t="e">
        <f t="shared" si="11"/>
        <v>#REF!</v>
      </c>
      <c r="CL33" s="749" t="e">
        <f t="shared" si="12"/>
        <v>#REF!</v>
      </c>
      <c r="CM33" s="744"/>
      <c r="CN33" s="745" t="e">
        <f t="shared" si="13"/>
        <v>#REF!</v>
      </c>
      <c r="CO33" s="745" t="e">
        <f t="shared" si="14"/>
        <v>#REF!</v>
      </c>
      <c r="CP33" s="745" t="e">
        <f t="shared" si="15"/>
        <v>#REF!</v>
      </c>
      <c r="CQ33" s="745" t="e">
        <f t="shared" si="16"/>
        <v>#REF!</v>
      </c>
      <c r="CR33" s="745" t="e">
        <f t="shared" si="17"/>
        <v>#REF!</v>
      </c>
      <c r="CS33" s="745" t="e">
        <f t="shared" si="18"/>
        <v>#REF!</v>
      </c>
      <c r="CT33" s="754" t="e">
        <f t="shared" si="24"/>
        <v>#REF!</v>
      </c>
      <c r="CU33" s="755" t="e">
        <f t="shared" si="21"/>
        <v>#REF!</v>
      </c>
      <c r="CV33" s="756">
        <v>45315.03</v>
      </c>
      <c r="CW33" s="757"/>
      <c r="CX33" s="758"/>
      <c r="CY33" s="759"/>
      <c r="CZ33" s="760"/>
      <c r="DA33" s="767"/>
    </row>
    <row r="34" ht="236" customHeight="1" spans="1:105">
      <c r="A34" s="673">
        <v>357</v>
      </c>
      <c r="B34" s="676" t="s">
        <v>923</v>
      </c>
      <c r="C34" s="677" t="s">
        <v>1550</v>
      </c>
      <c r="D34" s="677" t="s">
        <v>1572</v>
      </c>
      <c r="E34" s="677" t="s">
        <v>113</v>
      </c>
      <c r="F34" s="677" t="s">
        <v>924</v>
      </c>
      <c r="G34" s="677" t="s">
        <v>1542</v>
      </c>
      <c r="H34" s="679"/>
      <c r="I34" s="681" t="s">
        <v>113</v>
      </c>
      <c r="J34" s="686">
        <v>2096575651</v>
      </c>
      <c r="K34" s="687">
        <f>'[5] NON-TEACHING STAFF'!$J$42</f>
        <v>22432784237</v>
      </c>
      <c r="L34" s="688">
        <v>1162181</v>
      </c>
      <c r="M34" s="688" t="e">
        <f>S34-#REF!</f>
        <v>#REF!</v>
      </c>
      <c r="N34" s="689">
        <v>1162181</v>
      </c>
      <c r="O34" s="689">
        <v>96848.4166666667</v>
      </c>
      <c r="P34" s="689"/>
      <c r="Q34" s="689">
        <v>24212.1041666667</v>
      </c>
      <c r="R34" s="689">
        <v>30000</v>
      </c>
      <c r="S34" s="689">
        <v>160985.42</v>
      </c>
      <c r="T34" s="689"/>
      <c r="U34" s="689"/>
      <c r="V34" s="689"/>
      <c r="W34" s="689"/>
      <c r="X34" s="689"/>
      <c r="Y34" s="689"/>
      <c r="Z34" s="689"/>
      <c r="AA34" s="689"/>
      <c r="AB34" s="689"/>
      <c r="AC34" s="689">
        <v>2500</v>
      </c>
      <c r="AD34" s="710"/>
      <c r="AE34" s="689"/>
      <c r="AF34" s="711"/>
      <c r="AG34" s="710"/>
      <c r="AH34" s="713">
        <v>34500</v>
      </c>
      <c r="AI34" s="714"/>
      <c r="AJ34" s="689">
        <v>2500</v>
      </c>
      <c r="AK34" s="689"/>
      <c r="AL34" s="689">
        <v>383.33</v>
      </c>
      <c r="AM34" s="689"/>
      <c r="AN34" s="689"/>
      <c r="AO34" s="689"/>
      <c r="AP34" s="689"/>
      <c r="AQ34" s="689"/>
      <c r="AR34" s="689"/>
      <c r="AS34" s="689"/>
      <c r="AT34" s="689"/>
      <c r="AU34" s="689">
        <f>S34*0.03</f>
        <v>4829.5626</v>
      </c>
      <c r="AV34" s="689"/>
      <c r="AW34" s="689"/>
      <c r="AX34" s="718"/>
      <c r="AY34" s="718"/>
      <c r="AZ34" s="718"/>
      <c r="BA34" s="689"/>
      <c r="BB34" s="689">
        <v>20000</v>
      </c>
      <c r="BC34" s="689"/>
      <c r="BD34" s="719"/>
      <c r="BE34" s="719">
        <f t="shared" si="22"/>
        <v>4829.5626</v>
      </c>
      <c r="BF34" s="689"/>
      <c r="BG34" s="689"/>
      <c r="BH34" s="727">
        <v>2000</v>
      </c>
      <c r="BI34" s="689"/>
      <c r="BJ34" s="689"/>
      <c r="BK34" s="689"/>
      <c r="BL34" s="689"/>
      <c r="BM34" s="689"/>
      <c r="BN34" s="689"/>
      <c r="BO34" s="689">
        <v>58205.13</v>
      </c>
      <c r="BP34" s="689"/>
      <c r="BQ34" s="689"/>
      <c r="BR34" s="731"/>
      <c r="BS34" s="731"/>
      <c r="BT34" s="731"/>
      <c r="BU34" s="731"/>
      <c r="BV34" s="731"/>
      <c r="BW34" s="731"/>
      <c r="BX34" s="731"/>
      <c r="BY34" s="731"/>
      <c r="BZ34" s="731">
        <v>1000</v>
      </c>
      <c r="CA34" s="718">
        <v>3128.88</v>
      </c>
      <c r="CB34" s="735"/>
      <c r="CC34" s="731">
        <v>15396.45</v>
      </c>
      <c r="CD34" s="702">
        <f t="shared" si="8"/>
        <v>200485.42</v>
      </c>
      <c r="CE34" s="731">
        <f t="shared" si="9"/>
        <v>109389.5852</v>
      </c>
      <c r="CF34" s="739">
        <f t="shared" si="26"/>
        <v>91095.8348</v>
      </c>
      <c r="CG34" s="742">
        <f t="shared" si="1"/>
        <v>109389.5852</v>
      </c>
      <c r="CH34" s="743" t="e">
        <f>'[6]JACKSON AKPOJARO '!C200*12</f>
        <v>#REF!</v>
      </c>
      <c r="CI34" s="744" t="e">
        <f t="shared" si="10"/>
        <v>#REF!</v>
      </c>
      <c r="CJ34" s="745">
        <f t="shared" ref="CJ34:CJ47" si="27">CB34*12</f>
        <v>0</v>
      </c>
      <c r="CK34" s="748" t="e">
        <f t="shared" si="11"/>
        <v>#REF!</v>
      </c>
      <c r="CL34" s="749" t="e">
        <f t="shared" si="12"/>
        <v>#REF!</v>
      </c>
      <c r="CM34" s="744"/>
      <c r="CN34" s="745" t="e">
        <f t="shared" si="13"/>
        <v>#REF!</v>
      </c>
      <c r="CO34" s="745" t="e">
        <f t="shared" si="14"/>
        <v>#REF!</v>
      </c>
      <c r="CP34" s="745" t="e">
        <f t="shared" si="15"/>
        <v>#REF!</v>
      </c>
      <c r="CQ34" s="745" t="e">
        <f t="shared" si="16"/>
        <v>#REF!</v>
      </c>
      <c r="CR34" s="745" t="e">
        <f t="shared" si="17"/>
        <v>#REF!</v>
      </c>
      <c r="CS34" s="745" t="e">
        <f t="shared" si="18"/>
        <v>#REF!</v>
      </c>
      <c r="CT34" s="754" t="e">
        <f t="shared" si="24"/>
        <v>#REF!</v>
      </c>
      <c r="CU34" s="755" t="e">
        <f t="shared" si="21"/>
        <v>#REF!</v>
      </c>
      <c r="CV34" s="756">
        <f t="shared" ref="CV34:CV40" si="28">CC34</f>
        <v>15396.45</v>
      </c>
      <c r="CW34" s="757"/>
      <c r="CX34" s="758"/>
      <c r="CY34" s="759"/>
      <c r="CZ34" s="760"/>
      <c r="DA34" s="767"/>
    </row>
    <row r="35" ht="236" customHeight="1" spans="1:105">
      <c r="A35" s="675">
        <v>358</v>
      </c>
      <c r="B35" s="676" t="s">
        <v>925</v>
      </c>
      <c r="C35" s="677" t="s">
        <v>1527</v>
      </c>
      <c r="D35" s="677" t="s">
        <v>1573</v>
      </c>
      <c r="E35" s="677" t="s">
        <v>135</v>
      </c>
      <c r="F35" s="1452" t="s">
        <v>926</v>
      </c>
      <c r="G35" s="677" t="s">
        <v>1574</v>
      </c>
      <c r="H35" s="677" t="s">
        <v>1575</v>
      </c>
      <c r="I35" s="681" t="s">
        <v>135</v>
      </c>
      <c r="J35" s="686" t="s">
        <v>926</v>
      </c>
      <c r="K35" s="687" t="str">
        <f>'[5] NON-TEACHING STAFF'!$J$43</f>
        <v>22235877000</v>
      </c>
      <c r="L35" s="688">
        <v>1762132</v>
      </c>
      <c r="M35" s="688" t="e">
        <f>S35-#REF!</f>
        <v>#REF!</v>
      </c>
      <c r="N35" s="689">
        <v>1857913</v>
      </c>
      <c r="O35" s="689">
        <v>154826.083333333</v>
      </c>
      <c r="P35" s="689"/>
      <c r="Q35" s="689">
        <v>38706.5208333333</v>
      </c>
      <c r="R35" s="689">
        <v>30000</v>
      </c>
      <c r="S35" s="689">
        <v>223532.58</v>
      </c>
      <c r="T35" s="689"/>
      <c r="U35" s="689"/>
      <c r="V35" s="689"/>
      <c r="W35" s="689"/>
      <c r="X35" s="689"/>
      <c r="Y35" s="689"/>
      <c r="Z35" s="689"/>
      <c r="AA35" s="689"/>
      <c r="AB35" s="689"/>
      <c r="AC35" s="689">
        <v>2500</v>
      </c>
      <c r="AD35" s="689"/>
      <c r="AE35" s="689"/>
      <c r="AF35" s="689"/>
      <c r="AG35" s="689"/>
      <c r="AH35" s="689"/>
      <c r="AI35" s="689"/>
      <c r="AJ35" s="689">
        <v>2500</v>
      </c>
      <c r="AK35" s="689"/>
      <c r="AL35" s="689">
        <v>383.33</v>
      </c>
      <c r="AM35" s="689"/>
      <c r="AN35" s="689"/>
      <c r="AO35" s="689"/>
      <c r="AP35" s="689"/>
      <c r="AQ35" s="689"/>
      <c r="AR35" s="689"/>
      <c r="AS35" s="689"/>
      <c r="AT35" s="689"/>
      <c r="AU35" s="689">
        <f t="shared" si="6"/>
        <v>8941.3032</v>
      </c>
      <c r="AV35" s="689"/>
      <c r="AW35" s="689">
        <v>1500</v>
      </c>
      <c r="AX35" s="718">
        <f>S35*0.02</f>
        <v>4470.6516</v>
      </c>
      <c r="AY35" s="718"/>
      <c r="AZ35" s="718"/>
      <c r="BA35" s="689"/>
      <c r="BB35" s="689"/>
      <c r="BC35" s="689"/>
      <c r="BD35" s="719"/>
      <c r="BE35" s="719"/>
      <c r="BF35" s="689"/>
      <c r="BG35" s="689"/>
      <c r="BH35" s="727"/>
      <c r="BI35" s="689"/>
      <c r="BJ35" s="689"/>
      <c r="BK35" s="689"/>
      <c r="BL35" s="689"/>
      <c r="BM35" s="689"/>
      <c r="BN35" s="689"/>
      <c r="BO35" s="689">
        <v>10000</v>
      </c>
      <c r="BP35" s="689"/>
      <c r="BQ35" s="689"/>
      <c r="BR35" s="731"/>
      <c r="BS35" s="731"/>
      <c r="BT35" s="731"/>
      <c r="BU35" s="731"/>
      <c r="BV35" s="731"/>
      <c r="BW35" s="731"/>
      <c r="BX35" s="731">
        <v>5000</v>
      </c>
      <c r="BY35" s="731"/>
      <c r="BZ35" s="731">
        <v>1500</v>
      </c>
      <c r="CA35" s="718">
        <f>CD35*0.02</f>
        <v>4570.6516</v>
      </c>
      <c r="CB35" s="735"/>
      <c r="CC35" s="731">
        <v>25560.1441666667</v>
      </c>
      <c r="CD35" s="702">
        <f t="shared" si="8"/>
        <v>228532.58</v>
      </c>
      <c r="CE35" s="731">
        <f t="shared" si="9"/>
        <v>61542.7505666667</v>
      </c>
      <c r="CF35" s="739">
        <f t="shared" si="26"/>
        <v>166989.829433333</v>
      </c>
      <c r="CG35" s="742">
        <f t="shared" si="1"/>
        <v>61542.7505666667</v>
      </c>
      <c r="CH35" s="743" t="e">
        <f>'[6]JACKSON AKPOJARO '!C201*12</f>
        <v>#REF!</v>
      </c>
      <c r="CI35" s="744" t="e">
        <f t="shared" si="10"/>
        <v>#REF!</v>
      </c>
      <c r="CJ35" s="745">
        <f t="shared" si="27"/>
        <v>0</v>
      </c>
      <c r="CK35" s="748" t="e">
        <f t="shared" si="11"/>
        <v>#REF!</v>
      </c>
      <c r="CL35" s="749" t="e">
        <f t="shared" si="12"/>
        <v>#REF!</v>
      </c>
      <c r="CM35" s="744"/>
      <c r="CN35" s="745" t="e">
        <f t="shared" si="13"/>
        <v>#REF!</v>
      </c>
      <c r="CO35" s="745" t="e">
        <f t="shared" si="14"/>
        <v>#REF!</v>
      </c>
      <c r="CP35" s="745" t="e">
        <f t="shared" si="15"/>
        <v>#REF!</v>
      </c>
      <c r="CQ35" s="745" t="e">
        <f t="shared" si="16"/>
        <v>#REF!</v>
      </c>
      <c r="CR35" s="745" t="e">
        <f t="shared" si="17"/>
        <v>#REF!</v>
      </c>
      <c r="CS35" s="745" t="e">
        <f t="shared" si="18"/>
        <v>#REF!</v>
      </c>
      <c r="CT35" s="754" t="e">
        <f t="shared" si="24"/>
        <v>#REF!</v>
      </c>
      <c r="CU35" s="755" t="e">
        <f t="shared" si="21"/>
        <v>#REF!</v>
      </c>
      <c r="CV35" s="756">
        <f t="shared" si="28"/>
        <v>25560.1441666667</v>
      </c>
      <c r="CW35" s="757"/>
      <c r="CX35" s="758"/>
      <c r="CY35" s="759"/>
      <c r="CZ35" s="760"/>
      <c r="DA35" s="767"/>
    </row>
    <row r="36" ht="236" customHeight="1" spans="1:105">
      <c r="A36" s="673">
        <v>359</v>
      </c>
      <c r="B36" s="676" t="s">
        <v>927</v>
      </c>
      <c r="C36" s="677" t="s">
        <v>1527</v>
      </c>
      <c r="D36" s="677" t="s">
        <v>1573</v>
      </c>
      <c r="E36" s="677" t="s">
        <v>873</v>
      </c>
      <c r="F36" s="1452" t="s">
        <v>928</v>
      </c>
      <c r="G36" s="677" t="s">
        <v>1576</v>
      </c>
      <c r="H36" s="679"/>
      <c r="I36" s="681" t="s">
        <v>127</v>
      </c>
      <c r="J36" s="686" t="s">
        <v>928</v>
      </c>
      <c r="K36" s="687">
        <f>'[5] NON-TEACHING STAFF'!$J$44</f>
        <v>22229879595</v>
      </c>
      <c r="L36" s="688">
        <v>1762132</v>
      </c>
      <c r="M36" s="688" t="e">
        <f>S36-#REF!</f>
        <v>#REF!</v>
      </c>
      <c r="N36" s="689">
        <v>1857913</v>
      </c>
      <c r="O36" s="689">
        <v>154826.083333333</v>
      </c>
      <c r="P36" s="689"/>
      <c r="Q36" s="689">
        <v>38706.5208333333</v>
      </c>
      <c r="R36" s="689">
        <v>30000</v>
      </c>
      <c r="S36" s="689">
        <v>229231.25</v>
      </c>
      <c r="T36" s="689"/>
      <c r="U36" s="689"/>
      <c r="V36" s="689"/>
      <c r="W36" s="689"/>
      <c r="X36" s="689"/>
      <c r="Y36" s="689"/>
      <c r="Z36" s="689"/>
      <c r="AA36" s="689"/>
      <c r="AB36" s="689"/>
      <c r="AC36" s="689">
        <v>2500</v>
      </c>
      <c r="AD36" s="689"/>
      <c r="AE36" s="689"/>
      <c r="AF36" s="689"/>
      <c r="AG36" s="689"/>
      <c r="AH36" s="689">
        <v>46000</v>
      </c>
      <c r="AI36" s="689"/>
      <c r="AJ36" s="689">
        <v>2500</v>
      </c>
      <c r="AK36" s="689"/>
      <c r="AL36" s="689">
        <v>383.33</v>
      </c>
      <c r="AM36" s="689"/>
      <c r="AN36" s="689"/>
      <c r="AO36" s="689"/>
      <c r="AP36" s="689"/>
      <c r="AQ36" s="689"/>
      <c r="AR36" s="689"/>
      <c r="AS36" s="689"/>
      <c r="AT36" s="689"/>
      <c r="AU36" s="689">
        <f t="shared" si="6"/>
        <v>9169.25</v>
      </c>
      <c r="AV36" s="689"/>
      <c r="AW36" s="689">
        <v>1500</v>
      </c>
      <c r="AX36" s="718">
        <f t="shared" si="19"/>
        <v>4584.625</v>
      </c>
      <c r="AY36" s="718"/>
      <c r="AZ36" s="718"/>
      <c r="BA36" s="689"/>
      <c r="BB36" s="689"/>
      <c r="BC36" s="689"/>
      <c r="BD36" s="719"/>
      <c r="BE36" s="719"/>
      <c r="BF36" s="689"/>
      <c r="BG36" s="689"/>
      <c r="BH36" s="727">
        <v>3000</v>
      </c>
      <c r="BI36" s="689"/>
      <c r="BJ36" s="689"/>
      <c r="BK36" s="689"/>
      <c r="BL36" s="689"/>
      <c r="BM36" s="689"/>
      <c r="BN36" s="689"/>
      <c r="BO36" s="689">
        <v>10000</v>
      </c>
      <c r="BP36" s="689"/>
      <c r="BQ36" s="689"/>
      <c r="BR36" s="731"/>
      <c r="BS36" s="731"/>
      <c r="BT36" s="731"/>
      <c r="BU36" s="731"/>
      <c r="BV36" s="731"/>
      <c r="BW36" s="731"/>
      <c r="BX36" s="731"/>
      <c r="BY36" s="731"/>
      <c r="BZ36" s="731">
        <v>1500</v>
      </c>
      <c r="CA36" s="718">
        <f t="shared" si="7"/>
        <v>5604.625</v>
      </c>
      <c r="CB36" s="735"/>
      <c r="CC36" s="731">
        <v>34245.52</v>
      </c>
      <c r="CD36" s="702">
        <f t="shared" si="8"/>
        <v>280231.25</v>
      </c>
      <c r="CE36" s="731">
        <f t="shared" si="9"/>
        <v>69604.02</v>
      </c>
      <c r="CF36" s="739">
        <f t="shared" si="26"/>
        <v>210627.23</v>
      </c>
      <c r="CG36" s="742">
        <f t="shared" si="1"/>
        <v>69604.02</v>
      </c>
      <c r="CH36" s="743" t="e">
        <f>'[6]JACKSON AKPOJARO '!C202*12</f>
        <v>#REF!</v>
      </c>
      <c r="CI36" s="744" t="e">
        <f t="shared" si="10"/>
        <v>#REF!</v>
      </c>
      <c r="CJ36" s="745">
        <f t="shared" si="27"/>
        <v>0</v>
      </c>
      <c r="CK36" s="748" t="e">
        <f t="shared" si="11"/>
        <v>#REF!</v>
      </c>
      <c r="CL36" s="749" t="e">
        <f t="shared" si="12"/>
        <v>#REF!</v>
      </c>
      <c r="CM36" s="744"/>
      <c r="CN36" s="745" t="e">
        <f t="shared" si="13"/>
        <v>#REF!</v>
      </c>
      <c r="CO36" s="745" t="e">
        <f t="shared" si="14"/>
        <v>#REF!</v>
      </c>
      <c r="CP36" s="745" t="e">
        <f t="shared" si="15"/>
        <v>#REF!</v>
      </c>
      <c r="CQ36" s="745" t="e">
        <f t="shared" si="16"/>
        <v>#REF!</v>
      </c>
      <c r="CR36" s="745" t="e">
        <f t="shared" si="17"/>
        <v>#REF!</v>
      </c>
      <c r="CS36" s="745" t="e">
        <f t="shared" si="18"/>
        <v>#REF!</v>
      </c>
      <c r="CT36" s="754" t="e">
        <f t="shared" si="24"/>
        <v>#REF!</v>
      </c>
      <c r="CU36" s="755" t="e">
        <f t="shared" si="21"/>
        <v>#REF!</v>
      </c>
      <c r="CV36" s="756">
        <f t="shared" si="28"/>
        <v>34245.52</v>
      </c>
      <c r="CW36" s="757"/>
      <c r="CX36" s="758"/>
      <c r="CY36" s="759"/>
      <c r="CZ36" s="760"/>
      <c r="DA36" s="767"/>
    </row>
    <row r="37" ht="236" customHeight="1" spans="1:105">
      <c r="A37" s="675">
        <v>360</v>
      </c>
      <c r="B37" s="676" t="s">
        <v>929</v>
      </c>
      <c r="C37" s="677" t="s">
        <v>1527</v>
      </c>
      <c r="D37" s="677" t="s">
        <v>1573</v>
      </c>
      <c r="E37" s="677" t="s">
        <v>873</v>
      </c>
      <c r="F37" s="1452" t="s">
        <v>930</v>
      </c>
      <c r="G37" s="677" t="s">
        <v>1574</v>
      </c>
      <c r="H37" s="679"/>
      <c r="I37" s="681" t="s">
        <v>127</v>
      </c>
      <c r="J37" s="686" t="s">
        <v>930</v>
      </c>
      <c r="K37" s="687">
        <f>'[5] NON-TEACHING STAFF'!$J$44</f>
        <v>22229879595</v>
      </c>
      <c r="L37" s="688">
        <v>1762132</v>
      </c>
      <c r="M37" s="688" t="e">
        <f>S37-#REF!</f>
        <v>#REF!</v>
      </c>
      <c r="N37" s="689">
        <v>1857913</v>
      </c>
      <c r="O37" s="689">
        <v>154826.083333333</v>
      </c>
      <c r="P37" s="689"/>
      <c r="Q37" s="689">
        <v>38706.5208333333</v>
      </c>
      <c r="R37" s="689">
        <v>30000</v>
      </c>
      <c r="S37" s="689">
        <v>223532.58</v>
      </c>
      <c r="T37" s="689"/>
      <c r="U37" s="689"/>
      <c r="V37" s="689"/>
      <c r="W37" s="689"/>
      <c r="X37" s="689"/>
      <c r="Y37" s="689"/>
      <c r="Z37" s="689"/>
      <c r="AA37" s="689"/>
      <c r="AB37" s="689"/>
      <c r="AC37" s="689">
        <v>2500</v>
      </c>
      <c r="AD37" s="689"/>
      <c r="AE37" s="689"/>
      <c r="AF37" s="689"/>
      <c r="AG37" s="689"/>
      <c r="AH37" s="689"/>
      <c r="AI37" s="689"/>
      <c r="AJ37" s="689">
        <v>2500</v>
      </c>
      <c r="AK37" s="689"/>
      <c r="AL37" s="689">
        <v>383.33</v>
      </c>
      <c r="AM37" s="689"/>
      <c r="AN37" s="689"/>
      <c r="AO37" s="689"/>
      <c r="AP37" s="689"/>
      <c r="AQ37" s="689"/>
      <c r="AR37" s="689"/>
      <c r="AS37" s="689"/>
      <c r="AT37" s="689"/>
      <c r="AU37" s="689">
        <f t="shared" si="6"/>
        <v>8941.3032</v>
      </c>
      <c r="AV37" s="689"/>
      <c r="AW37" s="689">
        <v>1500</v>
      </c>
      <c r="AX37" s="718">
        <f t="shared" si="19"/>
        <v>4470.6516</v>
      </c>
      <c r="AY37" s="718"/>
      <c r="AZ37" s="718"/>
      <c r="BA37" s="689"/>
      <c r="BB37" s="689"/>
      <c r="BC37" s="689"/>
      <c r="BD37" s="719"/>
      <c r="BE37" s="719"/>
      <c r="BF37" s="689"/>
      <c r="BG37" s="689"/>
      <c r="BH37" s="727"/>
      <c r="BI37" s="689"/>
      <c r="BJ37" s="689"/>
      <c r="BK37" s="689"/>
      <c r="BL37" s="689"/>
      <c r="BM37" s="689"/>
      <c r="BN37" s="689"/>
      <c r="BO37" s="689">
        <v>0</v>
      </c>
      <c r="BP37" s="689"/>
      <c r="BQ37" s="689"/>
      <c r="BR37" s="731"/>
      <c r="BS37" s="731"/>
      <c r="BT37" s="731"/>
      <c r="BU37" s="731"/>
      <c r="BV37" s="731"/>
      <c r="BW37" s="731"/>
      <c r="BX37" s="731"/>
      <c r="BY37" s="731">
        <v>2000</v>
      </c>
      <c r="BZ37" s="731">
        <v>1500</v>
      </c>
      <c r="CA37" s="718">
        <f t="shared" si="7"/>
        <v>4570.6516</v>
      </c>
      <c r="CB37" s="735"/>
      <c r="CC37" s="731">
        <v>25560.1441666667</v>
      </c>
      <c r="CD37" s="702">
        <f t="shared" si="8"/>
        <v>228532.58</v>
      </c>
      <c r="CE37" s="731">
        <f t="shared" si="9"/>
        <v>48542.7505666667</v>
      </c>
      <c r="CF37" s="739">
        <f t="shared" si="26"/>
        <v>179989.829433333</v>
      </c>
      <c r="CG37" s="742">
        <f t="shared" si="1"/>
        <v>48542.7505666667</v>
      </c>
      <c r="CH37" s="743" t="e">
        <f>'[6]JACKSON AKPOJARO '!C203*12</f>
        <v>#REF!</v>
      </c>
      <c r="CI37" s="744" t="e">
        <f t="shared" si="10"/>
        <v>#REF!</v>
      </c>
      <c r="CJ37" s="745">
        <f t="shared" si="27"/>
        <v>0</v>
      </c>
      <c r="CK37" s="748" t="e">
        <f t="shared" si="11"/>
        <v>#REF!</v>
      </c>
      <c r="CL37" s="749" t="e">
        <f t="shared" si="12"/>
        <v>#REF!</v>
      </c>
      <c r="CM37" s="744"/>
      <c r="CN37" s="745" t="e">
        <f t="shared" si="13"/>
        <v>#REF!</v>
      </c>
      <c r="CO37" s="745" t="e">
        <f t="shared" si="14"/>
        <v>#REF!</v>
      </c>
      <c r="CP37" s="745" t="e">
        <f t="shared" si="15"/>
        <v>#REF!</v>
      </c>
      <c r="CQ37" s="745" t="e">
        <f t="shared" si="16"/>
        <v>#REF!</v>
      </c>
      <c r="CR37" s="745" t="e">
        <f t="shared" si="17"/>
        <v>#REF!</v>
      </c>
      <c r="CS37" s="745" t="e">
        <f t="shared" si="18"/>
        <v>#REF!</v>
      </c>
      <c r="CT37" s="754" t="e">
        <f t="shared" si="24"/>
        <v>#REF!</v>
      </c>
      <c r="CU37" s="755" t="e">
        <f t="shared" si="21"/>
        <v>#REF!</v>
      </c>
      <c r="CV37" s="756">
        <f t="shared" si="28"/>
        <v>25560.1441666667</v>
      </c>
      <c r="CW37" s="757"/>
      <c r="CX37" s="758"/>
      <c r="CY37" s="759"/>
      <c r="CZ37" s="760"/>
      <c r="DA37" s="767"/>
    </row>
    <row r="38" ht="236" customHeight="1" spans="1:105">
      <c r="A38" s="673">
        <v>361</v>
      </c>
      <c r="B38" s="676" t="s">
        <v>931</v>
      </c>
      <c r="C38" s="677" t="s">
        <v>1527</v>
      </c>
      <c r="D38" s="677" t="s">
        <v>1573</v>
      </c>
      <c r="E38" s="677" t="s">
        <v>113</v>
      </c>
      <c r="F38" s="677" t="s">
        <v>932</v>
      </c>
      <c r="G38" s="677" t="s">
        <v>1577</v>
      </c>
      <c r="H38" s="679"/>
      <c r="I38" s="681" t="s">
        <v>113</v>
      </c>
      <c r="J38" s="686">
        <v>2057839989</v>
      </c>
      <c r="K38" s="687" t="str">
        <f>'[5] NON-TEACHING STAFF'!$J$46</f>
        <v>22335485233</v>
      </c>
      <c r="L38" s="688">
        <v>1912620</v>
      </c>
      <c r="M38" s="688" t="e">
        <f>S38-#REF!</f>
        <v>#REF!</v>
      </c>
      <c r="N38" s="689">
        <v>2076743</v>
      </c>
      <c r="O38" s="689">
        <v>173061.916666667</v>
      </c>
      <c r="P38" s="689"/>
      <c r="Q38" s="689">
        <v>43265.4791666667</v>
      </c>
      <c r="R38" s="689">
        <v>30000</v>
      </c>
      <c r="S38" s="689">
        <v>252026</v>
      </c>
      <c r="T38" s="689"/>
      <c r="U38" s="689"/>
      <c r="V38" s="689"/>
      <c r="W38" s="689"/>
      <c r="X38" s="689"/>
      <c r="Y38" s="689"/>
      <c r="Z38" s="689"/>
      <c r="AA38" s="689"/>
      <c r="AB38" s="689">
        <v>25000</v>
      </c>
      <c r="AC38" s="689">
        <v>2500</v>
      </c>
      <c r="AD38" s="689"/>
      <c r="AE38" s="689"/>
      <c r="AF38" s="689"/>
      <c r="AG38" s="689"/>
      <c r="AH38" s="689"/>
      <c r="AI38" s="689"/>
      <c r="AJ38" s="689">
        <v>2500</v>
      </c>
      <c r="AK38" s="689"/>
      <c r="AL38" s="689">
        <v>383.33</v>
      </c>
      <c r="AM38" s="689"/>
      <c r="AN38" s="689"/>
      <c r="AO38" s="689"/>
      <c r="AP38" s="689"/>
      <c r="AQ38" s="689"/>
      <c r="AR38" s="689"/>
      <c r="AS38" s="689"/>
      <c r="AT38" s="689"/>
      <c r="AU38" s="689">
        <f t="shared" si="6"/>
        <v>10081.04</v>
      </c>
      <c r="AV38" s="689"/>
      <c r="AW38" s="689">
        <v>1500</v>
      </c>
      <c r="AX38" s="718">
        <f t="shared" si="19"/>
        <v>5040.52</v>
      </c>
      <c r="AY38" s="718"/>
      <c r="AZ38" s="718">
        <v>1000</v>
      </c>
      <c r="BA38" s="689"/>
      <c r="BB38" s="689"/>
      <c r="BC38" s="689"/>
      <c r="BD38" s="719"/>
      <c r="BE38" s="719"/>
      <c r="BF38" s="689"/>
      <c r="BG38" s="689"/>
      <c r="BH38" s="727"/>
      <c r="BI38" s="689"/>
      <c r="BJ38" s="689"/>
      <c r="BK38" s="689"/>
      <c r="BL38" s="689"/>
      <c r="BM38" s="689"/>
      <c r="BN38" s="689"/>
      <c r="BO38" s="689">
        <v>136667</v>
      </c>
      <c r="BP38" s="689"/>
      <c r="BQ38" s="689"/>
      <c r="BR38" s="731"/>
      <c r="BS38" s="731"/>
      <c r="BT38" s="731"/>
      <c r="BU38" s="731"/>
      <c r="BV38" s="731"/>
      <c r="BW38" s="731"/>
      <c r="BX38" s="731">
        <v>5000</v>
      </c>
      <c r="BY38" s="731"/>
      <c r="BZ38" s="731">
        <v>1500</v>
      </c>
      <c r="CA38" s="718">
        <f t="shared" si="7"/>
        <v>5640.52</v>
      </c>
      <c r="CB38" s="735"/>
      <c r="CC38" s="731">
        <v>34547.03</v>
      </c>
      <c r="CD38" s="702">
        <f t="shared" si="8"/>
        <v>282026</v>
      </c>
      <c r="CE38" s="731">
        <f t="shared" si="9"/>
        <v>200976.11</v>
      </c>
      <c r="CF38" s="739">
        <f t="shared" si="26"/>
        <v>81049.89</v>
      </c>
      <c r="CG38" s="742">
        <f t="shared" si="1"/>
        <v>200976.11</v>
      </c>
      <c r="CH38" s="743" t="e">
        <f>'[6]JACKSON AKPOJARO '!C204*12</f>
        <v>#REF!</v>
      </c>
      <c r="CI38" s="744" t="e">
        <f t="shared" si="10"/>
        <v>#REF!</v>
      </c>
      <c r="CJ38" s="745">
        <f t="shared" si="27"/>
        <v>0</v>
      </c>
      <c r="CK38" s="748" t="e">
        <f t="shared" si="11"/>
        <v>#REF!</v>
      </c>
      <c r="CL38" s="749" t="e">
        <f t="shared" si="12"/>
        <v>#REF!</v>
      </c>
      <c r="CM38" s="744"/>
      <c r="CN38" s="745" t="e">
        <f t="shared" si="13"/>
        <v>#REF!</v>
      </c>
      <c r="CO38" s="745" t="e">
        <f t="shared" si="14"/>
        <v>#REF!</v>
      </c>
      <c r="CP38" s="745" t="e">
        <f t="shared" si="15"/>
        <v>#REF!</v>
      </c>
      <c r="CQ38" s="745" t="e">
        <f t="shared" si="16"/>
        <v>#REF!</v>
      </c>
      <c r="CR38" s="745" t="e">
        <f t="shared" si="17"/>
        <v>#REF!</v>
      </c>
      <c r="CS38" s="745" t="e">
        <f t="shared" si="18"/>
        <v>#REF!</v>
      </c>
      <c r="CT38" s="754" t="e">
        <f t="shared" si="24"/>
        <v>#REF!</v>
      </c>
      <c r="CU38" s="755" t="e">
        <f t="shared" si="21"/>
        <v>#REF!</v>
      </c>
      <c r="CV38" s="756">
        <f t="shared" si="28"/>
        <v>34547.03</v>
      </c>
      <c r="CW38" s="757"/>
      <c r="CX38" s="758"/>
      <c r="CY38" s="759"/>
      <c r="CZ38" s="760"/>
      <c r="DA38" s="767"/>
    </row>
    <row r="39" ht="236" customHeight="1" spans="1:105">
      <c r="A39" s="675">
        <v>362</v>
      </c>
      <c r="B39" s="676" t="s">
        <v>933</v>
      </c>
      <c r="C39" s="677" t="s">
        <v>1527</v>
      </c>
      <c r="D39" s="677" t="s">
        <v>1573</v>
      </c>
      <c r="E39" s="677" t="s">
        <v>934</v>
      </c>
      <c r="F39" s="1452" t="s">
        <v>935</v>
      </c>
      <c r="G39" s="677" t="s">
        <v>1576</v>
      </c>
      <c r="H39" s="679"/>
      <c r="I39" s="681" t="s">
        <v>127</v>
      </c>
      <c r="J39" s="686" t="s">
        <v>1578</v>
      </c>
      <c r="K39" s="693" t="str">
        <f>'[5] NON-TEACHING STAFF'!$J$47</f>
        <v>22142264607</v>
      </c>
      <c r="L39" s="688">
        <f>L37</f>
        <v>1762132</v>
      </c>
      <c r="M39" s="688" t="e">
        <f>S39-#REF!</f>
        <v>#REF!</v>
      </c>
      <c r="N39" s="689">
        <v>1857913</v>
      </c>
      <c r="O39" s="689">
        <v>154826.083333333</v>
      </c>
      <c r="P39" s="689"/>
      <c r="Q39" s="689">
        <v>38706.5208333333</v>
      </c>
      <c r="R39" s="689">
        <v>30000</v>
      </c>
      <c r="S39" s="689">
        <v>229231.25</v>
      </c>
      <c r="T39" s="689"/>
      <c r="U39" s="689"/>
      <c r="V39" s="689"/>
      <c r="W39" s="689"/>
      <c r="X39" s="689"/>
      <c r="Y39" s="689"/>
      <c r="Z39" s="689"/>
      <c r="AA39" s="689"/>
      <c r="AB39" s="689">
        <v>12500</v>
      </c>
      <c r="AC39" s="689">
        <v>2500</v>
      </c>
      <c r="AD39" s="689"/>
      <c r="AE39" s="689"/>
      <c r="AF39" s="689"/>
      <c r="AG39" s="689"/>
      <c r="AH39" s="689">
        <v>46000</v>
      </c>
      <c r="AI39" s="689"/>
      <c r="AJ39" s="689">
        <v>2500</v>
      </c>
      <c r="AK39" s="689"/>
      <c r="AL39" s="689">
        <v>383.33</v>
      </c>
      <c r="AM39" s="689"/>
      <c r="AN39" s="689"/>
      <c r="AO39" s="689"/>
      <c r="AP39" s="689"/>
      <c r="AQ39" s="689"/>
      <c r="AR39" s="689"/>
      <c r="AS39" s="689"/>
      <c r="AT39" s="689"/>
      <c r="AU39" s="689">
        <f t="shared" si="6"/>
        <v>9169.25</v>
      </c>
      <c r="AV39" s="689"/>
      <c r="AW39" s="689">
        <v>1500</v>
      </c>
      <c r="AX39" s="718">
        <f t="shared" si="19"/>
        <v>4584.625</v>
      </c>
      <c r="AY39" s="718"/>
      <c r="AZ39" s="718"/>
      <c r="BA39" s="689"/>
      <c r="BB39" s="689"/>
      <c r="BC39" s="689"/>
      <c r="BD39" s="719"/>
      <c r="BE39" s="719"/>
      <c r="BF39" s="689"/>
      <c r="BG39" s="689"/>
      <c r="BH39" s="727"/>
      <c r="BI39" s="689"/>
      <c r="BJ39" s="689"/>
      <c r="BK39" s="689"/>
      <c r="BL39" s="689">
        <v>15000</v>
      </c>
      <c r="BM39" s="689"/>
      <c r="BN39" s="689"/>
      <c r="BO39" s="689">
        <v>51666.6666666667</v>
      </c>
      <c r="BP39" s="689"/>
      <c r="BQ39" s="689"/>
      <c r="BR39" s="731"/>
      <c r="BS39" s="731"/>
      <c r="BT39" s="731"/>
      <c r="BU39" s="731"/>
      <c r="BV39" s="731"/>
      <c r="BW39" s="731"/>
      <c r="BX39" s="731"/>
      <c r="BY39" s="731">
        <v>2000</v>
      </c>
      <c r="BZ39" s="731">
        <v>1500</v>
      </c>
      <c r="CA39" s="718">
        <f t="shared" si="7"/>
        <v>5854.625</v>
      </c>
      <c r="CB39" s="735"/>
      <c r="CC39" s="731">
        <v>36345.52</v>
      </c>
      <c r="CD39" s="702">
        <f t="shared" si="8"/>
        <v>292731.25</v>
      </c>
      <c r="CE39" s="731">
        <f t="shared" si="9"/>
        <v>127620.686666667</v>
      </c>
      <c r="CF39" s="739">
        <f t="shared" si="26"/>
        <v>165110.563333333</v>
      </c>
      <c r="CG39" s="742">
        <f t="shared" si="1"/>
        <v>127620.686666667</v>
      </c>
      <c r="CH39" s="743" t="e">
        <f>'[6]JACKSON AKPOJARO '!C205*12</f>
        <v>#REF!</v>
      </c>
      <c r="CI39" s="744" t="e">
        <f t="shared" si="10"/>
        <v>#REF!</v>
      </c>
      <c r="CJ39" s="745">
        <f t="shared" si="27"/>
        <v>0</v>
      </c>
      <c r="CK39" s="748" t="e">
        <f t="shared" si="11"/>
        <v>#REF!</v>
      </c>
      <c r="CL39" s="749" t="e">
        <f t="shared" si="12"/>
        <v>#REF!</v>
      </c>
      <c r="CM39" s="744"/>
      <c r="CN39" s="745" t="e">
        <f t="shared" si="13"/>
        <v>#REF!</v>
      </c>
      <c r="CO39" s="745" t="e">
        <f t="shared" si="14"/>
        <v>#REF!</v>
      </c>
      <c r="CP39" s="745" t="e">
        <f t="shared" si="15"/>
        <v>#REF!</v>
      </c>
      <c r="CQ39" s="745" t="e">
        <f t="shared" si="16"/>
        <v>#REF!</v>
      </c>
      <c r="CR39" s="745" t="e">
        <f t="shared" si="17"/>
        <v>#REF!</v>
      </c>
      <c r="CS39" s="745" t="e">
        <f t="shared" si="18"/>
        <v>#REF!</v>
      </c>
      <c r="CT39" s="754" t="e">
        <f t="shared" si="24"/>
        <v>#REF!</v>
      </c>
      <c r="CU39" s="755" t="e">
        <f t="shared" si="21"/>
        <v>#REF!</v>
      </c>
      <c r="CV39" s="756">
        <f t="shared" si="28"/>
        <v>36345.52</v>
      </c>
      <c r="CW39" s="757"/>
      <c r="CX39" s="758"/>
      <c r="CY39" s="759"/>
      <c r="CZ39" s="760"/>
      <c r="DA39" s="767"/>
    </row>
    <row r="40" s="657" customFormat="1" ht="236" customHeight="1" spans="1:107">
      <c r="A40" s="673">
        <v>363</v>
      </c>
      <c r="B40" s="676" t="s">
        <v>936</v>
      </c>
      <c r="C40" s="677" t="s">
        <v>1527</v>
      </c>
      <c r="D40" s="677" t="s">
        <v>1573</v>
      </c>
      <c r="E40" s="677" t="s">
        <v>127</v>
      </c>
      <c r="F40" s="1452" t="s">
        <v>937</v>
      </c>
      <c r="G40" s="677" t="s">
        <v>1576</v>
      </c>
      <c r="H40" s="679"/>
      <c r="I40" s="681" t="s">
        <v>127</v>
      </c>
      <c r="J40" s="686" t="s">
        <v>937</v>
      </c>
      <c r="K40" s="687" t="str">
        <f>'[5] NON-TEACHING STAFF'!$J$48</f>
        <v>22255527330</v>
      </c>
      <c r="L40" s="688">
        <v>1762132</v>
      </c>
      <c r="M40" s="688" t="e">
        <f>S40-#REF!</f>
        <v>#REF!</v>
      </c>
      <c r="N40" s="689">
        <v>1857913</v>
      </c>
      <c r="O40" s="689">
        <v>154826.083333333</v>
      </c>
      <c r="P40" s="689"/>
      <c r="Q40" s="689">
        <v>38706.5208333333</v>
      </c>
      <c r="R40" s="689">
        <v>30000</v>
      </c>
      <c r="S40" s="689">
        <v>229231.25</v>
      </c>
      <c r="T40" s="689"/>
      <c r="U40" s="689"/>
      <c r="V40" s="689"/>
      <c r="W40" s="689"/>
      <c r="X40" s="689"/>
      <c r="Y40" s="689"/>
      <c r="Z40" s="689"/>
      <c r="AA40" s="689"/>
      <c r="AB40" s="689"/>
      <c r="AC40" s="689">
        <v>2500</v>
      </c>
      <c r="AD40" s="689"/>
      <c r="AE40" s="689"/>
      <c r="AF40" s="689"/>
      <c r="AG40" s="689"/>
      <c r="AH40" s="689"/>
      <c r="AI40" s="689"/>
      <c r="AJ40" s="689">
        <v>2500</v>
      </c>
      <c r="AK40" s="689"/>
      <c r="AL40" s="689">
        <v>383.33</v>
      </c>
      <c r="AM40" s="689"/>
      <c r="AN40" s="689"/>
      <c r="AO40" s="689"/>
      <c r="AP40" s="689"/>
      <c r="AQ40" s="689"/>
      <c r="AR40" s="689"/>
      <c r="AS40" s="689"/>
      <c r="AT40" s="689"/>
      <c r="AU40" s="689">
        <f t="shared" si="6"/>
        <v>9169.25</v>
      </c>
      <c r="AV40" s="689"/>
      <c r="AW40" s="689">
        <v>1500</v>
      </c>
      <c r="AX40" s="718">
        <f t="shared" si="19"/>
        <v>4584.625</v>
      </c>
      <c r="AY40" s="718"/>
      <c r="AZ40" s="718"/>
      <c r="BA40" s="689"/>
      <c r="BB40" s="689"/>
      <c r="BC40" s="689"/>
      <c r="BD40" s="719"/>
      <c r="BE40" s="719"/>
      <c r="BF40" s="689"/>
      <c r="BG40" s="689"/>
      <c r="BH40" s="727"/>
      <c r="BI40" s="689"/>
      <c r="BJ40" s="689"/>
      <c r="BK40" s="689"/>
      <c r="BL40" s="689"/>
      <c r="BM40" s="689"/>
      <c r="BN40" s="689"/>
      <c r="BO40" s="689">
        <v>20000</v>
      </c>
      <c r="BP40" s="689"/>
      <c r="BQ40" s="689"/>
      <c r="BR40" s="731"/>
      <c r="BS40" s="731"/>
      <c r="BT40" s="731"/>
      <c r="BU40" s="731"/>
      <c r="BV40" s="731"/>
      <c r="BW40" s="731"/>
      <c r="BX40" s="731"/>
      <c r="BY40" s="731">
        <v>2000</v>
      </c>
      <c r="BZ40" s="731">
        <v>1500</v>
      </c>
      <c r="CA40" s="718">
        <f t="shared" si="7"/>
        <v>4684.625</v>
      </c>
      <c r="CB40" s="735"/>
      <c r="CC40" s="731">
        <v>26517.52</v>
      </c>
      <c r="CD40" s="702">
        <f t="shared" si="8"/>
        <v>234231.25</v>
      </c>
      <c r="CE40" s="731">
        <f t="shared" si="9"/>
        <v>69956.02</v>
      </c>
      <c r="CF40" s="739">
        <f t="shared" si="26"/>
        <v>164275.23</v>
      </c>
      <c r="CG40" s="742">
        <f t="shared" si="1"/>
        <v>69956.02</v>
      </c>
      <c r="CH40" s="743" t="e">
        <f>'[6]JACKSON AKPOJARO '!C206*12</f>
        <v>#REF!</v>
      </c>
      <c r="CI40" s="744" t="e">
        <f t="shared" si="10"/>
        <v>#REF!</v>
      </c>
      <c r="CJ40" s="745">
        <f t="shared" si="27"/>
        <v>0</v>
      </c>
      <c r="CK40" s="748" t="e">
        <f t="shared" si="11"/>
        <v>#REF!</v>
      </c>
      <c r="CL40" s="749" t="e">
        <f t="shared" si="12"/>
        <v>#REF!</v>
      </c>
      <c r="CM40" s="744"/>
      <c r="CN40" s="745" t="e">
        <f t="shared" si="13"/>
        <v>#REF!</v>
      </c>
      <c r="CO40" s="745" t="e">
        <f t="shared" si="14"/>
        <v>#REF!</v>
      </c>
      <c r="CP40" s="745" t="e">
        <f t="shared" si="15"/>
        <v>#REF!</v>
      </c>
      <c r="CQ40" s="745" t="e">
        <f t="shared" si="16"/>
        <v>#REF!</v>
      </c>
      <c r="CR40" s="745" t="e">
        <f t="shared" si="17"/>
        <v>#REF!</v>
      </c>
      <c r="CS40" s="745" t="e">
        <f t="shared" si="18"/>
        <v>#REF!</v>
      </c>
      <c r="CT40" s="754" t="e">
        <f t="shared" si="24"/>
        <v>#REF!</v>
      </c>
      <c r="CU40" s="755" t="e">
        <f t="shared" si="21"/>
        <v>#REF!</v>
      </c>
      <c r="CV40" s="756">
        <f t="shared" si="28"/>
        <v>26517.52</v>
      </c>
      <c r="CW40" s="757"/>
      <c r="CX40" s="758"/>
      <c r="CY40" s="759"/>
      <c r="CZ40" s="760"/>
      <c r="DA40" s="767"/>
      <c r="DB40" s="670"/>
      <c r="DC40" s="666"/>
    </row>
    <row r="41" ht="236" customHeight="1" spans="1:105">
      <c r="A41" s="675">
        <v>364</v>
      </c>
      <c r="B41" s="676" t="s">
        <v>938</v>
      </c>
      <c r="C41" s="677" t="s">
        <v>1579</v>
      </c>
      <c r="D41" s="677" t="s">
        <v>1580</v>
      </c>
      <c r="E41" s="681" t="s">
        <v>113</v>
      </c>
      <c r="F41" s="682">
        <v>2036187878</v>
      </c>
      <c r="G41" s="677" t="s">
        <v>1581</v>
      </c>
      <c r="H41" s="679"/>
      <c r="I41" s="681" t="s">
        <v>113</v>
      </c>
      <c r="J41" s="686">
        <v>2036187878</v>
      </c>
      <c r="K41" s="690"/>
      <c r="L41" s="699"/>
      <c r="M41" s="699" t="e">
        <f>S41-#REF!</f>
        <v>#REF!</v>
      </c>
      <c r="N41" s="691">
        <v>1748497</v>
      </c>
      <c r="O41" s="691">
        <v>145708.083333333</v>
      </c>
      <c r="P41" s="691"/>
      <c r="Q41" s="691">
        <v>36427.0208333333</v>
      </c>
      <c r="R41" s="691">
        <v>30000</v>
      </c>
      <c r="S41" s="691">
        <v>217833.92</v>
      </c>
      <c r="T41" s="691"/>
      <c r="U41" s="691"/>
      <c r="V41" s="691"/>
      <c r="W41" s="691"/>
      <c r="X41" s="691"/>
      <c r="Y41" s="691"/>
      <c r="Z41" s="691"/>
      <c r="AA41" s="691"/>
      <c r="AB41" s="691"/>
      <c r="AC41" s="691">
        <v>2500</v>
      </c>
      <c r="AD41" s="691"/>
      <c r="AE41" s="691"/>
      <c r="AF41" s="691"/>
      <c r="AG41" s="691"/>
      <c r="AH41" s="691"/>
      <c r="AI41" s="691"/>
      <c r="AJ41" s="691">
        <v>2500</v>
      </c>
      <c r="AK41" s="691"/>
      <c r="AL41" s="691">
        <v>383.33</v>
      </c>
      <c r="AM41" s="691"/>
      <c r="AN41" s="691"/>
      <c r="AO41" s="691"/>
      <c r="AP41" s="691"/>
      <c r="AQ41" s="691"/>
      <c r="AR41" s="691"/>
      <c r="AS41" s="691"/>
      <c r="AT41" s="691"/>
      <c r="AU41" s="689">
        <f t="shared" si="6"/>
        <v>8713.3568</v>
      </c>
      <c r="AV41" s="689"/>
      <c r="AW41" s="691"/>
      <c r="AX41" s="723">
        <f t="shared" ref="AX41" si="29">S41*0.02</f>
        <v>4356.6784</v>
      </c>
      <c r="AY41" s="723"/>
      <c r="AZ41" s="723"/>
      <c r="BA41" s="691"/>
      <c r="BB41" s="691"/>
      <c r="BC41" s="691"/>
      <c r="BD41" s="720"/>
      <c r="BE41" s="719"/>
      <c r="BF41" s="691"/>
      <c r="BG41" s="691"/>
      <c r="BH41" s="729"/>
      <c r="BI41" s="691"/>
      <c r="BJ41" s="691"/>
      <c r="BK41" s="691"/>
      <c r="BL41" s="691"/>
      <c r="BM41" s="691"/>
      <c r="BN41" s="691"/>
      <c r="BO41" s="691">
        <v>36666.6666666667</v>
      </c>
      <c r="BP41" s="691"/>
      <c r="BQ41" s="691"/>
      <c r="BR41" s="732"/>
      <c r="BS41" s="732"/>
      <c r="BT41" s="732"/>
      <c r="BU41" s="732"/>
      <c r="BV41" s="732"/>
      <c r="BW41" s="732"/>
      <c r="BX41" s="732">
        <v>5000</v>
      </c>
      <c r="BY41" s="732"/>
      <c r="BZ41" s="732">
        <v>1500</v>
      </c>
      <c r="CA41" s="723">
        <f t="shared" si="7"/>
        <v>4456.6784</v>
      </c>
      <c r="CB41" s="736"/>
      <c r="CC41" s="732">
        <v>24602.77</v>
      </c>
      <c r="CD41" s="702">
        <f t="shared" si="8"/>
        <v>222833.92</v>
      </c>
      <c r="CE41" s="731">
        <f t="shared" si="9"/>
        <v>85296.1502666667</v>
      </c>
      <c r="CF41" s="739">
        <f t="shared" si="26"/>
        <v>137537.769733333</v>
      </c>
      <c r="CG41" s="742">
        <f t="shared" si="1"/>
        <v>85296.1502666667</v>
      </c>
      <c r="CH41" s="743" t="e">
        <f>'[6]JACKSON AKPOJARO '!C207*12</f>
        <v>#REF!</v>
      </c>
      <c r="CI41" s="744" t="e">
        <f t="shared" ref="CI41" si="30">200000+(0.2*CH41)</f>
        <v>#REF!</v>
      </c>
      <c r="CJ41" s="745">
        <f t="shared" si="27"/>
        <v>0</v>
      </c>
      <c r="CK41" s="748" t="e">
        <f t="shared" ref="CK41" si="31">SUM(CI41:CJ41)</f>
        <v>#REF!</v>
      </c>
      <c r="CL41" s="749" t="e">
        <f t="shared" ref="CL41" si="32">+CH41-CK41</f>
        <v>#REF!</v>
      </c>
      <c r="CM41" s="744"/>
      <c r="CN41" s="745" t="e">
        <f t="shared" ref="CN41" si="33">IF((CL41&gt;0),(IF((CL41&gt;300000),(300000*7%),(CL41*7%))),(CH41*1%))</f>
        <v>#REF!</v>
      </c>
      <c r="CO41" s="745" t="e">
        <f t="shared" ref="CO41" si="34">IF((CL41-300000)&gt;0,(IF((CL41&gt;600000),(300000*11%),((CL41-300000)*11%))),(""))</f>
        <v>#REF!</v>
      </c>
      <c r="CP41" s="745" t="e">
        <f t="shared" ref="CP41" si="35">IF(((CL41-600000)&gt;0),(IF((CL41&gt;1100000),(500000*15%),((CL41-600000)*15%))),(""))</f>
        <v>#REF!</v>
      </c>
      <c r="CQ41" s="745" t="e">
        <f t="shared" ref="CQ41" si="36">IF(((CL41-(1100000))&gt;0),(IF((CL41&gt;(1600000)),((500000)*19%),((CL41-(1100000))*19%))),(""))</f>
        <v>#REF!</v>
      </c>
      <c r="CR41" s="745" t="e">
        <f t="shared" ref="CR41" si="37">IF(((CL41-(1600000))&gt;0),(IF((CL41&gt;(3200000)),((1600000)*21%),((CL41-(1600000))*21%))),(""))</f>
        <v>#REF!</v>
      </c>
      <c r="CS41" s="745" t="e">
        <f t="shared" ref="CS41" si="38">IF(((CL41-(3200000))&gt;0),(IF((CL41&gt;(3200000)),((CL41-(3200000))*24%),(0))),(""))</f>
        <v>#REF!</v>
      </c>
      <c r="CT41" s="754"/>
      <c r="CU41" s="755"/>
      <c r="CV41" s="756"/>
      <c r="CW41" s="757"/>
      <c r="CX41" s="758"/>
      <c r="CY41" s="759"/>
      <c r="CZ41" s="760"/>
      <c r="DA41" s="767"/>
    </row>
    <row r="42" ht="236" customHeight="1" spans="1:105">
      <c r="A42" s="673">
        <v>365</v>
      </c>
      <c r="B42" s="676" t="s">
        <v>939</v>
      </c>
      <c r="C42" s="677" t="s">
        <v>1527</v>
      </c>
      <c r="D42" s="677" t="s">
        <v>1573</v>
      </c>
      <c r="E42" s="677" t="s">
        <v>915</v>
      </c>
      <c r="F42" s="1452" t="s">
        <v>940</v>
      </c>
      <c r="G42" s="677" t="s">
        <v>1576</v>
      </c>
      <c r="H42" s="679"/>
      <c r="I42" s="681" t="s">
        <v>135</v>
      </c>
      <c r="J42" s="686" t="s">
        <v>940</v>
      </c>
      <c r="K42" s="693" t="str">
        <f>'[5] NON-TEACHING STAFF'!$J$49</f>
        <v>22262835989</v>
      </c>
      <c r="L42" s="688">
        <v>1762132</v>
      </c>
      <c r="M42" s="688" t="e">
        <f>S42-#REF!</f>
        <v>#REF!</v>
      </c>
      <c r="N42" s="689">
        <v>1857913</v>
      </c>
      <c r="O42" s="689">
        <v>154826.083333333</v>
      </c>
      <c r="P42" s="689"/>
      <c r="Q42" s="689">
        <v>38706.5208333333</v>
      </c>
      <c r="R42" s="689">
        <v>30000</v>
      </c>
      <c r="S42" s="689">
        <v>229231.25</v>
      </c>
      <c r="T42" s="689"/>
      <c r="U42" s="689"/>
      <c r="V42" s="689"/>
      <c r="W42" s="689"/>
      <c r="X42" s="689"/>
      <c r="Y42" s="689"/>
      <c r="Z42" s="689"/>
      <c r="AA42" s="689"/>
      <c r="AB42" s="689"/>
      <c r="AC42" s="689">
        <v>2500</v>
      </c>
      <c r="AD42" s="689"/>
      <c r="AE42" s="689"/>
      <c r="AF42" s="689"/>
      <c r="AG42" s="689"/>
      <c r="AH42" s="689"/>
      <c r="AI42" s="689"/>
      <c r="AJ42" s="689">
        <v>2500</v>
      </c>
      <c r="AK42" s="689"/>
      <c r="AL42" s="689">
        <v>383.33</v>
      </c>
      <c r="AM42" s="689"/>
      <c r="AN42" s="689"/>
      <c r="AO42" s="689"/>
      <c r="AP42" s="689"/>
      <c r="AQ42" s="689"/>
      <c r="AR42" s="689"/>
      <c r="AS42" s="689"/>
      <c r="AT42" s="689"/>
      <c r="AU42" s="689">
        <f t="shared" si="6"/>
        <v>9169.25</v>
      </c>
      <c r="AV42" s="689"/>
      <c r="AW42" s="689">
        <v>1500</v>
      </c>
      <c r="AX42" s="718">
        <f t="shared" si="19"/>
        <v>4584.625</v>
      </c>
      <c r="AY42" s="718"/>
      <c r="AZ42" s="718"/>
      <c r="BA42" s="689"/>
      <c r="BB42" s="689"/>
      <c r="BC42" s="689"/>
      <c r="BD42" s="719"/>
      <c r="BE42" s="719"/>
      <c r="BF42" s="689"/>
      <c r="BG42" s="689"/>
      <c r="BH42" s="727"/>
      <c r="BI42" s="689"/>
      <c r="BJ42" s="689"/>
      <c r="BK42" s="689"/>
      <c r="BL42" s="689"/>
      <c r="BM42" s="689"/>
      <c r="BN42" s="689"/>
      <c r="BO42" s="689">
        <v>96041.6666666667</v>
      </c>
      <c r="BP42" s="689"/>
      <c r="BQ42" s="689"/>
      <c r="BR42" s="731"/>
      <c r="BS42" s="731"/>
      <c r="BT42" s="731"/>
      <c r="BU42" s="731"/>
      <c r="BV42" s="731"/>
      <c r="BW42" s="731"/>
      <c r="BX42" s="731">
        <v>5000</v>
      </c>
      <c r="BY42" s="731"/>
      <c r="BZ42" s="731">
        <v>1500</v>
      </c>
      <c r="CA42" s="718">
        <f t="shared" si="7"/>
        <v>4684.625</v>
      </c>
      <c r="CB42" s="735"/>
      <c r="CC42" s="731">
        <v>26517.52</v>
      </c>
      <c r="CD42" s="702">
        <f t="shared" si="8"/>
        <v>234231.25</v>
      </c>
      <c r="CE42" s="731">
        <f t="shared" si="9"/>
        <v>148997.686666667</v>
      </c>
      <c r="CF42" s="739">
        <f t="shared" si="26"/>
        <v>85233.5633333333</v>
      </c>
      <c r="CG42" s="742">
        <f t="shared" si="1"/>
        <v>148997.686666667</v>
      </c>
      <c r="CH42" s="743" t="e">
        <f>'[6]JACKSON AKPOJARO '!C207*12</f>
        <v>#REF!</v>
      </c>
      <c r="CI42" s="744" t="e">
        <f t="shared" si="10"/>
        <v>#REF!</v>
      </c>
      <c r="CJ42" s="745">
        <f t="shared" si="27"/>
        <v>0</v>
      </c>
      <c r="CK42" s="748" t="e">
        <f t="shared" si="11"/>
        <v>#REF!</v>
      </c>
      <c r="CL42" s="749" t="e">
        <f t="shared" si="12"/>
        <v>#REF!</v>
      </c>
      <c r="CM42" s="744"/>
      <c r="CN42" s="745" t="e">
        <f t="shared" si="13"/>
        <v>#REF!</v>
      </c>
      <c r="CO42" s="745" t="e">
        <f t="shared" si="14"/>
        <v>#REF!</v>
      </c>
      <c r="CP42" s="745" t="e">
        <f t="shared" si="15"/>
        <v>#REF!</v>
      </c>
      <c r="CQ42" s="745" t="e">
        <f t="shared" si="16"/>
        <v>#REF!</v>
      </c>
      <c r="CR42" s="745" t="e">
        <f t="shared" si="17"/>
        <v>#REF!</v>
      </c>
      <c r="CS42" s="745" t="e">
        <f t="shared" si="18"/>
        <v>#REF!</v>
      </c>
      <c r="CT42" s="754" t="e">
        <f>1%*CH42</f>
        <v>#REF!</v>
      </c>
      <c r="CU42" s="755" t="e">
        <f>MAX(CT42:CT42)</f>
        <v>#REF!</v>
      </c>
      <c r="CV42" s="756">
        <f>CC42</f>
        <v>26517.52</v>
      </c>
      <c r="CW42" s="757"/>
      <c r="CX42" s="758"/>
      <c r="CY42" s="759"/>
      <c r="CZ42" s="760"/>
      <c r="DA42" s="767"/>
    </row>
    <row r="43" ht="236" customHeight="1" spans="1:106">
      <c r="A43" s="675">
        <v>366</v>
      </c>
      <c r="B43" s="676" t="s">
        <v>941</v>
      </c>
      <c r="C43" s="677" t="s">
        <v>1527</v>
      </c>
      <c r="D43" s="677" t="s">
        <v>1582</v>
      </c>
      <c r="E43" s="677" t="s">
        <v>97</v>
      </c>
      <c r="F43" s="1452" t="s">
        <v>942</v>
      </c>
      <c r="G43" s="677" t="s">
        <v>1540</v>
      </c>
      <c r="H43" s="679"/>
      <c r="I43" s="33" t="s">
        <v>97</v>
      </c>
      <c r="J43" s="33" t="s">
        <v>942</v>
      </c>
      <c r="K43" s="695"/>
      <c r="L43" s="688"/>
      <c r="M43" s="688"/>
      <c r="N43" s="689">
        <v>1343017</v>
      </c>
      <c r="O43" s="689">
        <v>111918.083333333</v>
      </c>
      <c r="P43" s="689"/>
      <c r="Q43" s="689">
        <v>27979.5208333333</v>
      </c>
      <c r="R43" s="689">
        <v>30000</v>
      </c>
      <c r="S43" s="689">
        <v>165441.458333333</v>
      </c>
      <c r="T43" s="689"/>
      <c r="U43" s="689">
        <v>90000</v>
      </c>
      <c r="V43" s="689"/>
      <c r="W43" s="689"/>
      <c r="X43" s="689"/>
      <c r="Y43" s="689"/>
      <c r="Z43" s="689"/>
      <c r="AA43" s="689"/>
      <c r="AB43" s="689"/>
      <c r="AC43" s="689">
        <v>2500</v>
      </c>
      <c r="AD43" s="689"/>
      <c r="AE43" s="689">
        <v>30000</v>
      </c>
      <c r="AF43" s="689"/>
      <c r="AG43" s="689"/>
      <c r="AH43" s="689"/>
      <c r="AI43" s="689"/>
      <c r="AJ43" s="689">
        <v>2500</v>
      </c>
      <c r="AK43" s="689"/>
      <c r="AL43" s="689">
        <v>383.33</v>
      </c>
      <c r="AM43" s="689"/>
      <c r="AN43" s="689"/>
      <c r="AO43" s="689"/>
      <c r="AP43" s="689"/>
      <c r="AQ43" s="689"/>
      <c r="AR43" s="689"/>
      <c r="AS43" s="689"/>
      <c r="AT43" s="689"/>
      <c r="AU43" s="689">
        <f t="shared" si="6"/>
        <v>6617.65833333333</v>
      </c>
      <c r="AV43" s="689"/>
      <c r="AW43" s="689">
        <v>0</v>
      </c>
      <c r="AX43" s="718">
        <f t="shared" ref="AX43" si="39">S43*0.02</f>
        <v>3308.82916666667</v>
      </c>
      <c r="AY43" s="718"/>
      <c r="AZ43" s="718"/>
      <c r="BA43" s="689"/>
      <c r="BB43" s="689"/>
      <c r="BC43" s="689"/>
      <c r="BD43" s="719"/>
      <c r="BE43" s="719"/>
      <c r="BF43" s="689"/>
      <c r="BG43" s="689"/>
      <c r="BH43" s="727"/>
      <c r="BI43" s="689"/>
      <c r="BJ43" s="689"/>
      <c r="BK43" s="689"/>
      <c r="BL43" s="689"/>
      <c r="BM43" s="689"/>
      <c r="BN43" s="689"/>
      <c r="BO43" s="689">
        <v>50000</v>
      </c>
      <c r="BP43" s="689"/>
      <c r="BQ43" s="689"/>
      <c r="BR43" s="731"/>
      <c r="BS43" s="731"/>
      <c r="BT43" s="731"/>
      <c r="BU43" s="731"/>
      <c r="BV43" s="731"/>
      <c r="BW43" s="731"/>
      <c r="BX43" s="731"/>
      <c r="BY43" s="731">
        <v>2000</v>
      </c>
      <c r="BZ43" s="731">
        <v>1000</v>
      </c>
      <c r="CA43" s="718">
        <f t="shared" si="7"/>
        <v>5808.8292</v>
      </c>
      <c r="CB43" s="735"/>
      <c r="CC43" s="741">
        <v>36380.83</v>
      </c>
      <c r="CD43" s="702">
        <v>290441.46</v>
      </c>
      <c r="CE43" s="731">
        <f t="shared" si="9"/>
        <v>105116.1467</v>
      </c>
      <c r="CF43" s="739">
        <f t="shared" si="26"/>
        <v>185325.3133</v>
      </c>
      <c r="CG43" s="742">
        <f t="shared" si="1"/>
        <v>105116.1467</v>
      </c>
      <c r="CH43" s="743" t="e">
        <f>'[6]JACKSON AKPOJARO '!C209*12</f>
        <v>#REF!</v>
      </c>
      <c r="CI43" s="744" t="e">
        <f t="shared" ref="CI43" si="40">200000+(0.2*CH43)</f>
        <v>#REF!</v>
      </c>
      <c r="CJ43" s="745">
        <f t="shared" si="27"/>
        <v>0</v>
      </c>
      <c r="CK43" s="748" t="e">
        <f t="shared" ref="CK43" si="41">SUM(CI43:CJ43)</f>
        <v>#REF!</v>
      </c>
      <c r="CL43" s="749" t="e">
        <f t="shared" ref="CL43" si="42">+CH43-CK43</f>
        <v>#REF!</v>
      </c>
      <c r="CM43" s="744"/>
      <c r="CN43" s="745" t="e">
        <f t="shared" ref="CN43" si="43">IF((CL43&gt;0),(IF((CL43&gt;300000),(300000*7%),(CL43*7%))),(CH43*1%))</f>
        <v>#REF!</v>
      </c>
      <c r="CO43" s="745" t="e">
        <f t="shared" ref="CO43" si="44">IF((CL43-300000)&gt;0,(IF((CL43&gt;600000),(300000*11%),((CL43-300000)*11%))),(""))</f>
        <v>#REF!</v>
      </c>
      <c r="CP43" s="745" t="e">
        <f t="shared" ref="CP43" si="45">IF(((CL43-600000)&gt;0),(IF((CL43&gt;1100000),(500000*15%),((CL43-600000)*15%))),(""))</f>
        <v>#REF!</v>
      </c>
      <c r="CQ43" s="745" t="e">
        <f t="shared" ref="CQ43" si="46">IF(((CL43-(1100000))&gt;0),(IF((CL43&gt;(1600000)),((500000)*19%),((CL43-(1100000))*19%))),(""))</f>
        <v>#REF!</v>
      </c>
      <c r="CR43" s="745" t="e">
        <f t="shared" ref="CR43" si="47">IF(((CL43-(1600000))&gt;0),(IF((CL43&gt;(3200000)),((1600000)*21%),((CL43-(1600000))*21%))),(""))</f>
        <v>#REF!</v>
      </c>
      <c r="CS43" s="745" t="e">
        <f t="shared" ref="CS43" si="48">IF(((CL43-(3200000))&gt;0),(IF((CL43&gt;(3200000)),((CL43-(3200000))*24%),(0))),(""))</f>
        <v>#REF!</v>
      </c>
      <c r="CT43" s="754"/>
      <c r="CU43" s="755"/>
      <c r="CV43" s="756"/>
      <c r="CW43" s="757"/>
      <c r="CX43" s="758"/>
      <c r="CY43" s="759"/>
      <c r="CZ43" s="760"/>
      <c r="DA43" s="767"/>
      <c r="DB43" s="770" t="s">
        <v>1583</v>
      </c>
    </row>
    <row r="44" ht="236" customHeight="1" spans="1:105">
      <c r="A44" s="673">
        <v>367</v>
      </c>
      <c r="B44" s="676" t="s">
        <v>943</v>
      </c>
      <c r="C44" s="677" t="s">
        <v>1579</v>
      </c>
      <c r="D44" s="677" t="s">
        <v>1584</v>
      </c>
      <c r="E44" s="677" t="s">
        <v>93</v>
      </c>
      <c r="F44" s="677">
        <v>3037040188</v>
      </c>
      <c r="G44" s="677" t="s">
        <v>1585</v>
      </c>
      <c r="H44" s="679"/>
      <c r="I44" s="681" t="s">
        <v>93</v>
      </c>
      <c r="J44" s="686">
        <v>3037040188</v>
      </c>
      <c r="K44" s="695"/>
      <c r="L44" s="688"/>
      <c r="M44" s="688"/>
      <c r="N44" s="689">
        <v>1300238</v>
      </c>
      <c r="O44" s="689">
        <v>108353.166666667</v>
      </c>
      <c r="P44" s="689"/>
      <c r="Q44" s="689">
        <v>27088.2916666667</v>
      </c>
      <c r="R44" s="689">
        <v>30000</v>
      </c>
      <c r="S44" s="689">
        <v>169897.58</v>
      </c>
      <c r="T44" s="689"/>
      <c r="U44" s="689"/>
      <c r="V44" s="689"/>
      <c r="W44" s="689"/>
      <c r="X44" s="689"/>
      <c r="Y44" s="689"/>
      <c r="Z44" s="689"/>
      <c r="AA44" s="689"/>
      <c r="AB44" s="689"/>
      <c r="AC44" s="689">
        <v>2500</v>
      </c>
      <c r="AD44" s="689"/>
      <c r="AE44" s="689"/>
      <c r="AF44" s="689"/>
      <c r="AG44" s="689"/>
      <c r="AH44" s="689"/>
      <c r="AI44" s="689"/>
      <c r="AJ44" s="689">
        <v>2500</v>
      </c>
      <c r="AK44" s="689"/>
      <c r="AL44" s="689">
        <v>383.33</v>
      </c>
      <c r="AM44" s="689"/>
      <c r="AN44" s="689"/>
      <c r="AO44" s="689"/>
      <c r="AP44" s="689"/>
      <c r="AQ44" s="689"/>
      <c r="AR44" s="689"/>
      <c r="AS44" s="689"/>
      <c r="AT44" s="689"/>
      <c r="AU44" s="689">
        <f t="shared" si="6"/>
        <v>6795.9032</v>
      </c>
      <c r="AV44" s="689"/>
      <c r="AW44" s="689"/>
      <c r="AX44" s="718">
        <f t="shared" ref="AX44:AX45" si="49">S44*0.02</f>
        <v>3397.9516</v>
      </c>
      <c r="AY44" s="718"/>
      <c r="AZ44" s="718"/>
      <c r="BA44" s="689"/>
      <c r="BB44" s="689"/>
      <c r="BC44" s="689"/>
      <c r="BD44" s="719"/>
      <c r="BE44" s="719"/>
      <c r="BF44" s="689"/>
      <c r="BG44" s="689"/>
      <c r="BH44" s="727"/>
      <c r="BI44" s="689"/>
      <c r="BJ44" s="689"/>
      <c r="BK44" s="689"/>
      <c r="BL44" s="689"/>
      <c r="BM44" s="689"/>
      <c r="BN44" s="689"/>
      <c r="BO44" s="689">
        <v>0</v>
      </c>
      <c r="BP44" s="689"/>
      <c r="BQ44" s="689"/>
      <c r="BR44" s="731"/>
      <c r="BS44" s="731"/>
      <c r="BT44" s="731"/>
      <c r="BU44" s="731"/>
      <c r="BV44" s="731"/>
      <c r="BW44" s="731"/>
      <c r="BX44" s="731"/>
      <c r="BY44" s="731"/>
      <c r="BZ44" s="731">
        <v>1000</v>
      </c>
      <c r="CA44" s="718">
        <f t="shared" si="7"/>
        <v>3497.9516</v>
      </c>
      <c r="CB44" s="735"/>
      <c r="CC44" s="741">
        <v>16751.1</v>
      </c>
      <c r="CD44" s="702">
        <f t="shared" si="8"/>
        <v>174897.58</v>
      </c>
      <c r="CE44" s="731">
        <f t="shared" si="9"/>
        <v>31442.9064</v>
      </c>
      <c r="CF44" s="739">
        <f t="shared" si="26"/>
        <v>143454.6736</v>
      </c>
      <c r="CG44" s="742">
        <f t="shared" si="1"/>
        <v>31442.9064</v>
      </c>
      <c r="CH44" s="743" t="e">
        <f>'[6]JACKSON AKPOJARO '!C210*12</f>
        <v>#REF!</v>
      </c>
      <c r="CI44" s="744" t="e">
        <f t="shared" ref="CI44" si="50">200000+(0.2*CH44)</f>
        <v>#REF!</v>
      </c>
      <c r="CJ44" s="745">
        <f t="shared" si="27"/>
        <v>0</v>
      </c>
      <c r="CK44" s="748" t="e">
        <f t="shared" ref="CK44" si="51">SUM(CI44:CJ44)</f>
        <v>#REF!</v>
      </c>
      <c r="CL44" s="749" t="e">
        <f t="shared" ref="CL44" si="52">+CH44-CK44</f>
        <v>#REF!</v>
      </c>
      <c r="CM44" s="744"/>
      <c r="CN44" s="745" t="e">
        <f t="shared" ref="CN44" si="53">IF((CL44&gt;0),(IF((CL44&gt;300000),(300000*7%),(CL44*7%))),(CH44*1%))</f>
        <v>#REF!</v>
      </c>
      <c r="CO44" s="745" t="e">
        <f t="shared" ref="CO44" si="54">IF((CL44-300000)&gt;0,(IF((CL44&gt;600000),(300000*11%),((CL44-300000)*11%))),(""))</f>
        <v>#REF!</v>
      </c>
      <c r="CP44" s="745" t="e">
        <f t="shared" ref="CP44" si="55">IF(((CL44-600000)&gt;0),(IF((CL44&gt;1100000),(500000*15%),((CL44-600000)*15%))),(""))</f>
        <v>#REF!</v>
      </c>
      <c r="CQ44" s="745" t="e">
        <f t="shared" ref="CQ44" si="56">IF(((CL44-(1100000))&gt;0),(IF((CL44&gt;(1600000)),((500000)*19%),((CL44-(1100000))*19%))),(""))</f>
        <v>#REF!</v>
      </c>
      <c r="CR44" s="745" t="e">
        <f t="shared" ref="CR44" si="57">IF(((CL44-(1600000))&gt;0),(IF((CL44&gt;(3200000)),((1600000)*21%),((CL44-(1600000))*21%))),(""))</f>
        <v>#REF!</v>
      </c>
      <c r="CS44" s="745" t="e">
        <f t="shared" ref="CS44" si="58">IF(((CL44-(3200000))&gt;0),(IF((CL44&gt;(3200000)),((CL44-(3200000))*24%),(0))),(""))</f>
        <v>#REF!</v>
      </c>
      <c r="CT44" s="754"/>
      <c r="CU44" s="755"/>
      <c r="CV44" s="756"/>
      <c r="CW44" s="757"/>
      <c r="CX44" s="758"/>
      <c r="CY44" s="759"/>
      <c r="CZ44" s="760"/>
      <c r="DA44" s="767"/>
    </row>
    <row r="45" ht="236" customHeight="1" spans="1:105">
      <c r="A45" s="675">
        <v>368</v>
      </c>
      <c r="B45" s="676" t="s">
        <v>944</v>
      </c>
      <c r="C45" s="677" t="s">
        <v>1527</v>
      </c>
      <c r="D45" s="677" t="s">
        <v>1539</v>
      </c>
      <c r="E45" s="677" t="s">
        <v>113</v>
      </c>
      <c r="F45" s="677">
        <v>2102592986</v>
      </c>
      <c r="G45" s="677" t="s">
        <v>1586</v>
      </c>
      <c r="H45" s="679"/>
      <c r="I45" s="681" t="s">
        <v>113</v>
      </c>
      <c r="J45" s="686">
        <v>2102592986</v>
      </c>
      <c r="K45" s="695"/>
      <c r="L45" s="688"/>
      <c r="M45" s="688"/>
      <c r="N45" s="689">
        <v>1343017</v>
      </c>
      <c r="O45" s="689">
        <v>111918.083333333</v>
      </c>
      <c r="P45" s="689"/>
      <c r="Q45" s="689">
        <v>27979.5208333333</v>
      </c>
      <c r="R45" s="689">
        <v>30000</v>
      </c>
      <c r="S45" s="689">
        <v>174353.67</v>
      </c>
      <c r="T45" s="689"/>
      <c r="U45" s="689"/>
      <c r="V45" s="689"/>
      <c r="W45" s="689"/>
      <c r="X45" s="689"/>
      <c r="Y45" s="689"/>
      <c r="Z45" s="689"/>
      <c r="AA45" s="689"/>
      <c r="AB45" s="689"/>
      <c r="AC45" s="689">
        <v>2500</v>
      </c>
      <c r="AD45" s="689"/>
      <c r="AE45" s="689"/>
      <c r="AF45" s="689"/>
      <c r="AG45" s="689"/>
      <c r="AH45" s="689"/>
      <c r="AI45" s="689"/>
      <c r="AJ45" s="689">
        <v>2500</v>
      </c>
      <c r="AK45" s="689"/>
      <c r="AL45" s="689"/>
      <c r="AM45" s="689"/>
      <c r="AN45" s="689"/>
      <c r="AO45" s="689"/>
      <c r="AP45" s="689"/>
      <c r="AQ45" s="689"/>
      <c r="AR45" s="689"/>
      <c r="AS45" s="689"/>
      <c r="AT45" s="689"/>
      <c r="AU45" s="689">
        <f t="shared" si="6"/>
        <v>6974.1468</v>
      </c>
      <c r="AV45" s="689"/>
      <c r="AW45" s="689"/>
      <c r="AX45" s="718">
        <f t="shared" si="49"/>
        <v>3487.0734</v>
      </c>
      <c r="AY45" s="718"/>
      <c r="AZ45" s="718"/>
      <c r="BA45" s="689"/>
      <c r="BB45" s="689"/>
      <c r="BC45" s="689"/>
      <c r="BD45" s="719"/>
      <c r="BE45" s="719"/>
      <c r="BF45" s="689"/>
      <c r="BG45" s="689"/>
      <c r="BH45" s="727"/>
      <c r="BI45" s="689"/>
      <c r="BJ45" s="689"/>
      <c r="BK45" s="689"/>
      <c r="BL45" s="689"/>
      <c r="BM45" s="689"/>
      <c r="BN45" s="689"/>
      <c r="BO45" s="689">
        <v>36667</v>
      </c>
      <c r="BP45" s="689"/>
      <c r="BQ45" s="689"/>
      <c r="BR45" s="731"/>
      <c r="BS45" s="731"/>
      <c r="BT45" s="731"/>
      <c r="BU45" s="731"/>
      <c r="BV45" s="731"/>
      <c r="BW45" s="731"/>
      <c r="BX45" s="731"/>
      <c r="BY45" s="731"/>
      <c r="BZ45" s="731">
        <v>1000</v>
      </c>
      <c r="CA45" s="718">
        <f t="shared" si="7"/>
        <v>3587.0734</v>
      </c>
      <c r="CB45" s="735"/>
      <c r="CC45" s="741">
        <v>17428.42</v>
      </c>
      <c r="CD45" s="702">
        <f t="shared" si="8"/>
        <v>179353.67</v>
      </c>
      <c r="CE45" s="731">
        <f t="shared" si="9"/>
        <v>69143.7136</v>
      </c>
      <c r="CF45" s="739">
        <f t="shared" si="26"/>
        <v>110209.9564</v>
      </c>
      <c r="CG45" s="742">
        <f t="shared" si="1"/>
        <v>69143.7136</v>
      </c>
      <c r="CH45" s="743" t="e">
        <f>'[6]JACKSON AKPOJARO '!C211*12</f>
        <v>#REF!</v>
      </c>
      <c r="CI45" s="744" t="e">
        <f t="shared" ref="CI45" si="59">200000+(0.2*CH45)</f>
        <v>#REF!</v>
      </c>
      <c r="CJ45" s="745">
        <f t="shared" si="27"/>
        <v>0</v>
      </c>
      <c r="CK45" s="748" t="e">
        <f t="shared" ref="CK45" si="60">SUM(CI45:CJ45)</f>
        <v>#REF!</v>
      </c>
      <c r="CL45" s="749" t="e">
        <f t="shared" ref="CL45" si="61">+CH45-CK45</f>
        <v>#REF!</v>
      </c>
      <c r="CM45" s="744"/>
      <c r="CN45" s="745" t="e">
        <f t="shared" ref="CN45" si="62">IF((CL45&gt;0),(IF((CL45&gt;300000),(300000*7%),(CL45*7%))),(CH45*1%))</f>
        <v>#REF!</v>
      </c>
      <c r="CO45" s="745" t="e">
        <f t="shared" ref="CO45" si="63">IF((CL45-300000)&gt;0,(IF((CL45&gt;600000),(300000*11%),((CL45-300000)*11%))),(""))</f>
        <v>#REF!</v>
      </c>
      <c r="CP45" s="745" t="e">
        <f t="shared" ref="CP45" si="64">IF(((CL45-600000)&gt;0),(IF((CL45&gt;1100000),(500000*15%),((CL45-600000)*15%))),(""))</f>
        <v>#REF!</v>
      </c>
      <c r="CQ45" s="745" t="e">
        <f t="shared" ref="CQ45" si="65">IF(((CL45-(1100000))&gt;0),(IF((CL45&gt;(1600000)),((500000)*19%),((CL45-(1100000))*19%))),(""))</f>
        <v>#REF!</v>
      </c>
      <c r="CR45" s="745" t="e">
        <f t="shared" ref="CR45" si="66">IF(((CL45-(1600000))&gt;0),(IF((CL45&gt;(3200000)),((1600000)*21%),((CL45-(1600000))*21%))),(""))</f>
        <v>#REF!</v>
      </c>
      <c r="CS45" s="745" t="e">
        <f t="shared" ref="CS45" si="67">IF(((CL45-(3200000))&gt;0),(IF((CL45&gt;(3200000)),((CL45-(3200000))*24%),(0))),(""))</f>
        <v>#REF!</v>
      </c>
      <c r="CT45" s="754"/>
      <c r="CU45" s="755"/>
      <c r="CV45" s="756"/>
      <c r="CW45" s="757"/>
      <c r="CX45" s="758"/>
      <c r="CY45" s="759"/>
      <c r="CZ45" s="760"/>
      <c r="DA45" s="767"/>
    </row>
    <row r="46" ht="236" customHeight="1" spans="1:105">
      <c r="A46" s="673">
        <v>369</v>
      </c>
      <c r="B46" s="676" t="s">
        <v>945</v>
      </c>
      <c r="C46" s="677" t="s">
        <v>1579</v>
      </c>
      <c r="D46" s="677" t="s">
        <v>1584</v>
      </c>
      <c r="E46" s="677" t="s">
        <v>113</v>
      </c>
      <c r="F46" s="677">
        <v>2028284028</v>
      </c>
      <c r="G46" s="677" t="s">
        <v>1586</v>
      </c>
      <c r="H46" s="679"/>
      <c r="I46" s="681" t="s">
        <v>113</v>
      </c>
      <c r="J46" s="686">
        <v>2028284028</v>
      </c>
      <c r="K46" s="695"/>
      <c r="L46" s="688"/>
      <c r="M46" s="688"/>
      <c r="N46" s="689">
        <v>1343017</v>
      </c>
      <c r="O46" s="689">
        <v>111918.083333333</v>
      </c>
      <c r="P46" s="689"/>
      <c r="Q46" s="689">
        <v>27979.5208333333</v>
      </c>
      <c r="R46" s="689">
        <v>30000</v>
      </c>
      <c r="S46" s="689">
        <v>174353.67</v>
      </c>
      <c r="T46" s="689"/>
      <c r="U46" s="689"/>
      <c r="V46" s="689"/>
      <c r="W46" s="689"/>
      <c r="X46" s="689"/>
      <c r="Y46" s="689"/>
      <c r="Z46" s="689"/>
      <c r="AA46" s="689"/>
      <c r="AB46" s="689"/>
      <c r="AC46" s="689">
        <v>2500</v>
      </c>
      <c r="AD46" s="689"/>
      <c r="AE46" s="689"/>
      <c r="AF46" s="689"/>
      <c r="AG46" s="689"/>
      <c r="AH46" s="689"/>
      <c r="AI46" s="689"/>
      <c r="AJ46" s="689">
        <v>2500</v>
      </c>
      <c r="AK46" s="689"/>
      <c r="AL46" s="689">
        <v>383.33</v>
      </c>
      <c r="AM46" s="689"/>
      <c r="AN46" s="689"/>
      <c r="AO46" s="689"/>
      <c r="AP46" s="689"/>
      <c r="AQ46" s="689"/>
      <c r="AR46" s="689"/>
      <c r="AS46" s="689"/>
      <c r="AT46" s="689"/>
      <c r="AU46" s="689">
        <f t="shared" si="6"/>
        <v>6974.1468</v>
      </c>
      <c r="AV46" s="689"/>
      <c r="AW46" s="689"/>
      <c r="AX46" s="718">
        <f t="shared" ref="AX46:AX48" si="68">S46*0.02</f>
        <v>3487.0734</v>
      </c>
      <c r="AY46" s="718"/>
      <c r="AZ46" s="718"/>
      <c r="BA46" s="689"/>
      <c r="BB46" s="689"/>
      <c r="BC46" s="689"/>
      <c r="BD46" s="719"/>
      <c r="BE46" s="719"/>
      <c r="BF46" s="689"/>
      <c r="BG46" s="689"/>
      <c r="BH46" s="727"/>
      <c r="BI46" s="689"/>
      <c r="BJ46" s="689"/>
      <c r="BK46" s="689"/>
      <c r="BL46" s="689"/>
      <c r="BM46" s="689"/>
      <c r="BN46" s="689"/>
      <c r="BO46" s="689">
        <v>0</v>
      </c>
      <c r="BP46" s="689"/>
      <c r="BQ46" s="689"/>
      <c r="BR46" s="731"/>
      <c r="BS46" s="731"/>
      <c r="BT46" s="731"/>
      <c r="BU46" s="731"/>
      <c r="BV46" s="731"/>
      <c r="BW46" s="731"/>
      <c r="BX46" s="731"/>
      <c r="BY46" s="731"/>
      <c r="BZ46" s="731">
        <v>1000</v>
      </c>
      <c r="CA46" s="718">
        <f t="shared" si="7"/>
        <v>3587.0734</v>
      </c>
      <c r="CB46" s="735"/>
      <c r="CC46" s="741">
        <v>17428.42</v>
      </c>
      <c r="CD46" s="702">
        <f t="shared" si="8"/>
        <v>179353.67</v>
      </c>
      <c r="CE46" s="731">
        <f t="shared" si="9"/>
        <v>32476.7136</v>
      </c>
      <c r="CF46" s="739">
        <f t="shared" si="26"/>
        <v>146876.9564</v>
      </c>
      <c r="CG46" s="742">
        <f t="shared" si="1"/>
        <v>32476.7136</v>
      </c>
      <c r="CH46" s="743" t="e">
        <f>'[6]JACKSON AKPOJARO '!C211*12</f>
        <v>#REF!</v>
      </c>
      <c r="CI46" s="744" t="e">
        <f t="shared" ref="CI46" si="69">200000+(0.2*CH46)</f>
        <v>#REF!</v>
      </c>
      <c r="CJ46" s="745">
        <f t="shared" si="27"/>
        <v>0</v>
      </c>
      <c r="CK46" s="748" t="e">
        <f t="shared" ref="CK46" si="70">SUM(CI46:CJ46)</f>
        <v>#REF!</v>
      </c>
      <c r="CL46" s="749" t="e">
        <f t="shared" ref="CL46" si="71">+CH46-CK46</f>
        <v>#REF!</v>
      </c>
      <c r="CM46" s="744"/>
      <c r="CN46" s="745" t="e">
        <f t="shared" ref="CN46" si="72">IF((CL46&gt;0),(IF((CL46&gt;300000),(300000*7%),(CL46*7%))),(CH46*1%))</f>
        <v>#REF!</v>
      </c>
      <c r="CO46" s="745" t="e">
        <f t="shared" ref="CO46" si="73">IF((CL46-300000)&gt;0,(IF((CL46&gt;600000),(300000*11%),((CL46-300000)*11%))),(""))</f>
        <v>#REF!</v>
      </c>
      <c r="CP46" s="745" t="e">
        <f t="shared" ref="CP46" si="74">IF(((CL46-600000)&gt;0),(IF((CL46&gt;1100000),(500000*15%),((CL46-600000)*15%))),(""))</f>
        <v>#REF!</v>
      </c>
      <c r="CQ46" s="745" t="e">
        <f t="shared" ref="CQ46" si="75">IF(((CL46-(1100000))&gt;0),(IF((CL46&gt;(1600000)),((500000)*19%),((CL46-(1100000))*19%))),(""))</f>
        <v>#REF!</v>
      </c>
      <c r="CR46" s="745" t="e">
        <f t="shared" ref="CR46" si="76">IF(((CL46-(1600000))&gt;0),(IF((CL46&gt;(3200000)),((1600000)*21%),((CL46-(1600000))*21%))),(""))</f>
        <v>#REF!</v>
      </c>
      <c r="CS46" s="745" t="e">
        <f t="shared" ref="CS46" si="77">IF(((CL46-(3200000))&gt;0),(IF((CL46&gt;(3200000)),((CL46-(3200000))*24%),(0))),(""))</f>
        <v>#REF!</v>
      </c>
      <c r="CT46" s="754"/>
      <c r="CU46" s="755"/>
      <c r="CV46" s="756"/>
      <c r="CW46" s="757"/>
      <c r="CX46" s="758"/>
      <c r="CY46" s="759"/>
      <c r="CZ46" s="760"/>
      <c r="DA46" s="767"/>
    </row>
    <row r="47" ht="236" customHeight="1" spans="1:106">
      <c r="A47" s="675">
        <v>370</v>
      </c>
      <c r="B47" s="676" t="s">
        <v>946</v>
      </c>
      <c r="C47" s="677" t="s">
        <v>1527</v>
      </c>
      <c r="D47" s="677" t="s">
        <v>1587</v>
      </c>
      <c r="E47" s="677" t="s">
        <v>549</v>
      </c>
      <c r="F47" s="677" t="s">
        <v>947</v>
      </c>
      <c r="G47" s="677" t="s">
        <v>1581</v>
      </c>
      <c r="H47" s="679"/>
      <c r="I47" s="681" t="s">
        <v>354</v>
      </c>
      <c r="J47" s="686">
        <v>1006982499</v>
      </c>
      <c r="K47" s="687">
        <f>'[5] NON-TEACHING STAFF'!$J$52</f>
        <v>22277196408</v>
      </c>
      <c r="L47" s="688">
        <v>1611085</v>
      </c>
      <c r="M47" s="688" t="e">
        <f>S47-#REF!</f>
        <v>#REF!</v>
      </c>
      <c r="N47" s="689">
        <v>1661433</v>
      </c>
      <c r="O47" s="689">
        <v>145708.08</v>
      </c>
      <c r="P47" s="689"/>
      <c r="Q47" s="689">
        <v>36427.02</v>
      </c>
      <c r="R47" s="689">
        <v>30000</v>
      </c>
      <c r="S47" s="689">
        <v>217833.92</v>
      </c>
      <c r="T47" s="689"/>
      <c r="U47" s="689"/>
      <c r="V47" s="689"/>
      <c r="W47" s="689"/>
      <c r="X47" s="689"/>
      <c r="Y47" s="689"/>
      <c r="Z47" s="689"/>
      <c r="AA47" s="689"/>
      <c r="AB47" s="689"/>
      <c r="AC47" s="689">
        <v>2500</v>
      </c>
      <c r="AD47" s="689"/>
      <c r="AE47" s="689"/>
      <c r="AF47" s="689"/>
      <c r="AG47" s="689"/>
      <c r="AH47" s="689">
        <v>46000</v>
      </c>
      <c r="AI47" s="689"/>
      <c r="AJ47" s="689">
        <v>2500</v>
      </c>
      <c r="AK47" s="689"/>
      <c r="AL47" s="689">
        <v>383.33</v>
      </c>
      <c r="AM47" s="689"/>
      <c r="AN47" s="689"/>
      <c r="AO47" s="689"/>
      <c r="AP47" s="689"/>
      <c r="AQ47" s="689"/>
      <c r="AR47" s="689"/>
      <c r="AT47" s="689"/>
      <c r="AU47" s="689">
        <f t="shared" si="6"/>
        <v>8713.3568</v>
      </c>
      <c r="AV47" s="689"/>
      <c r="AW47" s="689">
        <v>1500</v>
      </c>
      <c r="AX47" s="718">
        <f t="shared" si="68"/>
        <v>4356.6784</v>
      </c>
      <c r="AY47" s="718"/>
      <c r="AZ47" s="718"/>
      <c r="BA47" s="689"/>
      <c r="BB47" s="689"/>
      <c r="BC47" s="689"/>
      <c r="BD47" s="719"/>
      <c r="BE47" s="719"/>
      <c r="BF47" s="689"/>
      <c r="BG47" s="689"/>
      <c r="BH47" s="727">
        <v>3000</v>
      </c>
      <c r="BI47" s="689"/>
      <c r="BJ47" s="689"/>
      <c r="BK47" s="689"/>
      <c r="BL47" s="689">
        <v>10000</v>
      </c>
      <c r="BM47" s="689"/>
      <c r="BN47" s="689"/>
      <c r="BO47" s="689">
        <v>60000</v>
      </c>
      <c r="BP47" s="689"/>
      <c r="BQ47" s="689"/>
      <c r="BR47" s="731"/>
      <c r="BS47" s="731"/>
      <c r="BT47" s="731"/>
      <c r="BU47" s="731"/>
      <c r="BV47" s="731"/>
      <c r="BW47" s="731"/>
      <c r="BX47" s="731"/>
      <c r="BY47" s="731"/>
      <c r="BZ47" s="731">
        <v>1000</v>
      </c>
      <c r="CA47" s="718">
        <f t="shared" si="7"/>
        <v>5376.6784</v>
      </c>
      <c r="CB47" s="735"/>
      <c r="CC47" s="731">
        <v>32330.77</v>
      </c>
      <c r="CD47" s="702">
        <f t="shared" si="8"/>
        <v>268833.92</v>
      </c>
      <c r="CE47" s="731">
        <f t="shared" si="9"/>
        <v>126277.4836</v>
      </c>
      <c r="CF47" s="739">
        <f t="shared" si="26"/>
        <v>142556.4364</v>
      </c>
      <c r="CG47" s="742">
        <f t="shared" si="1"/>
        <v>126277.4836</v>
      </c>
      <c r="CH47" s="743" t="e">
        <f>'[6]JACKSON AKPOJARO '!C210*12</f>
        <v>#REF!</v>
      </c>
      <c r="CI47" s="744" t="e">
        <f t="shared" si="10"/>
        <v>#REF!</v>
      </c>
      <c r="CJ47" s="745">
        <f t="shared" si="27"/>
        <v>0</v>
      </c>
      <c r="CK47" s="748" t="e">
        <f t="shared" si="11"/>
        <v>#REF!</v>
      </c>
      <c r="CL47" s="749" t="e">
        <f t="shared" si="12"/>
        <v>#REF!</v>
      </c>
      <c r="CM47" s="744"/>
      <c r="CN47" s="745" t="e">
        <f t="shared" si="13"/>
        <v>#REF!</v>
      </c>
      <c r="CO47" s="745" t="e">
        <f t="shared" si="14"/>
        <v>#REF!</v>
      </c>
      <c r="CP47" s="745" t="e">
        <f t="shared" si="15"/>
        <v>#REF!</v>
      </c>
      <c r="CQ47" s="745" t="e">
        <f t="shared" si="16"/>
        <v>#REF!</v>
      </c>
      <c r="CR47" s="745" t="e">
        <f t="shared" si="17"/>
        <v>#REF!</v>
      </c>
      <c r="CS47" s="745" t="e">
        <f t="shared" si="18"/>
        <v>#REF!</v>
      </c>
      <c r="CT47" s="754" t="e">
        <f>1%*CH47</f>
        <v>#REF!</v>
      </c>
      <c r="CU47" s="755" t="e">
        <f>MAX(CT47:CT47)</f>
        <v>#REF!</v>
      </c>
      <c r="CV47" s="756">
        <f>CC47</f>
        <v>32330.77</v>
      </c>
      <c r="CW47" s="757"/>
      <c r="CX47" s="758"/>
      <c r="CY47" s="759"/>
      <c r="CZ47" s="760"/>
      <c r="DA47" s="767"/>
      <c r="DB47" s="770"/>
    </row>
    <row r="48" ht="236" customHeight="1" spans="1:105">
      <c r="A48" s="673">
        <v>371</v>
      </c>
      <c r="B48" s="676" t="s">
        <v>948</v>
      </c>
      <c r="C48" s="677" t="s">
        <v>1588</v>
      </c>
      <c r="D48" s="677" t="s">
        <v>1589</v>
      </c>
      <c r="E48" s="677" t="s">
        <v>165</v>
      </c>
      <c r="F48" s="677">
        <v>2190891929</v>
      </c>
      <c r="G48" s="677" t="s">
        <v>1564</v>
      </c>
      <c r="H48" s="679"/>
      <c r="I48" s="681" t="s">
        <v>165</v>
      </c>
      <c r="J48" s="686">
        <v>2190891929</v>
      </c>
      <c r="K48" s="687"/>
      <c r="L48" s="688"/>
      <c r="M48" s="688"/>
      <c r="N48" s="689">
        <v>1560735</v>
      </c>
      <c r="O48" s="689">
        <v>130061.25</v>
      </c>
      <c r="P48" s="689"/>
      <c r="Q48" s="689">
        <v>32515.3125</v>
      </c>
      <c r="R48" s="689">
        <v>30000</v>
      </c>
      <c r="S48" s="689">
        <v>197821.33</v>
      </c>
      <c r="T48" s="689"/>
      <c r="U48" s="689"/>
      <c r="V48" s="689"/>
      <c r="W48" s="689"/>
      <c r="X48" s="689"/>
      <c r="Y48" s="689"/>
      <c r="Z48" s="689"/>
      <c r="AA48" s="689"/>
      <c r="AB48" s="689">
        <v>25000</v>
      </c>
      <c r="AC48" s="689">
        <v>2500</v>
      </c>
      <c r="AD48" s="689"/>
      <c r="AE48" s="689"/>
      <c r="AF48" s="689"/>
      <c r="AG48" s="689"/>
      <c r="AH48" s="689">
        <v>34500</v>
      </c>
      <c r="AI48" s="689"/>
      <c r="AJ48" s="689">
        <v>2500</v>
      </c>
      <c r="AK48" s="689"/>
      <c r="AL48" s="689"/>
      <c r="AM48" s="689"/>
      <c r="AN48" s="689"/>
      <c r="AO48" s="689"/>
      <c r="AP48" s="689"/>
      <c r="AQ48" s="689"/>
      <c r="AR48" s="689"/>
      <c r="AS48" s="689"/>
      <c r="AT48" s="689"/>
      <c r="AU48" s="689">
        <f t="shared" si="6"/>
        <v>7912.8532</v>
      </c>
      <c r="AV48" s="689"/>
      <c r="AW48" s="689"/>
      <c r="AX48" s="718">
        <f t="shared" si="68"/>
        <v>3956.4266</v>
      </c>
      <c r="AY48" s="718"/>
      <c r="AZ48" s="718"/>
      <c r="BA48" s="689"/>
      <c r="BB48" s="689"/>
      <c r="BC48" s="689"/>
      <c r="BD48" s="719"/>
      <c r="BE48" s="719"/>
      <c r="BF48" s="689"/>
      <c r="BG48" s="689"/>
      <c r="BH48" s="727"/>
      <c r="BI48" s="689"/>
      <c r="BJ48" s="689"/>
      <c r="BK48" s="689"/>
      <c r="BL48" s="689"/>
      <c r="BM48" s="689"/>
      <c r="BN48" s="689">
        <v>25000</v>
      </c>
      <c r="BO48" s="689">
        <v>66333.33</v>
      </c>
      <c r="BP48" s="689"/>
      <c r="BQ48" s="689"/>
      <c r="BR48" s="731"/>
      <c r="BS48" s="731"/>
      <c r="BT48" s="731"/>
      <c r="BU48" s="731"/>
      <c r="BV48" s="731"/>
      <c r="BW48" s="731"/>
      <c r="BX48" s="731"/>
      <c r="BY48" s="731"/>
      <c r="BZ48" s="731">
        <v>1000</v>
      </c>
      <c r="CA48" s="718">
        <f t="shared" si="7"/>
        <v>5246.4266</v>
      </c>
      <c r="CB48" s="735"/>
      <c r="CC48" s="731">
        <v>31236.65</v>
      </c>
      <c r="CD48" s="702">
        <f t="shared" si="8"/>
        <v>262321.33</v>
      </c>
      <c r="CE48" s="731">
        <f t="shared" si="9"/>
        <v>140685.6864</v>
      </c>
      <c r="CF48" s="739">
        <f t="shared" si="26"/>
        <v>121635.6436</v>
      </c>
      <c r="CG48" s="742">
        <f t="shared" si="1"/>
        <v>140685.6864</v>
      </c>
      <c r="CH48" s="743"/>
      <c r="CI48" s="744"/>
      <c r="CJ48" s="745"/>
      <c r="CK48" s="748"/>
      <c r="CL48" s="749"/>
      <c r="CM48" s="744"/>
      <c r="CN48" s="745"/>
      <c r="CO48" s="745"/>
      <c r="CP48" s="745"/>
      <c r="CQ48" s="745"/>
      <c r="CR48" s="745"/>
      <c r="CS48" s="745"/>
      <c r="CT48" s="754"/>
      <c r="CU48" s="755"/>
      <c r="CV48" s="756"/>
      <c r="CW48" s="757"/>
      <c r="CX48" s="758"/>
      <c r="CY48" s="759"/>
      <c r="CZ48" s="760"/>
      <c r="DA48" s="767"/>
    </row>
    <row r="49" ht="236" customHeight="1" spans="1:106">
      <c r="A49" s="675">
        <v>372</v>
      </c>
      <c r="B49" s="676" t="s">
        <v>949</v>
      </c>
      <c r="C49" s="677" t="s">
        <v>1533</v>
      </c>
      <c r="D49" s="677" t="s">
        <v>1568</v>
      </c>
      <c r="E49" s="677" t="s">
        <v>165</v>
      </c>
      <c r="F49" s="677" t="s">
        <v>950</v>
      </c>
      <c r="G49" s="677" t="s">
        <v>1590</v>
      </c>
      <c r="H49" s="679"/>
      <c r="I49" s="681" t="s">
        <v>113</v>
      </c>
      <c r="J49" s="686">
        <v>2018539233</v>
      </c>
      <c r="K49" s="687" t="str">
        <f>'[5] NON-TEACHING STAFF'!$J$54</f>
        <v>22343768368</v>
      </c>
      <c r="L49" s="688">
        <v>726010</v>
      </c>
      <c r="M49" s="688" t="e">
        <f>S49-#REF!</f>
        <v>#REF!</v>
      </c>
      <c r="N49" s="689">
        <v>726010</v>
      </c>
      <c r="O49" s="689">
        <v>80813.4166666667</v>
      </c>
      <c r="P49" s="689"/>
      <c r="Q49" s="689">
        <v>20203.3541666667</v>
      </c>
      <c r="R49" s="689">
        <v>30000</v>
      </c>
      <c r="S49" s="689">
        <f>S57</f>
        <v>124335.5</v>
      </c>
      <c r="T49" s="689"/>
      <c r="U49" s="689"/>
      <c r="V49" s="689"/>
      <c r="W49" s="689"/>
      <c r="X49" s="689"/>
      <c r="Y49" s="689"/>
      <c r="Z49" s="689"/>
      <c r="AA49" s="689"/>
      <c r="AB49" s="689"/>
      <c r="AC49" s="689">
        <v>2500</v>
      </c>
      <c r="AD49" s="689"/>
      <c r="AE49" s="689"/>
      <c r="AF49" s="689"/>
      <c r="AG49" s="689"/>
      <c r="AH49" s="689"/>
      <c r="AI49" s="689"/>
      <c r="AJ49" s="689">
        <v>2500</v>
      </c>
      <c r="AK49" s="689"/>
      <c r="AL49" s="689">
        <v>383.33</v>
      </c>
      <c r="AM49" s="689"/>
      <c r="AN49" s="689"/>
      <c r="AO49" s="689"/>
      <c r="AP49" s="689"/>
      <c r="AQ49" s="689"/>
      <c r="AR49" s="689"/>
      <c r="AS49" s="689"/>
      <c r="AT49" s="689"/>
      <c r="AU49" s="689">
        <f>S49*0.03</f>
        <v>3730.065</v>
      </c>
      <c r="AV49" s="689"/>
      <c r="AW49" s="689"/>
      <c r="AX49" s="718"/>
      <c r="AY49" s="718"/>
      <c r="AZ49" s="718"/>
      <c r="BA49" s="689"/>
      <c r="BB49" s="689"/>
      <c r="BC49" s="689"/>
      <c r="BD49" s="719"/>
      <c r="BE49" s="719">
        <f t="shared" si="22"/>
        <v>3730.065</v>
      </c>
      <c r="BF49" s="689"/>
      <c r="BG49" s="689"/>
      <c r="BH49" s="727"/>
      <c r="BI49" s="689"/>
      <c r="BJ49" s="689"/>
      <c r="BK49" s="689"/>
      <c r="BL49" s="689"/>
      <c r="BM49" s="689"/>
      <c r="BN49" s="689"/>
      <c r="BO49" s="689">
        <v>10000</v>
      </c>
      <c r="BP49" s="689"/>
      <c r="BQ49" s="689"/>
      <c r="BR49" s="731"/>
      <c r="BS49" s="731"/>
      <c r="BT49" s="731"/>
      <c r="BU49" s="731"/>
      <c r="BV49" s="731"/>
      <c r="BW49" s="731"/>
      <c r="BX49" s="731"/>
      <c r="BY49" s="731"/>
      <c r="BZ49" s="731">
        <v>500</v>
      </c>
      <c r="CA49" s="718">
        <f t="shared" si="7"/>
        <v>2586.71</v>
      </c>
      <c r="CB49" s="735"/>
      <c r="CC49" s="731">
        <v>10020.26</v>
      </c>
      <c r="CD49" s="702">
        <f t="shared" si="8"/>
        <v>129335.5</v>
      </c>
      <c r="CE49" s="731">
        <f t="shared" si="9"/>
        <v>30567.1</v>
      </c>
      <c r="CF49" s="739">
        <f t="shared" si="26"/>
        <v>98768.4</v>
      </c>
      <c r="CG49" s="742">
        <f t="shared" si="1"/>
        <v>30567.1</v>
      </c>
      <c r="CH49" s="743" t="e">
        <f>'[6]JACKSON AKPOJARO '!C211*12</f>
        <v>#REF!</v>
      </c>
      <c r="CI49" s="744" t="e">
        <f t="shared" si="10"/>
        <v>#REF!</v>
      </c>
      <c r="CJ49" s="745">
        <f t="shared" ref="CJ49:CJ67" si="78">CB49*12</f>
        <v>0</v>
      </c>
      <c r="CK49" s="748" t="e">
        <f t="shared" si="11"/>
        <v>#REF!</v>
      </c>
      <c r="CL49" s="749" t="e">
        <f t="shared" si="12"/>
        <v>#REF!</v>
      </c>
      <c r="CM49" s="744"/>
      <c r="CN49" s="745" t="e">
        <f t="shared" si="13"/>
        <v>#REF!</v>
      </c>
      <c r="CO49" s="745" t="e">
        <f t="shared" si="14"/>
        <v>#REF!</v>
      </c>
      <c r="CP49" s="745" t="e">
        <f t="shared" si="15"/>
        <v>#REF!</v>
      </c>
      <c r="CQ49" s="745" t="e">
        <f t="shared" si="16"/>
        <v>#REF!</v>
      </c>
      <c r="CR49" s="745" t="e">
        <f t="shared" si="17"/>
        <v>#REF!</v>
      </c>
      <c r="CS49" s="745" t="e">
        <f t="shared" si="18"/>
        <v>#REF!</v>
      </c>
      <c r="CT49" s="754" t="e">
        <f t="shared" ref="CT49:CT73" si="79">1%*CH49</f>
        <v>#REF!</v>
      </c>
      <c r="CU49" s="755" t="e">
        <f t="shared" ref="CU49:CU73" si="80">MAX(CT49:CT49)</f>
        <v>#REF!</v>
      </c>
      <c r="CV49" s="756">
        <f>CC49</f>
        <v>10020.26</v>
      </c>
      <c r="CW49" s="757"/>
      <c r="CX49" s="758"/>
      <c r="CY49" s="759"/>
      <c r="CZ49" s="760"/>
      <c r="DA49" s="767"/>
      <c r="DB49" s="770" t="s">
        <v>1591</v>
      </c>
    </row>
    <row r="50" ht="236" customHeight="1" spans="1:105">
      <c r="A50" s="673">
        <v>373</v>
      </c>
      <c r="B50" s="676" t="s">
        <v>951</v>
      </c>
      <c r="C50" s="677" t="s">
        <v>1533</v>
      </c>
      <c r="D50" s="677" t="s">
        <v>1592</v>
      </c>
      <c r="E50" s="677" t="s">
        <v>113</v>
      </c>
      <c r="F50" s="677" t="s">
        <v>952</v>
      </c>
      <c r="G50" s="677" t="s">
        <v>1590</v>
      </c>
      <c r="H50" s="679"/>
      <c r="I50" s="681" t="s">
        <v>113</v>
      </c>
      <c r="J50" s="686">
        <v>2077897046</v>
      </c>
      <c r="K50" s="687" t="str">
        <f>'[5] NON-TEACHING STAFF'!$J$54</f>
        <v>22343768368</v>
      </c>
      <c r="L50" s="688">
        <v>464722</v>
      </c>
      <c r="M50" s="688" t="e">
        <f>S50-#REF!</f>
        <v>#REF!</v>
      </c>
      <c r="N50" s="689">
        <v>586290</v>
      </c>
      <c r="O50" s="689">
        <v>48857.5</v>
      </c>
      <c r="P50" s="689"/>
      <c r="Q50" s="689">
        <v>12214.375</v>
      </c>
      <c r="R50" s="689">
        <v>40000.04</v>
      </c>
      <c r="S50" s="689">
        <f>S58</f>
        <v>124335.5</v>
      </c>
      <c r="T50" s="689"/>
      <c r="U50" s="689"/>
      <c r="V50" s="689"/>
      <c r="W50" s="689"/>
      <c r="X50" s="689"/>
      <c r="Y50" s="689"/>
      <c r="Z50" s="689"/>
      <c r="AA50" s="689"/>
      <c r="AB50" s="689"/>
      <c r="AC50" s="689">
        <v>2500</v>
      </c>
      <c r="AD50" s="689"/>
      <c r="AE50" s="689"/>
      <c r="AF50" s="689"/>
      <c r="AG50" s="689"/>
      <c r="AH50" s="689"/>
      <c r="AI50" s="689"/>
      <c r="AJ50" s="689">
        <v>2500</v>
      </c>
      <c r="AK50" s="689"/>
      <c r="AL50" s="689">
        <v>383.33</v>
      </c>
      <c r="AM50" s="689"/>
      <c r="AN50" s="689"/>
      <c r="AO50" s="689"/>
      <c r="AP50" s="689"/>
      <c r="AQ50" s="689"/>
      <c r="AR50" s="689"/>
      <c r="AS50" s="689"/>
      <c r="AT50" s="689"/>
      <c r="AU50" s="689">
        <f>S50*0.03</f>
        <v>3730.065</v>
      </c>
      <c r="AV50" s="689"/>
      <c r="AW50" s="689"/>
      <c r="AX50" s="718"/>
      <c r="AY50" s="718"/>
      <c r="AZ50" s="724"/>
      <c r="BA50" s="689"/>
      <c r="BB50" s="689"/>
      <c r="BC50" s="689"/>
      <c r="BD50" s="719"/>
      <c r="BE50" s="719">
        <f t="shared" si="22"/>
        <v>3730.065</v>
      </c>
      <c r="BF50" s="689"/>
      <c r="BG50" s="689"/>
      <c r="BH50" s="727"/>
      <c r="BI50" s="689"/>
      <c r="BJ50" s="689"/>
      <c r="BK50" s="689"/>
      <c r="BL50" s="689"/>
      <c r="BM50" s="689"/>
      <c r="BN50" s="689"/>
      <c r="BO50" s="689">
        <v>37778</v>
      </c>
      <c r="BP50" s="689"/>
      <c r="BQ50" s="689"/>
      <c r="BR50" s="731"/>
      <c r="BS50" s="731"/>
      <c r="BT50" s="731"/>
      <c r="BU50" s="731"/>
      <c r="BV50" s="731"/>
      <c r="BW50" s="731"/>
      <c r="BX50" s="731"/>
      <c r="BY50" s="731"/>
      <c r="BZ50" s="731">
        <v>500</v>
      </c>
      <c r="CA50" s="718">
        <f t="shared" si="7"/>
        <v>2586.71</v>
      </c>
      <c r="CB50" s="735"/>
      <c r="CC50" s="731">
        <v>10020.26</v>
      </c>
      <c r="CD50" s="702">
        <f t="shared" si="8"/>
        <v>129335.5</v>
      </c>
      <c r="CE50" s="731">
        <f t="shared" si="9"/>
        <v>58345.1</v>
      </c>
      <c r="CF50" s="739">
        <f t="shared" si="26"/>
        <v>70990.4</v>
      </c>
      <c r="CG50" s="742">
        <f t="shared" si="1"/>
        <v>58345.1</v>
      </c>
      <c r="CH50" s="743"/>
      <c r="CI50" s="744">
        <f t="shared" si="10"/>
        <v>200000</v>
      </c>
      <c r="CJ50" s="745">
        <f t="shared" si="78"/>
        <v>0</v>
      </c>
      <c r="CK50" s="748">
        <f t="shared" si="11"/>
        <v>200000</v>
      </c>
      <c r="CL50" s="749">
        <f t="shared" si="12"/>
        <v>-200000</v>
      </c>
      <c r="CM50" s="744"/>
      <c r="CN50" s="745">
        <f t="shared" si="13"/>
        <v>0</v>
      </c>
      <c r="CO50" s="745" t="str">
        <f t="shared" si="14"/>
        <v/>
      </c>
      <c r="CP50" s="745" t="str">
        <f t="shared" si="15"/>
        <v/>
      </c>
      <c r="CQ50" s="745" t="str">
        <f t="shared" si="16"/>
        <v/>
      </c>
      <c r="CR50" s="745" t="str">
        <f t="shared" si="17"/>
        <v/>
      </c>
      <c r="CS50" s="745" t="str">
        <f t="shared" si="18"/>
        <v/>
      </c>
      <c r="CT50" s="754">
        <f t="shared" si="79"/>
        <v>0</v>
      </c>
      <c r="CU50" s="755">
        <f t="shared" si="80"/>
        <v>0</v>
      </c>
      <c r="CV50" s="756">
        <f>CC50</f>
        <v>10020.26</v>
      </c>
      <c r="CW50" s="757"/>
      <c r="CX50" s="758"/>
      <c r="CY50" s="759"/>
      <c r="CZ50" s="760"/>
      <c r="DA50" s="767"/>
    </row>
    <row r="51" ht="236" customHeight="1" spans="1:106">
      <c r="A51" s="675">
        <v>374</v>
      </c>
      <c r="B51" s="676" t="s">
        <v>953</v>
      </c>
      <c r="C51" s="677" t="s">
        <v>1533</v>
      </c>
      <c r="D51" s="677" t="s">
        <v>1592</v>
      </c>
      <c r="E51" s="677" t="s">
        <v>113</v>
      </c>
      <c r="F51" s="677" t="s">
        <v>954</v>
      </c>
      <c r="G51" s="677" t="s">
        <v>1593</v>
      </c>
      <c r="H51" s="679"/>
      <c r="I51" s="681" t="s">
        <v>113</v>
      </c>
      <c r="J51" s="686">
        <v>2058529234</v>
      </c>
      <c r="K51" s="687" t="str">
        <f>'[5] NON-TEACHING STAFF'!$J$55</f>
        <v>22224285937</v>
      </c>
      <c r="L51" s="688">
        <v>691080</v>
      </c>
      <c r="M51" s="688" t="e">
        <f>S51-#REF!</f>
        <v>#REF!</v>
      </c>
      <c r="N51" s="689">
        <v>673615</v>
      </c>
      <c r="O51" s="689">
        <v>56134.5833333333</v>
      </c>
      <c r="P51" s="689"/>
      <c r="Q51" s="689">
        <v>14033.6458333333</v>
      </c>
      <c r="R51" s="689">
        <v>60848.52</v>
      </c>
      <c r="S51" s="689">
        <f>SUM(O51:R51)</f>
        <v>131016.749166667</v>
      </c>
      <c r="T51" s="689"/>
      <c r="U51" s="689"/>
      <c r="V51" s="689"/>
      <c r="W51" s="689"/>
      <c r="X51" s="689"/>
      <c r="Y51" s="689"/>
      <c r="Z51" s="689"/>
      <c r="AA51" s="689"/>
      <c r="AB51" s="689"/>
      <c r="AC51" s="689">
        <v>2500</v>
      </c>
      <c r="AD51" s="689"/>
      <c r="AE51" s="689"/>
      <c r="AF51" s="689"/>
      <c r="AG51" s="689"/>
      <c r="AH51" s="689"/>
      <c r="AI51" s="689"/>
      <c r="AJ51" s="689">
        <v>2500</v>
      </c>
      <c r="AK51" s="689"/>
      <c r="AL51" s="689">
        <v>383.33</v>
      </c>
      <c r="AM51" s="689"/>
      <c r="AN51" s="689"/>
      <c r="AO51" s="689"/>
      <c r="AP51" s="689"/>
      <c r="AQ51" s="689"/>
      <c r="AR51" s="689"/>
      <c r="AS51" s="689"/>
      <c r="AT51" s="689"/>
      <c r="AU51" s="689">
        <f>S51*0.03</f>
        <v>3930.502475</v>
      </c>
      <c r="AV51" s="689"/>
      <c r="AW51" s="689"/>
      <c r="AX51" s="718"/>
      <c r="AY51" s="718"/>
      <c r="AZ51" s="718"/>
      <c r="BA51" s="689"/>
      <c r="BB51" s="689"/>
      <c r="BC51" s="689"/>
      <c r="BD51" s="719"/>
      <c r="BE51" s="719">
        <f t="shared" si="22"/>
        <v>3930.502475</v>
      </c>
      <c r="BF51" s="689"/>
      <c r="BG51" s="689"/>
      <c r="BH51" s="727"/>
      <c r="BI51" s="689"/>
      <c r="BJ51" s="689"/>
      <c r="BK51" s="689"/>
      <c r="BL51" s="689"/>
      <c r="BM51" s="689"/>
      <c r="BN51" s="689"/>
      <c r="BO51" s="689">
        <v>0</v>
      </c>
      <c r="BP51" s="689"/>
      <c r="BQ51" s="689"/>
      <c r="BR51" s="731"/>
      <c r="BS51" s="731"/>
      <c r="BT51" s="731"/>
      <c r="BU51" s="731"/>
      <c r="BV51" s="731"/>
      <c r="BW51" s="731"/>
      <c r="BX51" s="731"/>
      <c r="BY51" s="731"/>
      <c r="BZ51" s="731">
        <v>500</v>
      </c>
      <c r="CA51" s="718">
        <f t="shared" si="7"/>
        <v>2720.33498333333</v>
      </c>
      <c r="CB51" s="735"/>
      <c r="CC51" s="731">
        <v>10841.21254</v>
      </c>
      <c r="CD51" s="702">
        <f t="shared" si="8"/>
        <v>136016.749166667</v>
      </c>
      <c r="CE51" s="731">
        <f t="shared" si="9"/>
        <v>21922.5524733333</v>
      </c>
      <c r="CF51" s="739">
        <f t="shared" si="26"/>
        <v>114094.196693333</v>
      </c>
      <c r="CG51" s="742">
        <f t="shared" si="1"/>
        <v>21922.5524733333</v>
      </c>
      <c r="CH51" s="743" t="e">
        <f>'[6]JACKSON AKPOJARO '!C213*12</f>
        <v>#REF!</v>
      </c>
      <c r="CI51" s="744" t="e">
        <f t="shared" si="10"/>
        <v>#REF!</v>
      </c>
      <c r="CJ51" s="745">
        <f t="shared" si="78"/>
        <v>0</v>
      </c>
      <c r="CK51" s="748" t="e">
        <f t="shared" si="11"/>
        <v>#REF!</v>
      </c>
      <c r="CL51" s="749" t="e">
        <f t="shared" si="12"/>
        <v>#REF!</v>
      </c>
      <c r="CM51" s="744"/>
      <c r="CN51" s="745" t="e">
        <f t="shared" si="13"/>
        <v>#REF!</v>
      </c>
      <c r="CO51" s="745" t="e">
        <f t="shared" si="14"/>
        <v>#REF!</v>
      </c>
      <c r="CP51" s="745" t="e">
        <f t="shared" si="15"/>
        <v>#REF!</v>
      </c>
      <c r="CQ51" s="745" t="e">
        <f t="shared" si="16"/>
        <v>#REF!</v>
      </c>
      <c r="CR51" s="745" t="e">
        <f t="shared" si="17"/>
        <v>#REF!</v>
      </c>
      <c r="CS51" s="745" t="e">
        <f t="shared" si="18"/>
        <v>#REF!</v>
      </c>
      <c r="CT51" s="754" t="e">
        <f t="shared" si="79"/>
        <v>#REF!</v>
      </c>
      <c r="CU51" s="755" t="e">
        <f t="shared" si="80"/>
        <v>#REF!</v>
      </c>
      <c r="CV51" s="756">
        <f>CC51</f>
        <v>10841.21254</v>
      </c>
      <c r="CW51" s="757"/>
      <c r="CX51" s="758"/>
      <c r="CY51" s="759"/>
      <c r="CZ51" s="760"/>
      <c r="DA51" s="767"/>
      <c r="DB51" s="770"/>
    </row>
    <row r="52" ht="236" customHeight="1" spans="1:105">
      <c r="A52" s="673">
        <v>375</v>
      </c>
      <c r="B52" s="676" t="s">
        <v>955</v>
      </c>
      <c r="C52" s="677" t="s">
        <v>1594</v>
      </c>
      <c r="D52" s="677" t="s">
        <v>1595</v>
      </c>
      <c r="E52" s="677" t="s">
        <v>313</v>
      </c>
      <c r="F52" s="1452" t="s">
        <v>956</v>
      </c>
      <c r="G52" s="677" t="s">
        <v>1596</v>
      </c>
      <c r="H52" s="679"/>
      <c r="I52" s="33" t="s">
        <v>313</v>
      </c>
      <c r="J52" s="33" t="s">
        <v>956</v>
      </c>
      <c r="K52" s="695"/>
      <c r="L52" s="688" t="e">
        <f>#REF!*12</f>
        <v>#REF!</v>
      </c>
      <c r="M52" s="688" t="e">
        <f>S52-#REF!</f>
        <v>#REF!</v>
      </c>
      <c r="N52" s="689">
        <v>3523334</v>
      </c>
      <c r="O52" s="689">
        <v>293611.166666667</v>
      </c>
      <c r="P52" s="689"/>
      <c r="Q52" s="689">
        <v>73402.7916666667</v>
      </c>
      <c r="R52" s="689">
        <v>30000</v>
      </c>
      <c r="S52" s="689">
        <v>410097.33</v>
      </c>
      <c r="T52" s="689"/>
      <c r="U52" s="689"/>
      <c r="W52" s="689"/>
      <c r="X52" s="689"/>
      <c r="Y52" s="689"/>
      <c r="Z52" s="689"/>
      <c r="AA52" s="689">
        <f>S52*0.35/3</f>
        <v>47844.6885</v>
      </c>
      <c r="AB52" s="689"/>
      <c r="AC52" s="689">
        <v>2500</v>
      </c>
      <c r="AD52" s="689"/>
      <c r="AE52" s="689"/>
      <c r="AF52" s="689"/>
      <c r="AG52" s="689"/>
      <c r="AH52" s="689"/>
      <c r="AI52" s="689"/>
      <c r="AJ52" s="689">
        <v>2500</v>
      </c>
      <c r="AK52" s="689"/>
      <c r="AL52" s="689">
        <v>383.33</v>
      </c>
      <c r="AM52" s="689"/>
      <c r="AN52" s="689"/>
      <c r="AO52" s="689"/>
      <c r="AP52" s="689"/>
      <c r="AQ52" s="689"/>
      <c r="AR52" s="689"/>
      <c r="AS52" s="689"/>
      <c r="AT52" s="689"/>
      <c r="AU52" s="689">
        <f t="shared" si="6"/>
        <v>16403.8932</v>
      </c>
      <c r="AV52" s="689"/>
      <c r="AW52" s="689"/>
      <c r="AX52" s="718">
        <f t="shared" si="19"/>
        <v>8201.9466</v>
      </c>
      <c r="AY52" s="718"/>
      <c r="AZ52" s="718"/>
      <c r="BA52" s="689"/>
      <c r="BB52" s="689"/>
      <c r="BC52" s="689"/>
      <c r="BD52" s="719"/>
      <c r="BE52" s="719"/>
      <c r="BF52" s="689"/>
      <c r="BG52" s="689"/>
      <c r="BH52" s="727"/>
      <c r="BI52" s="689"/>
      <c r="BJ52" s="689"/>
      <c r="BK52" s="689"/>
      <c r="BL52" s="689"/>
      <c r="BM52" s="689"/>
      <c r="BN52" s="689"/>
      <c r="BO52" s="689">
        <v>0</v>
      </c>
      <c r="BP52" s="689"/>
      <c r="BQ52" s="689"/>
      <c r="BR52" s="731"/>
      <c r="BS52" s="731"/>
      <c r="BT52" s="731"/>
      <c r="BU52" s="731"/>
      <c r="BV52" s="731"/>
      <c r="BW52" s="731"/>
      <c r="BX52" s="731"/>
      <c r="BY52" s="731">
        <v>2000</v>
      </c>
      <c r="BZ52" s="731">
        <v>3500</v>
      </c>
      <c r="CA52" s="718">
        <f t="shared" si="7"/>
        <v>9258.84037</v>
      </c>
      <c r="CB52" s="735"/>
      <c r="CC52" s="731">
        <v>67551.53</v>
      </c>
      <c r="CD52" s="702">
        <f t="shared" si="8"/>
        <v>462942.0185</v>
      </c>
      <c r="CE52" s="731">
        <f t="shared" si="9"/>
        <v>106916.21017</v>
      </c>
      <c r="CF52" s="739">
        <f t="shared" si="26"/>
        <v>356025.80833</v>
      </c>
      <c r="CG52" s="742">
        <f t="shared" si="1"/>
        <v>106916.21017</v>
      </c>
      <c r="CH52" s="743" t="e">
        <f>'[6]JACKSON AKPOJARO '!C215*12</f>
        <v>#REF!</v>
      </c>
      <c r="CI52" s="744" t="e">
        <f t="shared" si="10"/>
        <v>#REF!</v>
      </c>
      <c r="CJ52" s="745">
        <f t="shared" si="78"/>
        <v>0</v>
      </c>
      <c r="CK52" s="748" t="e">
        <f t="shared" si="11"/>
        <v>#REF!</v>
      </c>
      <c r="CL52" s="749" t="e">
        <f t="shared" si="12"/>
        <v>#REF!</v>
      </c>
      <c r="CM52" s="744"/>
      <c r="CN52" s="745" t="e">
        <f t="shared" si="13"/>
        <v>#REF!</v>
      </c>
      <c r="CO52" s="745" t="e">
        <f t="shared" si="14"/>
        <v>#REF!</v>
      </c>
      <c r="CP52" s="745" t="e">
        <f t="shared" si="15"/>
        <v>#REF!</v>
      </c>
      <c r="CQ52" s="745" t="e">
        <f t="shared" si="16"/>
        <v>#REF!</v>
      </c>
      <c r="CR52" s="745" t="e">
        <f t="shared" si="17"/>
        <v>#REF!</v>
      </c>
      <c r="CS52" s="745" t="e">
        <f t="shared" si="18"/>
        <v>#REF!</v>
      </c>
      <c r="CT52" s="754" t="e">
        <f t="shared" si="79"/>
        <v>#REF!</v>
      </c>
      <c r="CU52" s="755" t="e">
        <f t="shared" si="80"/>
        <v>#REF!</v>
      </c>
      <c r="CV52" s="756">
        <v>32413.11</v>
      </c>
      <c r="CW52" s="757"/>
      <c r="CX52" s="758"/>
      <c r="CY52" s="759"/>
      <c r="CZ52" s="760"/>
      <c r="DA52" s="767"/>
    </row>
    <row r="53" ht="236" customHeight="1" spans="1:105">
      <c r="A53" s="675">
        <v>376</v>
      </c>
      <c r="B53" s="676" t="s">
        <v>957</v>
      </c>
      <c r="C53" s="677" t="s">
        <v>1533</v>
      </c>
      <c r="D53" s="677" t="s">
        <v>1592</v>
      </c>
      <c r="E53" s="677" t="s">
        <v>113</v>
      </c>
      <c r="F53" s="677" t="s">
        <v>958</v>
      </c>
      <c r="G53" s="677" t="s">
        <v>1597</v>
      </c>
      <c r="H53" s="679"/>
      <c r="I53" s="681" t="s">
        <v>113</v>
      </c>
      <c r="J53" s="686">
        <v>2064244147</v>
      </c>
      <c r="K53" s="687" t="str">
        <f>'[5] NON-TEACHING STAFF'!$J$58</f>
        <v>22269109102</v>
      </c>
      <c r="L53" s="688">
        <v>673615</v>
      </c>
      <c r="M53" s="688" t="e">
        <f>S53-#REF!</f>
        <v>#REF!</v>
      </c>
      <c r="N53" s="689">
        <f>N51</f>
        <v>673615</v>
      </c>
      <c r="O53" s="689">
        <v>54679.17</v>
      </c>
      <c r="P53" s="689"/>
      <c r="Q53" s="689">
        <v>13669.7925</v>
      </c>
      <c r="R53" s="689">
        <v>40000</v>
      </c>
      <c r="S53" s="689">
        <v>127675.17</v>
      </c>
      <c r="T53" s="689"/>
      <c r="U53" s="689"/>
      <c r="V53" s="689"/>
      <c r="W53" s="689"/>
      <c r="X53" s="689"/>
      <c r="Y53" s="689"/>
      <c r="Z53" s="689"/>
      <c r="AA53" s="689"/>
      <c r="AB53" s="689"/>
      <c r="AC53" s="689">
        <v>2500</v>
      </c>
      <c r="AD53" s="689"/>
      <c r="AE53" s="689"/>
      <c r="AF53" s="689"/>
      <c r="AG53" s="689"/>
      <c r="AH53" s="689"/>
      <c r="AI53" s="689"/>
      <c r="AJ53" s="689">
        <v>2500</v>
      </c>
      <c r="AK53" s="689"/>
      <c r="AL53" s="689">
        <v>383.33</v>
      </c>
      <c r="AM53" s="689"/>
      <c r="AN53" s="689"/>
      <c r="AO53" s="689"/>
      <c r="AP53" s="689"/>
      <c r="AQ53" s="689"/>
      <c r="AR53" s="689"/>
      <c r="AS53" s="689"/>
      <c r="AT53" s="689"/>
      <c r="AU53" s="689">
        <f t="shared" ref="AU53:AU71" si="81">S53*0.03</f>
        <v>3830.2551</v>
      </c>
      <c r="AV53" s="689"/>
      <c r="AW53" s="689"/>
      <c r="AX53" s="718"/>
      <c r="AY53" s="718"/>
      <c r="AZ53" s="718"/>
      <c r="BA53" s="689"/>
      <c r="BB53" s="689">
        <v>25000</v>
      </c>
      <c r="BC53" s="689"/>
      <c r="BD53" s="719"/>
      <c r="BE53" s="719">
        <f t="shared" si="22"/>
        <v>3830.2551</v>
      </c>
      <c r="BF53" s="689"/>
      <c r="BG53" s="689"/>
      <c r="BH53" s="727"/>
      <c r="BI53" s="689"/>
      <c r="BJ53" s="689"/>
      <c r="BK53" s="689"/>
      <c r="BL53" s="689"/>
      <c r="BM53" s="689"/>
      <c r="BN53" s="689"/>
      <c r="BO53" s="689">
        <v>27917</v>
      </c>
      <c r="BP53" s="689"/>
      <c r="BQ53" s="689"/>
      <c r="BR53" s="731"/>
      <c r="BS53" s="731"/>
      <c r="BT53" s="731"/>
      <c r="BU53" s="731"/>
      <c r="BV53" s="731"/>
      <c r="BW53" s="731"/>
      <c r="BX53" s="731"/>
      <c r="BY53" s="731"/>
      <c r="BZ53" s="731">
        <v>500</v>
      </c>
      <c r="CA53" s="718">
        <f t="shared" si="7"/>
        <v>2653.5034</v>
      </c>
      <c r="CB53" s="735"/>
      <c r="CC53" s="731">
        <v>10421.0204</v>
      </c>
      <c r="CD53" s="702">
        <f t="shared" si="8"/>
        <v>132675.17</v>
      </c>
      <c r="CE53" s="731">
        <f t="shared" si="9"/>
        <v>74152.034</v>
      </c>
      <c r="CF53" s="739">
        <f t="shared" si="26"/>
        <v>58523.136</v>
      </c>
      <c r="CG53" s="742">
        <f t="shared" si="1"/>
        <v>74152.034</v>
      </c>
      <c r="CH53" s="743" t="e">
        <f>'[6]JACKSON AKPOJARO '!C216*12</f>
        <v>#REF!</v>
      </c>
      <c r="CI53" s="744" t="e">
        <f t="shared" si="10"/>
        <v>#REF!</v>
      </c>
      <c r="CJ53" s="745">
        <f t="shared" si="78"/>
        <v>0</v>
      </c>
      <c r="CK53" s="748" t="e">
        <f t="shared" si="11"/>
        <v>#REF!</v>
      </c>
      <c r="CL53" s="749" t="e">
        <f t="shared" si="12"/>
        <v>#REF!</v>
      </c>
      <c r="CM53" s="744"/>
      <c r="CN53" s="745" t="e">
        <f t="shared" si="13"/>
        <v>#REF!</v>
      </c>
      <c r="CO53" s="745" t="e">
        <f t="shared" si="14"/>
        <v>#REF!</v>
      </c>
      <c r="CP53" s="745" t="e">
        <f t="shared" si="15"/>
        <v>#REF!</v>
      </c>
      <c r="CQ53" s="745" t="e">
        <f t="shared" si="16"/>
        <v>#REF!</v>
      </c>
      <c r="CR53" s="745" t="e">
        <f t="shared" si="17"/>
        <v>#REF!</v>
      </c>
      <c r="CS53" s="745" t="e">
        <f t="shared" si="18"/>
        <v>#REF!</v>
      </c>
      <c r="CT53" s="754" t="e">
        <f t="shared" si="79"/>
        <v>#REF!</v>
      </c>
      <c r="CU53" s="755" t="e">
        <f t="shared" si="80"/>
        <v>#REF!</v>
      </c>
      <c r="CV53" s="756">
        <v>2198.57</v>
      </c>
      <c r="CW53" s="757"/>
      <c r="CX53" s="758"/>
      <c r="CY53" s="759"/>
      <c r="CZ53" s="760"/>
      <c r="DA53" s="767"/>
    </row>
    <row r="54" ht="236" customHeight="1" spans="1:106">
      <c r="A54" s="673">
        <v>377</v>
      </c>
      <c r="B54" s="676" t="s">
        <v>959</v>
      </c>
      <c r="C54" s="677" t="s">
        <v>1533</v>
      </c>
      <c r="D54" s="677" t="s">
        <v>1568</v>
      </c>
      <c r="E54" s="677" t="s">
        <v>93</v>
      </c>
      <c r="F54" s="677" t="s">
        <v>960</v>
      </c>
      <c r="G54" s="677" t="s">
        <v>1598</v>
      </c>
      <c r="H54" s="679"/>
      <c r="I54" s="681" t="s">
        <v>93</v>
      </c>
      <c r="J54" s="686">
        <v>3125884788</v>
      </c>
      <c r="K54" s="687" t="str">
        <f>'[5] NON-TEACHING STAFF'!$J$59</f>
        <v>22478855828</v>
      </c>
      <c r="L54" s="688">
        <v>489388</v>
      </c>
      <c r="M54" s="688" t="e">
        <f>S54-#REF!</f>
        <v>#REF!</v>
      </c>
      <c r="N54" s="689">
        <v>506441</v>
      </c>
      <c r="O54" s="689">
        <v>43397.75</v>
      </c>
      <c r="P54" s="689"/>
      <c r="Q54" s="689">
        <v>10849.4375</v>
      </c>
      <c r="R54" s="689">
        <v>42449.98</v>
      </c>
      <c r="S54" s="689">
        <v>98240.08</v>
      </c>
      <c r="T54" s="689"/>
      <c r="U54" s="689"/>
      <c r="V54" s="689"/>
      <c r="W54" s="689"/>
      <c r="X54" s="689"/>
      <c r="Y54" s="689"/>
      <c r="Z54" s="689"/>
      <c r="AA54" s="689"/>
      <c r="AB54" s="689"/>
      <c r="AC54" s="689">
        <v>2500</v>
      </c>
      <c r="AD54" s="689"/>
      <c r="AE54" s="689"/>
      <c r="AF54" s="689"/>
      <c r="AG54" s="689"/>
      <c r="AH54" s="689"/>
      <c r="AI54" s="689"/>
      <c r="AJ54" s="689">
        <v>2500</v>
      </c>
      <c r="AK54" s="689"/>
      <c r="AL54" s="689">
        <v>383.33</v>
      </c>
      <c r="AM54" s="689"/>
      <c r="AN54" s="689"/>
      <c r="AO54" s="689"/>
      <c r="AP54" s="689"/>
      <c r="AQ54" s="689"/>
      <c r="AR54" s="689"/>
      <c r="AS54" s="689"/>
      <c r="AT54" s="689"/>
      <c r="AU54" s="689">
        <f t="shared" si="81"/>
        <v>2947.2024</v>
      </c>
      <c r="AV54" s="689"/>
      <c r="AW54" s="689"/>
      <c r="AX54" s="718"/>
      <c r="AY54" s="718"/>
      <c r="AZ54" s="718"/>
      <c r="BA54" s="689"/>
      <c r="BB54" s="689">
        <v>41666.67</v>
      </c>
      <c r="BC54" s="689"/>
      <c r="BD54" s="719"/>
      <c r="BE54" s="719">
        <f t="shared" si="22"/>
        <v>2947.2024</v>
      </c>
      <c r="BF54" s="689"/>
      <c r="BG54" s="689"/>
      <c r="BH54" s="727"/>
      <c r="BI54" s="689"/>
      <c r="BJ54" s="689"/>
      <c r="BK54" s="724"/>
      <c r="BL54" s="689"/>
      <c r="BM54" s="689"/>
      <c r="BN54" s="689"/>
      <c r="BO54" s="689">
        <v>0</v>
      </c>
      <c r="BP54" s="689"/>
      <c r="BQ54" s="689"/>
      <c r="BR54" s="731"/>
      <c r="BS54" s="731"/>
      <c r="BT54" s="731"/>
      <c r="BU54" s="731"/>
      <c r="BV54" s="731"/>
      <c r="BW54" s="731"/>
      <c r="BX54" s="731"/>
      <c r="BY54" s="731"/>
      <c r="BZ54" s="731">
        <v>500</v>
      </c>
      <c r="CA54" s="718">
        <f t="shared" si="7"/>
        <v>2064.8016</v>
      </c>
      <c r="CB54" s="735"/>
      <c r="CC54" s="731">
        <v>6888.81</v>
      </c>
      <c r="CD54" s="702">
        <f t="shared" si="8"/>
        <v>103240.08</v>
      </c>
      <c r="CE54" s="731">
        <f t="shared" si="9"/>
        <v>57014.6864</v>
      </c>
      <c r="CF54" s="739">
        <f t="shared" si="26"/>
        <v>46225.3936</v>
      </c>
      <c r="CG54" s="742">
        <f t="shared" si="1"/>
        <v>57014.6864</v>
      </c>
      <c r="CH54" s="743" t="e">
        <f>'[6]JACKSON AKPOJARO '!C217*12</f>
        <v>#REF!</v>
      </c>
      <c r="CI54" s="744" t="e">
        <f t="shared" si="10"/>
        <v>#REF!</v>
      </c>
      <c r="CJ54" s="745">
        <f t="shared" si="78"/>
        <v>0</v>
      </c>
      <c r="CK54" s="748" t="e">
        <f t="shared" si="11"/>
        <v>#REF!</v>
      </c>
      <c r="CL54" s="749" t="e">
        <f t="shared" si="12"/>
        <v>#REF!</v>
      </c>
      <c r="CM54" s="744"/>
      <c r="CN54" s="745" t="e">
        <f t="shared" si="13"/>
        <v>#REF!</v>
      </c>
      <c r="CO54" s="745" t="e">
        <f t="shared" si="14"/>
        <v>#REF!</v>
      </c>
      <c r="CP54" s="745" t="e">
        <f t="shared" si="15"/>
        <v>#REF!</v>
      </c>
      <c r="CQ54" s="745" t="e">
        <f t="shared" si="16"/>
        <v>#REF!</v>
      </c>
      <c r="CR54" s="745" t="e">
        <f t="shared" si="17"/>
        <v>#REF!</v>
      </c>
      <c r="CS54" s="745" t="e">
        <f t="shared" si="18"/>
        <v>#REF!</v>
      </c>
      <c r="CT54" s="754" t="e">
        <f t="shared" si="79"/>
        <v>#REF!</v>
      </c>
      <c r="CU54" s="755" t="e">
        <f t="shared" si="80"/>
        <v>#REF!</v>
      </c>
      <c r="CV54" s="756">
        <f t="shared" ref="CV54:CV67" si="82">CC54</f>
        <v>6888.81</v>
      </c>
      <c r="CW54" s="757"/>
      <c r="CX54" s="758"/>
      <c r="CY54" s="759"/>
      <c r="CZ54" s="760"/>
      <c r="DA54" s="767"/>
      <c r="DB54" s="770"/>
    </row>
    <row r="55" ht="236" customHeight="1" spans="1:106">
      <c r="A55" s="675">
        <v>378</v>
      </c>
      <c r="B55" s="676" t="s">
        <v>961</v>
      </c>
      <c r="C55" s="677" t="s">
        <v>1599</v>
      </c>
      <c r="D55" s="677" t="s">
        <v>1530</v>
      </c>
      <c r="E55" s="677" t="s">
        <v>354</v>
      </c>
      <c r="F55" s="677">
        <v>6019437394</v>
      </c>
      <c r="G55" s="677" t="s">
        <v>1585</v>
      </c>
      <c r="H55" s="679"/>
      <c r="I55" s="700" t="s">
        <v>354</v>
      </c>
      <c r="J55" s="696">
        <v>6019437394</v>
      </c>
      <c r="K55" s="687"/>
      <c r="L55" s="688"/>
      <c r="M55" s="688"/>
      <c r="N55" s="689">
        <v>516430</v>
      </c>
      <c r="O55" s="689">
        <v>43035.8333333333</v>
      </c>
      <c r="P55" s="689"/>
      <c r="Q55" s="689">
        <v>10758.9583333333</v>
      </c>
      <c r="R55" s="689">
        <v>40000</v>
      </c>
      <c r="S55" s="689">
        <v>169897.58</v>
      </c>
      <c r="T55" s="689"/>
      <c r="U55" s="689"/>
      <c r="V55" s="689"/>
      <c r="W55" s="689"/>
      <c r="X55" s="689"/>
      <c r="Y55" s="689"/>
      <c r="Z55" s="689"/>
      <c r="AA55" s="689"/>
      <c r="AB55" s="689"/>
      <c r="AC55" s="689">
        <v>2500</v>
      </c>
      <c r="AD55" s="689"/>
      <c r="AE55" s="689"/>
      <c r="AF55" s="689"/>
      <c r="AG55" s="689"/>
      <c r="AH55" s="689"/>
      <c r="AI55" s="689"/>
      <c r="AJ55" s="689">
        <v>2500</v>
      </c>
      <c r="AK55" s="689"/>
      <c r="AL55" s="689"/>
      <c r="AM55" s="689"/>
      <c r="AN55" s="689"/>
      <c r="AO55" s="689"/>
      <c r="AP55" s="689"/>
      <c r="AQ55" s="689"/>
      <c r="AR55" s="689"/>
      <c r="AS55" s="689"/>
      <c r="AT55" s="689"/>
      <c r="AU55" s="689">
        <f t="shared" si="81"/>
        <v>5096.9274</v>
      </c>
      <c r="AV55" s="689"/>
      <c r="AW55" s="689"/>
      <c r="AX55" s="718"/>
      <c r="AY55" s="718"/>
      <c r="AZ55" s="718"/>
      <c r="BA55" s="689"/>
      <c r="BB55" s="689"/>
      <c r="BC55" s="689"/>
      <c r="BD55" s="719"/>
      <c r="BE55" s="719">
        <f t="shared" si="22"/>
        <v>5096.9274</v>
      </c>
      <c r="BF55" s="689"/>
      <c r="BG55" s="689"/>
      <c r="BH55" s="727"/>
      <c r="BI55" s="689"/>
      <c r="BJ55" s="689"/>
      <c r="BK55" s="724"/>
      <c r="BL55" s="689"/>
      <c r="BM55" s="689"/>
      <c r="BN55" s="689"/>
      <c r="BO55" s="689">
        <v>0</v>
      </c>
      <c r="BP55" s="689"/>
      <c r="BQ55" s="689"/>
      <c r="BR55" s="731"/>
      <c r="BS55" s="731"/>
      <c r="BT55" s="731"/>
      <c r="BU55" s="731"/>
      <c r="BV55" s="731"/>
      <c r="BW55" s="731"/>
      <c r="BX55" s="731"/>
      <c r="BY55" s="731"/>
      <c r="BZ55" s="731">
        <v>500</v>
      </c>
      <c r="CA55" s="718">
        <f t="shared" si="7"/>
        <v>3497.9516</v>
      </c>
      <c r="CB55" s="735"/>
      <c r="CC55" s="731">
        <v>16751.1</v>
      </c>
      <c r="CD55" s="702">
        <f t="shared" si="8"/>
        <v>174897.58</v>
      </c>
      <c r="CE55" s="731">
        <f t="shared" si="9"/>
        <v>30942.9064</v>
      </c>
      <c r="CF55" s="739">
        <f t="shared" si="26"/>
        <v>143954.6736</v>
      </c>
      <c r="CG55" s="742">
        <f t="shared" si="1"/>
        <v>30942.9064</v>
      </c>
      <c r="CH55" s="743" t="e">
        <f>'[6]JACKSON AKPOJARO '!C218*12</f>
        <v>#REF!</v>
      </c>
      <c r="CI55" s="744" t="e">
        <f t="shared" ref="CI55" si="83">200000+(0.2*CH55)</f>
        <v>#REF!</v>
      </c>
      <c r="CJ55" s="745">
        <f t="shared" si="78"/>
        <v>0</v>
      </c>
      <c r="CK55" s="748" t="e">
        <f t="shared" ref="CK55" si="84">SUM(CI55:CJ55)</f>
        <v>#REF!</v>
      </c>
      <c r="CL55" s="749" t="e">
        <f t="shared" ref="CL55" si="85">+CH55-CK55</f>
        <v>#REF!</v>
      </c>
      <c r="CM55" s="744"/>
      <c r="CN55" s="745" t="e">
        <f t="shared" ref="CN55" si="86">IF((CL55&gt;0),(IF((CL55&gt;300000),(300000*7%),(CL55*7%))),(CH55*1%))</f>
        <v>#REF!</v>
      </c>
      <c r="CO55" s="745" t="e">
        <f t="shared" ref="CO55" si="87">IF((CL55-300000)&gt;0,(IF((CL55&gt;600000),(300000*11%),((CL55-300000)*11%))),(""))</f>
        <v>#REF!</v>
      </c>
      <c r="CP55" s="745" t="e">
        <f t="shared" ref="CP55" si="88">IF(((CL55-600000)&gt;0),(IF((CL55&gt;1100000),(500000*15%),((CL55-600000)*15%))),(""))</f>
        <v>#REF!</v>
      </c>
      <c r="CQ55" s="745" t="e">
        <f t="shared" ref="CQ55" si="89">IF(((CL55-(1100000))&gt;0),(IF((CL55&gt;(1600000)),((500000)*19%),((CL55-(1100000))*19%))),(""))</f>
        <v>#REF!</v>
      </c>
      <c r="CR55" s="745" t="e">
        <f t="shared" ref="CR55" si="90">IF(((CL55-(1600000))&gt;0),(IF((CL55&gt;(3200000)),((1600000)*21%),((CL55-(1600000))*21%))),(""))</f>
        <v>#REF!</v>
      </c>
      <c r="CS55" s="745" t="e">
        <f t="shared" ref="CS55" si="91">IF(((CL55-(3200000))&gt;0),(IF((CL55&gt;(3200000)),((CL55-(3200000))*24%),(0))),(""))</f>
        <v>#REF!</v>
      </c>
      <c r="CT55" s="754" t="e">
        <f t="shared" ref="CT55" si="92">1%*CH55</f>
        <v>#REF!</v>
      </c>
      <c r="CU55" s="755" t="e">
        <f t="shared" ref="CU55" si="93">MAX(CT55:CT55)</f>
        <v>#REF!</v>
      </c>
      <c r="CV55" s="756">
        <f t="shared" si="82"/>
        <v>16751.1</v>
      </c>
      <c r="CW55" s="757"/>
      <c r="CX55" s="758"/>
      <c r="CY55" s="759"/>
      <c r="CZ55" s="760"/>
      <c r="DA55" s="767"/>
      <c r="DB55" s="770"/>
    </row>
    <row r="56" ht="236" customHeight="1" spans="1:105">
      <c r="A56" s="673">
        <v>379</v>
      </c>
      <c r="B56" s="676" t="s">
        <v>962</v>
      </c>
      <c r="C56" s="677" t="s">
        <v>1533</v>
      </c>
      <c r="D56" s="677" t="s">
        <v>1600</v>
      </c>
      <c r="E56" s="677" t="s">
        <v>873</v>
      </c>
      <c r="F56" s="1452" t="s">
        <v>963</v>
      </c>
      <c r="G56" s="677" t="s">
        <v>1590</v>
      </c>
      <c r="H56" s="679"/>
      <c r="I56" s="681" t="s">
        <v>127</v>
      </c>
      <c r="J56" s="686" t="s">
        <v>963</v>
      </c>
      <c r="K56" s="693" t="str">
        <f>'[5] NON-TEACHING STAFF'!$J$60</f>
        <v>22473675613</v>
      </c>
      <c r="L56" s="688">
        <v>535105</v>
      </c>
      <c r="M56" s="688" t="e">
        <f>S56-#REF!</f>
        <v>#REF!</v>
      </c>
      <c r="N56" s="689">
        <v>449113</v>
      </c>
      <c r="O56" s="689">
        <v>45946.67</v>
      </c>
      <c r="P56" s="689"/>
      <c r="Q56" s="689">
        <v>11486.6675</v>
      </c>
      <c r="R56" s="689">
        <v>41819.24</v>
      </c>
      <c r="S56" s="689">
        <v>124335.5</v>
      </c>
      <c r="T56" s="689"/>
      <c r="U56" s="689"/>
      <c r="V56" s="689"/>
      <c r="W56" s="689"/>
      <c r="X56" s="689"/>
      <c r="Y56" s="689"/>
      <c r="Z56" s="689"/>
      <c r="AA56" s="689"/>
      <c r="AB56" s="689"/>
      <c r="AC56" s="689">
        <v>2500</v>
      </c>
      <c r="AD56" s="689"/>
      <c r="AE56" s="689"/>
      <c r="AF56" s="689"/>
      <c r="AG56" s="689"/>
      <c r="AH56" s="689">
        <v>23000</v>
      </c>
      <c r="AI56" s="689"/>
      <c r="AJ56" s="689">
        <v>2500</v>
      </c>
      <c r="AK56" s="689"/>
      <c r="AL56" s="689">
        <v>383.33</v>
      </c>
      <c r="AM56" s="689"/>
      <c r="AN56" s="689"/>
      <c r="AO56" s="689"/>
      <c r="AP56" s="689"/>
      <c r="AQ56" s="689"/>
      <c r="AR56" s="689"/>
      <c r="AS56" s="689"/>
      <c r="AT56" s="689"/>
      <c r="AU56" s="689">
        <f t="shared" si="81"/>
        <v>3730.065</v>
      </c>
      <c r="AV56" s="689"/>
      <c r="AW56" s="689"/>
      <c r="AX56" s="718"/>
      <c r="AY56" s="718"/>
      <c r="AZ56" s="718"/>
      <c r="BA56" s="689"/>
      <c r="BB56" s="689"/>
      <c r="BC56" s="689"/>
      <c r="BD56" s="719"/>
      <c r="BE56" s="719">
        <f t="shared" si="22"/>
        <v>3730.065</v>
      </c>
      <c r="BF56" s="689"/>
      <c r="BG56" s="689"/>
      <c r="BH56" s="727"/>
      <c r="BI56" s="689"/>
      <c r="BJ56" s="689"/>
      <c r="BK56" s="724"/>
      <c r="BL56" s="689"/>
      <c r="BM56" s="689"/>
      <c r="BN56" s="689"/>
      <c r="BO56" s="689">
        <v>0</v>
      </c>
      <c r="BP56" s="689"/>
      <c r="BQ56" s="689"/>
      <c r="BR56" s="731"/>
      <c r="BS56" s="731"/>
      <c r="BT56" s="731"/>
      <c r="BU56" s="731"/>
      <c r="BV56" s="731"/>
      <c r="BW56" s="731"/>
      <c r="BX56" s="731"/>
      <c r="BY56" s="731"/>
      <c r="BZ56" s="731">
        <v>500</v>
      </c>
      <c r="CA56" s="718">
        <f t="shared" si="7"/>
        <v>3046.71</v>
      </c>
      <c r="CB56" s="735"/>
      <c r="CC56" s="731">
        <v>13321.66</v>
      </c>
      <c r="CD56" s="702">
        <f t="shared" si="8"/>
        <v>152335.5</v>
      </c>
      <c r="CE56" s="731">
        <f t="shared" si="9"/>
        <v>24328.5</v>
      </c>
      <c r="CF56" s="739">
        <f t="shared" si="26"/>
        <v>128007</v>
      </c>
      <c r="CG56" s="742">
        <f t="shared" si="1"/>
        <v>24328.5</v>
      </c>
      <c r="CH56" s="743" t="e">
        <f>'[6]JACKSON AKPOJARO '!C218*12</f>
        <v>#REF!</v>
      </c>
      <c r="CI56" s="744" t="e">
        <f t="shared" si="10"/>
        <v>#REF!</v>
      </c>
      <c r="CJ56" s="745">
        <f t="shared" si="78"/>
        <v>0</v>
      </c>
      <c r="CK56" s="748" t="e">
        <f t="shared" si="11"/>
        <v>#REF!</v>
      </c>
      <c r="CL56" s="749" t="e">
        <f t="shared" si="12"/>
        <v>#REF!</v>
      </c>
      <c r="CM56" s="744"/>
      <c r="CN56" s="745" t="e">
        <f t="shared" si="13"/>
        <v>#REF!</v>
      </c>
      <c r="CO56" s="745" t="e">
        <f t="shared" si="14"/>
        <v>#REF!</v>
      </c>
      <c r="CP56" s="745" t="e">
        <f t="shared" si="15"/>
        <v>#REF!</v>
      </c>
      <c r="CQ56" s="745" t="e">
        <f t="shared" si="16"/>
        <v>#REF!</v>
      </c>
      <c r="CR56" s="745" t="e">
        <f t="shared" si="17"/>
        <v>#REF!</v>
      </c>
      <c r="CS56" s="745" t="e">
        <f t="shared" si="18"/>
        <v>#REF!</v>
      </c>
      <c r="CT56" s="754" t="e">
        <f t="shared" si="79"/>
        <v>#REF!</v>
      </c>
      <c r="CU56" s="755" t="e">
        <f t="shared" si="80"/>
        <v>#REF!</v>
      </c>
      <c r="CV56" s="756">
        <f t="shared" si="82"/>
        <v>13321.66</v>
      </c>
      <c r="CW56" s="757"/>
      <c r="CX56" s="758"/>
      <c r="CY56" s="759"/>
      <c r="CZ56" s="760"/>
      <c r="DA56" s="767"/>
    </row>
    <row r="57" ht="236" customHeight="1" spans="1:106">
      <c r="A57" s="675">
        <v>380</v>
      </c>
      <c r="B57" s="676" t="s">
        <v>964</v>
      </c>
      <c r="C57" s="677" t="s">
        <v>1533</v>
      </c>
      <c r="D57" s="677" t="s">
        <v>1592</v>
      </c>
      <c r="E57" s="677" t="s">
        <v>93</v>
      </c>
      <c r="F57" s="677" t="s">
        <v>965</v>
      </c>
      <c r="G57" s="677" t="s">
        <v>1590</v>
      </c>
      <c r="H57" s="679"/>
      <c r="I57" s="681" t="s">
        <v>93</v>
      </c>
      <c r="J57" s="686">
        <v>2016355167</v>
      </c>
      <c r="K57" s="687" t="str">
        <f>'[5] NON-TEACHING STAFF'!$J$61</f>
        <v>22217975205</v>
      </c>
      <c r="L57" s="688">
        <v>520773</v>
      </c>
      <c r="M57" s="688" t="e">
        <f>S57-#REF!</f>
        <v>#REF!</v>
      </c>
      <c r="N57" s="689">
        <v>551360</v>
      </c>
      <c r="O57" s="689">
        <v>45946.6666666667</v>
      </c>
      <c r="P57" s="689"/>
      <c r="Q57" s="689">
        <v>11486.6666666667</v>
      </c>
      <c r="R57" s="689">
        <v>41819.24</v>
      </c>
      <c r="S57" s="689">
        <v>124335.5</v>
      </c>
      <c r="T57" s="689"/>
      <c r="U57" s="689"/>
      <c r="V57" s="689"/>
      <c r="W57" s="689"/>
      <c r="X57" s="689"/>
      <c r="Y57" s="689"/>
      <c r="Z57" s="689"/>
      <c r="AA57" s="689"/>
      <c r="AB57" s="689"/>
      <c r="AC57" s="689">
        <v>2500</v>
      </c>
      <c r="AD57" s="689"/>
      <c r="AE57" s="689"/>
      <c r="AF57" s="689"/>
      <c r="AG57" s="689"/>
      <c r="AH57" s="689"/>
      <c r="AI57" s="689"/>
      <c r="AJ57" s="689">
        <v>2500</v>
      </c>
      <c r="AK57" s="689"/>
      <c r="AL57" s="689">
        <v>383.33</v>
      </c>
      <c r="AM57" s="689"/>
      <c r="AN57" s="689"/>
      <c r="AO57" s="689"/>
      <c r="AP57" s="689"/>
      <c r="AQ57" s="689"/>
      <c r="AR57" s="689"/>
      <c r="AS57" s="689"/>
      <c r="AT57" s="689"/>
      <c r="AU57" s="689">
        <f t="shared" si="81"/>
        <v>3730.065</v>
      </c>
      <c r="AV57" s="689"/>
      <c r="AW57" s="689"/>
      <c r="AX57" s="718"/>
      <c r="AY57" s="718"/>
      <c r="AZ57" s="718"/>
      <c r="BA57" s="689"/>
      <c r="BB57" s="689"/>
      <c r="BC57" s="689"/>
      <c r="BD57" s="719"/>
      <c r="BE57" s="719">
        <f t="shared" si="22"/>
        <v>3730.065</v>
      </c>
      <c r="BF57" s="689"/>
      <c r="BG57" s="689"/>
      <c r="BH57" s="727"/>
      <c r="BI57" s="689"/>
      <c r="BJ57" s="689"/>
      <c r="BK57" s="689"/>
      <c r="BL57" s="689"/>
      <c r="BM57" s="689"/>
      <c r="BN57" s="689"/>
      <c r="BO57" s="689">
        <v>30833.34</v>
      </c>
      <c r="BP57" s="689"/>
      <c r="BQ57" s="689"/>
      <c r="BR57" s="731"/>
      <c r="BS57" s="731"/>
      <c r="BT57" s="731"/>
      <c r="BU57" s="731"/>
      <c r="BV57" s="731"/>
      <c r="BW57" s="731"/>
      <c r="BX57" s="731"/>
      <c r="BY57" s="731"/>
      <c r="BZ57" s="731">
        <v>500</v>
      </c>
      <c r="CA57" s="718">
        <f t="shared" si="7"/>
        <v>2586.71</v>
      </c>
      <c r="CB57" s="735"/>
      <c r="CC57" s="731">
        <v>10020.26</v>
      </c>
      <c r="CD57" s="702">
        <f t="shared" si="8"/>
        <v>129335.5</v>
      </c>
      <c r="CE57" s="731">
        <f t="shared" si="9"/>
        <v>51400.44</v>
      </c>
      <c r="CF57" s="739">
        <f t="shared" si="26"/>
        <v>77935.06</v>
      </c>
      <c r="CG57" s="742">
        <f t="shared" si="1"/>
        <v>51400.44</v>
      </c>
      <c r="CH57" s="743" t="e">
        <f>'[6]JACKSON AKPOJARO '!C219*12</f>
        <v>#REF!</v>
      </c>
      <c r="CI57" s="744" t="e">
        <f t="shared" si="10"/>
        <v>#REF!</v>
      </c>
      <c r="CJ57" s="745">
        <f t="shared" si="78"/>
        <v>0</v>
      </c>
      <c r="CK57" s="748" t="e">
        <f t="shared" si="11"/>
        <v>#REF!</v>
      </c>
      <c r="CL57" s="749" t="e">
        <f t="shared" si="12"/>
        <v>#REF!</v>
      </c>
      <c r="CM57" s="744"/>
      <c r="CN57" s="745" t="e">
        <f t="shared" si="13"/>
        <v>#REF!</v>
      </c>
      <c r="CO57" s="745" t="e">
        <f t="shared" si="14"/>
        <v>#REF!</v>
      </c>
      <c r="CP57" s="745" t="e">
        <f t="shared" si="15"/>
        <v>#REF!</v>
      </c>
      <c r="CQ57" s="745" t="e">
        <f t="shared" si="16"/>
        <v>#REF!</v>
      </c>
      <c r="CR57" s="745" t="e">
        <f t="shared" si="17"/>
        <v>#REF!</v>
      </c>
      <c r="CS57" s="745" t="e">
        <f t="shared" si="18"/>
        <v>#REF!</v>
      </c>
      <c r="CT57" s="754" t="e">
        <f t="shared" si="79"/>
        <v>#REF!</v>
      </c>
      <c r="CU57" s="755" t="e">
        <f t="shared" si="80"/>
        <v>#REF!</v>
      </c>
      <c r="CV57" s="756">
        <f t="shared" si="82"/>
        <v>10020.26</v>
      </c>
      <c r="CW57" s="757"/>
      <c r="CX57" s="758"/>
      <c r="CY57" s="759"/>
      <c r="CZ57" s="760"/>
      <c r="DA57" s="767"/>
      <c r="DB57" s="770"/>
    </row>
    <row r="58" ht="236" customHeight="1" spans="1:106">
      <c r="A58" s="673">
        <v>381</v>
      </c>
      <c r="B58" s="676" t="s">
        <v>966</v>
      </c>
      <c r="C58" s="677" t="s">
        <v>1533</v>
      </c>
      <c r="D58" s="677" t="s">
        <v>1568</v>
      </c>
      <c r="E58" s="677" t="s">
        <v>93</v>
      </c>
      <c r="F58" s="677" t="s">
        <v>967</v>
      </c>
      <c r="G58" s="677" t="s">
        <v>1590</v>
      </c>
      <c r="H58" s="679"/>
      <c r="I58" s="681" t="s">
        <v>93</v>
      </c>
      <c r="J58" s="686">
        <v>3047474722</v>
      </c>
      <c r="K58" s="687" t="str">
        <f>'[5] NON-TEACHING STAFF'!$J$62</f>
        <v>22217974522</v>
      </c>
      <c r="L58" s="688">
        <v>520773</v>
      </c>
      <c r="M58" s="688" t="e">
        <f>S58-#REF!</f>
        <v>#REF!</v>
      </c>
      <c r="N58" s="689">
        <v>551360</v>
      </c>
      <c r="O58" s="689">
        <v>45946.6666666667</v>
      </c>
      <c r="P58" s="689"/>
      <c r="Q58" s="689">
        <v>11486.6666666667</v>
      </c>
      <c r="R58" s="689">
        <v>41819.24</v>
      </c>
      <c r="S58" s="689">
        <v>124335.5</v>
      </c>
      <c r="T58" s="689"/>
      <c r="U58" s="689"/>
      <c r="V58" s="689"/>
      <c r="W58" s="689"/>
      <c r="X58" s="689"/>
      <c r="Y58" s="689"/>
      <c r="Z58" s="689"/>
      <c r="AA58" s="689"/>
      <c r="AB58" s="689"/>
      <c r="AC58" s="689">
        <v>2500</v>
      </c>
      <c r="AD58" s="689"/>
      <c r="AE58" s="689"/>
      <c r="AF58" s="689"/>
      <c r="AG58" s="689"/>
      <c r="AH58" s="689"/>
      <c r="AI58" s="689"/>
      <c r="AJ58" s="689">
        <v>2500</v>
      </c>
      <c r="AK58" s="689"/>
      <c r="AL58" s="689">
        <v>383.33</v>
      </c>
      <c r="AM58" s="689"/>
      <c r="AN58" s="689"/>
      <c r="AO58" s="689"/>
      <c r="AP58" s="689"/>
      <c r="AQ58" s="689"/>
      <c r="AR58" s="689"/>
      <c r="AS58" s="689"/>
      <c r="AT58" s="689"/>
      <c r="AU58" s="689">
        <f t="shared" si="81"/>
        <v>3730.065</v>
      </c>
      <c r="AV58" s="689"/>
      <c r="AW58" s="689"/>
      <c r="AX58" s="718"/>
      <c r="AY58" s="718"/>
      <c r="AZ58" s="718"/>
      <c r="BA58" s="689"/>
      <c r="BB58" s="689"/>
      <c r="BC58" s="689"/>
      <c r="BD58" s="719"/>
      <c r="BE58" s="719">
        <f t="shared" si="22"/>
        <v>3730.065</v>
      </c>
      <c r="BF58" s="689"/>
      <c r="BG58" s="689"/>
      <c r="BH58" s="727"/>
      <c r="BI58" s="689"/>
      <c r="BJ58" s="689"/>
      <c r="BK58" s="689"/>
      <c r="BL58" s="689"/>
      <c r="BM58" s="689"/>
      <c r="BN58" s="689"/>
      <c r="BO58" s="689">
        <v>15000</v>
      </c>
      <c r="BP58" s="689"/>
      <c r="BQ58" s="689"/>
      <c r="BR58" s="731"/>
      <c r="BS58" s="731"/>
      <c r="BT58" s="731"/>
      <c r="BU58" s="731"/>
      <c r="BV58" s="731"/>
      <c r="BW58" s="731"/>
      <c r="BX58" s="731"/>
      <c r="BY58" s="731"/>
      <c r="BZ58" s="731">
        <v>500</v>
      </c>
      <c r="CA58" s="718">
        <f t="shared" si="7"/>
        <v>2586.71</v>
      </c>
      <c r="CB58" s="735"/>
      <c r="CC58" s="731">
        <v>10020.26</v>
      </c>
      <c r="CD58" s="702">
        <f t="shared" si="8"/>
        <v>129335.5</v>
      </c>
      <c r="CE58" s="731">
        <f t="shared" si="9"/>
        <v>35567.1</v>
      </c>
      <c r="CF58" s="739">
        <f t="shared" si="26"/>
        <v>93768.4</v>
      </c>
      <c r="CG58" s="742">
        <f t="shared" si="1"/>
        <v>35567.1</v>
      </c>
      <c r="CH58" s="743" t="e">
        <f>'[6]JACKSON AKPOJARO '!C220*12</f>
        <v>#REF!</v>
      </c>
      <c r="CI58" s="744" t="e">
        <f t="shared" si="10"/>
        <v>#REF!</v>
      </c>
      <c r="CJ58" s="745">
        <f t="shared" si="78"/>
        <v>0</v>
      </c>
      <c r="CK58" s="748" t="e">
        <f t="shared" si="11"/>
        <v>#REF!</v>
      </c>
      <c r="CL58" s="749" t="e">
        <f t="shared" si="12"/>
        <v>#REF!</v>
      </c>
      <c r="CM58" s="744"/>
      <c r="CN58" s="745" t="e">
        <f t="shared" si="13"/>
        <v>#REF!</v>
      </c>
      <c r="CO58" s="745" t="e">
        <f t="shared" si="14"/>
        <v>#REF!</v>
      </c>
      <c r="CP58" s="745" t="e">
        <f t="shared" si="15"/>
        <v>#REF!</v>
      </c>
      <c r="CQ58" s="745" t="e">
        <f t="shared" si="16"/>
        <v>#REF!</v>
      </c>
      <c r="CR58" s="745" t="e">
        <f t="shared" si="17"/>
        <v>#REF!</v>
      </c>
      <c r="CS58" s="745" t="e">
        <f t="shared" si="18"/>
        <v>#REF!</v>
      </c>
      <c r="CT58" s="754" t="e">
        <f t="shared" si="79"/>
        <v>#REF!</v>
      </c>
      <c r="CU58" s="755" t="e">
        <f t="shared" si="80"/>
        <v>#REF!</v>
      </c>
      <c r="CV58" s="756">
        <f t="shared" si="82"/>
        <v>10020.26</v>
      </c>
      <c r="CW58" s="757"/>
      <c r="CX58" s="758"/>
      <c r="CY58" s="759"/>
      <c r="CZ58" s="760"/>
      <c r="DA58" s="767"/>
      <c r="DB58" s="772"/>
    </row>
    <row r="59" ht="236" customHeight="1" spans="1:105">
      <c r="A59" s="675">
        <v>382</v>
      </c>
      <c r="B59" s="676" t="s">
        <v>968</v>
      </c>
      <c r="C59" s="677" t="s">
        <v>1533</v>
      </c>
      <c r="D59" s="677" t="s">
        <v>1601</v>
      </c>
      <c r="E59" s="677" t="s">
        <v>93</v>
      </c>
      <c r="F59" s="677" t="s">
        <v>969</v>
      </c>
      <c r="G59" s="677" t="s">
        <v>1602</v>
      </c>
      <c r="H59" s="679"/>
      <c r="I59" s="681" t="s">
        <v>93</v>
      </c>
      <c r="J59" s="686">
        <v>3127242782</v>
      </c>
      <c r="K59" s="687" t="str">
        <f>'[5] NON-TEACHING STAFF'!$J$63</f>
        <v>2248404007</v>
      </c>
      <c r="L59" s="688">
        <v>425661</v>
      </c>
      <c r="M59" s="688" t="e">
        <f>S59-#REF!</f>
        <v>#REF!</v>
      </c>
      <c r="N59" s="689">
        <v>425661</v>
      </c>
      <c r="O59" s="689">
        <v>32905</v>
      </c>
      <c r="P59" s="689"/>
      <c r="Q59" s="689">
        <v>8226.25</v>
      </c>
      <c r="R59" s="689">
        <v>42500</v>
      </c>
      <c r="S59" s="689">
        <v>97433.33</v>
      </c>
      <c r="T59" s="689"/>
      <c r="U59" s="689"/>
      <c r="V59" s="689"/>
      <c r="W59" s="689"/>
      <c r="X59" s="689"/>
      <c r="Y59" s="689"/>
      <c r="Z59" s="689"/>
      <c r="AA59" s="689"/>
      <c r="AB59" s="689"/>
      <c r="AC59" s="689">
        <v>2500</v>
      </c>
      <c r="AD59" s="689"/>
      <c r="AE59" s="689"/>
      <c r="AF59" s="689"/>
      <c r="AG59" s="689"/>
      <c r="AH59" s="689"/>
      <c r="AI59" s="689"/>
      <c r="AJ59" s="689">
        <v>2500</v>
      </c>
      <c r="AK59" s="689"/>
      <c r="AL59" s="689">
        <v>383.33</v>
      </c>
      <c r="AM59" s="689"/>
      <c r="AN59" s="689"/>
      <c r="AO59" s="689"/>
      <c r="AP59" s="689"/>
      <c r="AQ59" s="689"/>
      <c r="AR59" s="689"/>
      <c r="AS59" s="689"/>
      <c r="AT59" s="689"/>
      <c r="AU59" s="689">
        <f t="shared" si="81"/>
        <v>2922.9999</v>
      </c>
      <c r="AV59" s="689"/>
      <c r="AW59" s="689"/>
      <c r="AX59" s="718"/>
      <c r="AY59" s="718"/>
      <c r="AZ59" s="718"/>
      <c r="BA59" s="689"/>
      <c r="BB59" s="689"/>
      <c r="BC59" s="689"/>
      <c r="BD59" s="719"/>
      <c r="BE59" s="719">
        <f t="shared" si="22"/>
        <v>2922.9999</v>
      </c>
      <c r="BF59" s="689"/>
      <c r="BG59" s="689"/>
      <c r="BH59" s="727"/>
      <c r="BI59" s="689"/>
      <c r="BJ59" s="689"/>
      <c r="BK59" s="689"/>
      <c r="BL59" s="689"/>
      <c r="BM59" s="689"/>
      <c r="BN59" s="689"/>
      <c r="BO59" s="689">
        <v>0</v>
      </c>
      <c r="BP59" s="689"/>
      <c r="BQ59" s="689"/>
      <c r="BR59" s="731"/>
      <c r="BS59" s="731"/>
      <c r="BT59" s="731"/>
      <c r="BU59" s="731"/>
      <c r="BV59" s="731"/>
      <c r="BW59" s="731"/>
      <c r="BX59" s="731"/>
      <c r="BY59" s="731"/>
      <c r="BZ59" s="731">
        <v>500</v>
      </c>
      <c r="CA59" s="718">
        <f t="shared" si="7"/>
        <v>2048.6666</v>
      </c>
      <c r="CB59" s="735"/>
      <c r="CC59" s="731">
        <v>6792</v>
      </c>
      <c r="CD59" s="702">
        <f t="shared" si="8"/>
        <v>102433.33</v>
      </c>
      <c r="CE59" s="731">
        <f t="shared" si="9"/>
        <v>15186.6664</v>
      </c>
      <c r="CF59" s="739">
        <f t="shared" si="26"/>
        <v>87246.6636</v>
      </c>
      <c r="CG59" s="742">
        <f t="shared" si="1"/>
        <v>15186.6664</v>
      </c>
      <c r="CH59" s="743" t="e">
        <f>'[6]JACKSON AKPOJARO '!C221*12</f>
        <v>#REF!</v>
      </c>
      <c r="CI59" s="744" t="e">
        <f t="shared" si="10"/>
        <v>#REF!</v>
      </c>
      <c r="CJ59" s="745">
        <f t="shared" si="78"/>
        <v>0</v>
      </c>
      <c r="CK59" s="748" t="e">
        <f t="shared" si="11"/>
        <v>#REF!</v>
      </c>
      <c r="CL59" s="749" t="e">
        <f t="shared" si="12"/>
        <v>#REF!</v>
      </c>
      <c r="CM59" s="744"/>
      <c r="CN59" s="745" t="e">
        <f t="shared" si="13"/>
        <v>#REF!</v>
      </c>
      <c r="CO59" s="745" t="e">
        <f t="shared" si="14"/>
        <v>#REF!</v>
      </c>
      <c r="CP59" s="745" t="e">
        <f t="shared" si="15"/>
        <v>#REF!</v>
      </c>
      <c r="CQ59" s="745" t="e">
        <f t="shared" si="16"/>
        <v>#REF!</v>
      </c>
      <c r="CR59" s="745" t="e">
        <f t="shared" si="17"/>
        <v>#REF!</v>
      </c>
      <c r="CS59" s="745" t="e">
        <f t="shared" si="18"/>
        <v>#REF!</v>
      </c>
      <c r="CT59" s="754" t="e">
        <f t="shared" si="79"/>
        <v>#REF!</v>
      </c>
      <c r="CU59" s="755" t="e">
        <f t="shared" si="80"/>
        <v>#REF!</v>
      </c>
      <c r="CV59" s="756">
        <f t="shared" si="82"/>
        <v>6792</v>
      </c>
      <c r="CW59" s="757"/>
      <c r="CX59" s="758"/>
      <c r="CY59" s="759"/>
      <c r="CZ59" s="760"/>
      <c r="DA59" s="767"/>
    </row>
    <row r="60" ht="236" customHeight="1" spans="1:105">
      <c r="A60" s="673">
        <v>383</v>
      </c>
      <c r="B60" s="676" t="s">
        <v>970</v>
      </c>
      <c r="C60" s="677" t="s">
        <v>1533</v>
      </c>
      <c r="D60" s="677" t="s">
        <v>1601</v>
      </c>
      <c r="E60" s="677" t="s">
        <v>93</v>
      </c>
      <c r="F60" s="677" t="s">
        <v>971</v>
      </c>
      <c r="G60" s="677" t="s">
        <v>1603</v>
      </c>
      <c r="H60" s="679"/>
      <c r="I60" s="681" t="s">
        <v>93</v>
      </c>
      <c r="J60" s="686">
        <v>3127246216</v>
      </c>
      <c r="K60" s="687">
        <f>'[5] NON-TEACHING STAFF'!$J$64</f>
        <v>22484037880</v>
      </c>
      <c r="L60" s="688">
        <v>425661</v>
      </c>
      <c r="M60" s="688" t="e">
        <f>S60-#REF!</f>
        <v>#REF!</v>
      </c>
      <c r="N60" s="689">
        <v>425661</v>
      </c>
      <c r="O60" s="689">
        <v>32905</v>
      </c>
      <c r="P60" s="689"/>
      <c r="Q60" s="689">
        <v>8226.25</v>
      </c>
      <c r="R60" s="689">
        <v>42500</v>
      </c>
      <c r="S60" s="689">
        <v>87789.67</v>
      </c>
      <c r="T60" s="689"/>
      <c r="U60" s="689"/>
      <c r="V60" s="689"/>
      <c r="W60" s="689"/>
      <c r="X60" s="689"/>
      <c r="Y60" s="689"/>
      <c r="Z60" s="689"/>
      <c r="AA60" s="689"/>
      <c r="AB60" s="689"/>
      <c r="AC60" s="689">
        <v>2500</v>
      </c>
      <c r="AD60" s="689"/>
      <c r="AE60" s="689"/>
      <c r="AF60" s="689"/>
      <c r="AG60" s="689"/>
      <c r="AH60" s="689"/>
      <c r="AI60" s="689"/>
      <c r="AJ60" s="689">
        <v>2500</v>
      </c>
      <c r="AK60" s="689"/>
      <c r="AL60" s="689">
        <v>383.33</v>
      </c>
      <c r="AM60" s="689"/>
      <c r="AN60" s="689"/>
      <c r="AO60" s="689"/>
      <c r="AP60" s="689"/>
      <c r="AQ60" s="689"/>
      <c r="AR60" s="689"/>
      <c r="AS60" s="689"/>
      <c r="AT60" s="689"/>
      <c r="AU60" s="689">
        <f t="shared" si="81"/>
        <v>2633.6901</v>
      </c>
      <c r="AV60" s="689"/>
      <c r="AW60" s="689"/>
      <c r="AX60" s="718"/>
      <c r="AY60" s="718"/>
      <c r="AZ60" s="718"/>
      <c r="BA60" s="689"/>
      <c r="BB60" s="689"/>
      <c r="BC60" s="689"/>
      <c r="BD60" s="719"/>
      <c r="BE60" s="719">
        <f t="shared" si="22"/>
        <v>2633.6901</v>
      </c>
      <c r="BF60" s="689"/>
      <c r="BG60" s="689"/>
      <c r="BH60" s="727"/>
      <c r="BI60" s="689"/>
      <c r="BJ60" s="689"/>
      <c r="BK60" s="689"/>
      <c r="BL60" s="689"/>
      <c r="BM60" s="689"/>
      <c r="BN60" s="689"/>
      <c r="BO60" s="689">
        <v>0</v>
      </c>
      <c r="BP60" s="689"/>
      <c r="BQ60" s="689"/>
      <c r="BR60" s="731"/>
      <c r="BS60" s="731"/>
      <c r="BT60" s="731"/>
      <c r="BU60" s="731"/>
      <c r="BV60" s="731"/>
      <c r="BW60" s="731"/>
      <c r="BX60" s="731"/>
      <c r="BY60" s="731">
        <v>1000</v>
      </c>
      <c r="BZ60" s="731">
        <v>500</v>
      </c>
      <c r="CA60" s="718">
        <f t="shared" si="7"/>
        <v>1855.7934</v>
      </c>
      <c r="CB60" s="735"/>
      <c r="CC60" s="731">
        <v>5634.76</v>
      </c>
      <c r="CD60" s="702">
        <f t="shared" si="8"/>
        <v>92789.67</v>
      </c>
      <c r="CE60" s="731">
        <f t="shared" si="9"/>
        <v>14257.9336</v>
      </c>
      <c r="CF60" s="739">
        <f t="shared" si="26"/>
        <v>78531.7364</v>
      </c>
      <c r="CG60" s="742">
        <f t="shared" si="1"/>
        <v>14257.9336</v>
      </c>
      <c r="CH60" s="743" t="e">
        <f>'[6]JACKSON AKPOJARO '!C222*12</f>
        <v>#REF!</v>
      </c>
      <c r="CI60" s="744" t="e">
        <f t="shared" si="10"/>
        <v>#REF!</v>
      </c>
      <c r="CJ60" s="745">
        <f t="shared" si="78"/>
        <v>0</v>
      </c>
      <c r="CK60" s="748" t="e">
        <f t="shared" si="11"/>
        <v>#REF!</v>
      </c>
      <c r="CL60" s="749" t="e">
        <f t="shared" si="12"/>
        <v>#REF!</v>
      </c>
      <c r="CM60" s="744"/>
      <c r="CN60" s="745" t="e">
        <f t="shared" si="13"/>
        <v>#REF!</v>
      </c>
      <c r="CO60" s="745" t="e">
        <f t="shared" si="14"/>
        <v>#REF!</v>
      </c>
      <c r="CP60" s="745" t="e">
        <f t="shared" si="15"/>
        <v>#REF!</v>
      </c>
      <c r="CQ60" s="745" t="e">
        <f t="shared" si="16"/>
        <v>#REF!</v>
      </c>
      <c r="CR60" s="745" t="e">
        <f t="shared" si="17"/>
        <v>#REF!</v>
      </c>
      <c r="CS60" s="745" t="e">
        <f t="shared" si="18"/>
        <v>#REF!</v>
      </c>
      <c r="CT60" s="754" t="e">
        <f t="shared" si="79"/>
        <v>#REF!</v>
      </c>
      <c r="CU60" s="755" t="e">
        <f t="shared" si="80"/>
        <v>#REF!</v>
      </c>
      <c r="CV60" s="756">
        <f t="shared" si="82"/>
        <v>5634.76</v>
      </c>
      <c r="CW60" s="757"/>
      <c r="CX60" s="758"/>
      <c r="CY60" s="759"/>
      <c r="CZ60" s="760"/>
      <c r="DA60" s="767"/>
    </row>
    <row r="61" ht="236" customHeight="1" spans="1:105">
      <c r="A61" s="675">
        <v>384</v>
      </c>
      <c r="B61" s="676" t="s">
        <v>972</v>
      </c>
      <c r="C61" s="677" t="s">
        <v>1533</v>
      </c>
      <c r="D61" s="677" t="s">
        <v>1601</v>
      </c>
      <c r="E61" s="677" t="s">
        <v>113</v>
      </c>
      <c r="F61" s="677">
        <v>2183707815</v>
      </c>
      <c r="G61" s="677" t="s">
        <v>1604</v>
      </c>
      <c r="H61" s="679"/>
      <c r="I61" s="681" t="s">
        <v>113</v>
      </c>
      <c r="J61" s="686">
        <v>2183707815</v>
      </c>
      <c r="K61" s="687"/>
      <c r="L61" s="688">
        <v>394860</v>
      </c>
      <c r="M61" s="688" t="e">
        <f>S61-#REF!</f>
        <v>#REF!</v>
      </c>
      <c r="N61" s="689">
        <v>394860</v>
      </c>
      <c r="O61" s="689">
        <v>32905</v>
      </c>
      <c r="P61" s="689"/>
      <c r="Q61" s="689">
        <v>8226.25</v>
      </c>
      <c r="R61" s="689">
        <v>42500</v>
      </c>
      <c r="S61" s="689">
        <v>84700.75</v>
      </c>
      <c r="T61" s="689"/>
      <c r="U61" s="689"/>
      <c r="V61" s="689"/>
      <c r="W61" s="689"/>
      <c r="X61" s="689"/>
      <c r="Y61" s="689"/>
      <c r="Z61" s="689"/>
      <c r="AA61" s="689"/>
      <c r="AB61" s="689"/>
      <c r="AC61" s="689">
        <v>2500</v>
      </c>
      <c r="AD61" s="689"/>
      <c r="AE61" s="689"/>
      <c r="AF61" s="689"/>
      <c r="AG61" s="689"/>
      <c r="AH61" s="689"/>
      <c r="AI61" s="689"/>
      <c r="AJ61" s="689">
        <v>2500</v>
      </c>
      <c r="AK61" s="689"/>
      <c r="AL61" s="689">
        <v>383.33</v>
      </c>
      <c r="AM61" s="689"/>
      <c r="AN61" s="689"/>
      <c r="AO61" s="689"/>
      <c r="AP61" s="689"/>
      <c r="AQ61" s="689"/>
      <c r="AR61" s="689"/>
      <c r="AS61" s="689"/>
      <c r="AT61" s="689"/>
      <c r="AU61" s="689">
        <f t="shared" si="81"/>
        <v>2541.0225</v>
      </c>
      <c r="AV61" s="689"/>
      <c r="AW61" s="689"/>
      <c r="AX61" s="718"/>
      <c r="AY61" s="718"/>
      <c r="AZ61" s="718"/>
      <c r="BA61" s="689"/>
      <c r="BB61" s="689"/>
      <c r="BC61" s="689"/>
      <c r="BD61" s="719"/>
      <c r="BE61" s="719">
        <f t="shared" si="22"/>
        <v>2541.0225</v>
      </c>
      <c r="BF61" s="689"/>
      <c r="BG61" s="689"/>
      <c r="BH61" s="727"/>
      <c r="BI61" s="689"/>
      <c r="BJ61" s="689"/>
      <c r="BK61" s="689"/>
      <c r="BL61" s="689"/>
      <c r="BM61" s="689"/>
      <c r="BN61" s="689"/>
      <c r="BO61" s="689">
        <v>0</v>
      </c>
      <c r="BP61" s="689"/>
      <c r="BQ61" s="689"/>
      <c r="BR61" s="731"/>
      <c r="BS61" s="731"/>
      <c r="BT61" s="731"/>
      <c r="BU61" s="731"/>
      <c r="BV61" s="731"/>
      <c r="BW61" s="731"/>
      <c r="BX61" s="731"/>
      <c r="BY61" s="731">
        <v>1000</v>
      </c>
      <c r="BZ61" s="731">
        <v>500</v>
      </c>
      <c r="CA61" s="718">
        <f t="shared" si="7"/>
        <v>1794.015</v>
      </c>
      <c r="CB61" s="735"/>
      <c r="CC61" s="731">
        <v>5264.09</v>
      </c>
      <c r="CD61" s="702">
        <f t="shared" si="8"/>
        <v>89700.75</v>
      </c>
      <c r="CE61" s="731">
        <f t="shared" si="9"/>
        <v>13640.15</v>
      </c>
      <c r="CF61" s="739">
        <f t="shared" si="26"/>
        <v>76060.6</v>
      </c>
      <c r="CG61" s="742">
        <f t="shared" si="1"/>
        <v>13640.15</v>
      </c>
      <c r="CH61" s="743" t="e">
        <f>'[6]JACKSON AKPOJARO '!C223*12</f>
        <v>#REF!</v>
      </c>
      <c r="CI61" s="744" t="e">
        <f t="shared" si="10"/>
        <v>#REF!</v>
      </c>
      <c r="CJ61" s="745">
        <f t="shared" si="78"/>
        <v>0</v>
      </c>
      <c r="CK61" s="748" t="e">
        <f t="shared" si="11"/>
        <v>#REF!</v>
      </c>
      <c r="CL61" s="749" t="e">
        <f t="shared" si="12"/>
        <v>#REF!</v>
      </c>
      <c r="CM61" s="744"/>
      <c r="CN61" s="745" t="e">
        <f t="shared" si="13"/>
        <v>#REF!</v>
      </c>
      <c r="CO61" s="745" t="e">
        <f t="shared" si="14"/>
        <v>#REF!</v>
      </c>
      <c r="CP61" s="745" t="e">
        <f t="shared" si="15"/>
        <v>#REF!</v>
      </c>
      <c r="CQ61" s="745" t="e">
        <f t="shared" si="16"/>
        <v>#REF!</v>
      </c>
      <c r="CR61" s="745" t="e">
        <f t="shared" si="17"/>
        <v>#REF!</v>
      </c>
      <c r="CS61" s="745" t="e">
        <f t="shared" si="18"/>
        <v>#REF!</v>
      </c>
      <c r="CT61" s="754" t="e">
        <f t="shared" si="79"/>
        <v>#REF!</v>
      </c>
      <c r="CU61" s="755" t="e">
        <f t="shared" si="80"/>
        <v>#REF!</v>
      </c>
      <c r="CV61" s="756">
        <f t="shared" si="82"/>
        <v>5264.09</v>
      </c>
      <c r="CW61" s="757"/>
      <c r="CX61" s="758"/>
      <c r="CY61" s="759"/>
      <c r="CZ61" s="760"/>
      <c r="DA61" s="767"/>
    </row>
    <row r="62" ht="236" customHeight="1" spans="1:105">
      <c r="A62" s="673">
        <v>385</v>
      </c>
      <c r="B62" s="676" t="s">
        <v>973</v>
      </c>
      <c r="C62" s="677" t="s">
        <v>1533</v>
      </c>
      <c r="D62" s="677" t="s">
        <v>1601</v>
      </c>
      <c r="E62" s="677" t="s">
        <v>93</v>
      </c>
      <c r="F62" s="677">
        <v>3208815975</v>
      </c>
      <c r="G62" s="677" t="s">
        <v>1604</v>
      </c>
      <c r="H62" s="679"/>
      <c r="I62" s="681" t="s">
        <v>93</v>
      </c>
      <c r="J62" s="686">
        <v>3208815975</v>
      </c>
      <c r="K62" s="687"/>
      <c r="L62" s="688">
        <v>394860</v>
      </c>
      <c r="M62" s="688" t="e">
        <f>S62-#REF!</f>
        <v>#REF!</v>
      </c>
      <c r="N62" s="689">
        <v>394860</v>
      </c>
      <c r="O62" s="689">
        <v>32905</v>
      </c>
      <c r="P62" s="689"/>
      <c r="Q62" s="689">
        <v>8226.25</v>
      </c>
      <c r="R62" s="689">
        <v>42500</v>
      </c>
      <c r="S62" s="689">
        <v>84700.75</v>
      </c>
      <c r="T62" s="689"/>
      <c r="U62" s="689"/>
      <c r="V62" s="689"/>
      <c r="W62" s="689"/>
      <c r="X62" s="689"/>
      <c r="Y62" s="689"/>
      <c r="Z62" s="689"/>
      <c r="AA62" s="689"/>
      <c r="AB62" s="689"/>
      <c r="AC62" s="689">
        <v>2500</v>
      </c>
      <c r="AD62" s="689"/>
      <c r="AE62" s="689"/>
      <c r="AF62" s="689"/>
      <c r="AG62" s="689"/>
      <c r="AH62" s="689"/>
      <c r="AI62" s="689"/>
      <c r="AJ62" s="689">
        <v>2500</v>
      </c>
      <c r="AK62" s="689"/>
      <c r="AL62" s="689">
        <f>383.33*2</f>
        <v>766.66</v>
      </c>
      <c r="AM62" s="689"/>
      <c r="AN62" s="689"/>
      <c r="AO62" s="689"/>
      <c r="AP62" s="689"/>
      <c r="AQ62" s="689"/>
      <c r="AR62" s="689"/>
      <c r="AS62" s="689"/>
      <c r="AT62" s="689"/>
      <c r="AU62" s="689">
        <f t="shared" si="81"/>
        <v>2541.0225</v>
      </c>
      <c r="AV62" s="689"/>
      <c r="AW62" s="689"/>
      <c r="AX62" s="718"/>
      <c r="AY62" s="718"/>
      <c r="AZ62" s="718"/>
      <c r="BA62" s="689"/>
      <c r="BB62" s="689"/>
      <c r="BC62" s="689"/>
      <c r="BD62" s="719"/>
      <c r="BE62" s="719">
        <f t="shared" si="22"/>
        <v>2541.0225</v>
      </c>
      <c r="BF62" s="689"/>
      <c r="BG62" s="689"/>
      <c r="BH62" s="727"/>
      <c r="BI62" s="689"/>
      <c r="BJ62" s="689"/>
      <c r="BK62" s="689"/>
      <c r="BL62" s="689"/>
      <c r="BM62" s="689"/>
      <c r="BN62" s="689"/>
      <c r="BO62" s="689">
        <v>0</v>
      </c>
      <c r="BP62" s="689"/>
      <c r="BQ62" s="689"/>
      <c r="BR62" s="731"/>
      <c r="BS62" s="731"/>
      <c r="BT62" s="731"/>
      <c r="BU62" s="731"/>
      <c r="BV62" s="731"/>
      <c r="BW62" s="731"/>
      <c r="BX62" s="731"/>
      <c r="BY62" s="731">
        <v>1000</v>
      </c>
      <c r="BZ62" s="731">
        <v>500</v>
      </c>
      <c r="CA62" s="718">
        <f t="shared" si="7"/>
        <v>1794.015</v>
      </c>
      <c r="CB62" s="735"/>
      <c r="CC62" s="731">
        <v>5264.09</v>
      </c>
      <c r="CD62" s="702">
        <f t="shared" si="8"/>
        <v>89700.75</v>
      </c>
      <c r="CE62" s="731">
        <f t="shared" si="9"/>
        <v>13640.15</v>
      </c>
      <c r="CF62" s="739">
        <f t="shared" si="26"/>
        <v>76060.6</v>
      </c>
      <c r="CG62" s="742">
        <f t="shared" si="1"/>
        <v>13640.15</v>
      </c>
      <c r="CH62" s="743" t="e">
        <f>'[6]JACKSON AKPOJARO '!C224*12</f>
        <v>#REF!</v>
      </c>
      <c r="CI62" s="744" t="e">
        <f t="shared" si="10"/>
        <v>#REF!</v>
      </c>
      <c r="CJ62" s="745">
        <f t="shared" si="78"/>
        <v>0</v>
      </c>
      <c r="CK62" s="748" t="e">
        <f t="shared" si="11"/>
        <v>#REF!</v>
      </c>
      <c r="CL62" s="749" t="e">
        <f t="shared" si="12"/>
        <v>#REF!</v>
      </c>
      <c r="CM62" s="744"/>
      <c r="CN62" s="745" t="e">
        <f t="shared" si="13"/>
        <v>#REF!</v>
      </c>
      <c r="CO62" s="745" t="e">
        <f t="shared" si="14"/>
        <v>#REF!</v>
      </c>
      <c r="CP62" s="745" t="e">
        <f t="shared" si="15"/>
        <v>#REF!</v>
      </c>
      <c r="CQ62" s="745" t="e">
        <f t="shared" si="16"/>
        <v>#REF!</v>
      </c>
      <c r="CR62" s="745" t="e">
        <f t="shared" si="17"/>
        <v>#REF!</v>
      </c>
      <c r="CS62" s="745" t="e">
        <f t="shared" si="18"/>
        <v>#REF!</v>
      </c>
      <c r="CT62" s="754" t="e">
        <f t="shared" si="79"/>
        <v>#REF!</v>
      </c>
      <c r="CU62" s="755" t="e">
        <f t="shared" si="80"/>
        <v>#REF!</v>
      </c>
      <c r="CV62" s="756">
        <f t="shared" si="82"/>
        <v>5264.09</v>
      </c>
      <c r="CW62" s="757"/>
      <c r="CX62" s="758"/>
      <c r="CY62" s="759"/>
      <c r="CZ62" s="760"/>
      <c r="DA62" s="767"/>
    </row>
    <row r="63" ht="236" customHeight="1" spans="1:105">
      <c r="A63" s="675">
        <v>386</v>
      </c>
      <c r="B63" s="676" t="s">
        <v>974</v>
      </c>
      <c r="C63" s="677" t="s">
        <v>1533</v>
      </c>
      <c r="D63" s="677" t="s">
        <v>1601</v>
      </c>
      <c r="E63" s="677" t="s">
        <v>135</v>
      </c>
      <c r="F63" s="677" t="s">
        <v>975</v>
      </c>
      <c r="G63" s="677" t="s">
        <v>1604</v>
      </c>
      <c r="H63" s="679"/>
      <c r="I63" s="681" t="s">
        <v>135</v>
      </c>
      <c r="J63" s="686" t="s">
        <v>975</v>
      </c>
      <c r="K63" s="687"/>
      <c r="L63" s="688">
        <v>394860</v>
      </c>
      <c r="M63" s="688"/>
      <c r="N63" s="689">
        <v>394860</v>
      </c>
      <c r="O63" s="689">
        <v>32905</v>
      </c>
      <c r="P63" s="689"/>
      <c r="Q63" s="689">
        <v>8226.25</v>
      </c>
      <c r="R63" s="689">
        <v>42500</v>
      </c>
      <c r="S63" s="689">
        <v>84700.75</v>
      </c>
      <c r="T63" s="689"/>
      <c r="U63" s="689"/>
      <c r="V63" s="689"/>
      <c r="W63" s="689"/>
      <c r="X63" s="689"/>
      <c r="Y63" s="689"/>
      <c r="Z63" s="689"/>
      <c r="AA63" s="689"/>
      <c r="AB63" s="689"/>
      <c r="AC63" s="689">
        <v>2500</v>
      </c>
      <c r="AD63" s="689"/>
      <c r="AE63" s="689"/>
      <c r="AF63" s="689"/>
      <c r="AG63" s="689"/>
      <c r="AH63" s="689"/>
      <c r="AI63" s="689"/>
      <c r="AJ63" s="689">
        <f>2500</f>
        <v>2500</v>
      </c>
      <c r="AK63" s="689"/>
      <c r="AL63" s="689">
        <f>AL61</f>
        <v>383.33</v>
      </c>
      <c r="AM63" s="689"/>
      <c r="AN63" s="689"/>
      <c r="AO63" s="689"/>
      <c r="AP63" s="689"/>
      <c r="AQ63" s="689"/>
      <c r="AR63" s="689"/>
      <c r="AS63" s="689"/>
      <c r="AT63" s="689"/>
      <c r="AU63" s="689">
        <f t="shared" si="81"/>
        <v>2541.0225</v>
      </c>
      <c r="AV63" s="689"/>
      <c r="AW63" s="689"/>
      <c r="AX63" s="718"/>
      <c r="AY63" s="718"/>
      <c r="AZ63" s="718"/>
      <c r="BA63" s="689"/>
      <c r="BB63" s="689"/>
      <c r="BC63" s="689"/>
      <c r="BD63" s="719"/>
      <c r="BE63" s="719">
        <f t="shared" si="22"/>
        <v>2541.0225</v>
      </c>
      <c r="BF63" s="689"/>
      <c r="BG63" s="689"/>
      <c r="BH63" s="727"/>
      <c r="BI63" s="689"/>
      <c r="BJ63" s="689"/>
      <c r="BK63" s="689"/>
      <c r="BL63" s="689"/>
      <c r="BM63" s="689"/>
      <c r="BN63" s="689"/>
      <c r="BO63" s="689">
        <v>0</v>
      </c>
      <c r="BP63" s="689"/>
      <c r="BQ63" s="689"/>
      <c r="BR63" s="731"/>
      <c r="BS63" s="731"/>
      <c r="BT63" s="731"/>
      <c r="BU63" s="731"/>
      <c r="BV63" s="731"/>
      <c r="BW63" s="731"/>
      <c r="BX63" s="731"/>
      <c r="BY63" s="731">
        <v>1000</v>
      </c>
      <c r="BZ63" s="731">
        <v>500</v>
      </c>
      <c r="CA63" s="718">
        <f t="shared" si="7"/>
        <v>1794.015</v>
      </c>
      <c r="CB63" s="735"/>
      <c r="CC63" s="731">
        <v>5264.09</v>
      </c>
      <c r="CD63" s="702">
        <f t="shared" si="8"/>
        <v>89700.75</v>
      </c>
      <c r="CE63" s="731">
        <f t="shared" si="9"/>
        <v>13640.15</v>
      </c>
      <c r="CF63" s="739">
        <f t="shared" si="26"/>
        <v>76060.6</v>
      </c>
      <c r="CG63" s="742">
        <f t="shared" si="1"/>
        <v>13640.15</v>
      </c>
      <c r="CH63" s="743" t="e">
        <f>'[6]JACKSON AKPOJARO '!C225*12</f>
        <v>#REF!</v>
      </c>
      <c r="CI63" s="744" t="e">
        <f t="shared" si="10"/>
        <v>#REF!</v>
      </c>
      <c r="CJ63" s="745">
        <f t="shared" si="78"/>
        <v>0</v>
      </c>
      <c r="CK63" s="748" t="e">
        <f t="shared" si="11"/>
        <v>#REF!</v>
      </c>
      <c r="CL63" s="749" t="e">
        <f t="shared" si="12"/>
        <v>#REF!</v>
      </c>
      <c r="CM63" s="744"/>
      <c r="CN63" s="745" t="e">
        <f t="shared" si="13"/>
        <v>#REF!</v>
      </c>
      <c r="CO63" s="745" t="e">
        <f t="shared" si="14"/>
        <v>#REF!</v>
      </c>
      <c r="CP63" s="745" t="e">
        <f t="shared" si="15"/>
        <v>#REF!</v>
      </c>
      <c r="CQ63" s="745" t="e">
        <f t="shared" si="16"/>
        <v>#REF!</v>
      </c>
      <c r="CR63" s="745" t="e">
        <f t="shared" si="17"/>
        <v>#REF!</v>
      </c>
      <c r="CS63" s="745" t="e">
        <f t="shared" si="18"/>
        <v>#REF!</v>
      </c>
      <c r="CT63" s="754" t="e">
        <f t="shared" si="79"/>
        <v>#REF!</v>
      </c>
      <c r="CU63" s="755" t="e">
        <f t="shared" si="80"/>
        <v>#REF!</v>
      </c>
      <c r="CV63" s="756">
        <f t="shared" si="82"/>
        <v>5264.09</v>
      </c>
      <c r="CW63" s="757"/>
      <c r="CX63" s="758"/>
      <c r="CY63" s="759"/>
      <c r="CZ63" s="760"/>
      <c r="DA63" s="767"/>
    </row>
    <row r="64" ht="236" customHeight="1" spans="1:105">
      <c r="A64" s="673">
        <v>387</v>
      </c>
      <c r="B64" s="676" t="s">
        <v>976</v>
      </c>
      <c r="C64" s="677" t="s">
        <v>1533</v>
      </c>
      <c r="D64" s="677" t="s">
        <v>1601</v>
      </c>
      <c r="E64" s="677" t="s">
        <v>915</v>
      </c>
      <c r="F64" s="677" t="s">
        <v>977</v>
      </c>
      <c r="G64" s="677" t="s">
        <v>1604</v>
      </c>
      <c r="H64" s="679"/>
      <c r="I64" s="681" t="s">
        <v>915</v>
      </c>
      <c r="J64" s="686" t="s">
        <v>977</v>
      </c>
      <c r="K64" s="687"/>
      <c r="L64" s="688">
        <v>394860</v>
      </c>
      <c r="M64" s="688"/>
      <c r="N64" s="689">
        <v>394860</v>
      </c>
      <c r="O64" s="689">
        <v>32905</v>
      </c>
      <c r="P64" s="689"/>
      <c r="Q64" s="689">
        <v>8226.25</v>
      </c>
      <c r="R64" s="689">
        <v>42500</v>
      </c>
      <c r="S64" s="689">
        <v>84700.75</v>
      </c>
      <c r="T64" s="689"/>
      <c r="U64" s="689"/>
      <c r="V64" s="689"/>
      <c r="W64" s="689"/>
      <c r="X64" s="689"/>
      <c r="Y64" s="689"/>
      <c r="Z64" s="689"/>
      <c r="AA64" s="689"/>
      <c r="AB64" s="689"/>
      <c r="AC64" s="689">
        <v>2500</v>
      </c>
      <c r="AD64" s="689"/>
      <c r="AE64" s="689"/>
      <c r="AF64" s="689"/>
      <c r="AG64" s="689"/>
      <c r="AH64" s="689"/>
      <c r="AI64" s="689"/>
      <c r="AJ64" s="689">
        <f>2500</f>
        <v>2500</v>
      </c>
      <c r="AK64" s="689"/>
      <c r="AL64" s="689">
        <f>AL63</f>
        <v>383.33</v>
      </c>
      <c r="AM64" s="689"/>
      <c r="AN64" s="689"/>
      <c r="AO64" s="689"/>
      <c r="AP64" s="689"/>
      <c r="AQ64" s="689"/>
      <c r="AR64" s="689"/>
      <c r="AS64" s="689"/>
      <c r="AT64" s="689"/>
      <c r="AU64" s="689">
        <f t="shared" si="81"/>
        <v>2541.0225</v>
      </c>
      <c r="AV64" s="689"/>
      <c r="AW64" s="689"/>
      <c r="AX64" s="718"/>
      <c r="AY64" s="718"/>
      <c r="AZ64" s="718"/>
      <c r="BA64" s="689"/>
      <c r="BB64" s="689"/>
      <c r="BC64" s="689"/>
      <c r="BD64" s="719"/>
      <c r="BE64" s="719">
        <f t="shared" si="22"/>
        <v>2541.0225</v>
      </c>
      <c r="BF64" s="689"/>
      <c r="BG64" s="689"/>
      <c r="BH64" s="727"/>
      <c r="BI64" s="689"/>
      <c r="BJ64" s="689"/>
      <c r="BK64" s="689"/>
      <c r="BL64" s="689"/>
      <c r="BM64" s="689"/>
      <c r="BN64" s="689"/>
      <c r="BO64" s="689">
        <v>0</v>
      </c>
      <c r="BP64" s="689"/>
      <c r="BQ64" s="689"/>
      <c r="BR64" s="731"/>
      <c r="BS64" s="731"/>
      <c r="BT64" s="731">
        <v>33900</v>
      </c>
      <c r="BU64" s="731"/>
      <c r="BV64" s="731"/>
      <c r="BW64" s="731"/>
      <c r="BX64" s="731"/>
      <c r="BY64" s="731">
        <v>1000</v>
      </c>
      <c r="BZ64" s="731">
        <v>500</v>
      </c>
      <c r="CA64" s="718">
        <f t="shared" si="7"/>
        <v>1794.015</v>
      </c>
      <c r="CB64" s="735"/>
      <c r="CC64" s="731">
        <v>5264.09</v>
      </c>
      <c r="CD64" s="702">
        <f t="shared" si="8"/>
        <v>89700.75</v>
      </c>
      <c r="CE64" s="731">
        <f t="shared" si="9"/>
        <v>47540.15</v>
      </c>
      <c r="CF64" s="739">
        <f t="shared" si="26"/>
        <v>42160.6</v>
      </c>
      <c r="CG64" s="742">
        <f t="shared" si="1"/>
        <v>47540.15</v>
      </c>
      <c r="CH64" s="743" t="e">
        <f>'[6]JACKSON AKPOJARO '!C226*12</f>
        <v>#REF!</v>
      </c>
      <c r="CI64" s="744" t="e">
        <f t="shared" si="10"/>
        <v>#REF!</v>
      </c>
      <c r="CJ64" s="745">
        <f t="shared" si="78"/>
        <v>0</v>
      </c>
      <c r="CK64" s="748" t="e">
        <f t="shared" si="11"/>
        <v>#REF!</v>
      </c>
      <c r="CL64" s="749" t="e">
        <f t="shared" si="12"/>
        <v>#REF!</v>
      </c>
      <c r="CM64" s="744"/>
      <c r="CN64" s="745" t="e">
        <f t="shared" si="13"/>
        <v>#REF!</v>
      </c>
      <c r="CO64" s="745" t="e">
        <f t="shared" si="14"/>
        <v>#REF!</v>
      </c>
      <c r="CP64" s="745" t="e">
        <f t="shared" si="15"/>
        <v>#REF!</v>
      </c>
      <c r="CQ64" s="745" t="e">
        <f t="shared" si="16"/>
        <v>#REF!</v>
      </c>
      <c r="CR64" s="745" t="e">
        <f t="shared" si="17"/>
        <v>#REF!</v>
      </c>
      <c r="CS64" s="745" t="e">
        <f t="shared" si="18"/>
        <v>#REF!</v>
      </c>
      <c r="CT64" s="754" t="e">
        <f t="shared" si="79"/>
        <v>#REF!</v>
      </c>
      <c r="CU64" s="755" t="e">
        <f t="shared" si="80"/>
        <v>#REF!</v>
      </c>
      <c r="CV64" s="756">
        <f t="shared" si="82"/>
        <v>5264.09</v>
      </c>
      <c r="CW64" s="757"/>
      <c r="CX64" s="758"/>
      <c r="CY64" s="759"/>
      <c r="CZ64" s="760"/>
      <c r="DA64" s="767"/>
    </row>
    <row r="65" ht="236" customHeight="1" spans="1:106">
      <c r="A65" s="675">
        <v>388</v>
      </c>
      <c r="B65" s="676" t="s">
        <v>978</v>
      </c>
      <c r="C65" s="677" t="s">
        <v>1533</v>
      </c>
      <c r="D65" s="677" t="s">
        <v>1592</v>
      </c>
      <c r="E65" s="677" t="s">
        <v>549</v>
      </c>
      <c r="F65" s="1452" t="s">
        <v>979</v>
      </c>
      <c r="G65" s="677" t="s">
        <v>1590</v>
      </c>
      <c r="H65" s="679"/>
      <c r="I65" s="681" t="s">
        <v>354</v>
      </c>
      <c r="J65" s="686">
        <v>6023931127</v>
      </c>
      <c r="K65" s="687" t="str">
        <f>'[5] NON-TEACHING STAFF'!$J$65</f>
        <v>22219118468</v>
      </c>
      <c r="L65" s="688">
        <v>520773</v>
      </c>
      <c r="M65" s="688" t="e">
        <f>S65-#REF!</f>
        <v>#REF!</v>
      </c>
      <c r="N65" s="689">
        <f>N67</f>
        <v>568825</v>
      </c>
      <c r="O65" s="689">
        <v>45946.6666666667</v>
      </c>
      <c r="P65" s="689"/>
      <c r="Q65" s="689">
        <v>11486.6666666667</v>
      </c>
      <c r="R65" s="689">
        <v>63561.4966666667</v>
      </c>
      <c r="S65" s="689">
        <v>124335.5</v>
      </c>
      <c r="T65" s="689"/>
      <c r="U65" s="689"/>
      <c r="V65" s="689"/>
      <c r="W65" s="689"/>
      <c r="X65" s="689"/>
      <c r="Y65" s="689"/>
      <c r="Z65" s="689"/>
      <c r="AA65" s="689"/>
      <c r="AB65" s="689"/>
      <c r="AC65" s="689">
        <v>2500</v>
      </c>
      <c r="AD65" s="689"/>
      <c r="AE65" s="689"/>
      <c r="AF65" s="689"/>
      <c r="AG65" s="689"/>
      <c r="AH65" s="689"/>
      <c r="AI65" s="689"/>
      <c r="AJ65" s="689">
        <v>2500</v>
      </c>
      <c r="AK65" s="689"/>
      <c r="AL65" s="689">
        <v>383.33</v>
      </c>
      <c r="AM65" s="689"/>
      <c r="AN65" s="689"/>
      <c r="AO65" s="689"/>
      <c r="AP65" s="689"/>
      <c r="AQ65" s="689"/>
      <c r="AR65" s="689"/>
      <c r="AS65" s="689"/>
      <c r="AT65" s="689"/>
      <c r="AU65" s="689">
        <f t="shared" si="81"/>
        <v>3730.065</v>
      </c>
      <c r="AV65" s="689"/>
      <c r="AW65" s="689"/>
      <c r="AX65" s="718"/>
      <c r="AY65" s="718"/>
      <c r="AZ65" s="718"/>
      <c r="BA65" s="689"/>
      <c r="BB65" s="689"/>
      <c r="BC65" s="689"/>
      <c r="BD65" s="719"/>
      <c r="BE65" s="719">
        <f t="shared" si="22"/>
        <v>3730.065</v>
      </c>
      <c r="BF65" s="689"/>
      <c r="BG65" s="689"/>
      <c r="BH65" s="727"/>
      <c r="BI65" s="689"/>
      <c r="BJ65" s="689"/>
      <c r="BK65" s="689"/>
      <c r="BL65" s="689"/>
      <c r="BM65" s="689"/>
      <c r="BN65" s="689"/>
      <c r="BO65" s="689">
        <v>0</v>
      </c>
      <c r="BP65" s="689"/>
      <c r="BQ65" s="689"/>
      <c r="BR65" s="731"/>
      <c r="BV65" s="731"/>
      <c r="BW65" s="731"/>
      <c r="BX65" s="731"/>
      <c r="BY65" s="731"/>
      <c r="BZ65" s="731">
        <v>500</v>
      </c>
      <c r="CA65" s="718">
        <f t="shared" si="7"/>
        <v>2586.71</v>
      </c>
      <c r="CB65" s="735"/>
      <c r="CC65" s="731">
        <v>10020.26</v>
      </c>
      <c r="CD65" s="702">
        <f t="shared" si="8"/>
        <v>129335.5</v>
      </c>
      <c r="CE65" s="731">
        <f t="shared" si="9"/>
        <v>20567.1</v>
      </c>
      <c r="CF65" s="739">
        <f t="shared" si="26"/>
        <v>108768.4</v>
      </c>
      <c r="CG65" s="742">
        <f t="shared" si="1"/>
        <v>20567.1</v>
      </c>
      <c r="CH65" s="743" t="e">
        <f>'[6]JACKSON AKPOJARO '!C223*12</f>
        <v>#REF!</v>
      </c>
      <c r="CI65" s="744" t="e">
        <f t="shared" si="10"/>
        <v>#REF!</v>
      </c>
      <c r="CJ65" s="745">
        <f t="shared" si="78"/>
        <v>0</v>
      </c>
      <c r="CK65" s="748" t="e">
        <f t="shared" si="11"/>
        <v>#REF!</v>
      </c>
      <c r="CL65" s="749" t="e">
        <f t="shared" si="12"/>
        <v>#REF!</v>
      </c>
      <c r="CM65" s="744"/>
      <c r="CN65" s="745" t="e">
        <f t="shared" si="13"/>
        <v>#REF!</v>
      </c>
      <c r="CO65" s="745" t="e">
        <f t="shared" si="14"/>
        <v>#REF!</v>
      </c>
      <c r="CP65" s="745" t="e">
        <f t="shared" si="15"/>
        <v>#REF!</v>
      </c>
      <c r="CQ65" s="745" t="e">
        <f t="shared" si="16"/>
        <v>#REF!</v>
      </c>
      <c r="CR65" s="745" t="e">
        <f t="shared" si="17"/>
        <v>#REF!</v>
      </c>
      <c r="CS65" s="745" t="e">
        <f t="shared" si="18"/>
        <v>#REF!</v>
      </c>
      <c r="CT65" s="754" t="e">
        <f t="shared" si="79"/>
        <v>#REF!</v>
      </c>
      <c r="CU65" s="755" t="e">
        <f t="shared" si="80"/>
        <v>#REF!</v>
      </c>
      <c r="CV65" s="756">
        <f t="shared" si="82"/>
        <v>10020.26</v>
      </c>
      <c r="CW65" s="757"/>
      <c r="CX65" s="758"/>
      <c r="CY65" s="759"/>
      <c r="CZ65" s="760"/>
      <c r="DA65" s="767"/>
      <c r="DB65" s="770"/>
    </row>
    <row r="66" ht="236" customHeight="1" spans="1:106">
      <c r="A66" s="673">
        <v>389</v>
      </c>
      <c r="B66" s="676" t="s">
        <v>980</v>
      </c>
      <c r="C66" s="677" t="s">
        <v>1533</v>
      </c>
      <c r="D66" s="677" t="s">
        <v>1592</v>
      </c>
      <c r="E66" s="677" t="s">
        <v>313</v>
      </c>
      <c r="F66" s="1452" t="s">
        <v>981</v>
      </c>
      <c r="G66" s="677" t="s">
        <v>1605</v>
      </c>
      <c r="H66" s="679"/>
      <c r="I66" s="681" t="s">
        <v>127</v>
      </c>
      <c r="J66" s="686" t="s">
        <v>1606</v>
      </c>
      <c r="K66" s="687" t="str">
        <f>'[5] NON-TEACHING STAFF'!$J$66</f>
        <v>22334793166</v>
      </c>
      <c r="L66" s="688">
        <v>520773</v>
      </c>
      <c r="M66" s="688" t="e">
        <f>S66-#REF!</f>
        <v>#REF!</v>
      </c>
      <c r="N66" s="689">
        <v>568825</v>
      </c>
      <c r="O66" s="689">
        <v>45946.6666666667</v>
      </c>
      <c r="P66" s="689"/>
      <c r="Q66" s="689">
        <v>11486.6666666667</v>
      </c>
      <c r="R66" s="689">
        <v>63561.4966666667</v>
      </c>
      <c r="S66" s="689">
        <v>120994.82</v>
      </c>
      <c r="T66" s="689"/>
      <c r="U66" s="689"/>
      <c r="V66" s="689"/>
      <c r="W66" s="689"/>
      <c r="X66" s="689"/>
      <c r="Y66" s="689"/>
      <c r="Z66" s="689"/>
      <c r="AA66" s="689"/>
      <c r="AB66" s="689"/>
      <c r="AC66" s="689">
        <v>2500</v>
      </c>
      <c r="AD66" s="689"/>
      <c r="AE66" s="689"/>
      <c r="AF66" s="689"/>
      <c r="AG66" s="689"/>
      <c r="AH66" s="689"/>
      <c r="AI66" s="689"/>
      <c r="AJ66" s="689">
        <v>2500</v>
      </c>
      <c r="AK66" s="689"/>
      <c r="AL66" s="689">
        <v>383.33</v>
      </c>
      <c r="AM66" s="689"/>
      <c r="AN66" s="689"/>
      <c r="AO66" s="689"/>
      <c r="AP66" s="689"/>
      <c r="AQ66" s="689"/>
      <c r="AR66" s="689"/>
      <c r="AS66" s="689"/>
      <c r="AT66" s="689"/>
      <c r="AU66" s="689">
        <f t="shared" si="81"/>
        <v>3629.8446</v>
      </c>
      <c r="AV66" s="689"/>
      <c r="AW66" s="689"/>
      <c r="AX66" s="718"/>
      <c r="AY66" s="718"/>
      <c r="AZ66" s="718"/>
      <c r="BA66" s="689"/>
      <c r="BB66" s="689"/>
      <c r="BC66" s="689"/>
      <c r="BD66" s="719"/>
      <c r="BE66" s="719">
        <f t="shared" si="22"/>
        <v>3629.8446</v>
      </c>
      <c r="BF66" s="689"/>
      <c r="BG66" s="689"/>
      <c r="BH66" s="727"/>
      <c r="BI66" s="689"/>
      <c r="BJ66" s="689"/>
      <c r="BK66" s="689"/>
      <c r="BL66" s="689"/>
      <c r="BM66" s="689"/>
      <c r="BN66" s="689"/>
      <c r="BO66" s="689">
        <v>17500</v>
      </c>
      <c r="BP66" s="689"/>
      <c r="BQ66" s="689"/>
      <c r="BR66" s="731"/>
      <c r="BS66" s="731"/>
      <c r="BT66" s="731"/>
      <c r="BU66" s="731"/>
      <c r="BV66" s="731"/>
      <c r="BW66" s="731"/>
      <c r="BX66" s="731"/>
      <c r="BY66" s="731"/>
      <c r="BZ66" s="731">
        <v>500</v>
      </c>
      <c r="CA66" s="718">
        <f t="shared" ref="CA66:CA128" si="94">CD66*0.02</f>
        <v>2519.8964</v>
      </c>
      <c r="CB66" s="735"/>
      <c r="CC66" s="731">
        <v>9619.3796</v>
      </c>
      <c r="CD66" s="702">
        <f t="shared" si="8"/>
        <v>125994.82</v>
      </c>
      <c r="CE66" s="731">
        <f t="shared" si="9"/>
        <v>37398.9652</v>
      </c>
      <c r="CF66" s="739">
        <f t="shared" si="26"/>
        <v>88595.8548</v>
      </c>
      <c r="CG66" s="742">
        <f t="shared" si="1"/>
        <v>37398.9652</v>
      </c>
      <c r="CH66" s="743" t="e">
        <f>'[6]JACKSON AKPOJARO '!C224*12</f>
        <v>#REF!</v>
      </c>
      <c r="CI66" s="744" t="e">
        <f t="shared" si="10"/>
        <v>#REF!</v>
      </c>
      <c r="CJ66" s="745">
        <f t="shared" si="78"/>
        <v>0</v>
      </c>
      <c r="CK66" s="748" t="e">
        <f t="shared" si="11"/>
        <v>#REF!</v>
      </c>
      <c r="CL66" s="749" t="e">
        <f t="shared" si="12"/>
        <v>#REF!</v>
      </c>
      <c r="CM66" s="744"/>
      <c r="CN66" s="745" t="e">
        <f t="shared" si="13"/>
        <v>#REF!</v>
      </c>
      <c r="CO66" s="745" t="e">
        <f t="shared" si="14"/>
        <v>#REF!</v>
      </c>
      <c r="CP66" s="745" t="e">
        <f t="shared" si="15"/>
        <v>#REF!</v>
      </c>
      <c r="CQ66" s="745" t="e">
        <f t="shared" si="16"/>
        <v>#REF!</v>
      </c>
      <c r="CR66" s="745" t="e">
        <f t="shared" si="17"/>
        <v>#REF!</v>
      </c>
      <c r="CS66" s="745" t="e">
        <f t="shared" si="18"/>
        <v>#REF!</v>
      </c>
      <c r="CT66" s="754" t="e">
        <f t="shared" si="79"/>
        <v>#REF!</v>
      </c>
      <c r="CU66" s="755" t="e">
        <f t="shared" si="80"/>
        <v>#REF!</v>
      </c>
      <c r="CV66" s="756">
        <f t="shared" si="82"/>
        <v>9619.3796</v>
      </c>
      <c r="CW66" s="757"/>
      <c r="CX66" s="758"/>
      <c r="CY66" s="759"/>
      <c r="CZ66" s="760"/>
      <c r="DA66" s="767"/>
      <c r="DB66" s="670" t="s">
        <v>1591</v>
      </c>
    </row>
    <row r="67" ht="236" customHeight="1" spans="1:106">
      <c r="A67" s="675">
        <v>390</v>
      </c>
      <c r="B67" s="676" t="s">
        <v>982</v>
      </c>
      <c r="C67" s="677" t="s">
        <v>1533</v>
      </c>
      <c r="D67" s="677" t="s">
        <v>1607</v>
      </c>
      <c r="E67" s="677" t="s">
        <v>675</v>
      </c>
      <c r="F67" s="1452" t="s">
        <v>983</v>
      </c>
      <c r="G67" s="677" t="s">
        <v>1590</v>
      </c>
      <c r="H67" s="679"/>
      <c r="I67" s="681" t="s">
        <v>127</v>
      </c>
      <c r="J67" s="686" t="s">
        <v>1608</v>
      </c>
      <c r="K67" s="693" t="str">
        <f>'[5] NON-TEACHING STAFF'!$J$67</f>
        <v>22295652362</v>
      </c>
      <c r="L67" s="688">
        <v>520773</v>
      </c>
      <c r="M67" s="688" t="e">
        <f>S67-#REF!</f>
        <v>#REF!</v>
      </c>
      <c r="N67" s="689">
        <v>568825</v>
      </c>
      <c r="O67" s="689">
        <v>47402.0833333333</v>
      </c>
      <c r="P67" s="689"/>
      <c r="Q67" s="689">
        <v>11850.5208333333</v>
      </c>
      <c r="R67" s="689">
        <v>40000</v>
      </c>
      <c r="S67" s="689">
        <v>124335.5</v>
      </c>
      <c r="T67" s="689"/>
      <c r="U67" s="689"/>
      <c r="V67" s="689"/>
      <c r="W67" s="689"/>
      <c r="X67" s="689"/>
      <c r="Y67" s="689"/>
      <c r="Z67" s="689"/>
      <c r="AA67" s="689"/>
      <c r="AB67" s="689"/>
      <c r="AC67" s="689">
        <v>2500</v>
      </c>
      <c r="AD67" s="689"/>
      <c r="AE67" s="689"/>
      <c r="AF67" s="689"/>
      <c r="AG67" s="689"/>
      <c r="AH67" s="689"/>
      <c r="AI67" s="689"/>
      <c r="AJ67" s="689">
        <v>2500</v>
      </c>
      <c r="AK67" s="689"/>
      <c r="AL67" s="689">
        <v>383.33</v>
      </c>
      <c r="AM67" s="689"/>
      <c r="AN67" s="689"/>
      <c r="AO67" s="689"/>
      <c r="AP67" s="689"/>
      <c r="AQ67" s="689"/>
      <c r="AR67" s="689"/>
      <c r="AS67" s="689"/>
      <c r="AT67" s="689"/>
      <c r="AU67" s="689">
        <f t="shared" si="81"/>
        <v>3730.065</v>
      </c>
      <c r="AV67" s="689"/>
      <c r="AW67" s="689"/>
      <c r="AX67" s="718"/>
      <c r="AY67" s="718"/>
      <c r="AZ67" s="718"/>
      <c r="BA67" s="689"/>
      <c r="BB67" s="689">
        <v>25000</v>
      </c>
      <c r="BC67" s="689"/>
      <c r="BD67" s="719"/>
      <c r="BE67" s="719">
        <f t="shared" si="22"/>
        <v>3730.065</v>
      </c>
      <c r="BF67" s="689"/>
      <c r="BG67" s="689"/>
      <c r="BH67" s="727"/>
      <c r="BI67" s="689"/>
      <c r="BJ67" s="689"/>
      <c r="BK67" s="689"/>
      <c r="BL67" s="689"/>
      <c r="BM67" s="689"/>
      <c r="BN67" s="689"/>
      <c r="BO67" s="689">
        <v>10000</v>
      </c>
      <c r="BP67" s="689"/>
      <c r="BQ67" s="689"/>
      <c r="BR67" s="731"/>
      <c r="BS67" s="731"/>
      <c r="BT67" s="731"/>
      <c r="BU67" s="731"/>
      <c r="BV67" s="731"/>
      <c r="BW67" s="731"/>
      <c r="BX67" s="731"/>
      <c r="BY67" s="731"/>
      <c r="BZ67" s="731">
        <v>500</v>
      </c>
      <c r="CA67" s="718">
        <f t="shared" si="94"/>
        <v>2586.71</v>
      </c>
      <c r="CB67" s="735"/>
      <c r="CC67" s="731">
        <v>10020.26</v>
      </c>
      <c r="CD67" s="702">
        <f t="shared" si="8"/>
        <v>129335.5</v>
      </c>
      <c r="CE67" s="731">
        <f t="shared" si="9"/>
        <v>55567.1</v>
      </c>
      <c r="CF67" s="739">
        <f t="shared" si="26"/>
        <v>73768.4</v>
      </c>
      <c r="CG67" s="742">
        <f t="shared" si="1"/>
        <v>55567.1</v>
      </c>
      <c r="CH67" s="743" t="e">
        <f>'[6]JACKSON AKPOJARO '!C225*12</f>
        <v>#REF!</v>
      </c>
      <c r="CI67" s="744" t="e">
        <f t="shared" si="10"/>
        <v>#REF!</v>
      </c>
      <c r="CJ67" s="745">
        <f t="shared" si="78"/>
        <v>0</v>
      </c>
      <c r="CK67" s="748" t="e">
        <f t="shared" si="11"/>
        <v>#REF!</v>
      </c>
      <c r="CL67" s="749" t="e">
        <f t="shared" si="12"/>
        <v>#REF!</v>
      </c>
      <c r="CM67" s="744"/>
      <c r="CN67" s="745" t="e">
        <f t="shared" si="13"/>
        <v>#REF!</v>
      </c>
      <c r="CO67" s="745" t="e">
        <f t="shared" si="14"/>
        <v>#REF!</v>
      </c>
      <c r="CP67" s="745" t="e">
        <f t="shared" si="15"/>
        <v>#REF!</v>
      </c>
      <c r="CQ67" s="745" t="e">
        <f t="shared" si="16"/>
        <v>#REF!</v>
      </c>
      <c r="CR67" s="745" t="e">
        <f t="shared" si="17"/>
        <v>#REF!</v>
      </c>
      <c r="CS67" s="745" t="e">
        <f t="shared" si="18"/>
        <v>#REF!</v>
      </c>
      <c r="CT67" s="754" t="e">
        <f t="shared" si="79"/>
        <v>#REF!</v>
      </c>
      <c r="CU67" s="755" t="e">
        <f t="shared" si="80"/>
        <v>#REF!</v>
      </c>
      <c r="CV67" s="756">
        <f t="shared" si="82"/>
        <v>10020.26</v>
      </c>
      <c r="CW67" s="757"/>
      <c r="CX67" s="758"/>
      <c r="CY67" s="759"/>
      <c r="CZ67" s="760"/>
      <c r="DA67" s="767"/>
      <c r="DB67" s="813"/>
    </row>
    <row r="68" ht="236" customHeight="1" spans="1:107">
      <c r="A68" s="673">
        <v>391</v>
      </c>
      <c r="B68" s="676" t="s">
        <v>984</v>
      </c>
      <c r="C68" s="677" t="s">
        <v>1579</v>
      </c>
      <c r="D68" s="677" t="s">
        <v>1609</v>
      </c>
      <c r="E68" s="677" t="s">
        <v>259</v>
      </c>
      <c r="F68" s="677">
        <v>6850462749</v>
      </c>
      <c r="G68" s="677" t="s">
        <v>1610</v>
      </c>
      <c r="H68" s="679"/>
      <c r="I68" s="33" t="s">
        <v>259</v>
      </c>
      <c r="J68" s="33">
        <v>6850462749</v>
      </c>
      <c r="K68" s="693"/>
      <c r="L68" s="688"/>
      <c r="M68" s="688"/>
      <c r="N68" s="689">
        <v>427723</v>
      </c>
      <c r="O68" s="689">
        <v>35643.5833333333</v>
      </c>
      <c r="P68" s="689"/>
      <c r="Q68" s="689">
        <v>8910.89583333333</v>
      </c>
      <c r="R68" s="689">
        <v>42500</v>
      </c>
      <c r="S68" s="689">
        <v>88339.17</v>
      </c>
      <c r="T68" s="689"/>
      <c r="U68" s="689"/>
      <c r="V68" s="689"/>
      <c r="W68" s="689"/>
      <c r="X68" s="689"/>
      <c r="Y68" s="689"/>
      <c r="Z68" s="689"/>
      <c r="AA68" s="689"/>
      <c r="AB68" s="689"/>
      <c r="AC68" s="689">
        <v>2500</v>
      </c>
      <c r="AD68" s="689"/>
      <c r="AE68" s="689"/>
      <c r="AF68" s="689"/>
      <c r="AG68" s="689"/>
      <c r="AH68" s="689"/>
      <c r="AI68" s="689"/>
      <c r="AJ68" s="689">
        <v>2500</v>
      </c>
      <c r="AK68" s="689"/>
      <c r="AL68" s="689">
        <v>383.33</v>
      </c>
      <c r="AM68" s="689"/>
      <c r="AN68" s="689"/>
      <c r="AO68" s="689"/>
      <c r="AP68" s="689"/>
      <c r="AQ68" s="689"/>
      <c r="AR68" s="689"/>
      <c r="AS68" s="689"/>
      <c r="AT68" s="689"/>
      <c r="AU68" s="689">
        <f t="shared" si="81"/>
        <v>2650.1751</v>
      </c>
      <c r="AV68" s="689"/>
      <c r="AW68" s="689"/>
      <c r="AX68" s="718"/>
      <c r="AY68" s="718"/>
      <c r="AZ68" s="718"/>
      <c r="BA68" s="689"/>
      <c r="BB68" s="689"/>
      <c r="BC68" s="689"/>
      <c r="BD68" s="719"/>
      <c r="BE68" s="719">
        <f t="shared" ref="BE68:BE107" si="95">S68*0.03</f>
        <v>2650.1751</v>
      </c>
      <c r="BF68" s="689"/>
      <c r="BG68" s="689"/>
      <c r="BH68" s="727"/>
      <c r="BI68" s="689"/>
      <c r="BJ68" s="689"/>
      <c r="BK68" s="689"/>
      <c r="BL68" s="689"/>
      <c r="BM68" s="689"/>
      <c r="BN68" s="689"/>
      <c r="BO68" s="689">
        <v>0</v>
      </c>
      <c r="BP68" s="689"/>
      <c r="BQ68" s="689"/>
      <c r="BR68" s="731"/>
      <c r="BS68" s="731"/>
      <c r="BT68" s="731"/>
      <c r="BU68" s="731"/>
      <c r="BV68" s="731"/>
      <c r="BW68" s="731"/>
      <c r="BX68" s="731"/>
      <c r="BY68" s="731">
        <v>1000</v>
      </c>
      <c r="BZ68" s="731">
        <v>500</v>
      </c>
      <c r="CA68" s="718">
        <f t="shared" si="94"/>
        <v>1866.7834</v>
      </c>
      <c r="CB68" s="735"/>
      <c r="CC68" s="794">
        <v>5700.7</v>
      </c>
      <c r="CD68" s="702">
        <f t="shared" si="8"/>
        <v>93339.17</v>
      </c>
      <c r="CE68" s="731">
        <f t="shared" si="9"/>
        <v>14367.8336</v>
      </c>
      <c r="CF68" s="739">
        <f t="shared" si="26"/>
        <v>78971.3364</v>
      </c>
      <c r="CG68" s="742">
        <f t="shared" ref="CG68:CG131" si="96">CD68-CF68</f>
        <v>14367.8336</v>
      </c>
      <c r="CH68" s="743"/>
      <c r="CI68" s="744"/>
      <c r="CJ68" s="745"/>
      <c r="CK68" s="748"/>
      <c r="CL68" s="749"/>
      <c r="CM68" s="744"/>
      <c r="CN68" s="745"/>
      <c r="CO68" s="745"/>
      <c r="CP68" s="745"/>
      <c r="CQ68" s="745"/>
      <c r="CR68" s="745"/>
      <c r="CS68" s="745"/>
      <c r="CT68" s="754"/>
      <c r="CU68" s="755"/>
      <c r="CV68" s="756"/>
      <c r="CW68" s="757"/>
      <c r="CX68" s="758"/>
      <c r="CY68" s="759"/>
      <c r="CZ68" s="760"/>
      <c r="DA68" s="767"/>
      <c r="DC68" s="771"/>
    </row>
    <row r="69" ht="236" customHeight="1" spans="1:106">
      <c r="A69" s="675">
        <v>392</v>
      </c>
      <c r="B69" s="676" t="s">
        <v>985</v>
      </c>
      <c r="C69" s="677" t="s">
        <v>1579</v>
      </c>
      <c r="D69" s="677" t="s">
        <v>1609</v>
      </c>
      <c r="E69" s="677" t="s">
        <v>127</v>
      </c>
      <c r="F69" s="1452" t="s">
        <v>986</v>
      </c>
      <c r="G69" s="677" t="s">
        <v>1610</v>
      </c>
      <c r="H69" s="679"/>
      <c r="I69" s="681" t="s">
        <v>127</v>
      </c>
      <c r="J69" s="686" t="s">
        <v>986</v>
      </c>
      <c r="K69" s="693"/>
      <c r="L69" s="688"/>
      <c r="M69" s="688"/>
      <c r="N69" s="689">
        <v>427723</v>
      </c>
      <c r="O69" s="689">
        <v>35643.5833333333</v>
      </c>
      <c r="P69" s="689"/>
      <c r="Q69" s="689">
        <v>8910.89583333333</v>
      </c>
      <c r="R69" s="689">
        <v>42500</v>
      </c>
      <c r="S69" s="689">
        <v>88339.17</v>
      </c>
      <c r="T69" s="689"/>
      <c r="V69" s="689"/>
      <c r="W69" s="689"/>
      <c r="X69" s="689"/>
      <c r="Y69" s="689"/>
      <c r="Z69" s="689"/>
      <c r="AA69" s="689"/>
      <c r="AB69" s="689"/>
      <c r="AC69" s="689">
        <v>2500</v>
      </c>
      <c r="AD69" s="689"/>
      <c r="AE69" s="689"/>
      <c r="AF69" s="689"/>
      <c r="AG69" s="689"/>
      <c r="AH69" s="689"/>
      <c r="AI69" s="689"/>
      <c r="AJ69" s="689">
        <v>2500</v>
      </c>
      <c r="AK69" s="689"/>
      <c r="AL69" s="689">
        <v>383.33</v>
      </c>
      <c r="AM69" s="689"/>
      <c r="AN69" s="689"/>
      <c r="AO69" s="689"/>
      <c r="AP69" s="689"/>
      <c r="AQ69" s="689"/>
      <c r="AR69" s="689"/>
      <c r="AS69" s="689"/>
      <c r="AT69" s="689"/>
      <c r="AU69" s="689">
        <f t="shared" si="81"/>
        <v>2650.1751</v>
      </c>
      <c r="AV69" s="689"/>
      <c r="AW69" s="689"/>
      <c r="AX69" s="718"/>
      <c r="AY69" s="718"/>
      <c r="AZ69" s="718"/>
      <c r="BA69" s="689"/>
      <c r="BB69" s="689"/>
      <c r="BC69" s="689"/>
      <c r="BD69" s="719"/>
      <c r="BE69" s="719">
        <f t="shared" si="95"/>
        <v>2650.1751</v>
      </c>
      <c r="BF69" s="689"/>
      <c r="BG69" s="689"/>
      <c r="BH69" s="727"/>
      <c r="BI69" s="689"/>
      <c r="BJ69" s="689"/>
      <c r="BK69" s="689"/>
      <c r="BL69" s="689">
        <v>7500</v>
      </c>
      <c r="BM69" s="689"/>
      <c r="BN69" s="689"/>
      <c r="BO69" s="689">
        <v>5000</v>
      </c>
      <c r="BP69" s="689"/>
      <c r="BQ69" s="689"/>
      <c r="BR69" s="731"/>
      <c r="BS69" s="731"/>
      <c r="BT69" s="731"/>
      <c r="BU69" s="731"/>
      <c r="BV69" s="731"/>
      <c r="BW69" s="731"/>
      <c r="BX69" s="731"/>
      <c r="BY69" s="731">
        <v>1000</v>
      </c>
      <c r="BZ69" s="731">
        <v>500</v>
      </c>
      <c r="CA69" s="718">
        <f t="shared" si="94"/>
        <v>1866.7834</v>
      </c>
      <c r="CB69" s="735"/>
      <c r="CC69" s="794">
        <v>5700.7</v>
      </c>
      <c r="CD69" s="702">
        <f t="shared" si="8"/>
        <v>93339.17</v>
      </c>
      <c r="CE69" s="731">
        <f t="shared" si="9"/>
        <v>26867.8336</v>
      </c>
      <c r="CF69" s="739">
        <f t="shared" si="26"/>
        <v>66471.3364</v>
      </c>
      <c r="CG69" s="742">
        <f t="shared" si="96"/>
        <v>26867.8336</v>
      </c>
      <c r="CH69" s="743"/>
      <c r="CI69" s="744"/>
      <c r="CJ69" s="745"/>
      <c r="CK69" s="748"/>
      <c r="CL69" s="749"/>
      <c r="CM69" s="744"/>
      <c r="CN69" s="745"/>
      <c r="CO69" s="745"/>
      <c r="CP69" s="745"/>
      <c r="CQ69" s="745"/>
      <c r="CR69" s="745"/>
      <c r="CS69" s="745"/>
      <c r="CT69" s="754"/>
      <c r="CU69" s="755"/>
      <c r="CV69" s="756"/>
      <c r="CW69" s="757"/>
      <c r="CX69" s="758"/>
      <c r="CY69" s="759"/>
      <c r="CZ69" s="760"/>
      <c r="DA69" s="767"/>
      <c r="DB69" s="770"/>
    </row>
    <row r="70" ht="236" customHeight="1" spans="1:106">
      <c r="A70" s="673">
        <v>393</v>
      </c>
      <c r="B70" s="676" t="s">
        <v>987</v>
      </c>
      <c r="C70" s="677" t="s">
        <v>1579</v>
      </c>
      <c r="D70" s="677" t="s">
        <v>1611</v>
      </c>
      <c r="E70" s="677" t="s">
        <v>101</v>
      </c>
      <c r="F70" s="1452" t="s">
        <v>988</v>
      </c>
      <c r="G70" s="677" t="s">
        <v>1612</v>
      </c>
      <c r="H70" s="679"/>
      <c r="I70" s="681" t="s">
        <v>101</v>
      </c>
      <c r="J70" s="686" t="s">
        <v>988</v>
      </c>
      <c r="K70" s="693"/>
      <c r="L70" s="688"/>
      <c r="M70" s="688"/>
      <c r="N70" s="689">
        <v>463445</v>
      </c>
      <c r="O70" s="689">
        <v>38620.4166666667</v>
      </c>
      <c r="P70" s="689"/>
      <c r="Q70" s="689">
        <v>9655.10416666667</v>
      </c>
      <c r="R70" s="689">
        <v>42499.98</v>
      </c>
      <c r="S70" s="689">
        <v>99252.58</v>
      </c>
      <c r="T70" s="689"/>
      <c r="U70" s="689"/>
      <c r="V70" s="689"/>
      <c r="W70" s="689"/>
      <c r="X70" s="689"/>
      <c r="Y70" s="689"/>
      <c r="Z70" s="689"/>
      <c r="AA70" s="689"/>
      <c r="AB70" s="689"/>
      <c r="AC70" s="689">
        <v>2500</v>
      </c>
      <c r="AD70" s="689"/>
      <c r="AE70" s="689"/>
      <c r="AF70" s="689"/>
      <c r="AG70" s="689"/>
      <c r="AH70" s="689"/>
      <c r="AI70" s="689"/>
      <c r="AJ70" s="689">
        <v>2500</v>
      </c>
      <c r="AK70" s="689"/>
      <c r="AL70" s="689">
        <v>383.33</v>
      </c>
      <c r="AM70" s="689"/>
      <c r="AN70" s="689"/>
      <c r="AO70" s="689"/>
      <c r="AP70" s="689"/>
      <c r="AQ70" s="689"/>
      <c r="AR70" s="689"/>
      <c r="AS70" s="689"/>
      <c r="AT70" s="689"/>
      <c r="AU70" s="689">
        <f t="shared" si="81"/>
        <v>2977.5774</v>
      </c>
      <c r="AV70" s="689"/>
      <c r="AW70" s="689"/>
      <c r="AX70" s="718"/>
      <c r="AY70" s="718"/>
      <c r="AZ70" s="718"/>
      <c r="BA70" s="689"/>
      <c r="BB70" s="689"/>
      <c r="BC70" s="689"/>
      <c r="BD70" s="719"/>
      <c r="BE70" s="719">
        <f t="shared" si="95"/>
        <v>2977.5774</v>
      </c>
      <c r="BF70" s="689"/>
      <c r="BG70" s="689"/>
      <c r="BH70" s="727"/>
      <c r="BI70" s="689"/>
      <c r="BJ70" s="689"/>
      <c r="BK70" s="689"/>
      <c r="BL70" s="689"/>
      <c r="BM70" s="689"/>
      <c r="BN70" s="689"/>
      <c r="BO70" s="689">
        <v>0</v>
      </c>
      <c r="BP70" s="689"/>
      <c r="BQ70" s="689"/>
      <c r="BR70" s="731"/>
      <c r="BS70" s="731"/>
      <c r="BT70" s="731">
        <v>67200</v>
      </c>
      <c r="BU70" s="731"/>
      <c r="BV70" s="731"/>
      <c r="BW70" s="731"/>
      <c r="BX70" s="731"/>
      <c r="BY70" s="731">
        <v>1000</v>
      </c>
      <c r="BZ70" s="731">
        <v>500</v>
      </c>
      <c r="CA70" s="718">
        <f t="shared" si="94"/>
        <v>2085.0516</v>
      </c>
      <c r="CB70" s="735"/>
      <c r="CC70" s="794">
        <v>7010.31</v>
      </c>
      <c r="CD70" s="702">
        <f t="shared" ref="CD70:CD133" si="97">AR70+AJ70+AH70+AG70+AE70+AF70+AD70+AC70+AB70+AA70+Z70+Y70+X70+W70+V70+U70+U70+T70+S70</f>
        <v>104252.58</v>
      </c>
      <c r="CE70" s="731">
        <f t="shared" si="9"/>
        <v>83750.5164</v>
      </c>
      <c r="CF70" s="739">
        <f t="shared" ref="CF70:CF133" si="98">CD70-CE70</f>
        <v>20502.0636</v>
      </c>
      <c r="CG70" s="742">
        <f t="shared" si="96"/>
        <v>83750.5164</v>
      </c>
      <c r="CH70" s="743"/>
      <c r="CI70" s="744"/>
      <c r="CJ70" s="745"/>
      <c r="CK70" s="748"/>
      <c r="CL70" s="749"/>
      <c r="CM70" s="744"/>
      <c r="CN70" s="745"/>
      <c r="CO70" s="745"/>
      <c r="CP70" s="745"/>
      <c r="CQ70" s="745"/>
      <c r="CR70" s="745"/>
      <c r="CS70" s="745"/>
      <c r="CT70" s="754"/>
      <c r="CU70" s="755"/>
      <c r="CV70" s="756"/>
      <c r="CW70" s="757"/>
      <c r="CX70" s="758"/>
      <c r="CY70" s="759"/>
      <c r="CZ70" s="760"/>
      <c r="DA70" s="767"/>
      <c r="DB70" s="770"/>
    </row>
    <row r="71" ht="236" customHeight="1" spans="1:105">
      <c r="A71" s="675">
        <v>394</v>
      </c>
      <c r="B71" s="676" t="s">
        <v>989</v>
      </c>
      <c r="C71" s="677" t="s">
        <v>1533</v>
      </c>
      <c r="D71" s="677" t="s">
        <v>1613</v>
      </c>
      <c r="E71" s="677" t="s">
        <v>93</v>
      </c>
      <c r="F71" s="677" t="s">
        <v>990</v>
      </c>
      <c r="G71" s="677" t="s">
        <v>1614</v>
      </c>
      <c r="H71" s="679"/>
      <c r="I71" s="681" t="s">
        <v>93</v>
      </c>
      <c r="J71" s="686">
        <v>3128454391</v>
      </c>
      <c r="K71" s="687" t="str">
        <f>'[5] NON-TEACHING STAFF'!$J$68</f>
        <v>22419981844</v>
      </c>
      <c r="L71" s="688">
        <v>520773</v>
      </c>
      <c r="M71" s="688" t="e">
        <f>S71-#REF!</f>
        <v>#REF!</v>
      </c>
      <c r="N71" s="689">
        <v>506441</v>
      </c>
      <c r="O71" s="689">
        <v>42203.4166666667</v>
      </c>
      <c r="P71" s="689"/>
      <c r="Q71" s="689">
        <v>10550.8541666667</v>
      </c>
      <c r="R71" s="689">
        <v>42499.98</v>
      </c>
      <c r="S71" s="689">
        <v>97433.33</v>
      </c>
      <c r="T71" s="689"/>
      <c r="U71" s="689"/>
      <c r="V71" s="689"/>
      <c r="W71" s="689"/>
      <c r="X71" s="689"/>
      <c r="Y71" s="689"/>
      <c r="Z71" s="689"/>
      <c r="AA71" s="689"/>
      <c r="AB71" s="689"/>
      <c r="AC71" s="689">
        <v>2500</v>
      </c>
      <c r="AD71" s="689"/>
      <c r="AE71" s="689"/>
      <c r="AF71" s="689"/>
      <c r="AG71" s="689"/>
      <c r="AH71" s="689"/>
      <c r="AI71" s="689"/>
      <c r="AJ71" s="689">
        <v>2500</v>
      </c>
      <c r="AK71" s="689"/>
      <c r="AL71" s="689">
        <v>383.33</v>
      </c>
      <c r="AM71" s="689"/>
      <c r="AN71" s="689"/>
      <c r="AO71" s="689"/>
      <c r="AP71" s="689"/>
      <c r="AQ71" s="689"/>
      <c r="AR71" s="689"/>
      <c r="AS71" s="689"/>
      <c r="AT71" s="689"/>
      <c r="AU71" s="689">
        <f t="shared" si="81"/>
        <v>2922.9999</v>
      </c>
      <c r="AV71" s="689"/>
      <c r="AW71" s="689"/>
      <c r="AX71" s="718"/>
      <c r="AY71" s="718"/>
      <c r="AZ71" s="718"/>
      <c r="BA71" s="689"/>
      <c r="BB71" s="689"/>
      <c r="BC71" s="689"/>
      <c r="BD71" s="719"/>
      <c r="BE71" s="719">
        <f t="shared" si="95"/>
        <v>2922.9999</v>
      </c>
      <c r="BF71" s="689"/>
      <c r="BG71" s="689"/>
      <c r="BH71" s="727"/>
      <c r="BI71" s="689"/>
      <c r="BJ71" s="689"/>
      <c r="BK71" s="689"/>
      <c r="BL71" s="689"/>
      <c r="BM71" s="689"/>
      <c r="BN71" s="689"/>
      <c r="BO71" s="689">
        <v>0</v>
      </c>
      <c r="BP71" s="689"/>
      <c r="BQ71" s="689"/>
      <c r="BR71" s="731"/>
      <c r="BS71" s="731"/>
      <c r="BT71" s="731"/>
      <c r="BU71" s="731"/>
      <c r="BV71" s="731"/>
      <c r="BW71" s="731"/>
      <c r="BX71" s="731"/>
      <c r="BY71" s="731">
        <v>1000</v>
      </c>
      <c r="BZ71" s="731">
        <v>500</v>
      </c>
      <c r="CA71" s="718">
        <f t="shared" si="94"/>
        <v>2048.6666</v>
      </c>
      <c r="CB71" s="735"/>
      <c r="CC71" s="731">
        <v>6792</v>
      </c>
      <c r="CD71" s="702">
        <f t="shared" si="97"/>
        <v>102433.33</v>
      </c>
      <c r="CE71" s="731">
        <f t="shared" ref="CE71:CE134" si="99">SUM(AU71:CC71)+AT71</f>
        <v>16186.6664</v>
      </c>
      <c r="CF71" s="739">
        <f t="shared" si="98"/>
        <v>86246.6636</v>
      </c>
      <c r="CG71" s="742">
        <f t="shared" si="96"/>
        <v>16186.6664</v>
      </c>
      <c r="CH71" s="743" t="e">
        <f>'[6]JACKSON AKPOJARO '!C226*12</f>
        <v>#REF!</v>
      </c>
      <c r="CI71" s="744" t="e">
        <f t="shared" si="10"/>
        <v>#REF!</v>
      </c>
      <c r="CJ71" s="745">
        <f>CB71*12</f>
        <v>0</v>
      </c>
      <c r="CK71" s="748" t="e">
        <f t="shared" si="11"/>
        <v>#REF!</v>
      </c>
      <c r="CL71" s="749" t="e">
        <f t="shared" si="12"/>
        <v>#REF!</v>
      </c>
      <c r="CM71" s="744"/>
      <c r="CN71" s="745" t="e">
        <f t="shared" si="13"/>
        <v>#REF!</v>
      </c>
      <c r="CO71" s="745" t="e">
        <f t="shared" si="14"/>
        <v>#REF!</v>
      </c>
      <c r="CP71" s="745" t="e">
        <f t="shared" si="15"/>
        <v>#REF!</v>
      </c>
      <c r="CQ71" s="745" t="e">
        <f t="shared" si="16"/>
        <v>#REF!</v>
      </c>
      <c r="CR71" s="745" t="e">
        <f t="shared" si="17"/>
        <v>#REF!</v>
      </c>
      <c r="CS71" s="745" t="e">
        <f t="shared" si="18"/>
        <v>#REF!</v>
      </c>
      <c r="CT71" s="754" t="e">
        <f t="shared" si="79"/>
        <v>#REF!</v>
      </c>
      <c r="CU71" s="755" t="e">
        <f t="shared" si="80"/>
        <v>#REF!</v>
      </c>
      <c r="CV71" s="756">
        <f>CC71</f>
        <v>6792</v>
      </c>
      <c r="CW71" s="757"/>
      <c r="CX71" s="758"/>
      <c r="CY71" s="759"/>
      <c r="CZ71" s="760"/>
      <c r="DA71" s="767"/>
    </row>
    <row r="72" ht="236" customHeight="1" spans="1:106">
      <c r="A72" s="673">
        <v>395</v>
      </c>
      <c r="B72" s="676" t="s">
        <v>991</v>
      </c>
      <c r="C72" s="677" t="s">
        <v>1527</v>
      </c>
      <c r="D72" s="677" t="s">
        <v>1572</v>
      </c>
      <c r="E72" s="677" t="s">
        <v>113</v>
      </c>
      <c r="F72" s="677" t="s">
        <v>992</v>
      </c>
      <c r="G72" s="677" t="s">
        <v>1615</v>
      </c>
      <c r="H72" s="679"/>
      <c r="I72" s="681" t="s">
        <v>113</v>
      </c>
      <c r="J72" s="686">
        <v>1023390688</v>
      </c>
      <c r="K72" s="695">
        <f>'[5] NON-TEACHING STAFF'!$J$69</f>
        <v>0</v>
      </c>
      <c r="L72" s="688">
        <v>1514130</v>
      </c>
      <c r="M72" s="688" t="e">
        <f>S72-#REF!</f>
        <v>#REF!</v>
      </c>
      <c r="N72" s="689">
        <v>1471351</v>
      </c>
      <c r="O72" s="689">
        <v>125865.5</v>
      </c>
      <c r="P72" s="689"/>
      <c r="Q72" s="689">
        <v>31466.375</v>
      </c>
      <c r="R72" s="689">
        <v>30000</v>
      </c>
      <c r="S72" s="689">
        <v>192576.5</v>
      </c>
      <c r="T72" s="689"/>
      <c r="U72" s="689"/>
      <c r="V72" s="689"/>
      <c r="W72" s="689"/>
      <c r="X72" s="689"/>
      <c r="Y72" s="689"/>
      <c r="Z72" s="689"/>
      <c r="AA72" s="689"/>
      <c r="AB72" s="689"/>
      <c r="AC72" s="689">
        <v>2500</v>
      </c>
      <c r="AD72" s="689"/>
      <c r="AE72" s="689"/>
      <c r="AF72" s="689"/>
      <c r="AG72" s="689"/>
      <c r="AH72" s="689"/>
      <c r="AI72" s="689"/>
      <c r="AJ72" s="689">
        <v>2500</v>
      </c>
      <c r="AK72" s="689"/>
      <c r="AL72" s="689">
        <v>383.33</v>
      </c>
      <c r="AM72" s="689"/>
      <c r="AN72" s="689"/>
      <c r="AO72" s="689"/>
      <c r="AP72" s="689"/>
      <c r="AQ72" s="689"/>
      <c r="AR72" s="689"/>
      <c r="AS72" s="689"/>
      <c r="AT72" s="689"/>
      <c r="AU72" s="689">
        <f>S72*0.04</f>
        <v>7703.06</v>
      </c>
      <c r="AV72" s="689"/>
      <c r="AW72" s="689">
        <v>3000</v>
      </c>
      <c r="AX72" s="689">
        <v>3041.66</v>
      </c>
      <c r="AY72" s="689"/>
      <c r="AZ72" s="718"/>
      <c r="BA72" s="689"/>
      <c r="BB72" s="689">
        <v>41666.67</v>
      </c>
      <c r="BC72" s="689"/>
      <c r="BD72" s="719"/>
      <c r="BE72" s="719"/>
      <c r="BF72" s="689"/>
      <c r="BG72" s="689"/>
      <c r="BH72" s="727"/>
      <c r="BI72" s="689"/>
      <c r="BJ72" s="689"/>
      <c r="BK72" s="689"/>
      <c r="BL72" s="689"/>
      <c r="BM72" s="689"/>
      <c r="BN72" s="689"/>
      <c r="BO72" s="689">
        <v>88333</v>
      </c>
      <c r="BP72" s="689"/>
      <c r="BQ72" s="689"/>
      <c r="BR72" s="731"/>
      <c r="BS72" s="731"/>
      <c r="BT72" s="731"/>
      <c r="BU72" s="731"/>
      <c r="BV72" s="731"/>
      <c r="BW72" s="731"/>
      <c r="BX72" s="731"/>
      <c r="BY72" s="731"/>
      <c r="BZ72" s="731">
        <v>1000</v>
      </c>
      <c r="CA72" s="718">
        <f t="shared" si="94"/>
        <v>3951.53</v>
      </c>
      <c r="CB72" s="735"/>
      <c r="CC72" s="731">
        <v>20359.52</v>
      </c>
      <c r="CD72" s="702">
        <f t="shared" si="97"/>
        <v>197576.5</v>
      </c>
      <c r="CE72" s="731">
        <f t="shared" si="99"/>
        <v>169055.44</v>
      </c>
      <c r="CF72" s="739">
        <f t="shared" si="98"/>
        <v>28521.06</v>
      </c>
      <c r="CG72" s="742">
        <f t="shared" si="96"/>
        <v>169055.44</v>
      </c>
      <c r="CH72" s="743" t="e">
        <f>'[6]JACKSON AKPOJARO '!C227*12</f>
        <v>#REF!</v>
      </c>
      <c r="CI72" s="744" t="e">
        <f t="shared" si="10"/>
        <v>#REF!</v>
      </c>
      <c r="CJ72" s="745">
        <f>CB72*12</f>
        <v>0</v>
      </c>
      <c r="CK72" s="748" t="e">
        <f t="shared" si="11"/>
        <v>#REF!</v>
      </c>
      <c r="CL72" s="749" t="e">
        <f t="shared" si="12"/>
        <v>#REF!</v>
      </c>
      <c r="CM72" s="744"/>
      <c r="CN72" s="745" t="e">
        <f t="shared" si="13"/>
        <v>#REF!</v>
      </c>
      <c r="CO72" s="745" t="e">
        <f t="shared" si="14"/>
        <v>#REF!</v>
      </c>
      <c r="CP72" s="745" t="e">
        <f t="shared" si="15"/>
        <v>#REF!</v>
      </c>
      <c r="CQ72" s="745" t="e">
        <f t="shared" si="16"/>
        <v>#REF!</v>
      </c>
      <c r="CR72" s="745" t="e">
        <f t="shared" si="17"/>
        <v>#REF!</v>
      </c>
      <c r="CS72" s="745" t="e">
        <f t="shared" si="18"/>
        <v>#REF!</v>
      </c>
      <c r="CT72" s="754" t="e">
        <f t="shared" si="79"/>
        <v>#REF!</v>
      </c>
      <c r="CU72" s="755" t="e">
        <f t="shared" si="80"/>
        <v>#REF!</v>
      </c>
      <c r="CV72" s="756">
        <f>CC72</f>
        <v>20359.52</v>
      </c>
      <c r="CW72" s="757"/>
      <c r="CX72" s="758"/>
      <c r="CY72" s="759"/>
      <c r="CZ72" s="760"/>
      <c r="DA72" s="767"/>
      <c r="DB72" s="770"/>
    </row>
    <row r="73" ht="236" customHeight="1" spans="1:105">
      <c r="A73" s="675">
        <v>396</v>
      </c>
      <c r="B73" s="676" t="s">
        <v>993</v>
      </c>
      <c r="C73" s="677" t="s">
        <v>1527</v>
      </c>
      <c r="D73" s="677" t="s">
        <v>1616</v>
      </c>
      <c r="E73" s="677" t="s">
        <v>113</v>
      </c>
      <c r="F73" s="677">
        <v>2109554929</v>
      </c>
      <c r="G73" s="677" t="s">
        <v>1617</v>
      </c>
      <c r="H73" s="679"/>
      <c r="I73" s="681" t="s">
        <v>113</v>
      </c>
      <c r="J73" s="686">
        <v>2109554929</v>
      </c>
      <c r="K73" s="695"/>
      <c r="L73" s="688">
        <v>415390</v>
      </c>
      <c r="M73" s="688" t="e">
        <f>S73-#REF!</f>
        <v>#REF!</v>
      </c>
      <c r="N73" s="689">
        <v>415390</v>
      </c>
      <c r="O73" s="689">
        <v>34615.8333333333</v>
      </c>
      <c r="P73" s="689"/>
      <c r="Q73" s="689">
        <v>8653.95833333333</v>
      </c>
      <c r="R73" s="689">
        <v>42500</v>
      </c>
      <c r="S73" s="689">
        <v>87054.5</v>
      </c>
      <c r="T73" s="689"/>
      <c r="U73" s="689"/>
      <c r="V73" s="689"/>
      <c r="W73" s="689"/>
      <c r="X73" s="689"/>
      <c r="Y73" s="689"/>
      <c r="Z73" s="689"/>
      <c r="AA73" s="689"/>
      <c r="AB73" s="689"/>
      <c r="AC73" s="689">
        <v>2500</v>
      </c>
      <c r="AD73" s="689"/>
      <c r="AE73" s="689"/>
      <c r="AF73" s="689"/>
      <c r="AG73" s="689"/>
      <c r="AH73" s="689"/>
      <c r="AI73" s="689"/>
      <c r="AJ73" s="689">
        <v>2500</v>
      </c>
      <c r="AK73" s="689"/>
      <c r="AL73" s="689">
        <v>383.33</v>
      </c>
      <c r="AM73" s="689"/>
      <c r="AN73" s="689"/>
      <c r="AO73" s="689"/>
      <c r="AP73" s="689"/>
      <c r="AQ73" s="689"/>
      <c r="AR73" s="689"/>
      <c r="AS73" s="689"/>
      <c r="AT73" s="689"/>
      <c r="AU73" s="689">
        <f>S73*0.03</f>
        <v>2611.635</v>
      </c>
      <c r="AV73" s="689"/>
      <c r="AW73" s="689"/>
      <c r="AX73" s="718"/>
      <c r="AY73" s="718"/>
      <c r="AZ73" s="718"/>
      <c r="BA73" s="689"/>
      <c r="BB73" s="689">
        <v>15000</v>
      </c>
      <c r="BC73" s="689"/>
      <c r="BD73" s="719"/>
      <c r="BE73" s="719">
        <f t="shared" si="95"/>
        <v>2611.635</v>
      </c>
      <c r="BF73" s="689"/>
      <c r="BG73" s="689"/>
      <c r="BH73" s="727"/>
      <c r="BI73" s="689"/>
      <c r="BJ73" s="689"/>
      <c r="BK73" s="689"/>
      <c r="BL73" s="689"/>
      <c r="BM73" s="689"/>
      <c r="BN73" s="689"/>
      <c r="BO73" s="689">
        <v>0</v>
      </c>
      <c r="BP73" s="689"/>
      <c r="BQ73" s="689"/>
      <c r="BR73" s="731"/>
      <c r="BS73" s="731"/>
      <c r="BT73" s="731">
        <v>15000</v>
      </c>
      <c r="BU73" s="731"/>
      <c r="BV73" s="731"/>
      <c r="BW73" s="731"/>
      <c r="BX73" s="731"/>
      <c r="BY73" s="731"/>
      <c r="BZ73" s="731">
        <v>500</v>
      </c>
      <c r="CA73" s="718">
        <f t="shared" si="94"/>
        <v>1841.09</v>
      </c>
      <c r="CB73" s="735"/>
      <c r="CC73" s="731">
        <v>5546.54</v>
      </c>
      <c r="CD73" s="702">
        <f t="shared" si="97"/>
        <v>92054.5</v>
      </c>
      <c r="CE73" s="731">
        <f t="shared" si="99"/>
        <v>43110.9</v>
      </c>
      <c r="CF73" s="739">
        <f t="shared" si="98"/>
        <v>48943.6</v>
      </c>
      <c r="CG73" s="742">
        <f t="shared" si="96"/>
        <v>43110.9</v>
      </c>
      <c r="CH73" s="743" t="e">
        <f>'[6]JACKSON AKPOJARO '!C228*12</f>
        <v>#REF!</v>
      </c>
      <c r="CI73" s="744" t="e">
        <f t="shared" si="10"/>
        <v>#REF!</v>
      </c>
      <c r="CJ73" s="745">
        <f>CB73*12</f>
        <v>0</v>
      </c>
      <c r="CK73" s="748" t="e">
        <f t="shared" si="11"/>
        <v>#REF!</v>
      </c>
      <c r="CL73" s="749" t="e">
        <f t="shared" si="12"/>
        <v>#REF!</v>
      </c>
      <c r="CM73" s="744"/>
      <c r="CN73" s="745" t="e">
        <f t="shared" si="13"/>
        <v>#REF!</v>
      </c>
      <c r="CO73" s="745" t="e">
        <f t="shared" si="14"/>
        <v>#REF!</v>
      </c>
      <c r="CP73" s="745" t="e">
        <f t="shared" si="15"/>
        <v>#REF!</v>
      </c>
      <c r="CQ73" s="745" t="e">
        <f t="shared" si="16"/>
        <v>#REF!</v>
      </c>
      <c r="CR73" s="745" t="e">
        <f t="shared" si="17"/>
        <v>#REF!</v>
      </c>
      <c r="CS73" s="745" t="e">
        <f t="shared" si="18"/>
        <v>#REF!</v>
      </c>
      <c r="CT73" s="754" t="e">
        <f t="shared" si="79"/>
        <v>#REF!</v>
      </c>
      <c r="CU73" s="755" t="e">
        <f t="shared" si="80"/>
        <v>#REF!</v>
      </c>
      <c r="CV73" s="756">
        <f>CC73</f>
        <v>5546.54</v>
      </c>
      <c r="CW73" s="757"/>
      <c r="CX73" s="758"/>
      <c r="CY73" s="759"/>
      <c r="CZ73" s="760"/>
      <c r="DA73" s="767"/>
    </row>
    <row r="74" ht="236" customHeight="1" spans="1:105">
      <c r="A74" s="673">
        <v>397</v>
      </c>
      <c r="B74" s="676" t="s">
        <v>994</v>
      </c>
      <c r="C74" s="677" t="s">
        <v>1618</v>
      </c>
      <c r="D74" s="677" t="s">
        <v>1619</v>
      </c>
      <c r="E74" s="677" t="s">
        <v>113</v>
      </c>
      <c r="F74" s="677">
        <v>2217998693</v>
      </c>
      <c r="G74" s="677" t="s">
        <v>1542</v>
      </c>
      <c r="H74" s="679"/>
      <c r="I74" s="681" t="s">
        <v>113</v>
      </c>
      <c r="J74" s="686">
        <v>2217998693</v>
      </c>
      <c r="K74" s="695"/>
      <c r="L74" s="688">
        <v>969761</v>
      </c>
      <c r="M74" s="688"/>
      <c r="N74" s="689">
        <v>969761</v>
      </c>
      <c r="O74" s="689">
        <v>80813.4166666667</v>
      </c>
      <c r="P74" s="689"/>
      <c r="Q74" s="689">
        <v>20203.3541666667</v>
      </c>
      <c r="R74" s="689">
        <v>30000</v>
      </c>
      <c r="S74" s="689">
        <v>160985.42</v>
      </c>
      <c r="T74" s="689"/>
      <c r="U74" s="689"/>
      <c r="V74" s="689"/>
      <c r="W74" s="689"/>
      <c r="X74" s="689"/>
      <c r="Y74" s="689"/>
      <c r="Z74" s="689"/>
      <c r="AA74" s="689"/>
      <c r="AB74" s="689"/>
      <c r="AC74" s="689">
        <v>2500</v>
      </c>
      <c r="AD74" s="689"/>
      <c r="AE74" s="689"/>
      <c r="AF74" s="689"/>
      <c r="AG74" s="689"/>
      <c r="AH74" s="689"/>
      <c r="AI74" s="689"/>
      <c r="AJ74" s="689">
        <v>2500</v>
      </c>
      <c r="AK74" s="689"/>
      <c r="AL74" s="689">
        <v>383.33</v>
      </c>
      <c r="AM74" s="689"/>
      <c r="AN74" s="689"/>
      <c r="AO74" s="689"/>
      <c r="AP74" s="689"/>
      <c r="AQ74" s="689"/>
      <c r="AR74" s="689"/>
      <c r="AS74" s="689"/>
      <c r="AT74" s="689"/>
      <c r="AU74" s="689">
        <f>S74*0.03</f>
        <v>4829.5626</v>
      </c>
      <c r="AV74" s="689"/>
      <c r="AW74" s="689"/>
      <c r="AX74" s="718"/>
      <c r="AY74" s="718"/>
      <c r="AZ74" s="718"/>
      <c r="BA74" s="689"/>
      <c r="BB74" s="689"/>
      <c r="BC74" s="689"/>
      <c r="BD74" s="719"/>
      <c r="BE74" s="719">
        <f t="shared" si="95"/>
        <v>4829.5626</v>
      </c>
      <c r="BF74" s="689"/>
      <c r="BG74" s="689"/>
      <c r="BH74" s="727"/>
      <c r="BI74" s="689"/>
      <c r="BJ74" s="689"/>
      <c r="BK74" s="689"/>
      <c r="BL74" s="689"/>
      <c r="BM74" s="689"/>
      <c r="BN74" s="689"/>
      <c r="BO74" s="689">
        <v>56667</v>
      </c>
      <c r="BP74" s="689"/>
      <c r="BQ74" s="689"/>
      <c r="BR74" s="731"/>
      <c r="BS74" s="731"/>
      <c r="BT74" s="731"/>
      <c r="BU74" s="731"/>
      <c r="BV74" s="731"/>
      <c r="BW74" s="731"/>
      <c r="BX74" s="731"/>
      <c r="BY74" s="731"/>
      <c r="BZ74" s="731">
        <v>500</v>
      </c>
      <c r="CA74" s="718">
        <f t="shared" si="94"/>
        <v>3319.7084</v>
      </c>
      <c r="CB74" s="735"/>
      <c r="CC74" s="731">
        <v>10841.2158333333</v>
      </c>
      <c r="CD74" s="702">
        <f t="shared" si="97"/>
        <v>165985.42</v>
      </c>
      <c r="CE74" s="731">
        <f t="shared" si="99"/>
        <v>80987.0494333333</v>
      </c>
      <c r="CF74" s="739">
        <f t="shared" si="98"/>
        <v>84998.3705666667</v>
      </c>
      <c r="CG74" s="742">
        <f t="shared" si="96"/>
        <v>80987.0494333333</v>
      </c>
      <c r="CH74" s="743"/>
      <c r="CI74" s="744"/>
      <c r="CJ74" s="745"/>
      <c r="CK74" s="748"/>
      <c r="CL74" s="749"/>
      <c r="CM74" s="744"/>
      <c r="CN74" s="745"/>
      <c r="CO74" s="745"/>
      <c r="CP74" s="745"/>
      <c r="CQ74" s="745"/>
      <c r="CR74" s="745"/>
      <c r="CS74" s="745"/>
      <c r="CT74" s="754"/>
      <c r="CU74" s="755"/>
      <c r="CV74" s="756">
        <f>CC74</f>
        <v>10841.2158333333</v>
      </c>
      <c r="CW74" s="757"/>
      <c r="CX74" s="758"/>
      <c r="CY74" s="759"/>
      <c r="CZ74" s="760"/>
      <c r="DA74" s="767"/>
    </row>
    <row r="75" s="656" customFormat="1" ht="236" customHeight="1" spans="1:106">
      <c r="A75" s="675">
        <v>398</v>
      </c>
      <c r="B75" s="676" t="s">
        <v>995</v>
      </c>
      <c r="C75" s="677" t="s">
        <v>1527</v>
      </c>
      <c r="D75" s="677" t="s">
        <v>1619</v>
      </c>
      <c r="E75" s="33" t="s">
        <v>113</v>
      </c>
      <c r="F75" s="682">
        <v>2098217610</v>
      </c>
      <c r="G75" s="677" t="s">
        <v>1620</v>
      </c>
      <c r="H75" s="679"/>
      <c r="I75" s="33" t="s">
        <v>113</v>
      </c>
      <c r="J75" s="682">
        <v>2098217610</v>
      </c>
      <c r="K75" s="696"/>
      <c r="L75" s="699"/>
      <c r="M75" s="699"/>
      <c r="N75" s="691">
        <v>937691</v>
      </c>
      <c r="O75" s="691">
        <v>78140.9166666667</v>
      </c>
      <c r="P75" s="691"/>
      <c r="Q75" s="691">
        <v>19535.2291666667</v>
      </c>
      <c r="R75" s="691">
        <v>30000</v>
      </c>
      <c r="S75" s="689">
        <v>131016.75</v>
      </c>
      <c r="T75" s="691"/>
      <c r="U75" s="691"/>
      <c r="V75" s="691"/>
      <c r="W75" s="691"/>
      <c r="X75" s="691"/>
      <c r="Y75" s="691"/>
      <c r="Z75" s="691"/>
      <c r="AA75" s="691"/>
      <c r="AB75" s="691"/>
      <c r="AC75" s="691">
        <v>2500</v>
      </c>
      <c r="AD75" s="691"/>
      <c r="AE75" s="691"/>
      <c r="AF75" s="691"/>
      <c r="AG75" s="691"/>
      <c r="AH75" s="691"/>
      <c r="AI75" s="691"/>
      <c r="AJ75" s="691">
        <v>2500</v>
      </c>
      <c r="AK75" s="691"/>
      <c r="AL75" s="691"/>
      <c r="AM75" s="691"/>
      <c r="AN75" s="691"/>
      <c r="AO75" s="691"/>
      <c r="AP75" s="691"/>
      <c r="AQ75" s="691"/>
      <c r="AR75" s="691"/>
      <c r="AS75" s="691"/>
      <c r="AT75" s="691"/>
      <c r="AU75" s="689">
        <f>S75*0.03</f>
        <v>3930.5025</v>
      </c>
      <c r="AV75" s="689"/>
      <c r="AW75" s="691"/>
      <c r="AX75" s="723"/>
      <c r="AY75" s="723"/>
      <c r="AZ75" s="723"/>
      <c r="BA75" s="691"/>
      <c r="BB75" s="691"/>
      <c r="BC75" s="691"/>
      <c r="BD75" s="720"/>
      <c r="BE75" s="719">
        <f t="shared" si="95"/>
        <v>3930.5025</v>
      </c>
      <c r="BF75" s="691"/>
      <c r="BG75" s="691"/>
      <c r="BH75" s="729"/>
      <c r="BI75" s="691"/>
      <c r="BJ75" s="691"/>
      <c r="BK75" s="691"/>
      <c r="BL75" s="691"/>
      <c r="BM75" s="691"/>
      <c r="BN75" s="691"/>
      <c r="BO75" s="691">
        <v>20000</v>
      </c>
      <c r="BP75" s="691"/>
      <c r="BQ75" s="691"/>
      <c r="BR75" s="732"/>
      <c r="BS75" s="732"/>
      <c r="BT75" s="732"/>
      <c r="BU75" s="732"/>
      <c r="BV75" s="732"/>
      <c r="BW75" s="732"/>
      <c r="BX75" s="732"/>
      <c r="BY75" s="732"/>
      <c r="BZ75" s="732">
        <v>500</v>
      </c>
      <c r="CA75" s="723">
        <f t="shared" si="94"/>
        <v>2720.335</v>
      </c>
      <c r="CB75" s="736"/>
      <c r="CC75" s="732">
        <v>10841.21</v>
      </c>
      <c r="CD75" s="702">
        <f t="shared" si="97"/>
        <v>136016.75</v>
      </c>
      <c r="CE75" s="731">
        <f t="shared" si="99"/>
        <v>41922.55</v>
      </c>
      <c r="CF75" s="739">
        <f t="shared" si="98"/>
        <v>94094.2</v>
      </c>
      <c r="CG75" s="742">
        <f t="shared" si="96"/>
        <v>41922.55</v>
      </c>
      <c r="CH75" s="743"/>
      <c r="CI75" s="744"/>
      <c r="CJ75" s="745"/>
      <c r="CK75" s="748"/>
      <c r="CL75" s="749"/>
      <c r="CM75" s="744"/>
      <c r="CN75" s="745"/>
      <c r="CO75" s="745"/>
      <c r="CP75" s="745"/>
      <c r="CQ75" s="745"/>
      <c r="CR75" s="745"/>
      <c r="CS75" s="745"/>
      <c r="CT75" s="745"/>
      <c r="CU75" s="804"/>
      <c r="CV75" s="744"/>
      <c r="CW75" s="744"/>
      <c r="CX75" s="805"/>
      <c r="CY75" s="745"/>
      <c r="CZ75" s="749"/>
      <c r="DA75" s="814"/>
      <c r="DB75" s="670"/>
    </row>
    <row r="76" ht="236" customHeight="1" spans="1:105">
      <c r="A76" s="673">
        <v>399</v>
      </c>
      <c r="B76" s="676" t="s">
        <v>996</v>
      </c>
      <c r="C76" s="677" t="s">
        <v>1527</v>
      </c>
      <c r="D76" s="677" t="s">
        <v>1619</v>
      </c>
      <c r="E76" s="677" t="s">
        <v>93</v>
      </c>
      <c r="F76" s="677">
        <v>3093518450</v>
      </c>
      <c r="G76" s="677" t="s">
        <v>1620</v>
      </c>
      <c r="H76" s="679"/>
      <c r="I76" s="681" t="s">
        <v>93</v>
      </c>
      <c r="J76" s="686">
        <v>3093518450</v>
      </c>
      <c r="K76" s="695"/>
      <c r="L76" s="688"/>
      <c r="M76" s="688"/>
      <c r="N76" s="689">
        <v>937691</v>
      </c>
      <c r="O76" s="689">
        <v>78140.9166666667</v>
      </c>
      <c r="P76" s="689"/>
      <c r="Q76" s="689">
        <v>19535.2291666667</v>
      </c>
      <c r="R76" s="689">
        <v>30000</v>
      </c>
      <c r="S76" s="689">
        <v>131016.75</v>
      </c>
      <c r="T76" s="689"/>
      <c r="U76" s="689"/>
      <c r="V76" s="689"/>
      <c r="W76" s="689"/>
      <c r="X76" s="689"/>
      <c r="Y76" s="689"/>
      <c r="Z76" s="689"/>
      <c r="AA76" s="689"/>
      <c r="AB76" s="689"/>
      <c r="AC76" s="689">
        <v>2500</v>
      </c>
      <c r="AD76" s="689"/>
      <c r="AE76" s="689"/>
      <c r="AF76" s="689"/>
      <c r="AG76" s="689"/>
      <c r="AH76" s="689"/>
      <c r="AI76" s="689"/>
      <c r="AJ76" s="689">
        <v>2500</v>
      </c>
      <c r="AK76" s="689"/>
      <c r="AL76" s="689"/>
      <c r="AM76" s="689"/>
      <c r="AN76" s="689"/>
      <c r="AO76" s="689"/>
      <c r="AP76" s="689"/>
      <c r="AQ76" s="689"/>
      <c r="AR76" s="689"/>
      <c r="AS76" s="689"/>
      <c r="AT76" s="689"/>
      <c r="AU76" s="689">
        <f>S76*0.03</f>
        <v>3930.5025</v>
      </c>
      <c r="AV76" s="689"/>
      <c r="AW76" s="689"/>
      <c r="AX76" s="718"/>
      <c r="AY76" s="718"/>
      <c r="AZ76" s="718"/>
      <c r="BA76" s="689"/>
      <c r="BB76" s="689"/>
      <c r="BC76" s="689"/>
      <c r="BD76" s="719"/>
      <c r="BE76" s="719">
        <f t="shared" si="95"/>
        <v>3930.5025</v>
      </c>
      <c r="BF76" s="689"/>
      <c r="BG76" s="689"/>
      <c r="BH76" s="727"/>
      <c r="BI76" s="689"/>
      <c r="BJ76" s="689"/>
      <c r="BK76" s="689"/>
      <c r="BL76" s="689"/>
      <c r="BM76" s="689"/>
      <c r="BN76" s="689"/>
      <c r="BO76" s="689">
        <v>0</v>
      </c>
      <c r="BP76" s="689"/>
      <c r="BQ76" s="689"/>
      <c r="BR76" s="731"/>
      <c r="BS76" s="731"/>
      <c r="BT76" s="731"/>
      <c r="BU76" s="731"/>
      <c r="BV76" s="731"/>
      <c r="BW76" s="731"/>
      <c r="BX76" s="731"/>
      <c r="BY76" s="731">
        <v>1000</v>
      </c>
      <c r="BZ76" s="731">
        <v>500</v>
      </c>
      <c r="CA76" s="718">
        <f t="shared" si="94"/>
        <v>2720.335</v>
      </c>
      <c r="CB76" s="735"/>
      <c r="CC76" s="732">
        <v>10841.21</v>
      </c>
      <c r="CD76" s="702">
        <f t="shared" si="97"/>
        <v>136016.75</v>
      </c>
      <c r="CE76" s="731">
        <f t="shared" si="99"/>
        <v>22922.55</v>
      </c>
      <c r="CF76" s="739">
        <f t="shared" si="98"/>
        <v>113094.2</v>
      </c>
      <c r="CG76" s="742">
        <f t="shared" si="96"/>
        <v>22922.55</v>
      </c>
      <c r="CH76" s="743"/>
      <c r="CI76" s="744"/>
      <c r="CJ76" s="745"/>
      <c r="CK76" s="748"/>
      <c r="CL76" s="749"/>
      <c r="CM76" s="744"/>
      <c r="CN76" s="745"/>
      <c r="CO76" s="745"/>
      <c r="CP76" s="745"/>
      <c r="CQ76" s="745"/>
      <c r="CR76" s="745"/>
      <c r="CS76" s="745"/>
      <c r="CT76" s="754"/>
      <c r="CU76" s="755"/>
      <c r="CV76" s="756"/>
      <c r="CW76" s="757"/>
      <c r="CX76" s="758"/>
      <c r="CY76" s="759"/>
      <c r="CZ76" s="760"/>
      <c r="DA76" s="767"/>
    </row>
    <row r="77" ht="236" customHeight="1" spans="1:105">
      <c r="A77" s="675">
        <v>400</v>
      </c>
      <c r="B77" s="676" t="s">
        <v>997</v>
      </c>
      <c r="C77" s="677" t="s">
        <v>1621</v>
      </c>
      <c r="D77" s="677" t="s">
        <v>1622</v>
      </c>
      <c r="E77" s="677" t="s">
        <v>113</v>
      </c>
      <c r="F77" s="677">
        <v>1014269065</v>
      </c>
      <c r="G77" s="677" t="s">
        <v>1623</v>
      </c>
      <c r="H77" s="679"/>
      <c r="I77" s="681" t="s">
        <v>113</v>
      </c>
      <c r="J77" s="686">
        <v>1014269065</v>
      </c>
      <c r="K77" s="695"/>
      <c r="L77" s="688"/>
      <c r="M77" s="688"/>
      <c r="N77" s="689">
        <v>1300238</v>
      </c>
      <c r="O77" s="689">
        <v>108353.166666667</v>
      </c>
      <c r="P77" s="689"/>
      <c r="Q77" s="689">
        <v>27088.2916666667</v>
      </c>
      <c r="R77" s="689">
        <v>30000</v>
      </c>
      <c r="S77" s="689">
        <v>187331.97</v>
      </c>
      <c r="T77" s="689"/>
      <c r="U77" s="689"/>
      <c r="V77" s="689"/>
      <c r="W77" s="689"/>
      <c r="X77" s="689"/>
      <c r="Y77" s="689">
        <v>17433.42</v>
      </c>
      <c r="Z77" s="689"/>
      <c r="AA77" s="689"/>
      <c r="AB77" s="689"/>
      <c r="AC77" s="689">
        <v>2500</v>
      </c>
      <c r="AD77" s="689"/>
      <c r="AE77" s="689"/>
      <c r="AF77" s="689"/>
      <c r="AG77" s="689"/>
      <c r="AH77" s="689"/>
      <c r="AI77" s="689"/>
      <c r="AJ77" s="689">
        <v>2500</v>
      </c>
      <c r="AK77" s="689"/>
      <c r="AL77" s="689"/>
      <c r="AM77" s="689"/>
      <c r="AN77" s="689"/>
      <c r="AO77" s="689"/>
      <c r="AP77" s="689"/>
      <c r="AQ77" s="689"/>
      <c r="AR77" s="689"/>
      <c r="AS77" s="689"/>
      <c r="AT77" s="689"/>
      <c r="AU77" s="689">
        <f t="shared" ref="AU77:AU134" si="100">S77*0.04</f>
        <v>7493.2788</v>
      </c>
      <c r="AV77" s="689"/>
      <c r="AW77" s="691"/>
      <c r="AX77" s="723">
        <f>S77*0.02</f>
        <v>3746.6394</v>
      </c>
      <c r="AY77" s="723"/>
      <c r="AZ77" s="718"/>
      <c r="BA77" s="689"/>
      <c r="BB77" s="689"/>
      <c r="BC77" s="689"/>
      <c r="BD77" s="719"/>
      <c r="BE77" s="719"/>
      <c r="BF77" s="689"/>
      <c r="BG77" s="689"/>
      <c r="BH77" s="727"/>
      <c r="BI77" s="689"/>
      <c r="BJ77" s="689"/>
      <c r="BK77" s="689"/>
      <c r="BL77" s="689">
        <v>7500</v>
      </c>
      <c r="BM77" s="689"/>
      <c r="BN77" s="689"/>
      <c r="BO77" s="689">
        <v>15000</v>
      </c>
      <c r="BP77" s="689"/>
      <c r="BQ77" s="689"/>
      <c r="BR77" s="731"/>
      <c r="BS77" s="731"/>
      <c r="BT77" s="731"/>
      <c r="BU77" s="731"/>
      <c r="BV77" s="731"/>
      <c r="BW77" s="731"/>
      <c r="BX77" s="731"/>
      <c r="BY77" s="731"/>
      <c r="BZ77" s="731">
        <v>1000</v>
      </c>
      <c r="CA77" s="718">
        <f t="shared" si="94"/>
        <v>4195.3078</v>
      </c>
      <c r="CB77" s="735"/>
      <c r="CC77" s="731">
        <v>19478.4376266667</v>
      </c>
      <c r="CD77" s="702">
        <f t="shared" si="97"/>
        <v>209765.39</v>
      </c>
      <c r="CE77" s="731">
        <f t="shared" si="99"/>
        <v>58413.6636266667</v>
      </c>
      <c r="CF77" s="739">
        <f t="shared" si="98"/>
        <v>151351.726373333</v>
      </c>
      <c r="CG77" s="742">
        <f t="shared" si="96"/>
        <v>58413.6636266667</v>
      </c>
      <c r="CH77" s="743"/>
      <c r="CI77" s="744"/>
      <c r="CJ77" s="745"/>
      <c r="CK77" s="748"/>
      <c r="CL77" s="749"/>
      <c r="CM77" s="744"/>
      <c r="CN77" s="745"/>
      <c r="CO77" s="745"/>
      <c r="CP77" s="745"/>
      <c r="CQ77" s="745"/>
      <c r="CR77" s="745"/>
      <c r="CS77" s="745"/>
      <c r="CT77" s="754"/>
      <c r="CU77" s="755"/>
      <c r="CV77" s="756"/>
      <c r="CW77" s="757"/>
      <c r="CX77" s="758"/>
      <c r="CY77" s="759"/>
      <c r="CZ77" s="760"/>
      <c r="DA77" s="767"/>
    </row>
    <row r="78" ht="236" customHeight="1" spans="1:106">
      <c r="A78" s="673">
        <v>401</v>
      </c>
      <c r="B78" s="773" t="s">
        <v>998</v>
      </c>
      <c r="C78" s="677" t="s">
        <v>1624</v>
      </c>
      <c r="D78" s="677" t="s">
        <v>1625</v>
      </c>
      <c r="E78" s="677" t="s">
        <v>113</v>
      </c>
      <c r="F78" s="677">
        <v>1014269065</v>
      </c>
      <c r="G78" s="677" t="s">
        <v>1586</v>
      </c>
      <c r="H78" s="679"/>
      <c r="I78" s="681"/>
      <c r="J78" s="686"/>
      <c r="K78" s="695"/>
      <c r="L78" s="688"/>
      <c r="M78" s="688"/>
      <c r="N78" s="689"/>
      <c r="O78" s="689"/>
      <c r="P78" s="689"/>
      <c r="Q78" s="689"/>
      <c r="R78" s="689"/>
      <c r="S78" s="689"/>
      <c r="T78" s="689"/>
      <c r="U78" s="689"/>
      <c r="V78" s="689"/>
      <c r="W78" s="689"/>
      <c r="X78" s="689"/>
      <c r="Y78" s="689"/>
      <c r="Z78" s="689"/>
      <c r="AA78" s="689"/>
      <c r="AB78" s="689"/>
      <c r="AC78" s="689"/>
      <c r="AD78" s="689"/>
      <c r="AE78" s="689"/>
      <c r="AF78" s="689"/>
      <c r="AG78" s="689"/>
      <c r="AH78" s="689"/>
      <c r="AI78" s="689"/>
      <c r="AJ78" s="689"/>
      <c r="AK78" s="689"/>
      <c r="AL78" s="689"/>
      <c r="AM78" s="689"/>
      <c r="AN78" s="689"/>
      <c r="AO78" s="689"/>
      <c r="AP78" s="689"/>
      <c r="AQ78" s="689"/>
      <c r="AR78" s="689"/>
      <c r="AS78" s="689"/>
      <c r="AT78" s="689"/>
      <c r="AU78" s="689"/>
      <c r="AV78" s="689"/>
      <c r="AW78" s="691"/>
      <c r="AX78" s="723"/>
      <c r="AY78" s="723"/>
      <c r="AZ78" s="718"/>
      <c r="BA78" s="689"/>
      <c r="BB78" s="689"/>
      <c r="BC78" s="689"/>
      <c r="BD78" s="719"/>
      <c r="BE78" s="719"/>
      <c r="BF78" s="689"/>
      <c r="BG78" s="689"/>
      <c r="BH78" s="727"/>
      <c r="BI78" s="689"/>
      <c r="BJ78" s="689"/>
      <c r="BK78" s="689"/>
      <c r="BL78" s="689"/>
      <c r="BM78" s="689"/>
      <c r="BN78" s="689"/>
      <c r="BO78" s="689"/>
      <c r="BP78" s="689"/>
      <c r="BQ78" s="689"/>
      <c r="BR78" s="731"/>
      <c r="BS78" s="731"/>
      <c r="BT78" s="731"/>
      <c r="BU78" s="731"/>
      <c r="BV78" s="731"/>
      <c r="BW78" s="731"/>
      <c r="BX78" s="731"/>
      <c r="BY78" s="731"/>
      <c r="BZ78" s="731"/>
      <c r="CA78" s="718"/>
      <c r="CB78" s="735"/>
      <c r="CC78" s="731"/>
      <c r="CD78" s="702">
        <f t="shared" si="97"/>
        <v>0</v>
      </c>
      <c r="CE78" s="731"/>
      <c r="CF78" s="739"/>
      <c r="CG78" s="742">
        <f t="shared" si="96"/>
        <v>0</v>
      </c>
      <c r="CH78" s="743"/>
      <c r="CI78" s="744"/>
      <c r="CJ78" s="745"/>
      <c r="CK78" s="748"/>
      <c r="CL78" s="749"/>
      <c r="CM78" s="744"/>
      <c r="CN78" s="745"/>
      <c r="CO78" s="745"/>
      <c r="CP78" s="745"/>
      <c r="CQ78" s="745"/>
      <c r="CR78" s="745"/>
      <c r="CS78" s="745"/>
      <c r="CT78" s="754"/>
      <c r="CU78" s="755"/>
      <c r="CV78" s="756"/>
      <c r="CW78" s="757"/>
      <c r="CX78" s="758"/>
      <c r="CY78" s="759"/>
      <c r="CZ78" s="760"/>
      <c r="DA78" s="767"/>
      <c r="DB78" s="770" t="s">
        <v>1626</v>
      </c>
    </row>
    <row r="79" ht="236" customHeight="1" spans="1:105">
      <c r="A79" s="675">
        <v>402</v>
      </c>
      <c r="B79" s="676" t="s">
        <v>999</v>
      </c>
      <c r="C79" s="677" t="s">
        <v>1527</v>
      </c>
      <c r="D79" s="677" t="s">
        <v>1619</v>
      </c>
      <c r="E79" s="677" t="s">
        <v>165</v>
      </c>
      <c r="F79" s="677">
        <v>2083803055</v>
      </c>
      <c r="G79" s="677" t="s">
        <v>1620</v>
      </c>
      <c r="H79" s="679"/>
      <c r="I79" s="681" t="s">
        <v>165</v>
      </c>
      <c r="J79" s="686">
        <v>2083803055</v>
      </c>
      <c r="K79" s="695"/>
      <c r="L79" s="688"/>
      <c r="M79" s="688"/>
      <c r="N79" s="689">
        <v>937691</v>
      </c>
      <c r="O79" s="689">
        <v>78140.9166666667</v>
      </c>
      <c r="P79" s="689"/>
      <c r="Q79" s="689">
        <v>19535.2291666667</v>
      </c>
      <c r="R79" s="689">
        <v>30000</v>
      </c>
      <c r="S79" s="689">
        <v>131016.75</v>
      </c>
      <c r="T79" s="689"/>
      <c r="U79" s="689"/>
      <c r="V79" s="689"/>
      <c r="W79" s="689"/>
      <c r="X79" s="689"/>
      <c r="Y79" s="689"/>
      <c r="Z79" s="689"/>
      <c r="AA79" s="689"/>
      <c r="AB79" s="689"/>
      <c r="AC79" s="689">
        <v>2500</v>
      </c>
      <c r="AD79" s="689"/>
      <c r="AE79" s="689"/>
      <c r="AF79" s="689"/>
      <c r="AG79" s="689"/>
      <c r="AH79" s="689"/>
      <c r="AI79" s="689"/>
      <c r="AJ79" s="689">
        <v>2500</v>
      </c>
      <c r="AK79" s="689"/>
      <c r="AL79" s="689"/>
      <c r="AM79" s="689"/>
      <c r="AN79" s="689"/>
      <c r="AO79" s="689"/>
      <c r="AP79" s="689"/>
      <c r="AQ79" s="689"/>
      <c r="AR79" s="689"/>
      <c r="AS79" s="689"/>
      <c r="AT79" s="689"/>
      <c r="AU79" s="689">
        <f>S79*0.03</f>
        <v>3930.5025</v>
      </c>
      <c r="AV79" s="689"/>
      <c r="AW79" s="689"/>
      <c r="AX79" s="718"/>
      <c r="AY79" s="718"/>
      <c r="AZ79" s="718"/>
      <c r="BA79" s="689"/>
      <c r="BB79" s="689"/>
      <c r="BC79" s="689"/>
      <c r="BD79" s="719"/>
      <c r="BE79" s="719">
        <f t="shared" si="95"/>
        <v>3930.5025</v>
      </c>
      <c r="BF79" s="689"/>
      <c r="BG79" s="689"/>
      <c r="BH79" s="727"/>
      <c r="BI79" s="689"/>
      <c r="BJ79" s="689"/>
      <c r="BK79" s="689"/>
      <c r="BL79" s="689"/>
      <c r="BM79" s="689"/>
      <c r="BN79" s="689"/>
      <c r="BO79" s="689">
        <v>0</v>
      </c>
      <c r="BP79" s="689"/>
      <c r="BQ79" s="689"/>
      <c r="BR79" s="731"/>
      <c r="BS79" s="731"/>
      <c r="BT79" s="731"/>
      <c r="BU79" s="731"/>
      <c r="BV79" s="731"/>
      <c r="BW79" s="731"/>
      <c r="BX79" s="731"/>
      <c r="BY79" s="731">
        <v>2000</v>
      </c>
      <c r="BZ79" s="731">
        <v>500</v>
      </c>
      <c r="CA79" s="718">
        <f t="shared" si="94"/>
        <v>2720.335</v>
      </c>
      <c r="CB79" s="735"/>
      <c r="CC79" s="731">
        <v>10421.14</v>
      </c>
      <c r="CD79" s="702">
        <f t="shared" si="97"/>
        <v>136016.75</v>
      </c>
      <c r="CE79" s="731">
        <f t="shared" si="99"/>
        <v>23502.48</v>
      </c>
      <c r="CF79" s="739">
        <f t="shared" si="98"/>
        <v>112514.27</v>
      </c>
      <c r="CG79" s="742">
        <f t="shared" si="96"/>
        <v>23502.48</v>
      </c>
      <c r="CH79" s="743"/>
      <c r="CI79" s="744"/>
      <c r="CJ79" s="745"/>
      <c r="CK79" s="748"/>
      <c r="CL79" s="749"/>
      <c r="CM79" s="744"/>
      <c r="CN79" s="745"/>
      <c r="CO79" s="745"/>
      <c r="CP79" s="745"/>
      <c r="CQ79" s="745"/>
      <c r="CR79" s="745"/>
      <c r="CS79" s="745"/>
      <c r="CT79" s="754"/>
      <c r="CU79" s="755"/>
      <c r="CV79" s="756"/>
      <c r="CW79" s="757"/>
      <c r="CX79" s="758"/>
      <c r="CY79" s="759"/>
      <c r="CZ79" s="760"/>
      <c r="DA79" s="767"/>
    </row>
    <row r="80" ht="271" customHeight="1" spans="1:105">
      <c r="A80" s="673">
        <v>403</v>
      </c>
      <c r="B80" s="676" t="s">
        <v>1000</v>
      </c>
      <c r="C80" s="677" t="s">
        <v>1527</v>
      </c>
      <c r="D80" s="677" t="s">
        <v>1619</v>
      </c>
      <c r="E80" s="677" t="s">
        <v>165</v>
      </c>
      <c r="F80" s="677">
        <v>2428032861</v>
      </c>
      <c r="G80" s="677" t="s">
        <v>1620</v>
      </c>
      <c r="H80" s="679"/>
      <c r="I80" s="681" t="s">
        <v>165</v>
      </c>
      <c r="J80" s="686">
        <v>2428032861</v>
      </c>
      <c r="K80" s="695"/>
      <c r="L80" s="688"/>
      <c r="M80" s="688"/>
      <c r="N80" s="689">
        <v>937691</v>
      </c>
      <c r="O80" s="689">
        <v>78140.9166666667</v>
      </c>
      <c r="P80" s="689"/>
      <c r="Q80" s="689">
        <v>19535.2291666667</v>
      </c>
      <c r="R80" s="689">
        <v>30000</v>
      </c>
      <c r="S80" s="689">
        <v>131016.75</v>
      </c>
      <c r="T80" s="689"/>
      <c r="U80" s="689"/>
      <c r="V80" s="689"/>
      <c r="W80" s="689"/>
      <c r="X80" s="689"/>
      <c r="Y80" s="689"/>
      <c r="Z80" s="689"/>
      <c r="AA80" s="689"/>
      <c r="AB80" s="689"/>
      <c r="AC80" s="689">
        <v>2500</v>
      </c>
      <c r="AD80" s="689"/>
      <c r="AE80" s="689"/>
      <c r="AF80" s="689"/>
      <c r="AG80" s="689"/>
      <c r="AH80" s="689"/>
      <c r="AI80" s="689"/>
      <c r="AJ80" s="689">
        <v>2500</v>
      </c>
      <c r="AK80" s="689"/>
      <c r="AL80" s="689"/>
      <c r="AM80" s="689"/>
      <c r="AN80" s="689"/>
      <c r="AO80" s="689"/>
      <c r="AP80" s="689"/>
      <c r="AQ80" s="689"/>
      <c r="AR80" s="689"/>
      <c r="AS80" s="689"/>
      <c r="AT80" s="689"/>
      <c r="AU80" s="689">
        <f>S80*0.03</f>
        <v>3930.5025</v>
      </c>
      <c r="AV80" s="689"/>
      <c r="AW80" s="689"/>
      <c r="AX80" s="718"/>
      <c r="AY80" s="718"/>
      <c r="AZ80" s="718"/>
      <c r="BA80" s="689"/>
      <c r="BB80" s="689"/>
      <c r="BC80" s="689"/>
      <c r="BD80" s="719"/>
      <c r="BE80" s="719">
        <f t="shared" si="95"/>
        <v>3930.5025</v>
      </c>
      <c r="BF80" s="689"/>
      <c r="BG80" s="689">
        <v>64900</v>
      </c>
      <c r="BH80" s="727"/>
      <c r="BI80" s="689"/>
      <c r="BJ80" s="689"/>
      <c r="BK80" s="689"/>
      <c r="BL80" s="689"/>
      <c r="BM80" s="689"/>
      <c r="BN80" s="689"/>
      <c r="BO80" s="689">
        <v>0</v>
      </c>
      <c r="BP80" s="689"/>
      <c r="BQ80" s="689"/>
      <c r="BR80" s="731"/>
      <c r="BS80" s="731"/>
      <c r="BT80" s="731"/>
      <c r="BU80" s="731"/>
      <c r="BV80" s="731"/>
      <c r="BW80" s="731"/>
      <c r="BX80" s="731"/>
      <c r="BY80" s="731"/>
      <c r="BZ80" s="731">
        <v>500</v>
      </c>
      <c r="CA80" s="718">
        <f t="shared" si="94"/>
        <v>2720.335</v>
      </c>
      <c r="CB80" s="735"/>
      <c r="CC80" s="731">
        <v>10421.14</v>
      </c>
      <c r="CD80" s="702">
        <f t="shared" si="97"/>
        <v>136016.75</v>
      </c>
      <c r="CE80" s="731">
        <f t="shared" si="99"/>
        <v>86402.48</v>
      </c>
      <c r="CF80" s="739">
        <f t="shared" si="98"/>
        <v>49614.27</v>
      </c>
      <c r="CG80" s="742">
        <f t="shared" si="96"/>
        <v>86402.48</v>
      </c>
      <c r="CH80" s="743"/>
      <c r="CI80" s="744"/>
      <c r="CJ80" s="745"/>
      <c r="CK80" s="748"/>
      <c r="CL80" s="749"/>
      <c r="CM80" s="744"/>
      <c r="CN80" s="745"/>
      <c r="CO80" s="745"/>
      <c r="CP80" s="745"/>
      <c r="CQ80" s="745"/>
      <c r="CR80" s="745"/>
      <c r="CS80" s="745"/>
      <c r="CT80" s="754"/>
      <c r="CU80" s="755"/>
      <c r="CV80" s="756"/>
      <c r="CW80" s="757"/>
      <c r="CX80" s="758"/>
      <c r="CY80" s="759"/>
      <c r="CZ80" s="760"/>
      <c r="DA80" s="767"/>
    </row>
    <row r="81" ht="236" customHeight="1" spans="1:105">
      <c r="A81" s="675">
        <v>404</v>
      </c>
      <c r="B81" s="676" t="s">
        <v>1001</v>
      </c>
      <c r="C81" s="677" t="s">
        <v>1527</v>
      </c>
      <c r="D81" s="677" t="s">
        <v>1619</v>
      </c>
      <c r="E81" s="677" t="s">
        <v>127</v>
      </c>
      <c r="F81" s="677" t="s">
        <v>1002</v>
      </c>
      <c r="G81" s="677" t="s">
        <v>1627</v>
      </c>
      <c r="H81" s="679"/>
      <c r="I81" s="681" t="s">
        <v>127</v>
      </c>
      <c r="J81" s="686" t="s">
        <v>1002</v>
      </c>
      <c r="K81" s="695"/>
      <c r="L81" s="688"/>
      <c r="M81" s="688"/>
      <c r="N81" s="689">
        <v>937691</v>
      </c>
      <c r="O81" s="689">
        <v>78140.9166666667</v>
      </c>
      <c r="P81" s="689"/>
      <c r="Q81" s="689">
        <v>19535.2291666667</v>
      </c>
      <c r="R81" s="689">
        <v>30000</v>
      </c>
      <c r="S81" s="689">
        <v>131016.75</v>
      </c>
      <c r="T81" s="689"/>
      <c r="U81" s="689"/>
      <c r="V81" s="689"/>
      <c r="W81" s="689"/>
      <c r="X81" s="689"/>
      <c r="Y81" s="689"/>
      <c r="Z81" s="689"/>
      <c r="AA81" s="689"/>
      <c r="AB81" s="689"/>
      <c r="AC81" s="689">
        <v>2500</v>
      </c>
      <c r="AD81" s="689"/>
      <c r="AE81" s="689"/>
      <c r="AF81" s="689"/>
      <c r="AG81" s="689"/>
      <c r="AH81" s="689"/>
      <c r="AI81" s="689"/>
      <c r="AJ81" s="689">
        <v>2500</v>
      </c>
      <c r="AK81" s="689"/>
      <c r="AL81" s="689"/>
      <c r="AM81" s="689"/>
      <c r="AN81" s="689"/>
      <c r="AO81" s="689"/>
      <c r="AP81" s="689"/>
      <c r="AQ81" s="689"/>
      <c r="AR81" s="689"/>
      <c r="AS81" s="689"/>
      <c r="AT81" s="689"/>
      <c r="AU81" s="689">
        <f>S81*0.03</f>
        <v>3930.5025</v>
      </c>
      <c r="AV81" s="689"/>
      <c r="AW81" s="689"/>
      <c r="AX81" s="718"/>
      <c r="AY81" s="718"/>
      <c r="AZ81" s="718"/>
      <c r="BA81" s="689"/>
      <c r="BB81" s="689"/>
      <c r="BC81" s="689"/>
      <c r="BD81" s="719"/>
      <c r="BE81" s="719">
        <f t="shared" si="95"/>
        <v>3930.5025</v>
      </c>
      <c r="BF81" s="689"/>
      <c r="BG81" s="689"/>
      <c r="BH81" s="727"/>
      <c r="BI81" s="689"/>
      <c r="BJ81" s="689"/>
      <c r="BK81" s="689"/>
      <c r="BL81" s="689"/>
      <c r="BM81" s="689"/>
      <c r="BN81" s="689"/>
      <c r="BO81" s="689">
        <v>0</v>
      </c>
      <c r="BP81" s="689"/>
      <c r="BQ81" s="689"/>
      <c r="BR81" s="731"/>
      <c r="BS81" s="731"/>
      <c r="BT81" s="731"/>
      <c r="BU81" s="731"/>
      <c r="BV81" s="731"/>
      <c r="BW81" s="731"/>
      <c r="BX81" s="731"/>
      <c r="BY81" s="731">
        <v>1000</v>
      </c>
      <c r="BZ81" s="731">
        <v>500</v>
      </c>
      <c r="CA81" s="718">
        <f t="shared" si="94"/>
        <v>2720.335</v>
      </c>
      <c r="CB81" s="735"/>
      <c r="CC81" s="731">
        <v>10421.1375</v>
      </c>
      <c r="CD81" s="702">
        <f t="shared" si="97"/>
        <v>136016.75</v>
      </c>
      <c r="CE81" s="731">
        <f t="shared" si="99"/>
        <v>22502.4775</v>
      </c>
      <c r="CF81" s="739">
        <f t="shared" si="98"/>
        <v>113514.2725</v>
      </c>
      <c r="CG81" s="742">
        <f t="shared" si="96"/>
        <v>22502.4775</v>
      </c>
      <c r="CH81" s="743"/>
      <c r="CI81" s="744"/>
      <c r="CJ81" s="745"/>
      <c r="CK81" s="748"/>
      <c r="CL81" s="749"/>
      <c r="CM81" s="744"/>
      <c r="CN81" s="745"/>
      <c r="CO81" s="745"/>
      <c r="CP81" s="745"/>
      <c r="CQ81" s="745"/>
      <c r="CR81" s="745"/>
      <c r="CS81" s="745"/>
      <c r="CT81" s="754"/>
      <c r="CU81" s="755"/>
      <c r="CV81" s="756"/>
      <c r="CW81" s="757"/>
      <c r="CX81" s="758"/>
      <c r="CY81" s="759"/>
      <c r="CZ81" s="760"/>
      <c r="DA81" s="767"/>
    </row>
    <row r="82" ht="236" customHeight="1" spans="1:105">
      <c r="A82" s="673">
        <v>405</v>
      </c>
      <c r="B82" s="676" t="s">
        <v>1003</v>
      </c>
      <c r="C82" s="677" t="s">
        <v>1527</v>
      </c>
      <c r="D82" s="677" t="s">
        <v>1619</v>
      </c>
      <c r="E82" s="677" t="s">
        <v>93</v>
      </c>
      <c r="F82" s="677">
        <v>3098282848</v>
      </c>
      <c r="G82" s="677" t="s">
        <v>1627</v>
      </c>
      <c r="H82" s="679"/>
      <c r="I82" s="681" t="s">
        <v>93</v>
      </c>
      <c r="J82" s="686">
        <v>3098282848</v>
      </c>
      <c r="K82" s="695"/>
      <c r="L82" s="688"/>
      <c r="M82" s="688"/>
      <c r="N82" s="689">
        <v>937691</v>
      </c>
      <c r="O82" s="689">
        <v>78140.9166666667</v>
      </c>
      <c r="P82" s="689"/>
      <c r="Q82" s="689">
        <v>19535.2291666667</v>
      </c>
      <c r="R82" s="689">
        <v>30000</v>
      </c>
      <c r="S82" s="689">
        <v>131016.75</v>
      </c>
      <c r="T82" s="689"/>
      <c r="U82" s="689"/>
      <c r="V82" s="689"/>
      <c r="W82" s="689"/>
      <c r="X82" s="689"/>
      <c r="Y82" s="689"/>
      <c r="Z82" s="689"/>
      <c r="AA82" s="689"/>
      <c r="AB82" s="689"/>
      <c r="AC82" s="689">
        <v>2500</v>
      </c>
      <c r="AD82" s="689"/>
      <c r="AE82" s="689"/>
      <c r="AF82" s="689"/>
      <c r="AG82" s="689"/>
      <c r="AH82" s="689"/>
      <c r="AI82" s="689"/>
      <c r="AJ82" s="689">
        <v>2500</v>
      </c>
      <c r="AK82" s="689"/>
      <c r="AL82" s="689"/>
      <c r="AM82" s="689"/>
      <c r="AN82" s="689"/>
      <c r="AO82" s="689"/>
      <c r="AP82" s="689"/>
      <c r="AQ82" s="689"/>
      <c r="AR82" s="689"/>
      <c r="AS82" s="689"/>
      <c r="AT82" s="689"/>
      <c r="AU82" s="689">
        <f>S82*0.03</f>
        <v>3930.5025</v>
      </c>
      <c r="AV82" s="689"/>
      <c r="AW82" s="689"/>
      <c r="AX82" s="718"/>
      <c r="AY82" s="718"/>
      <c r="AZ82" s="718"/>
      <c r="BA82" s="689"/>
      <c r="BB82" s="689"/>
      <c r="BC82" s="689"/>
      <c r="BD82" s="719"/>
      <c r="BE82" s="719">
        <f t="shared" si="95"/>
        <v>3930.5025</v>
      </c>
      <c r="BF82" s="689"/>
      <c r="BG82" s="689"/>
      <c r="BH82" s="727"/>
      <c r="BI82" s="689"/>
      <c r="BJ82" s="689"/>
      <c r="BK82" s="689"/>
      <c r="BL82" s="689"/>
      <c r="BM82" s="689"/>
      <c r="BN82" s="689"/>
      <c r="BO82" s="689">
        <v>55455</v>
      </c>
      <c r="BP82" s="689"/>
      <c r="BQ82" s="689"/>
      <c r="BR82" s="731"/>
      <c r="BS82" s="731"/>
      <c r="BT82" s="731"/>
      <c r="BU82" s="731"/>
      <c r="BV82" s="731"/>
      <c r="BW82" s="731"/>
      <c r="BX82" s="731">
        <v>5000</v>
      </c>
      <c r="BY82" s="731"/>
      <c r="BZ82" s="731">
        <v>500</v>
      </c>
      <c r="CA82" s="718">
        <f t="shared" si="94"/>
        <v>2720.335</v>
      </c>
      <c r="CB82" s="735"/>
      <c r="CC82" s="731">
        <v>10421.1375</v>
      </c>
      <c r="CD82" s="702">
        <f t="shared" si="97"/>
        <v>136016.75</v>
      </c>
      <c r="CE82" s="731">
        <f t="shared" si="99"/>
        <v>81957.4775</v>
      </c>
      <c r="CF82" s="739">
        <f t="shared" si="98"/>
        <v>54059.2725</v>
      </c>
      <c r="CG82" s="742">
        <f t="shared" si="96"/>
        <v>81957.4775</v>
      </c>
      <c r="CH82" s="743"/>
      <c r="CI82" s="744"/>
      <c r="CJ82" s="745"/>
      <c r="CK82" s="748"/>
      <c r="CL82" s="749"/>
      <c r="CM82" s="744"/>
      <c r="CN82" s="745"/>
      <c r="CO82" s="745"/>
      <c r="CP82" s="745"/>
      <c r="CQ82" s="745"/>
      <c r="CR82" s="745"/>
      <c r="CS82" s="745"/>
      <c r="CT82" s="754"/>
      <c r="CU82" s="755"/>
      <c r="CV82" s="756"/>
      <c r="CW82" s="757"/>
      <c r="CX82" s="758"/>
      <c r="CY82" s="759"/>
      <c r="CZ82" s="760"/>
      <c r="DA82" s="767"/>
    </row>
    <row r="83" ht="236" customHeight="1" spans="1:105">
      <c r="A83" s="675">
        <v>406</v>
      </c>
      <c r="B83" s="676" t="s">
        <v>1004</v>
      </c>
      <c r="C83" s="677" t="s">
        <v>1527</v>
      </c>
      <c r="D83" s="677" t="s">
        <v>1535</v>
      </c>
      <c r="E83" s="677" t="s">
        <v>93</v>
      </c>
      <c r="F83" s="677" t="s">
        <v>1005</v>
      </c>
      <c r="G83" s="677" t="s">
        <v>1628</v>
      </c>
      <c r="H83" s="679"/>
      <c r="I83" s="681" t="s">
        <v>93</v>
      </c>
      <c r="J83" s="686">
        <v>3075265675</v>
      </c>
      <c r="K83" s="687" t="str">
        <f>'[5] NON-TEACHING STAFF'!$J$70</f>
        <v>22287072006</v>
      </c>
      <c r="L83" s="688">
        <v>1967327</v>
      </c>
      <c r="M83" s="688" t="e">
        <f>S83-#REF!</f>
        <v>#REF!</v>
      </c>
      <c r="N83" s="689">
        <v>1967327</v>
      </c>
      <c r="O83" s="689">
        <v>177283.5</v>
      </c>
      <c r="P83" s="689"/>
      <c r="Q83" s="689">
        <v>44320.875</v>
      </c>
      <c r="R83" s="689">
        <v>30000</v>
      </c>
      <c r="S83" s="689">
        <v>260727.58</v>
      </c>
      <c r="T83" s="689"/>
      <c r="U83" s="689"/>
      <c r="V83" s="689"/>
      <c r="W83" s="689"/>
      <c r="X83" s="689"/>
      <c r="Y83" s="689"/>
      <c r="Z83" s="689"/>
      <c r="AA83" s="689"/>
      <c r="AB83" s="689"/>
      <c r="AC83" s="689">
        <v>2500</v>
      </c>
      <c r="AD83" s="689"/>
      <c r="AE83" s="689"/>
      <c r="AF83" s="689"/>
      <c r="AG83" s="689"/>
      <c r="AH83" s="689"/>
      <c r="AJ83" s="689">
        <v>2500</v>
      </c>
      <c r="AK83" s="689"/>
      <c r="AL83" s="689">
        <v>383.33</v>
      </c>
      <c r="AM83" s="689"/>
      <c r="AN83" s="689"/>
      <c r="AO83" s="689"/>
      <c r="AP83" s="689"/>
      <c r="AQ83" s="689"/>
      <c r="AR83" s="689"/>
      <c r="AS83" s="689"/>
      <c r="AT83" s="689"/>
      <c r="AU83" s="689">
        <f t="shared" si="100"/>
        <v>10429.1032</v>
      </c>
      <c r="AV83" s="689"/>
      <c r="AW83" s="689">
        <v>2000</v>
      </c>
      <c r="AX83" s="718">
        <f t="shared" ref="AX83:AX139" si="101">S83*0.02</f>
        <v>5214.5516</v>
      </c>
      <c r="AY83" s="718"/>
      <c r="AZ83" s="718"/>
      <c r="BA83" s="689"/>
      <c r="BB83" s="689"/>
      <c r="BC83" s="689"/>
      <c r="BD83" s="719"/>
      <c r="BE83" s="719"/>
      <c r="BF83" s="689"/>
      <c r="BG83" s="689"/>
      <c r="BH83" s="727"/>
      <c r="BI83" s="689"/>
      <c r="BJ83" s="689"/>
      <c r="BK83" s="689"/>
      <c r="BL83" s="689">
        <v>15000</v>
      </c>
      <c r="BM83" s="689"/>
      <c r="BN83" s="689"/>
      <c r="BO83" s="689">
        <v>35000</v>
      </c>
      <c r="BP83" s="689"/>
      <c r="BQ83" s="689"/>
      <c r="BR83" s="731"/>
      <c r="BS83" s="731"/>
      <c r="BT83" s="731"/>
      <c r="BU83" s="731"/>
      <c r="BV83" s="731"/>
      <c r="BW83" s="731"/>
      <c r="BX83" s="731"/>
      <c r="BY83" s="731">
        <v>2000</v>
      </c>
      <c r="BZ83" s="731">
        <v>1500</v>
      </c>
      <c r="CA83" s="718">
        <f t="shared" si="94"/>
        <v>5314.5516</v>
      </c>
      <c r="CB83" s="735"/>
      <c r="CC83" s="731">
        <v>31808.9</v>
      </c>
      <c r="CD83" s="702">
        <f t="shared" si="97"/>
        <v>265727.58</v>
      </c>
      <c r="CE83" s="731">
        <f t="shared" si="99"/>
        <v>108267.1064</v>
      </c>
      <c r="CF83" s="739">
        <f t="shared" si="98"/>
        <v>157460.4736</v>
      </c>
      <c r="CG83" s="742">
        <f t="shared" si="96"/>
        <v>108267.1064</v>
      </c>
      <c r="CH83" s="743" t="e">
        <f>'[6]JACKSON AKPOJARO '!C228*12</f>
        <v>#REF!</v>
      </c>
      <c r="CI83" s="744" t="e">
        <f t="shared" si="10"/>
        <v>#REF!</v>
      </c>
      <c r="CJ83" s="745">
        <f t="shared" ref="CJ83:CJ127" si="102">CB83*12</f>
        <v>0</v>
      </c>
      <c r="CK83" s="748" t="e">
        <f t="shared" si="11"/>
        <v>#REF!</v>
      </c>
      <c r="CL83" s="749" t="e">
        <f t="shared" si="12"/>
        <v>#REF!</v>
      </c>
      <c r="CM83" s="744"/>
      <c r="CN83" s="745" t="e">
        <f t="shared" si="13"/>
        <v>#REF!</v>
      </c>
      <c r="CO83" s="745" t="e">
        <f t="shared" si="14"/>
        <v>#REF!</v>
      </c>
      <c r="CP83" s="745" t="e">
        <f t="shared" si="15"/>
        <v>#REF!</v>
      </c>
      <c r="CQ83" s="745" t="e">
        <f t="shared" si="16"/>
        <v>#REF!</v>
      </c>
      <c r="CR83" s="745" t="e">
        <f t="shared" si="17"/>
        <v>#REF!</v>
      </c>
      <c r="CS83" s="745" t="e">
        <f t="shared" si="18"/>
        <v>#REF!</v>
      </c>
      <c r="CT83" s="754" t="e">
        <f t="shared" ref="CT83:CT93" si="103">1%*CH83</f>
        <v>#REF!</v>
      </c>
      <c r="CU83" s="755" t="e">
        <f t="shared" ref="CU83:CU93" si="104">MAX(CT83:CT83)</f>
        <v>#REF!</v>
      </c>
      <c r="CV83" s="756">
        <f t="shared" ref="CV83:CV103" si="105">CC83</f>
        <v>31808.9</v>
      </c>
      <c r="CW83" s="757"/>
      <c r="CX83" s="758"/>
      <c r="CY83" s="759"/>
      <c r="CZ83" s="760"/>
      <c r="DA83" s="767"/>
    </row>
    <row r="84" ht="236" customHeight="1" spans="1:105">
      <c r="A84" s="673">
        <v>407</v>
      </c>
      <c r="B84" s="676" t="s">
        <v>1006</v>
      </c>
      <c r="C84" s="677" t="s">
        <v>1527</v>
      </c>
      <c r="D84" s="677" t="s">
        <v>1535</v>
      </c>
      <c r="E84" s="677" t="s">
        <v>93</v>
      </c>
      <c r="F84" s="677" t="s">
        <v>1007</v>
      </c>
      <c r="G84" s="677" t="s">
        <v>1628</v>
      </c>
      <c r="H84" s="679"/>
      <c r="I84" s="681" t="s">
        <v>93</v>
      </c>
      <c r="J84" s="686">
        <v>3053201990</v>
      </c>
      <c r="K84" s="687">
        <f>'[5] NON-TEACHING STAFF'!$J$71</f>
        <v>22308729797</v>
      </c>
      <c r="L84" s="688">
        <v>1967327</v>
      </c>
      <c r="M84" s="688">
        <v>122671</v>
      </c>
      <c r="N84" s="689">
        <v>1967327</v>
      </c>
      <c r="O84" s="689">
        <v>177283.5</v>
      </c>
      <c r="P84" s="689"/>
      <c r="Q84" s="689">
        <v>44320.875</v>
      </c>
      <c r="R84" s="689">
        <v>30000</v>
      </c>
      <c r="S84" s="689">
        <v>260727.58</v>
      </c>
      <c r="T84" s="689"/>
      <c r="U84" s="689"/>
      <c r="V84" s="689"/>
      <c r="W84" s="689"/>
      <c r="X84" s="689"/>
      <c r="Y84" s="689"/>
      <c r="Z84" s="689"/>
      <c r="AA84" s="689"/>
      <c r="AB84" s="689">
        <v>12500</v>
      </c>
      <c r="AC84" s="689">
        <v>2500</v>
      </c>
      <c r="AD84" s="689"/>
      <c r="AE84" s="689"/>
      <c r="AF84" s="689"/>
      <c r="AG84" s="689"/>
      <c r="AH84" s="689"/>
      <c r="AI84" s="787">
        <v>122371</v>
      </c>
      <c r="AJ84" s="689">
        <v>2500</v>
      </c>
      <c r="AK84" s="689"/>
      <c r="AL84" s="689">
        <v>383.33</v>
      </c>
      <c r="AM84" s="689"/>
      <c r="AN84" s="689"/>
      <c r="AO84" s="689"/>
      <c r="AP84" s="689"/>
      <c r="AQ84" s="689"/>
      <c r="AR84" s="689"/>
      <c r="AS84" s="689"/>
      <c r="AT84" s="689"/>
      <c r="AU84" s="689">
        <f t="shared" si="100"/>
        <v>10429.1032</v>
      </c>
      <c r="AV84" s="689"/>
      <c r="AW84" s="689">
        <v>2000</v>
      </c>
      <c r="AX84" s="718">
        <f t="shared" si="101"/>
        <v>5214.5516</v>
      </c>
      <c r="AY84" s="718"/>
      <c r="AZ84" s="718"/>
      <c r="BA84" s="689"/>
      <c r="BB84" s="689"/>
      <c r="BC84" s="689"/>
      <c r="BD84" s="719"/>
      <c r="BE84" s="719"/>
      <c r="BF84" s="689"/>
      <c r="BG84" s="689"/>
      <c r="BH84" s="727"/>
      <c r="BI84" s="689"/>
      <c r="BJ84" s="689"/>
      <c r="BK84" s="689"/>
      <c r="BL84" s="689"/>
      <c r="BM84" s="689"/>
      <c r="BN84" s="689"/>
      <c r="BO84" s="689">
        <v>47500</v>
      </c>
      <c r="BP84" s="689"/>
      <c r="BQ84" s="689"/>
      <c r="BR84" s="731"/>
      <c r="BS84" s="731"/>
      <c r="BT84" s="731"/>
      <c r="BU84" s="731"/>
      <c r="BV84" s="731">
        <v>1500</v>
      </c>
      <c r="BW84" s="731"/>
      <c r="BX84" s="731"/>
      <c r="BY84" s="731"/>
      <c r="BZ84" s="731">
        <v>1500</v>
      </c>
      <c r="CA84" s="718">
        <v>5389.7541</v>
      </c>
      <c r="CB84" s="735"/>
      <c r="CC84" s="731">
        <v>33908.9</v>
      </c>
      <c r="CD84" s="702">
        <f t="shared" si="97"/>
        <v>278227.58</v>
      </c>
      <c r="CE84" s="731">
        <f t="shared" si="99"/>
        <v>107442.3089</v>
      </c>
      <c r="CF84" s="739">
        <f t="shared" si="98"/>
        <v>170785.2711</v>
      </c>
      <c r="CG84" s="742">
        <f t="shared" si="96"/>
        <v>107442.3089</v>
      </c>
      <c r="CH84" s="743" t="e">
        <f>'[6]JACKSON AKPOJARO '!C229*12</f>
        <v>#REF!</v>
      </c>
      <c r="CI84" s="744" t="e">
        <f t="shared" si="10"/>
        <v>#REF!</v>
      </c>
      <c r="CJ84" s="745">
        <f t="shared" si="102"/>
        <v>0</v>
      </c>
      <c r="CK84" s="748" t="e">
        <f t="shared" si="11"/>
        <v>#REF!</v>
      </c>
      <c r="CL84" s="749" t="e">
        <f t="shared" si="12"/>
        <v>#REF!</v>
      </c>
      <c r="CM84" s="744"/>
      <c r="CN84" s="745" t="e">
        <f t="shared" si="13"/>
        <v>#REF!</v>
      </c>
      <c r="CO84" s="745" t="e">
        <f t="shared" si="14"/>
        <v>#REF!</v>
      </c>
      <c r="CP84" s="745" t="e">
        <f t="shared" si="15"/>
        <v>#REF!</v>
      </c>
      <c r="CQ84" s="745" t="e">
        <f t="shared" si="16"/>
        <v>#REF!</v>
      </c>
      <c r="CR84" s="745" t="e">
        <f t="shared" si="17"/>
        <v>#REF!</v>
      </c>
      <c r="CS84" s="745" t="e">
        <f t="shared" si="18"/>
        <v>#REF!</v>
      </c>
      <c r="CT84" s="754" t="e">
        <f t="shared" si="103"/>
        <v>#REF!</v>
      </c>
      <c r="CU84" s="755" t="e">
        <f t="shared" si="104"/>
        <v>#REF!</v>
      </c>
      <c r="CV84" s="756">
        <f t="shared" si="105"/>
        <v>33908.9</v>
      </c>
      <c r="CW84" s="757"/>
      <c r="CX84" s="758"/>
      <c r="CY84" s="759"/>
      <c r="CZ84" s="760"/>
      <c r="DA84" s="767"/>
    </row>
    <row r="85" ht="236" customHeight="1" spans="1:106">
      <c r="A85" s="675">
        <v>408</v>
      </c>
      <c r="B85" s="676" t="s">
        <v>1008</v>
      </c>
      <c r="C85" s="677" t="s">
        <v>1550</v>
      </c>
      <c r="D85" s="677" t="s">
        <v>1629</v>
      </c>
      <c r="E85" s="677" t="s">
        <v>873</v>
      </c>
      <c r="F85" s="1452" t="s">
        <v>1009</v>
      </c>
      <c r="G85" s="677" t="s">
        <v>1630</v>
      </c>
      <c r="H85" s="679"/>
      <c r="I85" s="681" t="s">
        <v>127</v>
      </c>
      <c r="J85" s="686" t="s">
        <v>1009</v>
      </c>
      <c r="K85" s="693">
        <f>'[5] NON-TEACHING STAFF'!$J$87</f>
        <v>22208360808</v>
      </c>
      <c r="L85" s="688">
        <v>2350280</v>
      </c>
      <c r="M85" s="688" t="e">
        <f>S85-#REF!</f>
        <v>#REF!</v>
      </c>
      <c r="N85" s="689">
        <v>2350280</v>
      </c>
      <c r="O85" s="689">
        <v>199179.08</v>
      </c>
      <c r="P85" s="689"/>
      <c r="Q85" s="689">
        <v>49794.77</v>
      </c>
      <c r="R85" s="689">
        <v>30000</v>
      </c>
      <c r="S85" s="689">
        <v>288097.08</v>
      </c>
      <c r="T85" s="689"/>
      <c r="U85" s="689"/>
      <c r="V85" s="689"/>
      <c r="W85" s="689"/>
      <c r="X85" s="689"/>
      <c r="Y85" s="689"/>
      <c r="Z85" s="689"/>
      <c r="AA85" s="689"/>
      <c r="AB85" s="689">
        <v>25000</v>
      </c>
      <c r="AC85" s="689">
        <v>2500</v>
      </c>
      <c r="AD85" s="689"/>
      <c r="AE85" s="689"/>
      <c r="AF85" s="689"/>
      <c r="AG85" s="689"/>
      <c r="AH85" s="689">
        <v>46000</v>
      </c>
      <c r="AI85" s="689"/>
      <c r="AJ85" s="689">
        <v>2500</v>
      </c>
      <c r="AK85" s="689"/>
      <c r="AL85" s="689">
        <v>383.33</v>
      </c>
      <c r="AM85" s="689"/>
      <c r="AN85" s="689"/>
      <c r="AO85" s="689"/>
      <c r="AP85" s="689"/>
      <c r="AQ85" s="689"/>
      <c r="AR85" s="689"/>
      <c r="AS85" s="689"/>
      <c r="AT85" s="689"/>
      <c r="AU85" s="689">
        <f t="shared" si="100"/>
        <v>11523.8832</v>
      </c>
      <c r="AV85" s="689"/>
      <c r="AW85" s="689"/>
      <c r="AX85" s="718">
        <f t="shared" si="101"/>
        <v>5761.9416</v>
      </c>
      <c r="AY85" s="718"/>
      <c r="AZ85" s="718"/>
      <c r="BA85" s="689"/>
      <c r="BB85" s="689">
        <v>30000</v>
      </c>
      <c r="BC85" s="689"/>
      <c r="BD85" s="719"/>
      <c r="BE85" s="719"/>
      <c r="BF85" s="689"/>
      <c r="BG85" s="689"/>
      <c r="BH85" s="727">
        <v>3000</v>
      </c>
      <c r="BI85" s="689"/>
      <c r="BJ85" s="689"/>
      <c r="BK85" s="689"/>
      <c r="BL85" s="689"/>
      <c r="BM85" s="689"/>
      <c r="BN85" s="689"/>
      <c r="BO85" s="689">
        <v>104999.996666667</v>
      </c>
      <c r="BP85" s="689"/>
      <c r="BQ85" s="689"/>
      <c r="BR85" s="731"/>
      <c r="BS85" s="731"/>
      <c r="BT85" s="731"/>
      <c r="BU85" s="731"/>
      <c r="BV85" s="731"/>
      <c r="BW85" s="731"/>
      <c r="BX85" s="731"/>
      <c r="BY85" s="731"/>
      <c r="BZ85" s="731">
        <v>1500</v>
      </c>
      <c r="CA85" s="718">
        <f t="shared" si="94"/>
        <v>7281.9416</v>
      </c>
      <c r="CB85" s="735"/>
      <c r="CC85" s="731">
        <v>48573.31</v>
      </c>
      <c r="CD85" s="702">
        <f t="shared" si="97"/>
        <v>364097.08</v>
      </c>
      <c r="CE85" s="731">
        <f t="shared" si="99"/>
        <v>212641.073066667</v>
      </c>
      <c r="CF85" s="739">
        <f t="shared" si="98"/>
        <v>151456.006933333</v>
      </c>
      <c r="CG85" s="742">
        <f t="shared" si="96"/>
        <v>212641.073066667</v>
      </c>
      <c r="CH85" s="743" t="e">
        <f>'[6]JACKSON AKPOJARO '!C230*12</f>
        <v>#REF!</v>
      </c>
      <c r="CI85" s="744" t="e">
        <f t="shared" si="10"/>
        <v>#REF!</v>
      </c>
      <c r="CJ85" s="745">
        <f t="shared" si="102"/>
        <v>0</v>
      </c>
      <c r="CK85" s="748" t="e">
        <f t="shared" si="11"/>
        <v>#REF!</v>
      </c>
      <c r="CL85" s="749" t="e">
        <f t="shared" si="12"/>
        <v>#REF!</v>
      </c>
      <c r="CM85" s="744"/>
      <c r="CN85" s="745" t="e">
        <f t="shared" si="13"/>
        <v>#REF!</v>
      </c>
      <c r="CO85" s="745" t="e">
        <f t="shared" si="14"/>
        <v>#REF!</v>
      </c>
      <c r="CP85" s="745" t="e">
        <f t="shared" si="15"/>
        <v>#REF!</v>
      </c>
      <c r="CQ85" s="745" t="e">
        <f t="shared" si="16"/>
        <v>#REF!</v>
      </c>
      <c r="CR85" s="745" t="e">
        <f t="shared" si="17"/>
        <v>#REF!</v>
      </c>
      <c r="CS85" s="745" t="e">
        <f t="shared" si="18"/>
        <v>#REF!</v>
      </c>
      <c r="CT85" s="754" t="e">
        <f t="shared" si="103"/>
        <v>#REF!</v>
      </c>
      <c r="CU85" s="755" t="e">
        <f t="shared" si="104"/>
        <v>#REF!</v>
      </c>
      <c r="CV85" s="756">
        <f t="shared" si="105"/>
        <v>48573.31</v>
      </c>
      <c r="CW85" s="757"/>
      <c r="CX85" s="758"/>
      <c r="CY85" s="759"/>
      <c r="CZ85" s="760"/>
      <c r="DA85" s="767"/>
      <c r="DB85" s="770"/>
    </row>
    <row r="86" s="657" customFormat="1" ht="236" customHeight="1" spans="1:106">
      <c r="A86" s="673">
        <v>409</v>
      </c>
      <c r="B86" s="774" t="s">
        <v>1010</v>
      </c>
      <c r="C86" s="775" t="s">
        <v>1550</v>
      </c>
      <c r="D86" s="775" t="s">
        <v>1629</v>
      </c>
      <c r="E86" s="775" t="s">
        <v>122</v>
      </c>
      <c r="F86" s="1453" t="s">
        <v>1011</v>
      </c>
      <c r="G86" s="775" t="s">
        <v>1631</v>
      </c>
      <c r="H86" s="776"/>
      <c r="I86" s="778" t="s">
        <v>915</v>
      </c>
      <c r="J86" s="779" t="s">
        <v>1632</v>
      </c>
      <c r="K86" s="780" t="str">
        <f>'[5] NON-TEACHING STAFF'!$J$73</f>
        <v>22167946946</v>
      </c>
      <c r="L86" s="781">
        <f>L84</f>
        <v>1967327</v>
      </c>
      <c r="M86" s="781" t="e">
        <f>S86-#REF!</f>
        <v>#REF!</v>
      </c>
      <c r="N86" s="782">
        <v>1967327</v>
      </c>
      <c r="O86" s="782">
        <v>177283.5</v>
      </c>
      <c r="P86" s="782"/>
      <c r="Q86" s="782">
        <v>44320.875</v>
      </c>
      <c r="R86" s="782">
        <v>30000</v>
      </c>
      <c r="S86" s="782">
        <v>260727.58</v>
      </c>
      <c r="T86" s="782"/>
      <c r="U86" s="689"/>
      <c r="V86" s="689"/>
      <c r="W86" s="689"/>
      <c r="X86" s="689"/>
      <c r="Y86" s="689"/>
      <c r="Z86" s="689"/>
      <c r="AA86" s="689"/>
      <c r="AB86" s="689">
        <v>25000</v>
      </c>
      <c r="AC86" s="689">
        <v>2500</v>
      </c>
      <c r="AD86" s="689"/>
      <c r="AE86" s="689"/>
      <c r="AF86" s="689"/>
      <c r="AG86" s="689"/>
      <c r="AH86" s="689">
        <v>46000</v>
      </c>
      <c r="AI86" s="689"/>
      <c r="AJ86" s="689">
        <v>2500</v>
      </c>
      <c r="AK86" s="689"/>
      <c r="AL86" s="689">
        <v>383.33</v>
      </c>
      <c r="AM86" s="689"/>
      <c r="AN86" s="689"/>
      <c r="AO86" s="689"/>
      <c r="AP86" s="689"/>
      <c r="AQ86" s="689"/>
      <c r="AR86" s="689"/>
      <c r="AS86" s="689"/>
      <c r="AT86" s="689"/>
      <c r="AU86" s="689">
        <f t="shared" si="100"/>
        <v>10429.1032</v>
      </c>
      <c r="AV86" s="782"/>
      <c r="AW86" s="782"/>
      <c r="AX86" s="788">
        <f t="shared" si="101"/>
        <v>5214.5516</v>
      </c>
      <c r="AY86" s="788"/>
      <c r="AZ86" s="788"/>
      <c r="BA86" s="782"/>
      <c r="BB86" s="782">
        <v>25000</v>
      </c>
      <c r="BC86" s="782"/>
      <c r="BD86" s="789"/>
      <c r="BE86" s="789"/>
      <c r="BF86" s="782"/>
      <c r="BG86" s="782"/>
      <c r="BH86" s="791">
        <v>3000</v>
      </c>
      <c r="BI86" s="689"/>
      <c r="BJ86" s="782"/>
      <c r="BK86" s="689"/>
      <c r="BL86" s="689">
        <v>15000</v>
      </c>
      <c r="BM86" s="689"/>
      <c r="BN86" s="782"/>
      <c r="BO86" s="689">
        <v>3000</v>
      </c>
      <c r="BP86" s="782"/>
      <c r="BQ86" s="782"/>
      <c r="BR86" s="792"/>
      <c r="BS86" s="731"/>
      <c r="BT86" s="731"/>
      <c r="BU86" s="792"/>
      <c r="BV86" s="731"/>
      <c r="BW86" s="731"/>
      <c r="BX86" s="731">
        <v>5000</v>
      </c>
      <c r="BY86" s="792"/>
      <c r="BZ86" s="792">
        <v>1500</v>
      </c>
      <c r="CA86" s="788">
        <f t="shared" si="94"/>
        <v>6734.5516</v>
      </c>
      <c r="CB86" s="793"/>
      <c r="CC86" s="792">
        <v>43736.9</v>
      </c>
      <c r="CD86" s="795">
        <f t="shared" si="97"/>
        <v>336727.58</v>
      </c>
      <c r="CE86" s="792">
        <f t="shared" si="99"/>
        <v>118615.1064</v>
      </c>
      <c r="CF86" s="796">
        <f t="shared" si="98"/>
        <v>218112.4736</v>
      </c>
      <c r="CG86" s="797">
        <f t="shared" si="96"/>
        <v>118615.1064</v>
      </c>
      <c r="CH86" s="798" t="e">
        <f>'[6]JACKSON AKPOJARO '!C231*12</f>
        <v>#REF!</v>
      </c>
      <c r="CI86" s="799" t="e">
        <f t="shared" si="10"/>
        <v>#REF!</v>
      </c>
      <c r="CJ86" s="800">
        <f t="shared" si="102"/>
        <v>0</v>
      </c>
      <c r="CK86" s="802" t="e">
        <f t="shared" si="11"/>
        <v>#REF!</v>
      </c>
      <c r="CL86" s="803" t="e">
        <f t="shared" si="12"/>
        <v>#REF!</v>
      </c>
      <c r="CM86" s="799"/>
      <c r="CN86" s="800" t="e">
        <f t="shared" si="13"/>
        <v>#REF!</v>
      </c>
      <c r="CO86" s="800" t="e">
        <f t="shared" si="14"/>
        <v>#REF!</v>
      </c>
      <c r="CP86" s="800" t="e">
        <f t="shared" si="15"/>
        <v>#REF!</v>
      </c>
      <c r="CQ86" s="800" t="e">
        <f t="shared" si="16"/>
        <v>#REF!</v>
      </c>
      <c r="CR86" s="800" t="e">
        <f t="shared" si="17"/>
        <v>#REF!</v>
      </c>
      <c r="CS86" s="800" t="e">
        <f t="shared" si="18"/>
        <v>#REF!</v>
      </c>
      <c r="CT86" s="806" t="e">
        <f t="shared" si="103"/>
        <v>#REF!</v>
      </c>
      <c r="CU86" s="807" t="e">
        <f t="shared" si="104"/>
        <v>#REF!</v>
      </c>
      <c r="CV86" s="808">
        <f t="shared" si="105"/>
        <v>43736.9</v>
      </c>
      <c r="CW86" s="809"/>
      <c r="CX86" s="810"/>
      <c r="CY86" s="811"/>
      <c r="CZ86" s="812"/>
      <c r="DA86" s="815"/>
      <c r="DB86" s="816"/>
    </row>
    <row r="87" ht="236" customHeight="1" spans="1:106">
      <c r="A87" s="675">
        <v>410</v>
      </c>
      <c r="B87" s="676" t="s">
        <v>1012</v>
      </c>
      <c r="C87" s="677" t="s">
        <v>1527</v>
      </c>
      <c r="D87" s="677" t="s">
        <v>1535</v>
      </c>
      <c r="E87" s="677" t="s">
        <v>113</v>
      </c>
      <c r="F87" s="677" t="s">
        <v>1013</v>
      </c>
      <c r="G87" s="677" t="s">
        <v>1628</v>
      </c>
      <c r="H87" s="679"/>
      <c r="I87" s="681" t="s">
        <v>113</v>
      </c>
      <c r="J87" s="686">
        <v>2044079765</v>
      </c>
      <c r="K87" s="687">
        <f>'[5] NON-TEACHING STAFF'!$J$74</f>
        <v>22318063166</v>
      </c>
      <c r="L87" s="688">
        <v>1912620</v>
      </c>
      <c r="M87" s="688" t="e">
        <f>S87-#REF!</f>
        <v>#REF!</v>
      </c>
      <c r="N87" s="689">
        <v>1912620</v>
      </c>
      <c r="O87" s="689">
        <v>177283.5</v>
      </c>
      <c r="P87" s="689"/>
      <c r="Q87" s="689">
        <v>44320.875</v>
      </c>
      <c r="R87" s="689">
        <v>30000</v>
      </c>
      <c r="S87" s="689">
        <v>260727.58</v>
      </c>
      <c r="T87" s="689"/>
      <c r="U87" s="689">
        <v>25000</v>
      </c>
      <c r="V87" s="689"/>
      <c r="W87" s="689"/>
      <c r="X87" s="689"/>
      <c r="Y87" s="689"/>
      <c r="Z87" s="689"/>
      <c r="AA87" s="689"/>
      <c r="AB87" s="689">
        <v>12500</v>
      </c>
      <c r="AC87" s="689">
        <v>2500</v>
      </c>
      <c r="AD87" s="689"/>
      <c r="AE87" s="689"/>
      <c r="AF87" s="689"/>
      <c r="AG87" s="689"/>
      <c r="AH87" s="689"/>
      <c r="AI87" s="689"/>
      <c r="AJ87" s="689">
        <v>2500</v>
      </c>
      <c r="AK87" s="689"/>
      <c r="AL87" s="689">
        <v>383.33</v>
      </c>
      <c r="AM87" s="689"/>
      <c r="AN87" s="689"/>
      <c r="AO87" s="689"/>
      <c r="AP87" s="689"/>
      <c r="AQ87" s="689"/>
      <c r="AR87" s="689"/>
      <c r="AS87" s="689"/>
      <c r="AT87" s="689"/>
      <c r="AU87" s="689">
        <f t="shared" si="100"/>
        <v>10429.1032</v>
      </c>
      <c r="AV87" s="689"/>
      <c r="AW87" s="689">
        <v>2000</v>
      </c>
      <c r="AX87" s="718">
        <f t="shared" si="101"/>
        <v>5214.5516</v>
      </c>
      <c r="AY87" s="718"/>
      <c r="AZ87" s="718"/>
      <c r="BA87" s="689"/>
      <c r="BB87" s="689"/>
      <c r="BC87" s="689"/>
      <c r="BD87" s="719"/>
      <c r="BE87" s="719"/>
      <c r="BF87" s="689"/>
      <c r="BG87" s="689"/>
      <c r="BH87" s="727"/>
      <c r="BI87" s="689"/>
      <c r="BJ87" s="689"/>
      <c r="BK87" s="689"/>
      <c r="BL87" s="689">
        <v>10000</v>
      </c>
      <c r="BM87" s="689"/>
      <c r="BN87" s="689"/>
      <c r="BO87" s="689">
        <v>28333.3333333333</v>
      </c>
      <c r="BP87" s="689"/>
      <c r="BQ87" s="689"/>
      <c r="BR87" s="731"/>
      <c r="BS87" s="731"/>
      <c r="BT87" s="731"/>
      <c r="BU87" s="731"/>
      <c r="BV87" s="731"/>
      <c r="BW87" s="731"/>
      <c r="BX87" s="731"/>
      <c r="BY87" s="731">
        <v>2000</v>
      </c>
      <c r="BZ87" s="731">
        <v>1500</v>
      </c>
      <c r="CA87" s="718">
        <f t="shared" si="94"/>
        <v>6064.5516</v>
      </c>
      <c r="CB87" s="735"/>
      <c r="CC87" s="731">
        <v>33908.9001066667</v>
      </c>
      <c r="CD87" s="702">
        <f>AJ87+AC87+AB87+U87+S87</f>
        <v>303227.58</v>
      </c>
      <c r="CE87" s="731">
        <f t="shared" si="99"/>
        <v>99450.43984</v>
      </c>
      <c r="CF87" s="739">
        <f t="shared" si="98"/>
        <v>203777.14016</v>
      </c>
      <c r="CG87" s="742">
        <f t="shared" si="96"/>
        <v>99450.43984</v>
      </c>
      <c r="CH87" s="743" t="e">
        <f>'[6]JACKSON AKPOJARO '!C232*12</f>
        <v>#REF!</v>
      </c>
      <c r="CI87" s="744" t="e">
        <f t="shared" ref="CI87:CI165" si="106">200000+(0.2*CH87)</f>
        <v>#REF!</v>
      </c>
      <c r="CJ87" s="745">
        <f t="shared" si="102"/>
        <v>0</v>
      </c>
      <c r="CK87" s="748" t="e">
        <f t="shared" ref="CK87:CK165" si="107">SUM(CI87:CJ87)</f>
        <v>#REF!</v>
      </c>
      <c r="CL87" s="749" t="e">
        <f t="shared" ref="CL87:CL165" si="108">+CH87-CK87</f>
        <v>#REF!</v>
      </c>
      <c r="CM87" s="744"/>
      <c r="CN87" s="745" t="e">
        <f t="shared" ref="CN87:CN165" si="109">IF((CL87&gt;0),(IF((CL87&gt;300000),(300000*7%),(CL87*7%))),(CH87*1%))</f>
        <v>#REF!</v>
      </c>
      <c r="CO87" s="745" t="e">
        <f t="shared" ref="CO87:CO165" si="110">IF((CL87-300000)&gt;0,(IF((CL87&gt;600000),(300000*11%),((CL87-300000)*11%))),(""))</f>
        <v>#REF!</v>
      </c>
      <c r="CP87" s="745" t="e">
        <f t="shared" ref="CP87:CP165" si="111">IF(((CL87-600000)&gt;0),(IF((CL87&gt;1100000),(500000*15%),((CL87-600000)*15%))),(""))</f>
        <v>#REF!</v>
      </c>
      <c r="CQ87" s="745" t="e">
        <f t="shared" ref="CQ87:CQ165" si="112">IF(((CL87-(1100000))&gt;0),(IF((CL87&gt;(1600000)),((500000)*19%),((CL87-(1100000))*19%))),(""))</f>
        <v>#REF!</v>
      </c>
      <c r="CR87" s="745" t="e">
        <f t="shared" ref="CR87:CR165" si="113">IF(((CL87-(1600000))&gt;0),(IF((CL87&gt;(3200000)),((1600000)*21%),((CL87-(1600000))*21%))),(""))</f>
        <v>#REF!</v>
      </c>
      <c r="CS87" s="745" t="e">
        <f t="shared" ref="CS87:CS165" si="114">IF(((CL87-(3200000))&gt;0),(IF((CL87&gt;(3200000)),((CL87-(3200000))*24%),(0))),(""))</f>
        <v>#REF!</v>
      </c>
      <c r="CT87" s="754" t="e">
        <f t="shared" si="103"/>
        <v>#REF!</v>
      </c>
      <c r="CU87" s="755" t="e">
        <f t="shared" si="104"/>
        <v>#REF!</v>
      </c>
      <c r="CV87" s="756">
        <f t="shared" si="105"/>
        <v>33908.9001066667</v>
      </c>
      <c r="CW87" s="757"/>
      <c r="CX87" s="758"/>
      <c r="CY87" s="759"/>
      <c r="CZ87" s="760"/>
      <c r="DA87" s="767"/>
      <c r="DB87" s="817" t="s">
        <v>1633</v>
      </c>
    </row>
    <row r="88" ht="236" customHeight="1" spans="1:105">
      <c r="A88" s="673">
        <v>411</v>
      </c>
      <c r="B88" s="676" t="s">
        <v>1014</v>
      </c>
      <c r="C88" s="677" t="s">
        <v>1594</v>
      </c>
      <c r="D88" s="677" t="s">
        <v>1634</v>
      </c>
      <c r="E88" s="677" t="s">
        <v>259</v>
      </c>
      <c r="F88" s="677">
        <v>6312176409</v>
      </c>
      <c r="G88" s="677" t="s">
        <v>1635</v>
      </c>
      <c r="H88" s="679"/>
      <c r="I88" s="33" t="s">
        <v>259</v>
      </c>
      <c r="J88" s="33">
        <v>6312176409</v>
      </c>
      <c r="K88" s="687"/>
      <c r="L88" s="688">
        <v>1560735</v>
      </c>
      <c r="M88" s="688"/>
      <c r="N88" s="689">
        <v>1380780</v>
      </c>
      <c r="O88" s="689">
        <v>115065</v>
      </c>
      <c r="P88" s="689"/>
      <c r="Q88" s="689">
        <v>28766.25</v>
      </c>
      <c r="R88" s="689">
        <v>30000</v>
      </c>
      <c r="S88" s="689">
        <v>178463.83</v>
      </c>
      <c r="T88" s="689"/>
      <c r="U88" s="689"/>
      <c r="V88" s="689"/>
      <c r="W88" s="689"/>
      <c r="X88" s="689"/>
      <c r="Y88" s="689"/>
      <c r="Z88" s="689"/>
      <c r="AA88" s="689"/>
      <c r="AB88" s="689"/>
      <c r="AC88" s="689">
        <v>2500</v>
      </c>
      <c r="AD88" s="689"/>
      <c r="AE88" s="689"/>
      <c r="AF88" s="689"/>
      <c r="AG88" s="689"/>
      <c r="AH88" s="689"/>
      <c r="AI88" s="689"/>
      <c r="AJ88" s="689">
        <v>2500</v>
      </c>
      <c r="AK88" s="689"/>
      <c r="AL88" s="689">
        <v>383.33</v>
      </c>
      <c r="AM88" s="689"/>
      <c r="AN88" s="689"/>
      <c r="AO88" s="689"/>
      <c r="AP88" s="689"/>
      <c r="AQ88" s="689"/>
      <c r="AR88" s="689"/>
      <c r="AS88" s="689"/>
      <c r="AT88" s="689"/>
      <c r="AU88" s="689">
        <f t="shared" si="100"/>
        <v>7138.5532</v>
      </c>
      <c r="AV88" s="689"/>
      <c r="AW88" s="689"/>
      <c r="AX88" s="718"/>
      <c r="AY88" s="718"/>
      <c r="AZ88" s="718"/>
      <c r="BA88" s="689"/>
      <c r="BB88" s="689"/>
      <c r="BC88" s="689"/>
      <c r="BD88" s="719"/>
      <c r="BE88" s="719"/>
      <c r="BF88" s="689"/>
      <c r="BG88" s="689"/>
      <c r="BH88" s="727"/>
      <c r="BI88" s="689">
        <v>6953.25</v>
      </c>
      <c r="BJ88" s="689"/>
      <c r="BK88" s="689"/>
      <c r="BL88" s="689"/>
      <c r="BM88" s="689"/>
      <c r="BN88" s="689"/>
      <c r="BO88" s="689">
        <v>0</v>
      </c>
      <c r="BP88" s="689"/>
      <c r="BQ88" s="689"/>
      <c r="BR88" s="731"/>
      <c r="BS88" s="731"/>
      <c r="BT88" s="731"/>
      <c r="BU88" s="731"/>
      <c r="BV88" s="731"/>
      <c r="BW88" s="731"/>
      <c r="BX88" s="731"/>
      <c r="BY88" s="731"/>
      <c r="BZ88" s="731">
        <v>1500</v>
      </c>
      <c r="CA88" s="718">
        <f t="shared" si="94"/>
        <v>3669.2766</v>
      </c>
      <c r="CB88" s="735"/>
      <c r="CC88" s="731">
        <v>18053.17</v>
      </c>
      <c r="CD88" s="702">
        <f t="shared" si="97"/>
        <v>183463.83</v>
      </c>
      <c r="CE88" s="731">
        <f t="shared" si="99"/>
        <v>37314.2498</v>
      </c>
      <c r="CF88" s="739">
        <f t="shared" si="98"/>
        <v>146149.5802</v>
      </c>
      <c r="CG88" s="742">
        <f t="shared" si="96"/>
        <v>37314.2498</v>
      </c>
      <c r="CH88" s="743" t="e">
        <f>'[6]JACKSON AKPOJARO '!C233*12</f>
        <v>#REF!</v>
      </c>
      <c r="CI88" s="744" t="e">
        <f t="shared" si="106"/>
        <v>#REF!</v>
      </c>
      <c r="CJ88" s="745">
        <f t="shared" si="102"/>
        <v>0</v>
      </c>
      <c r="CK88" s="748" t="e">
        <f t="shared" si="107"/>
        <v>#REF!</v>
      </c>
      <c r="CL88" s="749" t="e">
        <f t="shared" si="108"/>
        <v>#REF!</v>
      </c>
      <c r="CM88" s="744"/>
      <c r="CN88" s="745" t="e">
        <f t="shared" si="109"/>
        <v>#REF!</v>
      </c>
      <c r="CO88" s="745" t="e">
        <f t="shared" si="110"/>
        <v>#REF!</v>
      </c>
      <c r="CP88" s="745" t="e">
        <f t="shared" si="111"/>
        <v>#REF!</v>
      </c>
      <c r="CQ88" s="745" t="e">
        <f t="shared" si="112"/>
        <v>#REF!</v>
      </c>
      <c r="CR88" s="745" t="e">
        <f t="shared" si="113"/>
        <v>#REF!</v>
      </c>
      <c r="CS88" s="745" t="e">
        <f t="shared" si="114"/>
        <v>#REF!</v>
      </c>
      <c r="CT88" s="754" t="e">
        <f t="shared" si="103"/>
        <v>#REF!</v>
      </c>
      <c r="CU88" s="755" t="e">
        <f t="shared" si="104"/>
        <v>#REF!</v>
      </c>
      <c r="CV88" s="756">
        <f t="shared" si="105"/>
        <v>18053.17</v>
      </c>
      <c r="CW88" s="757"/>
      <c r="CX88" s="758"/>
      <c r="CY88" s="759"/>
      <c r="CZ88" s="760"/>
      <c r="DA88" s="767"/>
    </row>
    <row r="89" ht="236" customHeight="1" spans="1:105">
      <c r="A89" s="675">
        <v>412</v>
      </c>
      <c r="B89" s="676" t="s">
        <v>1015</v>
      </c>
      <c r="C89" s="677" t="s">
        <v>1527</v>
      </c>
      <c r="D89" s="677" t="s">
        <v>1573</v>
      </c>
      <c r="E89" s="677" t="s">
        <v>135</v>
      </c>
      <c r="F89" s="1452" t="s">
        <v>1016</v>
      </c>
      <c r="G89" s="677" t="s">
        <v>1628</v>
      </c>
      <c r="H89" s="679"/>
      <c r="I89" s="681" t="s">
        <v>135</v>
      </c>
      <c r="J89" s="686" t="s">
        <v>1016</v>
      </c>
      <c r="K89" s="687" t="str">
        <f>'[5] NON-TEACHING STAFF'!$J$75</f>
        <v>22271867610</v>
      </c>
      <c r="L89" s="688">
        <v>1967327</v>
      </c>
      <c r="M89" s="688" t="e">
        <f>S89-#REF!</f>
        <v>#REF!</v>
      </c>
      <c r="N89" s="689">
        <v>1967327</v>
      </c>
      <c r="O89" s="689">
        <v>177283.5</v>
      </c>
      <c r="P89" s="689"/>
      <c r="Q89" s="689">
        <v>44320.875</v>
      </c>
      <c r="R89" s="689">
        <v>30000</v>
      </c>
      <c r="S89" s="689">
        <v>260727.58</v>
      </c>
      <c r="T89" s="689"/>
      <c r="U89" s="689"/>
      <c r="V89" s="689"/>
      <c r="W89" s="689"/>
      <c r="X89" s="689"/>
      <c r="Y89" s="689"/>
      <c r="Z89" s="689"/>
      <c r="AA89" s="689"/>
      <c r="AB89" s="689">
        <v>25000</v>
      </c>
      <c r="AC89" s="689">
        <v>2500</v>
      </c>
      <c r="AD89" s="689"/>
      <c r="AE89" s="689"/>
      <c r="AF89" s="689"/>
      <c r="AG89" s="689"/>
      <c r="AH89" s="689"/>
      <c r="AI89" s="689"/>
      <c r="AJ89" s="689">
        <v>2500</v>
      </c>
      <c r="AK89" s="689"/>
      <c r="AL89" s="689">
        <v>383.33</v>
      </c>
      <c r="AM89" s="689"/>
      <c r="AN89" s="689"/>
      <c r="AO89" s="689"/>
      <c r="AP89" s="689"/>
      <c r="AQ89" s="689"/>
      <c r="AR89" s="689"/>
      <c r="AS89" s="689"/>
      <c r="AT89" s="689"/>
      <c r="AU89" s="689">
        <f t="shared" si="100"/>
        <v>10429.1032</v>
      </c>
      <c r="AV89" s="689"/>
      <c r="AW89" s="689">
        <v>2000</v>
      </c>
      <c r="AX89" s="718">
        <f t="shared" si="101"/>
        <v>5214.5516</v>
      </c>
      <c r="AY89" s="718"/>
      <c r="AZ89" s="718"/>
      <c r="BA89" s="689"/>
      <c r="BB89" s="689"/>
      <c r="BC89" s="689"/>
      <c r="BD89" s="719"/>
      <c r="BE89" s="719"/>
      <c r="BF89" s="689"/>
      <c r="BG89" s="689"/>
      <c r="BH89" s="727"/>
      <c r="BI89" s="689"/>
      <c r="BJ89" s="689"/>
      <c r="BK89" s="689"/>
      <c r="BL89" s="689"/>
      <c r="BM89" s="689"/>
      <c r="BN89" s="689"/>
      <c r="BO89" s="689">
        <v>70000</v>
      </c>
      <c r="BP89" s="689"/>
      <c r="BQ89" s="689"/>
      <c r="BR89" s="731"/>
      <c r="BS89" s="731"/>
      <c r="BT89" s="731"/>
      <c r="BU89" s="731"/>
      <c r="BV89" s="731"/>
      <c r="BW89" s="731"/>
      <c r="BX89" s="731"/>
      <c r="BY89" s="731"/>
      <c r="BZ89" s="731">
        <v>1500</v>
      </c>
      <c r="CA89" s="718">
        <f t="shared" si="94"/>
        <v>5814.5516</v>
      </c>
      <c r="CB89" s="735"/>
      <c r="CC89" s="731">
        <v>36008.9</v>
      </c>
      <c r="CD89" s="702">
        <f t="shared" si="97"/>
        <v>290727.58</v>
      </c>
      <c r="CE89" s="731">
        <f t="shared" si="99"/>
        <v>130967.1064</v>
      </c>
      <c r="CF89" s="739">
        <f t="shared" si="98"/>
        <v>159760.4736</v>
      </c>
      <c r="CG89" s="742">
        <f t="shared" si="96"/>
        <v>130967.1064</v>
      </c>
      <c r="CH89" s="743" t="e">
        <f>'[6]JACKSON AKPOJARO '!C233*12</f>
        <v>#REF!</v>
      </c>
      <c r="CI89" s="744" t="e">
        <f t="shared" si="106"/>
        <v>#REF!</v>
      </c>
      <c r="CJ89" s="745">
        <f t="shared" si="102"/>
        <v>0</v>
      </c>
      <c r="CK89" s="748" t="e">
        <f t="shared" si="107"/>
        <v>#REF!</v>
      </c>
      <c r="CL89" s="749" t="e">
        <f t="shared" si="108"/>
        <v>#REF!</v>
      </c>
      <c r="CM89" s="744"/>
      <c r="CN89" s="745" t="e">
        <f t="shared" si="109"/>
        <v>#REF!</v>
      </c>
      <c r="CO89" s="745" t="e">
        <f t="shared" si="110"/>
        <v>#REF!</v>
      </c>
      <c r="CP89" s="745" t="e">
        <f t="shared" si="111"/>
        <v>#REF!</v>
      </c>
      <c r="CQ89" s="745" t="e">
        <f t="shared" si="112"/>
        <v>#REF!</v>
      </c>
      <c r="CR89" s="745" t="e">
        <f t="shared" si="113"/>
        <v>#REF!</v>
      </c>
      <c r="CS89" s="745" t="e">
        <f t="shared" si="114"/>
        <v>#REF!</v>
      </c>
      <c r="CT89" s="754" t="e">
        <f t="shared" si="103"/>
        <v>#REF!</v>
      </c>
      <c r="CU89" s="755" t="e">
        <f t="shared" si="104"/>
        <v>#REF!</v>
      </c>
      <c r="CV89" s="756">
        <f t="shared" si="105"/>
        <v>36008.9</v>
      </c>
      <c r="CW89" s="757"/>
      <c r="CX89" s="758"/>
      <c r="CY89" s="759"/>
      <c r="CZ89" s="760"/>
      <c r="DA89" s="767"/>
    </row>
    <row r="90" ht="239" customHeight="1" spans="1:105">
      <c r="A90" s="673">
        <v>413</v>
      </c>
      <c r="B90" s="676" t="s">
        <v>1017</v>
      </c>
      <c r="C90" s="677" t="s">
        <v>1527</v>
      </c>
      <c r="D90" s="677" t="s">
        <v>1535</v>
      </c>
      <c r="E90" s="677" t="s">
        <v>135</v>
      </c>
      <c r="F90" s="1452" t="s">
        <v>1018</v>
      </c>
      <c r="G90" s="677" t="s">
        <v>1628</v>
      </c>
      <c r="H90" s="679"/>
      <c r="I90" s="681" t="s">
        <v>915</v>
      </c>
      <c r="J90" s="686" t="s">
        <v>1018</v>
      </c>
      <c r="K90" s="687" t="str">
        <f>'[5] NON-TEACHING STAFF'!$J$76</f>
        <v>22214383007</v>
      </c>
      <c r="L90" s="688">
        <v>1912620</v>
      </c>
      <c r="M90" s="688" t="e">
        <f>S90-#REF!</f>
        <v>#REF!</v>
      </c>
      <c r="N90" s="689">
        <v>1912620</v>
      </c>
      <c r="O90" s="689">
        <v>177283.5</v>
      </c>
      <c r="P90" s="689"/>
      <c r="Q90" s="689">
        <v>44320.875</v>
      </c>
      <c r="R90" s="689">
        <v>30000</v>
      </c>
      <c r="S90" s="689">
        <v>260727.58</v>
      </c>
      <c r="T90" s="689"/>
      <c r="U90" s="689"/>
      <c r="V90" s="689"/>
      <c r="W90" s="689"/>
      <c r="X90" s="689"/>
      <c r="Y90" s="689"/>
      <c r="Z90" s="689"/>
      <c r="AA90" s="689"/>
      <c r="AB90" s="689">
        <v>12500</v>
      </c>
      <c r="AC90" s="689">
        <v>2500</v>
      </c>
      <c r="AD90" s="689"/>
      <c r="AE90" s="689"/>
      <c r="AF90" s="689"/>
      <c r="AG90" s="689"/>
      <c r="AH90" s="689"/>
      <c r="AI90" s="689"/>
      <c r="AJ90" s="689">
        <v>2500</v>
      </c>
      <c r="AK90" s="689"/>
      <c r="AL90" s="689">
        <v>383.33</v>
      </c>
      <c r="AM90" s="689"/>
      <c r="AN90" s="689"/>
      <c r="AO90" s="689"/>
      <c r="AP90" s="689"/>
      <c r="AQ90" s="689"/>
      <c r="AR90" s="689"/>
      <c r="AS90" s="689"/>
      <c r="AT90" s="689"/>
      <c r="AU90" s="689">
        <f t="shared" si="100"/>
        <v>10429.1032</v>
      </c>
      <c r="AV90" s="689"/>
      <c r="AW90" s="689">
        <v>2000</v>
      </c>
      <c r="AX90" s="718">
        <f t="shared" si="101"/>
        <v>5214.5516</v>
      </c>
      <c r="AY90" s="718"/>
      <c r="AZ90" s="718"/>
      <c r="BA90" s="689"/>
      <c r="BB90" s="689"/>
      <c r="BC90" s="689"/>
      <c r="BD90" s="719"/>
      <c r="BE90" s="719"/>
      <c r="BF90" s="689"/>
      <c r="BG90" s="689"/>
      <c r="BH90" s="727"/>
      <c r="BI90" s="689"/>
      <c r="BJ90" s="689"/>
      <c r="BK90" s="689"/>
      <c r="BL90" s="689">
        <v>15000</v>
      </c>
      <c r="BM90" s="689"/>
      <c r="BN90" s="689"/>
      <c r="BO90" s="689">
        <v>52500</v>
      </c>
      <c r="BP90" s="689"/>
      <c r="BQ90" s="689"/>
      <c r="BR90" s="731"/>
      <c r="BS90" s="731"/>
      <c r="BT90" s="731"/>
      <c r="BU90" s="731"/>
      <c r="BV90" s="731"/>
      <c r="BW90" s="731"/>
      <c r="BX90" s="731"/>
      <c r="BY90" s="731"/>
      <c r="BZ90" s="731">
        <v>1500</v>
      </c>
      <c r="CA90" s="718">
        <f t="shared" si="94"/>
        <v>5564.5516</v>
      </c>
      <c r="CB90" s="735"/>
      <c r="CC90" s="731">
        <v>33908.9</v>
      </c>
      <c r="CD90" s="702">
        <f t="shared" si="97"/>
        <v>278227.58</v>
      </c>
      <c r="CE90" s="731">
        <f t="shared" si="99"/>
        <v>126117.1064</v>
      </c>
      <c r="CF90" s="739">
        <f t="shared" si="98"/>
        <v>152110.4736</v>
      </c>
      <c r="CG90" s="742">
        <f t="shared" si="96"/>
        <v>126117.1064</v>
      </c>
      <c r="CH90" s="743" t="e">
        <f>'[6]JACKSON AKPOJARO '!C234*12</f>
        <v>#REF!</v>
      </c>
      <c r="CI90" s="744" t="e">
        <f t="shared" si="106"/>
        <v>#REF!</v>
      </c>
      <c r="CJ90" s="745">
        <f t="shared" si="102"/>
        <v>0</v>
      </c>
      <c r="CK90" s="748" t="e">
        <f t="shared" si="107"/>
        <v>#REF!</v>
      </c>
      <c r="CL90" s="749" t="e">
        <f t="shared" si="108"/>
        <v>#REF!</v>
      </c>
      <c r="CM90" s="744"/>
      <c r="CN90" s="745" t="e">
        <f t="shared" si="109"/>
        <v>#REF!</v>
      </c>
      <c r="CO90" s="745" t="e">
        <f t="shared" si="110"/>
        <v>#REF!</v>
      </c>
      <c r="CP90" s="745" t="e">
        <f t="shared" si="111"/>
        <v>#REF!</v>
      </c>
      <c r="CQ90" s="745" t="e">
        <f t="shared" si="112"/>
        <v>#REF!</v>
      </c>
      <c r="CR90" s="745" t="e">
        <f t="shared" si="113"/>
        <v>#REF!</v>
      </c>
      <c r="CS90" s="745" t="e">
        <f t="shared" si="114"/>
        <v>#REF!</v>
      </c>
      <c r="CT90" s="754" t="e">
        <f t="shared" si="103"/>
        <v>#REF!</v>
      </c>
      <c r="CU90" s="755" t="e">
        <f t="shared" si="104"/>
        <v>#REF!</v>
      </c>
      <c r="CV90" s="756">
        <f t="shared" si="105"/>
        <v>33908.9</v>
      </c>
      <c r="CW90" s="757"/>
      <c r="CX90" s="758"/>
      <c r="CY90" s="759"/>
      <c r="CZ90" s="760"/>
      <c r="DA90" s="767"/>
    </row>
    <row r="91" ht="236" customHeight="1" spans="1:105">
      <c r="A91" s="675">
        <v>414</v>
      </c>
      <c r="B91" s="676" t="s">
        <v>1019</v>
      </c>
      <c r="C91" s="677" t="s">
        <v>1636</v>
      </c>
      <c r="D91" s="677" t="s">
        <v>1637</v>
      </c>
      <c r="E91" s="677" t="s">
        <v>113</v>
      </c>
      <c r="F91" s="677">
        <v>2011462879</v>
      </c>
      <c r="G91" s="677" t="s">
        <v>1638</v>
      </c>
      <c r="H91" s="679"/>
      <c r="I91" s="681" t="s">
        <v>113</v>
      </c>
      <c r="J91" s="686">
        <v>2011462879</v>
      </c>
      <c r="K91" s="687" t="str">
        <f>'[5] NON-TEACHING STAFF'!$J$77</f>
        <v>22162855836</v>
      </c>
      <c r="L91" s="688">
        <v>2565313</v>
      </c>
      <c r="M91" s="688" t="e">
        <f>S91-#REF!</f>
        <v>#REF!</v>
      </c>
      <c r="N91" s="689">
        <v>2390149</v>
      </c>
      <c r="O91" s="689">
        <v>199179.08</v>
      </c>
      <c r="P91" s="689"/>
      <c r="Q91" s="689">
        <v>49794.77</v>
      </c>
      <c r="R91" s="689">
        <v>30000</v>
      </c>
      <c r="S91" s="689">
        <v>315466.58</v>
      </c>
      <c r="T91" s="689"/>
      <c r="U91" s="689"/>
      <c r="V91" s="689"/>
      <c r="W91" s="689"/>
      <c r="X91" s="689"/>
      <c r="Y91" s="689"/>
      <c r="Z91" s="689"/>
      <c r="AA91" s="689"/>
      <c r="AB91" s="689"/>
      <c r="AC91" s="689">
        <v>2500</v>
      </c>
      <c r="AD91" s="689"/>
      <c r="AE91" s="689"/>
      <c r="AF91" s="689"/>
      <c r="AG91" s="689"/>
      <c r="AH91" s="689"/>
      <c r="AI91" s="689"/>
      <c r="AJ91" s="689">
        <v>2500</v>
      </c>
      <c r="AK91" s="689"/>
      <c r="AL91" s="689">
        <v>383.33</v>
      </c>
      <c r="AM91" s="689"/>
      <c r="AN91" s="689"/>
      <c r="AO91" s="689"/>
      <c r="AP91" s="689"/>
      <c r="AQ91" s="689"/>
      <c r="AR91" s="689"/>
      <c r="AS91" s="689"/>
      <c r="AT91" s="689"/>
      <c r="AU91" s="689">
        <f t="shared" si="100"/>
        <v>12618.6632</v>
      </c>
      <c r="AV91" s="689"/>
      <c r="AW91" s="689">
        <v>3000</v>
      </c>
      <c r="AX91" s="718">
        <f t="shared" si="101"/>
        <v>6309.3316</v>
      </c>
      <c r="AY91" s="718"/>
      <c r="AZ91" s="718"/>
      <c r="BA91" s="689"/>
      <c r="BB91" s="689"/>
      <c r="BC91" s="689"/>
      <c r="BD91" s="719"/>
      <c r="BE91" s="719"/>
      <c r="BF91" s="689"/>
      <c r="BG91" s="689"/>
      <c r="BH91" s="727"/>
      <c r="BI91" s="689"/>
      <c r="BJ91" s="689"/>
      <c r="BK91" s="689"/>
      <c r="BL91" s="689">
        <v>8333.33</v>
      </c>
      <c r="BM91" s="689"/>
      <c r="BN91" s="689"/>
      <c r="BO91" s="689">
        <v>10000</v>
      </c>
      <c r="BP91" s="689"/>
      <c r="BQ91" s="689"/>
      <c r="BR91" s="731"/>
      <c r="BS91" s="731"/>
      <c r="BT91" s="731"/>
      <c r="BU91" s="731"/>
      <c r="BV91" s="731"/>
      <c r="BW91" s="731"/>
      <c r="BX91" s="731"/>
      <c r="BY91" s="731">
        <v>2000</v>
      </c>
      <c r="BZ91" s="731">
        <v>2000</v>
      </c>
      <c r="CA91" s="718">
        <f t="shared" si="94"/>
        <v>6409.3316</v>
      </c>
      <c r="CB91" s="735"/>
      <c r="CC91" s="731">
        <v>41005.05</v>
      </c>
      <c r="CD91" s="702">
        <f t="shared" si="97"/>
        <v>320466.58</v>
      </c>
      <c r="CE91" s="731">
        <f t="shared" si="99"/>
        <v>91675.7064</v>
      </c>
      <c r="CF91" s="739">
        <f t="shared" si="98"/>
        <v>228790.8736</v>
      </c>
      <c r="CG91" s="742">
        <f t="shared" si="96"/>
        <v>91675.7064</v>
      </c>
      <c r="CH91" s="743" t="e">
        <f>'[6]JACKSON AKPOJARO '!C235*12</f>
        <v>#REF!</v>
      </c>
      <c r="CI91" s="744" t="e">
        <f t="shared" si="106"/>
        <v>#REF!</v>
      </c>
      <c r="CJ91" s="745">
        <f t="shared" si="102"/>
        <v>0</v>
      </c>
      <c r="CK91" s="748" t="e">
        <f t="shared" si="107"/>
        <v>#REF!</v>
      </c>
      <c r="CL91" s="749" t="e">
        <f t="shared" si="108"/>
        <v>#REF!</v>
      </c>
      <c r="CM91" s="744"/>
      <c r="CN91" s="745" t="e">
        <f t="shared" si="109"/>
        <v>#REF!</v>
      </c>
      <c r="CO91" s="745" t="e">
        <f t="shared" si="110"/>
        <v>#REF!</v>
      </c>
      <c r="CP91" s="745" t="e">
        <f t="shared" si="111"/>
        <v>#REF!</v>
      </c>
      <c r="CQ91" s="745" t="e">
        <f t="shared" si="112"/>
        <v>#REF!</v>
      </c>
      <c r="CR91" s="745" t="e">
        <f t="shared" si="113"/>
        <v>#REF!</v>
      </c>
      <c r="CS91" s="745" t="e">
        <f t="shared" si="114"/>
        <v>#REF!</v>
      </c>
      <c r="CT91" s="754" t="e">
        <f t="shared" si="103"/>
        <v>#REF!</v>
      </c>
      <c r="CU91" s="755" t="e">
        <f t="shared" si="104"/>
        <v>#REF!</v>
      </c>
      <c r="CV91" s="756">
        <f t="shared" si="105"/>
        <v>41005.05</v>
      </c>
      <c r="CW91" s="757"/>
      <c r="CX91" s="758"/>
      <c r="CY91" s="759"/>
      <c r="CZ91" s="760"/>
      <c r="DA91" s="767"/>
    </row>
    <row r="92" ht="236" customHeight="1" spans="1:105">
      <c r="A92" s="673">
        <v>415</v>
      </c>
      <c r="B92" s="676" t="s">
        <v>1020</v>
      </c>
      <c r="C92" s="677" t="s">
        <v>1527</v>
      </c>
      <c r="D92" s="677" t="s">
        <v>1639</v>
      </c>
      <c r="E92" s="677" t="s">
        <v>873</v>
      </c>
      <c r="F92" s="677" t="s">
        <v>1021</v>
      </c>
      <c r="G92" s="677" t="s">
        <v>1596</v>
      </c>
      <c r="H92" s="679"/>
      <c r="I92" s="681" t="s">
        <v>127</v>
      </c>
      <c r="J92" s="686" t="s">
        <v>1021</v>
      </c>
      <c r="K92" s="690">
        <f>'[5] NON-TEACHING STAFF'!$J$78</f>
        <v>22284782801</v>
      </c>
      <c r="L92" s="699">
        <v>3003155</v>
      </c>
      <c r="M92" s="688" t="e">
        <f>S92-#REF!</f>
        <v>#REF!</v>
      </c>
      <c r="N92" s="689">
        <v>3003155</v>
      </c>
      <c r="O92" s="689">
        <v>293611.17</v>
      </c>
      <c r="P92" s="689"/>
      <c r="Q92" s="689">
        <v>73402.7925</v>
      </c>
      <c r="R92" s="689">
        <v>30000</v>
      </c>
      <c r="S92" s="689">
        <v>410097.33</v>
      </c>
      <c r="T92" s="691"/>
      <c r="U92" s="691"/>
      <c r="V92" s="691"/>
      <c r="W92" s="691"/>
      <c r="X92" s="691"/>
      <c r="Y92" s="691"/>
      <c r="Z92" s="691"/>
      <c r="AA92" s="691">
        <v>46318.29</v>
      </c>
      <c r="AB92" s="691">
        <v>25000</v>
      </c>
      <c r="AC92" s="689">
        <v>2500</v>
      </c>
      <c r="AD92" s="691"/>
      <c r="AE92" s="691"/>
      <c r="AF92" s="691"/>
      <c r="AG92" s="691"/>
      <c r="AH92" s="691">
        <v>51750</v>
      </c>
      <c r="AI92" s="691"/>
      <c r="AJ92" s="691">
        <v>2500</v>
      </c>
      <c r="AK92" s="691"/>
      <c r="AL92" s="691">
        <v>383.33</v>
      </c>
      <c r="AM92" s="691"/>
      <c r="AN92" s="691"/>
      <c r="AO92" s="691"/>
      <c r="AP92" s="691"/>
      <c r="AQ92" s="691"/>
      <c r="AR92" s="691"/>
      <c r="AS92" s="691"/>
      <c r="AT92" s="691"/>
      <c r="AU92" s="689">
        <f t="shared" si="100"/>
        <v>16403.8932</v>
      </c>
      <c r="AV92" s="689"/>
      <c r="AW92" s="691">
        <v>2500</v>
      </c>
      <c r="AX92" s="718">
        <f t="shared" si="101"/>
        <v>8201.9466</v>
      </c>
      <c r="AY92" s="718"/>
      <c r="AZ92" s="718"/>
      <c r="BA92" s="691"/>
      <c r="BB92" s="691"/>
      <c r="BC92" s="691"/>
      <c r="BD92" s="720"/>
      <c r="BE92" s="719"/>
      <c r="BF92" s="691"/>
      <c r="BG92" s="691"/>
      <c r="BH92" s="729"/>
      <c r="BI92" s="691"/>
      <c r="BJ92" s="691"/>
      <c r="BK92" s="691"/>
      <c r="BL92" s="691">
        <v>10000</v>
      </c>
      <c r="BM92" s="691"/>
      <c r="BN92" s="691"/>
      <c r="BO92" s="691">
        <v>200000</v>
      </c>
      <c r="BP92" s="691"/>
      <c r="BQ92" s="691"/>
      <c r="BR92" s="732"/>
      <c r="BS92" s="732"/>
      <c r="BT92" s="732"/>
      <c r="BU92" s="732"/>
      <c r="BV92" s="732"/>
      <c r="BW92" s="732"/>
      <c r="BX92" s="732"/>
      <c r="BY92" s="732">
        <v>2000</v>
      </c>
      <c r="BZ92" s="731">
        <v>2000</v>
      </c>
      <c r="CA92" s="718">
        <f t="shared" si="94"/>
        <v>10763.3124</v>
      </c>
      <c r="CB92" s="736"/>
      <c r="CC92" s="731">
        <v>99354.4602266666</v>
      </c>
      <c r="CD92" s="702">
        <f t="shared" si="97"/>
        <v>538165.62</v>
      </c>
      <c r="CE92" s="731">
        <f t="shared" si="99"/>
        <v>351223.612426667</v>
      </c>
      <c r="CF92" s="739">
        <f t="shared" si="98"/>
        <v>186942.007573333</v>
      </c>
      <c r="CG92" s="742">
        <f t="shared" si="96"/>
        <v>351223.612426667</v>
      </c>
      <c r="CH92" s="743" t="e">
        <f>'[6]JACKSON AKPOJARO '!C236*12</f>
        <v>#REF!</v>
      </c>
      <c r="CI92" s="744" t="e">
        <f t="shared" si="106"/>
        <v>#REF!</v>
      </c>
      <c r="CJ92" s="745">
        <f t="shared" si="102"/>
        <v>0</v>
      </c>
      <c r="CK92" s="748" t="e">
        <f t="shared" si="107"/>
        <v>#REF!</v>
      </c>
      <c r="CL92" s="749" t="e">
        <f t="shared" si="108"/>
        <v>#REF!</v>
      </c>
      <c r="CM92" s="744"/>
      <c r="CN92" s="745" t="e">
        <f t="shared" si="109"/>
        <v>#REF!</v>
      </c>
      <c r="CO92" s="745" t="e">
        <f t="shared" si="110"/>
        <v>#REF!</v>
      </c>
      <c r="CP92" s="745" t="e">
        <f t="shared" si="111"/>
        <v>#REF!</v>
      </c>
      <c r="CQ92" s="745" t="e">
        <f t="shared" si="112"/>
        <v>#REF!</v>
      </c>
      <c r="CR92" s="745" t="e">
        <f t="shared" si="113"/>
        <v>#REF!</v>
      </c>
      <c r="CS92" s="745" t="e">
        <f t="shared" si="114"/>
        <v>#REF!</v>
      </c>
      <c r="CT92" s="754" t="e">
        <f t="shared" si="103"/>
        <v>#REF!</v>
      </c>
      <c r="CU92" s="755" t="e">
        <f t="shared" si="104"/>
        <v>#REF!</v>
      </c>
      <c r="CV92" s="756">
        <f t="shared" si="105"/>
        <v>99354.4602266666</v>
      </c>
      <c r="CW92" s="757"/>
      <c r="CX92" s="758"/>
      <c r="CY92" s="759"/>
      <c r="CZ92" s="760"/>
      <c r="DA92" s="767"/>
    </row>
    <row r="93" ht="236" customHeight="1" spans="1:105">
      <c r="A93" s="675">
        <v>416</v>
      </c>
      <c r="B93" s="676" t="s">
        <v>1022</v>
      </c>
      <c r="C93" s="677" t="s">
        <v>1527</v>
      </c>
      <c r="D93" s="677" t="s">
        <v>1528</v>
      </c>
      <c r="E93" s="677" t="s">
        <v>873</v>
      </c>
      <c r="F93" s="1452" t="s">
        <v>1023</v>
      </c>
      <c r="G93" s="677" t="s">
        <v>1640</v>
      </c>
      <c r="H93" s="679"/>
      <c r="I93" s="681" t="s">
        <v>127</v>
      </c>
      <c r="J93" s="686" t="s">
        <v>1023</v>
      </c>
      <c r="K93" s="687" t="str">
        <f>'[5] NON-TEACHING STAFF'!$J$79</f>
        <v>22238084751</v>
      </c>
      <c r="L93" s="688">
        <v>2022036</v>
      </c>
      <c r="M93" s="688" t="e">
        <f>S93-#REF!</f>
        <v>#REF!</v>
      </c>
      <c r="N93" s="689">
        <v>2214985</v>
      </c>
      <c r="O93" s="689">
        <v>251743.75</v>
      </c>
      <c r="P93" s="689"/>
      <c r="Q93" s="689">
        <v>62935.9375</v>
      </c>
      <c r="R93" s="689">
        <v>30000</v>
      </c>
      <c r="S93" s="689">
        <v>357763.25</v>
      </c>
      <c r="T93" s="689"/>
      <c r="U93" s="689"/>
      <c r="V93" s="689"/>
      <c r="W93" s="689"/>
      <c r="X93" s="689"/>
      <c r="Y93" s="689"/>
      <c r="Z93" s="689"/>
      <c r="AA93" s="691">
        <v>46318.29</v>
      </c>
      <c r="AB93" s="689">
        <v>25000</v>
      </c>
      <c r="AC93" s="689">
        <v>2500</v>
      </c>
      <c r="AD93" s="689"/>
      <c r="AE93" s="689"/>
      <c r="AF93" s="689"/>
      <c r="AG93" s="689"/>
      <c r="AH93" s="689">
        <v>51750</v>
      </c>
      <c r="AI93" s="689"/>
      <c r="AJ93" s="689">
        <v>2500</v>
      </c>
      <c r="AK93" s="689"/>
      <c r="AL93" s="689">
        <v>383.33</v>
      </c>
      <c r="AM93" s="689"/>
      <c r="AN93" s="689"/>
      <c r="AO93" s="689"/>
      <c r="AP93" s="689"/>
      <c r="AQ93" s="689"/>
      <c r="AR93" s="689"/>
      <c r="AS93" s="689"/>
      <c r="AT93" s="689"/>
      <c r="AU93" s="689">
        <f t="shared" si="100"/>
        <v>14310.53</v>
      </c>
      <c r="AV93" s="689"/>
      <c r="AW93" s="689">
        <v>1500</v>
      </c>
      <c r="AX93" s="718">
        <f t="shared" si="101"/>
        <v>7155.265</v>
      </c>
      <c r="AY93" s="718"/>
      <c r="AZ93" s="718"/>
      <c r="BA93" s="689"/>
      <c r="BB93" s="689"/>
      <c r="BC93" s="689"/>
      <c r="BD93" s="719"/>
      <c r="BE93" s="719"/>
      <c r="BF93" s="689"/>
      <c r="BG93" s="689"/>
      <c r="BH93" s="727"/>
      <c r="BI93" s="689"/>
      <c r="BJ93" s="689"/>
      <c r="BK93" s="689"/>
      <c r="BL93" s="689">
        <v>10000</v>
      </c>
      <c r="BM93" s="689"/>
      <c r="BN93" s="689"/>
      <c r="BO93" s="689">
        <v>80000</v>
      </c>
      <c r="BP93" s="689"/>
      <c r="BQ93" s="689"/>
      <c r="BR93" s="731"/>
      <c r="BS93" s="731"/>
      <c r="BT93" s="731"/>
      <c r="BU93" s="731"/>
      <c r="BV93" s="731"/>
      <c r="BW93" s="731"/>
      <c r="BX93" s="731">
        <v>5000</v>
      </c>
      <c r="BY93" s="731"/>
      <c r="BZ93" s="731">
        <v>2000</v>
      </c>
      <c r="CA93" s="718">
        <f t="shared" si="94"/>
        <v>9716.6308</v>
      </c>
      <c r="CB93" s="735"/>
      <c r="CC93" s="731">
        <v>71946.32</v>
      </c>
      <c r="CD93" s="702">
        <f t="shared" si="97"/>
        <v>485831.54</v>
      </c>
      <c r="CE93" s="731">
        <f t="shared" si="99"/>
        <v>201628.7458</v>
      </c>
      <c r="CF93" s="739">
        <f t="shared" si="98"/>
        <v>284202.7942</v>
      </c>
      <c r="CG93" s="742">
        <f t="shared" si="96"/>
        <v>201628.7458</v>
      </c>
      <c r="CH93" s="743" t="e">
        <f>'[6]JACKSON AKPOJARO '!C237*12</f>
        <v>#REF!</v>
      </c>
      <c r="CI93" s="744" t="e">
        <f t="shared" si="106"/>
        <v>#REF!</v>
      </c>
      <c r="CJ93" s="745">
        <f t="shared" si="102"/>
        <v>0</v>
      </c>
      <c r="CK93" s="748" t="e">
        <f t="shared" si="107"/>
        <v>#REF!</v>
      </c>
      <c r="CL93" s="749" t="e">
        <f t="shared" si="108"/>
        <v>#REF!</v>
      </c>
      <c r="CM93" s="744"/>
      <c r="CN93" s="745" t="e">
        <f t="shared" si="109"/>
        <v>#REF!</v>
      </c>
      <c r="CO93" s="745" t="e">
        <f t="shared" si="110"/>
        <v>#REF!</v>
      </c>
      <c r="CP93" s="745" t="e">
        <f t="shared" si="111"/>
        <v>#REF!</v>
      </c>
      <c r="CQ93" s="745" t="e">
        <f t="shared" si="112"/>
        <v>#REF!</v>
      </c>
      <c r="CR93" s="745" t="e">
        <f t="shared" si="113"/>
        <v>#REF!</v>
      </c>
      <c r="CS93" s="745" t="e">
        <f t="shared" si="114"/>
        <v>#REF!</v>
      </c>
      <c r="CT93" s="754" t="e">
        <f t="shared" si="103"/>
        <v>#REF!</v>
      </c>
      <c r="CU93" s="755" t="e">
        <f t="shared" si="104"/>
        <v>#REF!</v>
      </c>
      <c r="CV93" s="756">
        <f t="shared" si="105"/>
        <v>71946.32</v>
      </c>
      <c r="CW93" s="757"/>
      <c r="CX93" s="758"/>
      <c r="CY93" s="759"/>
      <c r="CZ93" s="760"/>
      <c r="DA93" s="767"/>
    </row>
    <row r="94" ht="236" customHeight="1" spans="1:106">
      <c r="A94" s="673">
        <v>417</v>
      </c>
      <c r="B94" s="676" t="s">
        <v>1024</v>
      </c>
      <c r="C94" s="677" t="s">
        <v>1527</v>
      </c>
      <c r="D94" s="677" t="s">
        <v>1528</v>
      </c>
      <c r="E94" s="677" t="s">
        <v>113</v>
      </c>
      <c r="F94" s="1452" t="s">
        <v>1025</v>
      </c>
      <c r="G94" s="677" t="s">
        <v>1529</v>
      </c>
      <c r="H94" s="679"/>
      <c r="I94" s="681" t="s">
        <v>113</v>
      </c>
      <c r="J94" s="686">
        <v>2072416510</v>
      </c>
      <c r="K94" s="687" t="str">
        <f>'[5] NON-TEACHING STAFF'!$J$79</f>
        <v>22238084751</v>
      </c>
      <c r="L94" s="688">
        <v>2131450</v>
      </c>
      <c r="M94" s="688" t="e">
        <f>S94-#REF!</f>
        <v>#REF!</v>
      </c>
      <c r="N94" s="689">
        <v>3272130</v>
      </c>
      <c r="O94" s="689">
        <v>283144.33</v>
      </c>
      <c r="P94" s="689"/>
      <c r="Q94" s="689">
        <v>70786.0825</v>
      </c>
      <c r="R94" s="689">
        <v>30000</v>
      </c>
      <c r="S94" s="689">
        <v>397013.92</v>
      </c>
      <c r="T94" s="689"/>
      <c r="U94" s="689"/>
      <c r="V94" s="689"/>
      <c r="W94" s="689"/>
      <c r="X94" s="689"/>
      <c r="Y94" s="689"/>
      <c r="Z94" s="689"/>
      <c r="AA94" s="786">
        <v>46318.29</v>
      </c>
      <c r="AB94" s="689">
        <v>25000</v>
      </c>
      <c r="AC94" s="689">
        <v>2500</v>
      </c>
      <c r="AD94" s="689"/>
      <c r="AE94" s="689"/>
      <c r="AF94" s="689"/>
      <c r="AG94" s="689"/>
      <c r="AH94" s="689"/>
      <c r="AI94" s="689"/>
      <c r="AJ94" s="689">
        <v>2500</v>
      </c>
      <c r="AK94" s="689"/>
      <c r="AL94" s="689">
        <v>383.33</v>
      </c>
      <c r="AM94" s="689"/>
      <c r="AN94" s="689"/>
      <c r="AO94" s="689"/>
      <c r="AP94" s="689"/>
      <c r="AQ94" s="689"/>
      <c r="AR94" s="689"/>
      <c r="AS94" s="689"/>
      <c r="AT94" s="689"/>
      <c r="AU94" s="689">
        <f t="shared" si="100"/>
        <v>15880.5568</v>
      </c>
      <c r="AV94" s="689"/>
      <c r="AW94" s="689">
        <v>1500</v>
      </c>
      <c r="AX94" s="718">
        <f t="shared" si="101"/>
        <v>7940.2784</v>
      </c>
      <c r="AY94" s="718"/>
      <c r="AZ94" s="718"/>
      <c r="BA94" s="689"/>
      <c r="BB94" s="689"/>
      <c r="BC94" s="689"/>
      <c r="BD94" s="719"/>
      <c r="BE94" s="719"/>
      <c r="BF94" s="689"/>
      <c r="BG94" s="689"/>
      <c r="BH94" s="727"/>
      <c r="BI94" s="689"/>
      <c r="BJ94" s="689"/>
      <c r="BK94" s="689"/>
      <c r="BL94" s="689">
        <v>10000</v>
      </c>
      <c r="BM94" s="689"/>
      <c r="BN94" s="689"/>
      <c r="BO94" s="689">
        <v>52500</v>
      </c>
      <c r="BP94" s="689"/>
      <c r="BQ94" s="689"/>
      <c r="BR94" s="731"/>
      <c r="BS94" s="731"/>
      <c r="BT94" s="731"/>
      <c r="BU94" s="731"/>
      <c r="BV94" s="731"/>
      <c r="BW94" s="731"/>
      <c r="BX94" s="731"/>
      <c r="BY94" s="731">
        <v>2000</v>
      </c>
      <c r="BZ94" s="731">
        <v>2500</v>
      </c>
      <c r="CA94" s="718">
        <f t="shared" si="94"/>
        <v>9466.6442</v>
      </c>
      <c r="CB94" s="735"/>
      <c r="CC94" s="801">
        <v>69546.45</v>
      </c>
      <c r="CD94" s="702">
        <f t="shared" si="97"/>
        <v>473332.21</v>
      </c>
      <c r="CE94" s="731">
        <f t="shared" si="99"/>
        <v>171333.9294</v>
      </c>
      <c r="CF94" s="739">
        <f t="shared" si="98"/>
        <v>301998.2806</v>
      </c>
      <c r="CG94" s="742">
        <f t="shared" si="96"/>
        <v>171333.9294</v>
      </c>
      <c r="CH94" s="743" t="e">
        <f>'[6]JACKSON AKPOJARO '!C238*12</f>
        <v>#REF!</v>
      </c>
      <c r="CI94" s="744" t="e">
        <f t="shared" si="106"/>
        <v>#REF!</v>
      </c>
      <c r="CJ94" s="745">
        <f t="shared" si="102"/>
        <v>0</v>
      </c>
      <c r="CK94" s="748" t="e">
        <f t="shared" si="107"/>
        <v>#REF!</v>
      </c>
      <c r="CL94" s="749" t="e">
        <f t="shared" si="108"/>
        <v>#REF!</v>
      </c>
      <c r="CM94" s="744"/>
      <c r="CN94" s="745" t="e">
        <f t="shared" si="109"/>
        <v>#REF!</v>
      </c>
      <c r="CO94" s="745" t="e">
        <f t="shared" si="110"/>
        <v>#REF!</v>
      </c>
      <c r="CP94" s="745" t="e">
        <f t="shared" si="111"/>
        <v>#REF!</v>
      </c>
      <c r="CQ94" s="745" t="e">
        <f t="shared" si="112"/>
        <v>#REF!</v>
      </c>
      <c r="CR94" s="745" t="e">
        <f t="shared" si="113"/>
        <v>#REF!</v>
      </c>
      <c r="CS94" s="745" t="e">
        <f t="shared" si="114"/>
        <v>#REF!</v>
      </c>
      <c r="CT94" s="754" t="e">
        <f t="shared" ref="CT94:CT105" si="115">1%*CH94</f>
        <v>#REF!</v>
      </c>
      <c r="CU94" s="755" t="e">
        <f t="shared" ref="CU94:CU105" si="116">MAX(CT94:CT94)</f>
        <v>#REF!</v>
      </c>
      <c r="CV94" s="756">
        <f t="shared" si="105"/>
        <v>69546.45</v>
      </c>
      <c r="CW94" s="757"/>
      <c r="CX94" s="758"/>
      <c r="CY94" s="759"/>
      <c r="CZ94" s="760"/>
      <c r="DA94" s="767"/>
      <c r="DB94" s="770"/>
    </row>
    <row r="95" ht="236" customHeight="1" spans="1:105">
      <c r="A95" s="675">
        <v>418</v>
      </c>
      <c r="B95" s="676" t="s">
        <v>1026</v>
      </c>
      <c r="C95" s="677" t="s">
        <v>1527</v>
      </c>
      <c r="D95" s="677" t="s">
        <v>1535</v>
      </c>
      <c r="E95" s="677" t="s">
        <v>93</v>
      </c>
      <c r="F95" s="677" t="s">
        <v>1027</v>
      </c>
      <c r="G95" s="677" t="s">
        <v>1628</v>
      </c>
      <c r="H95" s="679"/>
      <c r="I95" s="681" t="s">
        <v>93</v>
      </c>
      <c r="J95" s="686">
        <v>3034798639</v>
      </c>
      <c r="K95" s="687">
        <f>'[5] NON-TEACHING STAFF'!$J$81</f>
        <v>22298816620</v>
      </c>
      <c r="L95" s="688">
        <f>L93</f>
        <v>2022036</v>
      </c>
      <c r="M95" s="688" t="e">
        <f>S95-#REF!</f>
        <v>#REF!</v>
      </c>
      <c r="N95" s="689">
        <v>2022036</v>
      </c>
      <c r="O95" s="689">
        <v>177283.5</v>
      </c>
      <c r="P95" s="689"/>
      <c r="Q95" s="689">
        <v>44320.875</v>
      </c>
      <c r="R95" s="689">
        <v>30000</v>
      </c>
      <c r="S95" s="689">
        <v>260727.58</v>
      </c>
      <c r="T95" s="689"/>
      <c r="U95" s="689"/>
      <c r="V95" s="689"/>
      <c r="W95" s="689"/>
      <c r="X95" s="689"/>
      <c r="Y95" s="689"/>
      <c r="Z95" s="689"/>
      <c r="AA95" s="689"/>
      <c r="AB95" s="689">
        <v>12500</v>
      </c>
      <c r="AC95" s="689">
        <v>2500</v>
      </c>
      <c r="AD95" s="689"/>
      <c r="AE95" s="689"/>
      <c r="AF95" s="689"/>
      <c r="AG95" s="689"/>
      <c r="AH95" s="689">
        <v>46000</v>
      </c>
      <c r="AI95" s="689"/>
      <c r="AJ95" s="689">
        <v>2500</v>
      </c>
      <c r="AK95" s="689"/>
      <c r="AL95" s="689">
        <v>383.33</v>
      </c>
      <c r="AM95" s="689"/>
      <c r="AN95" s="689"/>
      <c r="AO95" s="689"/>
      <c r="AP95" s="689"/>
      <c r="AQ95" s="689"/>
      <c r="AR95" s="689"/>
      <c r="AS95" s="689"/>
      <c r="AT95" s="689"/>
      <c r="AU95" s="689">
        <f t="shared" si="100"/>
        <v>10429.1032</v>
      </c>
      <c r="AV95" s="689"/>
      <c r="AW95" s="689">
        <v>1500</v>
      </c>
      <c r="AX95" s="718">
        <f t="shared" si="101"/>
        <v>5214.5516</v>
      </c>
      <c r="AY95" s="718"/>
      <c r="AZ95" s="718"/>
      <c r="BA95" s="689"/>
      <c r="BB95" s="689"/>
      <c r="BC95" s="689"/>
      <c r="BD95" s="719"/>
      <c r="BE95" s="719"/>
      <c r="BF95" s="689"/>
      <c r="BG95" s="689"/>
      <c r="BH95" s="727"/>
      <c r="BI95" s="689"/>
      <c r="BJ95" s="689"/>
      <c r="BK95" s="689"/>
      <c r="BL95" s="689">
        <v>8333.33</v>
      </c>
      <c r="BM95" s="689"/>
      <c r="BN95" s="689"/>
      <c r="BO95" s="689">
        <v>20000</v>
      </c>
      <c r="BP95" s="689"/>
      <c r="BQ95" s="689"/>
      <c r="BR95" s="731"/>
      <c r="BS95" s="731"/>
      <c r="BT95" s="731"/>
      <c r="BU95" s="731"/>
      <c r="BV95" s="731"/>
      <c r="BW95" s="731"/>
      <c r="BX95" s="731"/>
      <c r="BY95" s="731">
        <v>2000</v>
      </c>
      <c r="BZ95" s="731">
        <v>1500</v>
      </c>
      <c r="CA95" s="718">
        <f t="shared" si="94"/>
        <v>6484.5516</v>
      </c>
      <c r="CB95" s="735"/>
      <c r="CC95" s="746">
        <v>41636.9</v>
      </c>
      <c r="CD95" s="702">
        <f t="shared" si="97"/>
        <v>324227.58</v>
      </c>
      <c r="CE95" s="731">
        <f t="shared" si="99"/>
        <v>97098.4364</v>
      </c>
      <c r="CF95" s="739">
        <f t="shared" si="98"/>
        <v>227129.1436</v>
      </c>
      <c r="CG95" s="742">
        <f t="shared" si="96"/>
        <v>97098.4364</v>
      </c>
      <c r="CH95" s="743" t="e">
        <f>'[6]JACKSON AKPOJARO '!C239*12</f>
        <v>#REF!</v>
      </c>
      <c r="CI95" s="744" t="e">
        <f t="shared" si="106"/>
        <v>#REF!</v>
      </c>
      <c r="CJ95" s="745">
        <f t="shared" si="102"/>
        <v>0</v>
      </c>
      <c r="CK95" s="748" t="e">
        <f t="shared" si="107"/>
        <v>#REF!</v>
      </c>
      <c r="CL95" s="749" t="e">
        <f t="shared" si="108"/>
        <v>#REF!</v>
      </c>
      <c r="CM95" s="744"/>
      <c r="CN95" s="745" t="e">
        <f t="shared" si="109"/>
        <v>#REF!</v>
      </c>
      <c r="CO95" s="745" t="e">
        <f t="shared" si="110"/>
        <v>#REF!</v>
      </c>
      <c r="CP95" s="745" t="e">
        <f t="shared" si="111"/>
        <v>#REF!</v>
      </c>
      <c r="CQ95" s="745" t="e">
        <f t="shared" si="112"/>
        <v>#REF!</v>
      </c>
      <c r="CR95" s="745" t="e">
        <f t="shared" si="113"/>
        <v>#REF!</v>
      </c>
      <c r="CS95" s="745" t="e">
        <f t="shared" si="114"/>
        <v>#REF!</v>
      </c>
      <c r="CT95" s="754" t="e">
        <f t="shared" si="115"/>
        <v>#REF!</v>
      </c>
      <c r="CU95" s="755" t="e">
        <f t="shared" si="116"/>
        <v>#REF!</v>
      </c>
      <c r="CV95" s="756">
        <f t="shared" si="105"/>
        <v>41636.9</v>
      </c>
      <c r="CW95" s="757"/>
      <c r="CX95" s="758"/>
      <c r="CY95" s="759"/>
      <c r="CZ95" s="760"/>
      <c r="DA95" s="767"/>
    </row>
    <row r="96" ht="236" customHeight="1" spans="1:105">
      <c r="A96" s="673">
        <v>419</v>
      </c>
      <c r="B96" s="676" t="s">
        <v>1028</v>
      </c>
      <c r="C96" s="677" t="s">
        <v>1527</v>
      </c>
      <c r="D96" s="677" t="s">
        <v>1641</v>
      </c>
      <c r="E96" s="777" t="s">
        <v>871</v>
      </c>
      <c r="F96" s="777" t="s">
        <v>1029</v>
      </c>
      <c r="G96" s="677" t="s">
        <v>1642</v>
      </c>
      <c r="H96" s="679"/>
      <c r="I96" s="33" t="s">
        <v>259</v>
      </c>
      <c r="J96" s="33">
        <v>6052614524</v>
      </c>
      <c r="K96" s="687" t="str">
        <f>'[5] NON-TEACHING STAFF'!$J$82</f>
        <v>22397399741</v>
      </c>
      <c r="L96" s="688">
        <v>2022036</v>
      </c>
      <c r="M96" s="688" t="e">
        <f>S96-#REF!</f>
        <v>#REF!</v>
      </c>
      <c r="N96" s="689">
        <v>2022036</v>
      </c>
      <c r="O96" s="689">
        <v>159385</v>
      </c>
      <c r="P96" s="689"/>
      <c r="Q96" s="689">
        <v>39846.25</v>
      </c>
      <c r="R96" s="689">
        <v>30000</v>
      </c>
      <c r="S96" s="689">
        <v>251604.42</v>
      </c>
      <c r="T96" s="689"/>
      <c r="U96" s="689"/>
      <c r="V96" s="689"/>
      <c r="W96" s="689"/>
      <c r="X96" s="689"/>
      <c r="Y96" s="689"/>
      <c r="Z96" s="689"/>
      <c r="AA96" s="689"/>
      <c r="AB96" s="689">
        <v>12500</v>
      </c>
      <c r="AC96" s="689">
        <v>2500</v>
      </c>
      <c r="AD96" s="689"/>
      <c r="AE96" s="689"/>
      <c r="AF96" s="689"/>
      <c r="AG96" s="689"/>
      <c r="AH96" s="689"/>
      <c r="AI96" s="689"/>
      <c r="AJ96" s="689">
        <v>2500</v>
      </c>
      <c r="AK96" s="689"/>
      <c r="AL96" s="689">
        <v>383.33</v>
      </c>
      <c r="AM96" s="689"/>
      <c r="AN96" s="689"/>
      <c r="AO96" s="689"/>
      <c r="AP96" s="689"/>
      <c r="AQ96" s="689"/>
      <c r="AR96" s="689"/>
      <c r="AS96" s="689"/>
      <c r="AT96" s="689"/>
      <c r="AU96" s="689">
        <f t="shared" si="100"/>
        <v>10064.1768</v>
      </c>
      <c r="AV96" s="689"/>
      <c r="AW96" s="689">
        <v>1500</v>
      </c>
      <c r="AX96" s="718">
        <f t="shared" si="101"/>
        <v>5032.0884</v>
      </c>
      <c r="AY96" s="718"/>
      <c r="AZ96" s="718"/>
      <c r="BA96" s="689"/>
      <c r="BB96" s="689"/>
      <c r="BC96" s="689"/>
      <c r="BD96" s="719"/>
      <c r="BE96" s="719"/>
      <c r="BF96" s="689"/>
      <c r="BG96" s="689"/>
      <c r="BH96" s="727"/>
      <c r="BI96" s="689"/>
      <c r="BJ96" s="689"/>
      <c r="BK96" s="689"/>
      <c r="BL96" s="689"/>
      <c r="BM96" s="689"/>
      <c r="BN96" s="689"/>
      <c r="BO96" s="689">
        <v>26666.6666666667</v>
      </c>
      <c r="BP96" s="689"/>
      <c r="BQ96" s="689"/>
      <c r="BR96" s="731"/>
      <c r="BS96" s="731"/>
      <c r="BT96" s="731"/>
      <c r="BU96" s="731"/>
      <c r="BV96" s="731"/>
      <c r="BW96" s="731"/>
      <c r="BX96" s="731"/>
      <c r="BY96" s="731"/>
      <c r="BZ96" s="731">
        <v>1500</v>
      </c>
      <c r="CA96" s="718">
        <f t="shared" si="94"/>
        <v>5382.0884</v>
      </c>
      <c r="CB96" s="735"/>
      <c r="CC96" s="731">
        <v>32376.21</v>
      </c>
      <c r="CD96" s="702">
        <f t="shared" si="97"/>
        <v>269104.42</v>
      </c>
      <c r="CE96" s="731">
        <f t="shared" si="99"/>
        <v>82521.2302666667</v>
      </c>
      <c r="CF96" s="739">
        <f t="shared" si="98"/>
        <v>186583.189733333</v>
      </c>
      <c r="CG96" s="742">
        <f t="shared" si="96"/>
        <v>82521.2302666667</v>
      </c>
      <c r="CH96" s="743" t="e">
        <f>'[6]JACKSON AKPOJARO '!C240*12</f>
        <v>#REF!</v>
      </c>
      <c r="CI96" s="744" t="e">
        <f t="shared" si="106"/>
        <v>#REF!</v>
      </c>
      <c r="CJ96" s="745">
        <f t="shared" si="102"/>
        <v>0</v>
      </c>
      <c r="CK96" s="748" t="e">
        <f t="shared" si="107"/>
        <v>#REF!</v>
      </c>
      <c r="CL96" s="749" t="e">
        <f t="shared" si="108"/>
        <v>#REF!</v>
      </c>
      <c r="CM96" s="744"/>
      <c r="CN96" s="745" t="e">
        <f t="shared" si="109"/>
        <v>#REF!</v>
      </c>
      <c r="CO96" s="745" t="e">
        <f t="shared" si="110"/>
        <v>#REF!</v>
      </c>
      <c r="CP96" s="745" t="e">
        <f t="shared" si="111"/>
        <v>#REF!</v>
      </c>
      <c r="CQ96" s="745" t="e">
        <f t="shared" si="112"/>
        <v>#REF!</v>
      </c>
      <c r="CR96" s="745" t="e">
        <f t="shared" si="113"/>
        <v>#REF!</v>
      </c>
      <c r="CS96" s="745" t="e">
        <f t="shared" si="114"/>
        <v>#REF!</v>
      </c>
      <c r="CT96" s="754" t="e">
        <f t="shared" si="115"/>
        <v>#REF!</v>
      </c>
      <c r="CU96" s="755" t="e">
        <f t="shared" si="116"/>
        <v>#REF!</v>
      </c>
      <c r="CV96" s="756">
        <f t="shared" si="105"/>
        <v>32376.21</v>
      </c>
      <c r="CW96" s="757"/>
      <c r="CX96" s="758"/>
      <c r="CY96" s="759"/>
      <c r="CZ96" s="760"/>
      <c r="DA96" s="767"/>
    </row>
    <row r="97" ht="236" customHeight="1" spans="1:105">
      <c r="A97" s="675">
        <v>420</v>
      </c>
      <c r="B97" s="676" t="s">
        <v>1030</v>
      </c>
      <c r="C97" s="677" t="s">
        <v>1527</v>
      </c>
      <c r="D97" s="677" t="s">
        <v>1643</v>
      </c>
      <c r="E97" s="677" t="s">
        <v>873</v>
      </c>
      <c r="F97" s="1452" t="s">
        <v>1031</v>
      </c>
      <c r="G97" s="677" t="s">
        <v>1628</v>
      </c>
      <c r="H97" s="679"/>
      <c r="I97" s="681" t="s">
        <v>127</v>
      </c>
      <c r="J97" s="686" t="s">
        <v>1031</v>
      </c>
      <c r="K97" s="687" t="str">
        <f>'[5] NON-TEACHING STAFF'!$J$83</f>
        <v>22195120275</v>
      </c>
      <c r="L97" s="688">
        <v>1967327</v>
      </c>
      <c r="M97" s="688" t="e">
        <f>S97-#REF!</f>
        <v>#REF!</v>
      </c>
      <c r="N97" s="689">
        <v>1967327</v>
      </c>
      <c r="O97" s="689">
        <v>177283.5</v>
      </c>
      <c r="P97" s="689"/>
      <c r="Q97" s="689">
        <v>44320.875</v>
      </c>
      <c r="R97" s="689">
        <v>30000</v>
      </c>
      <c r="S97" s="689">
        <v>260727.58</v>
      </c>
      <c r="T97" s="689"/>
      <c r="U97" s="689"/>
      <c r="V97" s="689"/>
      <c r="W97" s="689"/>
      <c r="X97" s="689"/>
      <c r="Y97" s="689"/>
      <c r="Z97" s="689"/>
      <c r="AA97" s="689"/>
      <c r="AB97" s="689">
        <v>25000</v>
      </c>
      <c r="AC97" s="689">
        <v>2500</v>
      </c>
      <c r="AD97" s="689"/>
      <c r="AE97" s="689"/>
      <c r="AF97" s="689"/>
      <c r="AG97" s="689"/>
      <c r="AH97" s="689"/>
      <c r="AI97" s="689"/>
      <c r="AJ97" s="689">
        <v>2500</v>
      </c>
      <c r="AK97" s="689"/>
      <c r="AL97" s="689">
        <v>383.33</v>
      </c>
      <c r="AM97" s="689"/>
      <c r="AN97" s="689"/>
      <c r="AO97" s="689"/>
      <c r="AP97" s="689"/>
      <c r="AQ97" s="689"/>
      <c r="AR97" s="689"/>
      <c r="AS97" s="689"/>
      <c r="AT97" s="689"/>
      <c r="AU97" s="689">
        <f t="shared" si="100"/>
        <v>10429.1032</v>
      </c>
      <c r="AV97" s="689"/>
      <c r="AW97" s="689">
        <v>1500</v>
      </c>
      <c r="AX97" s="718">
        <f t="shared" si="101"/>
        <v>5214.5516</v>
      </c>
      <c r="AY97" s="718"/>
      <c r="AZ97" s="718"/>
      <c r="BA97" s="689"/>
      <c r="BB97" s="689"/>
      <c r="BC97" s="689"/>
      <c r="BD97" s="719"/>
      <c r="BE97" s="719"/>
      <c r="BF97" s="689"/>
      <c r="BG97" s="689"/>
      <c r="BH97" s="727"/>
      <c r="BI97" s="689"/>
      <c r="BJ97" s="689"/>
      <c r="BK97" s="689"/>
      <c r="BL97" s="689">
        <v>15000</v>
      </c>
      <c r="BM97" s="689"/>
      <c r="BN97" s="689"/>
      <c r="BO97" s="689">
        <v>42500</v>
      </c>
      <c r="BP97" s="689"/>
      <c r="BQ97" s="689"/>
      <c r="BR97" s="731"/>
      <c r="BS97" s="731"/>
      <c r="BT97" s="731"/>
      <c r="BU97" s="731"/>
      <c r="BV97" s="731"/>
      <c r="BW97" s="731"/>
      <c r="BX97" s="731">
        <v>5000</v>
      </c>
      <c r="BY97" s="731">
        <v>2000</v>
      </c>
      <c r="BZ97" s="731">
        <v>1500</v>
      </c>
      <c r="CA97" s="718">
        <f t="shared" si="94"/>
        <v>5814.5516</v>
      </c>
      <c r="CB97" s="735"/>
      <c r="CC97" s="731">
        <v>36008.9</v>
      </c>
      <c r="CD97" s="702">
        <f t="shared" si="97"/>
        <v>290727.58</v>
      </c>
      <c r="CE97" s="731">
        <f t="shared" si="99"/>
        <v>124967.1064</v>
      </c>
      <c r="CF97" s="739">
        <f t="shared" si="98"/>
        <v>165760.4736</v>
      </c>
      <c r="CG97" s="742">
        <f t="shared" si="96"/>
        <v>124967.1064</v>
      </c>
      <c r="CH97" s="743" t="e">
        <f>'[6]JACKSON AKPOJARO '!C241*12</f>
        <v>#REF!</v>
      </c>
      <c r="CI97" s="744" t="e">
        <f t="shared" si="106"/>
        <v>#REF!</v>
      </c>
      <c r="CJ97" s="745">
        <f t="shared" si="102"/>
        <v>0</v>
      </c>
      <c r="CK97" s="748" t="e">
        <f t="shared" si="107"/>
        <v>#REF!</v>
      </c>
      <c r="CL97" s="749" t="e">
        <f t="shared" si="108"/>
        <v>#REF!</v>
      </c>
      <c r="CM97" s="744"/>
      <c r="CN97" s="745" t="e">
        <f t="shared" si="109"/>
        <v>#REF!</v>
      </c>
      <c r="CO97" s="745" t="e">
        <f t="shared" si="110"/>
        <v>#REF!</v>
      </c>
      <c r="CP97" s="745" t="e">
        <f t="shared" si="111"/>
        <v>#REF!</v>
      </c>
      <c r="CQ97" s="745" t="e">
        <f t="shared" si="112"/>
        <v>#REF!</v>
      </c>
      <c r="CR97" s="745" t="e">
        <f t="shared" si="113"/>
        <v>#REF!</v>
      </c>
      <c r="CS97" s="745" t="e">
        <f t="shared" si="114"/>
        <v>#REF!</v>
      </c>
      <c r="CT97" s="754" t="e">
        <f t="shared" si="115"/>
        <v>#REF!</v>
      </c>
      <c r="CU97" s="755" t="e">
        <f t="shared" si="116"/>
        <v>#REF!</v>
      </c>
      <c r="CV97" s="756">
        <f t="shared" si="105"/>
        <v>36008.9</v>
      </c>
      <c r="CW97" s="757"/>
      <c r="CX97" s="758"/>
      <c r="CY97" s="759"/>
      <c r="CZ97" s="760"/>
      <c r="DA97" s="767"/>
    </row>
    <row r="98" ht="236" customHeight="1" spans="1:106">
      <c r="A98" s="673">
        <v>421</v>
      </c>
      <c r="B98" s="676" t="s">
        <v>1032</v>
      </c>
      <c r="C98" s="677" t="s">
        <v>1527</v>
      </c>
      <c r="D98" s="677" t="s">
        <v>1643</v>
      </c>
      <c r="E98" s="677" t="s">
        <v>873</v>
      </c>
      <c r="F98" s="1452" t="s">
        <v>1033</v>
      </c>
      <c r="G98" s="677" t="s">
        <v>1628</v>
      </c>
      <c r="H98" s="679"/>
      <c r="I98" s="681" t="s">
        <v>127</v>
      </c>
      <c r="J98" s="686" t="s">
        <v>1033</v>
      </c>
      <c r="K98" s="687" t="str">
        <f>'[5] NON-TEACHING STAFF'!$J$85</f>
        <v>2235236851</v>
      </c>
      <c r="L98" s="688">
        <v>1967327</v>
      </c>
      <c r="M98" s="688" t="e">
        <f>S98-#REF!</f>
        <v>#REF!</v>
      </c>
      <c r="N98" s="689">
        <v>1967327</v>
      </c>
      <c r="O98" s="689">
        <v>177283.5</v>
      </c>
      <c r="P98" s="689"/>
      <c r="Q98" s="689">
        <v>44320.875</v>
      </c>
      <c r="R98" s="689">
        <v>30000</v>
      </c>
      <c r="S98" s="689"/>
      <c r="T98" s="689"/>
      <c r="U98" s="689"/>
      <c r="V98" s="689"/>
      <c r="W98" s="689"/>
      <c r="X98" s="689"/>
      <c r="Y98" s="689"/>
      <c r="Z98" s="689"/>
      <c r="AA98" s="689"/>
      <c r="AB98" s="689"/>
      <c r="AC98" s="689"/>
      <c r="AD98" s="689"/>
      <c r="AE98" s="689"/>
      <c r="AF98" s="689"/>
      <c r="AG98" s="689"/>
      <c r="AH98" s="689"/>
      <c r="AI98" s="689"/>
      <c r="AJ98" s="689"/>
      <c r="AK98" s="689"/>
      <c r="AL98" s="689">
        <v>383.33</v>
      </c>
      <c r="AM98" s="689"/>
      <c r="AN98" s="689"/>
      <c r="AO98" s="689"/>
      <c r="AP98" s="689"/>
      <c r="AQ98" s="689"/>
      <c r="AR98" s="689"/>
      <c r="AS98" s="689"/>
      <c r="AT98" s="689"/>
      <c r="AU98" s="689"/>
      <c r="AV98" s="689"/>
      <c r="AW98" s="689"/>
      <c r="AX98" s="718"/>
      <c r="AY98" s="718"/>
      <c r="AZ98" s="718"/>
      <c r="BA98" s="689"/>
      <c r="BB98" s="689"/>
      <c r="BC98" s="689"/>
      <c r="BD98" s="719"/>
      <c r="BE98" s="719"/>
      <c r="BF98" s="689"/>
      <c r="BG98" s="689"/>
      <c r="BH98" s="727"/>
      <c r="BI98" s="689"/>
      <c r="BJ98" s="689"/>
      <c r="BK98" s="689"/>
      <c r="BL98" s="689"/>
      <c r="BM98" s="689"/>
      <c r="BN98" s="689"/>
      <c r="BO98" s="689"/>
      <c r="BP98" s="689"/>
      <c r="BQ98" s="689"/>
      <c r="BR98" s="731"/>
      <c r="BS98" s="731"/>
      <c r="BT98" s="731"/>
      <c r="BU98" s="731"/>
      <c r="BV98" s="731"/>
      <c r="BW98" s="731"/>
      <c r="BX98" s="731"/>
      <c r="BY98" s="731"/>
      <c r="BZ98" s="731"/>
      <c r="CA98" s="718"/>
      <c r="CB98" s="735"/>
      <c r="CC98" s="731"/>
      <c r="CD98" s="702"/>
      <c r="CE98" s="731"/>
      <c r="CF98" s="739"/>
      <c r="CG98" s="742">
        <f t="shared" si="96"/>
        <v>0</v>
      </c>
      <c r="CH98" s="743" t="e">
        <f>'[6]JACKSON AKPOJARO '!C243*12</f>
        <v>#REF!</v>
      </c>
      <c r="CI98" s="744" t="e">
        <f t="shared" si="106"/>
        <v>#REF!</v>
      </c>
      <c r="CJ98" s="745">
        <f t="shared" si="102"/>
        <v>0</v>
      </c>
      <c r="CK98" s="748" t="e">
        <f t="shared" si="107"/>
        <v>#REF!</v>
      </c>
      <c r="CL98" s="749" t="e">
        <f t="shared" si="108"/>
        <v>#REF!</v>
      </c>
      <c r="CM98" s="744"/>
      <c r="CN98" s="745" t="e">
        <f t="shared" si="109"/>
        <v>#REF!</v>
      </c>
      <c r="CO98" s="745" t="e">
        <f t="shared" si="110"/>
        <v>#REF!</v>
      </c>
      <c r="CP98" s="745" t="e">
        <f t="shared" si="111"/>
        <v>#REF!</v>
      </c>
      <c r="CQ98" s="745" t="e">
        <f t="shared" si="112"/>
        <v>#REF!</v>
      </c>
      <c r="CR98" s="745" t="e">
        <f t="shared" si="113"/>
        <v>#REF!</v>
      </c>
      <c r="CS98" s="745" t="e">
        <f t="shared" si="114"/>
        <v>#REF!</v>
      </c>
      <c r="CT98" s="754" t="e">
        <f t="shared" si="115"/>
        <v>#REF!</v>
      </c>
      <c r="CU98" s="755" t="e">
        <f t="shared" si="116"/>
        <v>#REF!</v>
      </c>
      <c r="CV98" s="756">
        <f t="shared" si="105"/>
        <v>0</v>
      </c>
      <c r="CW98" s="757"/>
      <c r="CX98" s="758"/>
      <c r="CY98" s="759"/>
      <c r="CZ98" s="760"/>
      <c r="DA98" s="767"/>
      <c r="DB98" s="818" t="s">
        <v>1644</v>
      </c>
    </row>
    <row r="99" ht="236" customHeight="1" spans="1:105">
      <c r="A99" s="675">
        <v>422</v>
      </c>
      <c r="B99" s="676" t="s">
        <v>1034</v>
      </c>
      <c r="C99" s="677" t="s">
        <v>1527</v>
      </c>
      <c r="D99" s="677" t="s">
        <v>1528</v>
      </c>
      <c r="E99" s="677" t="s">
        <v>93</v>
      </c>
      <c r="F99" s="677" t="s">
        <v>1035</v>
      </c>
      <c r="G99" s="677" t="s">
        <v>1529</v>
      </c>
      <c r="H99" s="679"/>
      <c r="I99" s="681" t="s">
        <v>93</v>
      </c>
      <c r="J99" s="686">
        <v>3034637187</v>
      </c>
      <c r="K99" s="687">
        <f>'[5] NON-TEACHING STAFF'!$J$86</f>
        <v>22263982125</v>
      </c>
      <c r="L99" s="688">
        <f>L94</f>
        <v>2131450</v>
      </c>
      <c r="M99" s="688" t="e">
        <f>S99-#REF!</f>
        <v>#REF!</v>
      </c>
      <c r="N99" s="689">
        <v>3272130</v>
      </c>
      <c r="O99" s="689">
        <v>283144.33</v>
      </c>
      <c r="P99" s="689"/>
      <c r="Q99" s="689">
        <v>70786.0825</v>
      </c>
      <c r="R99" s="689">
        <v>30000</v>
      </c>
      <c r="S99" s="689">
        <v>397013.92</v>
      </c>
      <c r="T99" s="689"/>
      <c r="U99" s="689"/>
      <c r="V99" s="689"/>
      <c r="W99" s="689"/>
      <c r="X99" s="689"/>
      <c r="Y99" s="689"/>
      <c r="Z99" s="689"/>
      <c r="AA99" s="689">
        <f>S99*0.35/3</f>
        <v>46318.2906666667</v>
      </c>
      <c r="AB99" s="689">
        <v>25000</v>
      </c>
      <c r="AC99" s="689">
        <v>2500</v>
      </c>
      <c r="AD99" s="689"/>
      <c r="AE99" s="689"/>
      <c r="AF99" s="689"/>
      <c r="AG99" s="689"/>
      <c r="AH99" s="689"/>
      <c r="AI99" s="689"/>
      <c r="AJ99" s="689">
        <v>2500</v>
      </c>
      <c r="AK99" s="689"/>
      <c r="AL99" s="689">
        <v>383.33</v>
      </c>
      <c r="AM99" s="689"/>
      <c r="AN99" s="689"/>
      <c r="AO99" s="689"/>
      <c r="AP99" s="689"/>
      <c r="AQ99" s="689"/>
      <c r="AR99" s="689"/>
      <c r="AS99" s="689"/>
      <c r="AT99" s="689"/>
      <c r="AU99" s="689">
        <f t="shared" si="100"/>
        <v>15880.5568</v>
      </c>
      <c r="AV99" s="689"/>
      <c r="AW99" s="689">
        <v>2500</v>
      </c>
      <c r="AX99" s="718">
        <f t="shared" si="101"/>
        <v>7940.2784</v>
      </c>
      <c r="AY99" s="718"/>
      <c r="AZ99" s="718"/>
      <c r="BA99" s="689"/>
      <c r="BB99" s="689"/>
      <c r="BC99" s="689"/>
      <c r="BD99" s="719"/>
      <c r="BE99" s="719"/>
      <c r="BF99" s="689"/>
      <c r="BG99" s="689"/>
      <c r="BH99" s="727"/>
      <c r="BI99" s="689"/>
      <c r="BJ99" s="689"/>
      <c r="BK99" s="689"/>
      <c r="BL99" s="689">
        <v>15000</v>
      </c>
      <c r="BM99" s="689"/>
      <c r="BN99" s="689"/>
      <c r="BO99" s="689">
        <v>302709.333333333</v>
      </c>
      <c r="BP99" s="689"/>
      <c r="BQ99" s="689"/>
      <c r="BR99" s="731"/>
      <c r="BS99" s="731"/>
      <c r="BT99" s="731"/>
      <c r="BU99" s="731"/>
      <c r="BV99" s="731"/>
      <c r="BW99" s="731"/>
      <c r="BX99" s="731">
        <v>5000</v>
      </c>
      <c r="BY99" s="731">
        <v>2000</v>
      </c>
      <c r="BZ99" s="731">
        <v>2500</v>
      </c>
      <c r="CA99" s="718">
        <f t="shared" si="94"/>
        <v>9466.64421333333</v>
      </c>
      <c r="CB99" s="735"/>
      <c r="CC99" s="731">
        <v>69546.45</v>
      </c>
      <c r="CD99" s="702">
        <f t="shared" si="97"/>
        <v>473332.210666667</v>
      </c>
      <c r="CE99" s="731">
        <f t="shared" si="99"/>
        <v>432543.262746666</v>
      </c>
      <c r="CF99" s="739">
        <f t="shared" si="98"/>
        <v>40788.9479200003</v>
      </c>
      <c r="CG99" s="742">
        <f t="shared" si="96"/>
        <v>432543.262746666</v>
      </c>
      <c r="CH99" s="743" t="e">
        <f>'[6]JACKSON AKPOJARO '!C244*12</f>
        <v>#REF!</v>
      </c>
      <c r="CI99" s="744" t="e">
        <f t="shared" si="106"/>
        <v>#REF!</v>
      </c>
      <c r="CJ99" s="745">
        <f t="shared" si="102"/>
        <v>0</v>
      </c>
      <c r="CK99" s="748" t="e">
        <f t="shared" si="107"/>
        <v>#REF!</v>
      </c>
      <c r="CL99" s="749" t="e">
        <f t="shared" si="108"/>
        <v>#REF!</v>
      </c>
      <c r="CM99" s="744"/>
      <c r="CN99" s="745" t="e">
        <f t="shared" si="109"/>
        <v>#REF!</v>
      </c>
      <c r="CO99" s="745" t="e">
        <f t="shared" si="110"/>
        <v>#REF!</v>
      </c>
      <c r="CP99" s="745" t="e">
        <f t="shared" si="111"/>
        <v>#REF!</v>
      </c>
      <c r="CQ99" s="745" t="e">
        <f t="shared" si="112"/>
        <v>#REF!</v>
      </c>
      <c r="CR99" s="745" t="e">
        <f t="shared" si="113"/>
        <v>#REF!</v>
      </c>
      <c r="CS99" s="745" t="e">
        <f t="shared" si="114"/>
        <v>#REF!</v>
      </c>
      <c r="CT99" s="754" t="e">
        <f t="shared" si="115"/>
        <v>#REF!</v>
      </c>
      <c r="CU99" s="755" t="e">
        <f t="shared" si="116"/>
        <v>#REF!</v>
      </c>
      <c r="CV99" s="756">
        <f t="shared" si="105"/>
        <v>69546.45</v>
      </c>
      <c r="CW99" s="757"/>
      <c r="CX99" s="758"/>
      <c r="CY99" s="759"/>
      <c r="CZ99" s="760"/>
      <c r="DA99" s="767"/>
    </row>
    <row r="100" ht="236" customHeight="1" spans="1:106">
      <c r="A100" s="673">
        <v>423</v>
      </c>
      <c r="B100" s="676" t="s">
        <v>1036</v>
      </c>
      <c r="C100" s="677" t="s">
        <v>1579</v>
      </c>
      <c r="D100" s="677" t="s">
        <v>1645</v>
      </c>
      <c r="E100" s="677" t="s">
        <v>1037</v>
      </c>
      <c r="F100" s="1452" t="s">
        <v>1038</v>
      </c>
      <c r="G100" s="677" t="s">
        <v>1574</v>
      </c>
      <c r="H100" s="679"/>
      <c r="I100" s="681" t="s">
        <v>1646</v>
      </c>
      <c r="J100" s="686" t="s">
        <v>1038</v>
      </c>
      <c r="K100" s="687" t="str">
        <f>'[5] NON-TEACHING STAFF'!$J$88</f>
        <v>22336650438</v>
      </c>
      <c r="L100" s="688">
        <v>1761232</v>
      </c>
      <c r="M100" s="688" t="e">
        <f>S100-#REF!</f>
        <v>#REF!</v>
      </c>
      <c r="N100" s="689">
        <v>1762132</v>
      </c>
      <c r="O100" s="689">
        <v>150267.08</v>
      </c>
      <c r="P100" s="689"/>
      <c r="Q100" s="689">
        <v>37566.77</v>
      </c>
      <c r="R100" s="689">
        <v>30000</v>
      </c>
      <c r="S100" s="689">
        <v>223532.58</v>
      </c>
      <c r="T100" s="689">
        <f>S100*0.11</f>
        <v>24588.5838</v>
      </c>
      <c r="U100" s="689"/>
      <c r="V100" s="689"/>
      <c r="W100" s="689"/>
      <c r="X100" s="689"/>
      <c r="Y100" s="689"/>
      <c r="Z100" s="689"/>
      <c r="AA100" s="689"/>
      <c r="AB100" s="689"/>
      <c r="AC100" s="689">
        <v>2500</v>
      </c>
      <c r="AD100" s="689"/>
      <c r="AE100" s="689"/>
      <c r="AF100" s="689"/>
      <c r="AG100" s="689"/>
      <c r="AH100" s="689"/>
      <c r="AI100" s="689"/>
      <c r="AJ100" s="689">
        <v>2500</v>
      </c>
      <c r="AK100" s="689"/>
      <c r="AL100" s="689">
        <v>383.33</v>
      </c>
      <c r="AM100" s="689"/>
      <c r="AN100" s="689"/>
      <c r="AO100" s="689"/>
      <c r="AP100" s="689"/>
      <c r="AQ100" s="689"/>
      <c r="AR100" s="689"/>
      <c r="AS100" s="689"/>
      <c r="AT100" s="689"/>
      <c r="AU100" s="689">
        <f t="shared" si="100"/>
        <v>8941.3032</v>
      </c>
      <c r="AV100" s="689"/>
      <c r="AW100" s="689"/>
      <c r="AX100" s="718">
        <f t="shared" si="101"/>
        <v>4470.6516</v>
      </c>
      <c r="AY100" s="718"/>
      <c r="AZ100" s="718"/>
      <c r="BA100" s="689"/>
      <c r="BB100" s="689">
        <v>50000</v>
      </c>
      <c r="BC100" s="689"/>
      <c r="BD100" s="719"/>
      <c r="BE100" s="719"/>
      <c r="BF100" s="689"/>
      <c r="BG100" s="689"/>
      <c r="BH100" s="727"/>
      <c r="BI100" s="689"/>
      <c r="BJ100" s="689"/>
      <c r="BK100" s="689"/>
      <c r="BL100" s="689"/>
      <c r="BM100" s="689"/>
      <c r="BN100" s="689"/>
      <c r="BO100" s="689">
        <v>60000</v>
      </c>
      <c r="BP100" s="689"/>
      <c r="BQ100" s="689"/>
      <c r="BR100" s="731"/>
      <c r="BS100" s="731"/>
      <c r="BT100" s="731"/>
      <c r="BU100" s="731"/>
      <c r="BV100" s="731"/>
      <c r="BW100" s="731"/>
      <c r="BX100" s="731"/>
      <c r="BY100" s="731"/>
      <c r="BZ100" s="731">
        <v>1000</v>
      </c>
      <c r="CA100" s="718">
        <f t="shared" si="94"/>
        <v>5062.423276</v>
      </c>
      <c r="CB100" s="735"/>
      <c r="CC100" s="731">
        <v>29691.02</v>
      </c>
      <c r="CD100" s="702">
        <f t="shared" si="97"/>
        <v>253121.1638</v>
      </c>
      <c r="CE100" s="731">
        <f t="shared" si="99"/>
        <v>159165.398076</v>
      </c>
      <c r="CF100" s="739">
        <f t="shared" si="98"/>
        <v>93955.765724</v>
      </c>
      <c r="CG100" s="742">
        <f t="shared" si="96"/>
        <v>159165.398076</v>
      </c>
      <c r="CH100" s="743" t="e">
        <f>'[6]JACKSON AKPOJARO '!C246*12</f>
        <v>#REF!</v>
      </c>
      <c r="CI100" s="744" t="e">
        <f t="shared" si="106"/>
        <v>#REF!</v>
      </c>
      <c r="CJ100" s="745">
        <f t="shared" si="102"/>
        <v>0</v>
      </c>
      <c r="CK100" s="748" t="e">
        <f t="shared" si="107"/>
        <v>#REF!</v>
      </c>
      <c r="CL100" s="749" t="e">
        <f t="shared" si="108"/>
        <v>#REF!</v>
      </c>
      <c r="CM100" s="744"/>
      <c r="CN100" s="745" t="e">
        <f t="shared" si="109"/>
        <v>#REF!</v>
      </c>
      <c r="CO100" s="745" t="e">
        <f t="shared" si="110"/>
        <v>#REF!</v>
      </c>
      <c r="CP100" s="745" t="e">
        <f t="shared" si="111"/>
        <v>#REF!</v>
      </c>
      <c r="CQ100" s="745" t="e">
        <f t="shared" si="112"/>
        <v>#REF!</v>
      </c>
      <c r="CR100" s="745" t="e">
        <f t="shared" si="113"/>
        <v>#REF!</v>
      </c>
      <c r="CS100" s="745" t="e">
        <f t="shared" si="114"/>
        <v>#REF!</v>
      </c>
      <c r="CT100" s="754" t="e">
        <f t="shared" si="115"/>
        <v>#REF!</v>
      </c>
      <c r="CU100" s="755" t="e">
        <f t="shared" si="116"/>
        <v>#REF!</v>
      </c>
      <c r="CV100" s="756">
        <f t="shared" si="105"/>
        <v>29691.02</v>
      </c>
      <c r="CW100" s="757"/>
      <c r="CX100" s="758"/>
      <c r="CY100" s="759"/>
      <c r="CZ100" s="760"/>
      <c r="DA100" s="767"/>
      <c r="DB100" s="770"/>
    </row>
    <row r="101" ht="236" customHeight="1" spans="1:105">
      <c r="A101" s="675">
        <v>424</v>
      </c>
      <c r="B101" s="676" t="s">
        <v>1039</v>
      </c>
      <c r="C101" s="677" t="s">
        <v>1527</v>
      </c>
      <c r="D101" s="677" t="s">
        <v>1647</v>
      </c>
      <c r="E101" s="677" t="s">
        <v>151</v>
      </c>
      <c r="F101" s="677" t="s">
        <v>1040</v>
      </c>
      <c r="G101" s="677" t="s">
        <v>1614</v>
      </c>
      <c r="H101" s="679"/>
      <c r="I101" s="681" t="s">
        <v>93</v>
      </c>
      <c r="J101" s="686">
        <v>3127251153</v>
      </c>
      <c r="K101" s="687" t="str">
        <f>'[5] NON-TEACHING STAFF'!$J$89</f>
        <v>22484040019</v>
      </c>
      <c r="L101" s="688">
        <v>520773</v>
      </c>
      <c r="M101" s="688" t="e">
        <f>S101-#REF!</f>
        <v>#REF!</v>
      </c>
      <c r="N101" s="689">
        <v>520773</v>
      </c>
      <c r="O101" s="689">
        <v>43397.75</v>
      </c>
      <c r="P101" s="689"/>
      <c r="Q101" s="689">
        <v>10849.4375</v>
      </c>
      <c r="R101" s="689">
        <v>42499.98</v>
      </c>
      <c r="S101" s="689">
        <v>97433.33</v>
      </c>
      <c r="T101" s="689"/>
      <c r="U101" s="689"/>
      <c r="V101" s="689"/>
      <c r="W101" s="689"/>
      <c r="X101" s="689"/>
      <c r="Y101" s="689"/>
      <c r="Z101" s="689"/>
      <c r="AA101" s="689"/>
      <c r="AB101" s="689"/>
      <c r="AC101" s="689">
        <v>2500</v>
      </c>
      <c r="AD101" s="689"/>
      <c r="AE101" s="689"/>
      <c r="AF101" s="689"/>
      <c r="AG101" s="689"/>
      <c r="AH101" s="689"/>
      <c r="AI101" s="689"/>
      <c r="AJ101" s="689">
        <v>2500</v>
      </c>
      <c r="AK101" s="689"/>
      <c r="AL101" s="689">
        <v>383.33</v>
      </c>
      <c r="AM101" s="689"/>
      <c r="AN101" s="689"/>
      <c r="AO101" s="689"/>
      <c r="AP101" s="689"/>
      <c r="AQ101" s="689"/>
      <c r="AR101" s="689"/>
      <c r="AS101" s="689"/>
      <c r="AT101" s="689"/>
      <c r="AU101" s="689">
        <f>S101*0.03</f>
        <v>2922.9999</v>
      </c>
      <c r="AV101" s="689"/>
      <c r="AW101" s="689"/>
      <c r="AX101" s="718"/>
      <c r="AY101" s="718"/>
      <c r="AZ101" s="718"/>
      <c r="BA101" s="689"/>
      <c r="BB101" s="689"/>
      <c r="BC101" s="689"/>
      <c r="BD101" s="719"/>
      <c r="BE101" s="719">
        <f t="shared" si="95"/>
        <v>2922.9999</v>
      </c>
      <c r="BF101" s="689"/>
      <c r="BG101" s="689"/>
      <c r="BH101" s="727"/>
      <c r="BI101" s="689"/>
      <c r="BJ101" s="689"/>
      <c r="BK101" s="689"/>
      <c r="BL101" s="689"/>
      <c r="BM101" s="689"/>
      <c r="BN101" s="689"/>
      <c r="BO101" s="689">
        <v>0</v>
      </c>
      <c r="BP101" s="689"/>
      <c r="BQ101" s="689"/>
      <c r="BR101" s="731"/>
      <c r="BS101" s="731"/>
      <c r="BT101" s="731"/>
      <c r="BU101" s="731"/>
      <c r="BV101" s="731"/>
      <c r="BW101" s="731"/>
      <c r="BX101" s="731"/>
      <c r="BY101" s="731">
        <v>1000</v>
      </c>
      <c r="BZ101" s="731">
        <v>500</v>
      </c>
      <c r="CA101" s="718">
        <f t="shared" si="94"/>
        <v>2048.6666</v>
      </c>
      <c r="CB101" s="735"/>
      <c r="CC101" s="731">
        <v>6792</v>
      </c>
      <c r="CD101" s="702">
        <f t="shared" si="97"/>
        <v>102433.33</v>
      </c>
      <c r="CE101" s="731">
        <f t="shared" si="99"/>
        <v>16186.6664</v>
      </c>
      <c r="CF101" s="739">
        <f t="shared" si="98"/>
        <v>86246.6636</v>
      </c>
      <c r="CG101" s="742">
        <f t="shared" si="96"/>
        <v>16186.6664</v>
      </c>
      <c r="CH101" s="743" t="e">
        <f>'[6]JACKSON AKPOJARO '!C247*12</f>
        <v>#REF!</v>
      </c>
      <c r="CI101" s="744" t="e">
        <f t="shared" si="106"/>
        <v>#REF!</v>
      </c>
      <c r="CJ101" s="745">
        <f t="shared" si="102"/>
        <v>0</v>
      </c>
      <c r="CK101" s="748" t="e">
        <f t="shared" si="107"/>
        <v>#REF!</v>
      </c>
      <c r="CL101" s="749" t="e">
        <f t="shared" si="108"/>
        <v>#REF!</v>
      </c>
      <c r="CM101" s="744"/>
      <c r="CN101" s="745" t="e">
        <f t="shared" si="109"/>
        <v>#REF!</v>
      </c>
      <c r="CO101" s="745" t="e">
        <f t="shared" si="110"/>
        <v>#REF!</v>
      </c>
      <c r="CP101" s="745" t="e">
        <f t="shared" si="111"/>
        <v>#REF!</v>
      </c>
      <c r="CQ101" s="745" t="e">
        <f t="shared" si="112"/>
        <v>#REF!</v>
      </c>
      <c r="CR101" s="745" t="e">
        <f t="shared" si="113"/>
        <v>#REF!</v>
      </c>
      <c r="CS101" s="745" t="e">
        <f t="shared" si="114"/>
        <v>#REF!</v>
      </c>
      <c r="CT101" s="754" t="e">
        <f t="shared" si="115"/>
        <v>#REF!</v>
      </c>
      <c r="CU101" s="755" t="e">
        <f t="shared" si="116"/>
        <v>#REF!</v>
      </c>
      <c r="CV101" s="756">
        <f t="shared" si="105"/>
        <v>6792</v>
      </c>
      <c r="CW101" s="757"/>
      <c r="CX101" s="758"/>
      <c r="CY101" s="759"/>
      <c r="CZ101" s="760"/>
      <c r="DA101" s="767"/>
    </row>
    <row r="102" ht="236" customHeight="1" spans="1:106">
      <c r="A102" s="673">
        <v>425</v>
      </c>
      <c r="B102" s="676" t="s">
        <v>1041</v>
      </c>
      <c r="C102" s="677" t="s">
        <v>1527</v>
      </c>
      <c r="D102" s="677" t="s">
        <v>1648</v>
      </c>
      <c r="E102" s="677" t="s">
        <v>915</v>
      </c>
      <c r="F102" s="1452" t="s">
        <v>1042</v>
      </c>
      <c r="G102" s="677" t="s">
        <v>1630</v>
      </c>
      <c r="H102" s="679"/>
      <c r="I102" s="681" t="s">
        <v>135</v>
      </c>
      <c r="J102" s="783" t="s">
        <v>1042</v>
      </c>
      <c r="K102" s="687" t="str">
        <f>'[5] NON-TEACHING STAFF'!$J$90</f>
        <v>22185579012</v>
      </c>
      <c r="L102" s="688">
        <v>2240866</v>
      </c>
      <c r="M102" s="688" t="e">
        <f>S102-#REF!</f>
        <v>#REF!</v>
      </c>
      <c r="N102" s="689">
        <v>2240866</v>
      </c>
      <c r="O102" s="689">
        <v>199179.08</v>
      </c>
      <c r="P102" s="689"/>
      <c r="Q102" s="689">
        <v>49794.77</v>
      </c>
      <c r="R102" s="689">
        <v>30000</v>
      </c>
      <c r="S102" s="689">
        <v>288097.08</v>
      </c>
      <c r="T102" s="689"/>
      <c r="U102" s="689"/>
      <c r="V102" s="689"/>
      <c r="W102" s="689"/>
      <c r="X102" s="689"/>
      <c r="Y102" s="689"/>
      <c r="Z102" s="689"/>
      <c r="AA102" s="689"/>
      <c r="AB102" s="689">
        <v>25000</v>
      </c>
      <c r="AC102" s="689">
        <v>2500</v>
      </c>
      <c r="AD102" s="689"/>
      <c r="AE102" s="689"/>
      <c r="AF102" s="689"/>
      <c r="AG102" s="689"/>
      <c r="AH102" s="689">
        <v>46000</v>
      </c>
      <c r="AI102" s="689"/>
      <c r="AJ102" s="689">
        <v>2500</v>
      </c>
      <c r="AK102" s="689"/>
      <c r="AL102" s="689">
        <v>383.33</v>
      </c>
      <c r="AM102" s="689"/>
      <c r="AN102" s="689"/>
      <c r="AO102" s="689"/>
      <c r="AP102" s="689"/>
      <c r="AQ102" s="689"/>
      <c r="AR102" s="689"/>
      <c r="AS102" s="689"/>
      <c r="AT102" s="689"/>
      <c r="AU102" s="689">
        <f t="shared" si="100"/>
        <v>11523.8832</v>
      </c>
      <c r="AV102" s="689"/>
      <c r="AW102" s="689"/>
      <c r="AX102" s="790">
        <f>S102*0.02</f>
        <v>5761.9416</v>
      </c>
      <c r="AY102" s="718"/>
      <c r="AZ102" s="718"/>
      <c r="BA102" s="689"/>
      <c r="BB102" s="689">
        <v>41666.67</v>
      </c>
      <c r="BC102" s="689"/>
      <c r="BD102" s="719"/>
      <c r="BE102" s="719"/>
      <c r="BF102" s="689"/>
      <c r="BG102" s="689"/>
      <c r="BH102" s="727">
        <v>3000</v>
      </c>
      <c r="BI102" s="689"/>
      <c r="BJ102" s="689"/>
      <c r="BK102" s="689"/>
      <c r="BL102" s="689">
        <v>10000</v>
      </c>
      <c r="BM102" s="689"/>
      <c r="BN102" s="689"/>
      <c r="BO102" s="689">
        <v>131923.08</v>
      </c>
      <c r="BP102" s="689"/>
      <c r="BQ102" s="689"/>
      <c r="BR102" s="731"/>
      <c r="BS102" s="731"/>
      <c r="BT102" s="731"/>
      <c r="BU102" s="731"/>
      <c r="BV102" s="731"/>
      <c r="BW102" s="731"/>
      <c r="BX102" s="731"/>
      <c r="BY102" s="731">
        <v>2000</v>
      </c>
      <c r="BZ102" s="731">
        <v>1500</v>
      </c>
      <c r="CA102" s="718">
        <f t="shared" si="94"/>
        <v>7281.9416</v>
      </c>
      <c r="CB102" s="735"/>
      <c r="CC102" s="731">
        <v>48573.3060266667</v>
      </c>
      <c r="CD102" s="702">
        <f t="shared" si="97"/>
        <v>364097.08</v>
      </c>
      <c r="CE102" s="731">
        <f t="shared" si="99"/>
        <v>263230.822426667</v>
      </c>
      <c r="CF102" s="739">
        <f t="shared" si="98"/>
        <v>100866.257573333</v>
      </c>
      <c r="CG102" s="742">
        <f t="shared" si="96"/>
        <v>263230.822426667</v>
      </c>
      <c r="CH102" s="743" t="e">
        <f>'[6]JACKSON AKPOJARO '!C248*12</f>
        <v>#REF!</v>
      </c>
      <c r="CI102" s="744" t="e">
        <f t="shared" si="106"/>
        <v>#REF!</v>
      </c>
      <c r="CJ102" s="745">
        <f t="shared" si="102"/>
        <v>0</v>
      </c>
      <c r="CK102" s="748" t="e">
        <f t="shared" si="107"/>
        <v>#REF!</v>
      </c>
      <c r="CL102" s="749" t="e">
        <f t="shared" si="108"/>
        <v>#REF!</v>
      </c>
      <c r="CM102" s="744"/>
      <c r="CN102" s="745" t="e">
        <f t="shared" si="109"/>
        <v>#REF!</v>
      </c>
      <c r="CO102" s="745" t="e">
        <f t="shared" si="110"/>
        <v>#REF!</v>
      </c>
      <c r="CP102" s="745" t="e">
        <f t="shared" si="111"/>
        <v>#REF!</v>
      </c>
      <c r="CQ102" s="745" t="e">
        <f t="shared" si="112"/>
        <v>#REF!</v>
      </c>
      <c r="CR102" s="745" t="e">
        <f t="shared" si="113"/>
        <v>#REF!</v>
      </c>
      <c r="CS102" s="745" t="e">
        <f t="shared" si="114"/>
        <v>#REF!</v>
      </c>
      <c r="CT102" s="754" t="e">
        <f t="shared" si="115"/>
        <v>#REF!</v>
      </c>
      <c r="CU102" s="755" t="e">
        <f t="shared" si="116"/>
        <v>#REF!</v>
      </c>
      <c r="CV102" s="756">
        <f t="shared" si="105"/>
        <v>48573.3060266667</v>
      </c>
      <c r="CW102" s="757"/>
      <c r="CX102" s="758"/>
      <c r="CY102" s="759"/>
      <c r="CZ102" s="760"/>
      <c r="DA102" s="767"/>
      <c r="DB102" s="770"/>
    </row>
    <row r="103" ht="236" customHeight="1" spans="1:105">
      <c r="A103" s="675">
        <v>426</v>
      </c>
      <c r="B103" s="676" t="s">
        <v>1043</v>
      </c>
      <c r="C103" s="677" t="s">
        <v>1561</v>
      </c>
      <c r="D103" s="677" t="s">
        <v>1649</v>
      </c>
      <c r="E103" s="677" t="s">
        <v>135</v>
      </c>
      <c r="F103" s="1452" t="s">
        <v>1044</v>
      </c>
      <c r="G103" s="677" t="s">
        <v>1536</v>
      </c>
      <c r="H103" s="679"/>
      <c r="I103" s="681" t="s">
        <v>135</v>
      </c>
      <c r="J103" s="686" t="s">
        <v>1044</v>
      </c>
      <c r="K103" s="687">
        <f>'[5] NON-TEACHING STAFF'!$J$91</f>
        <v>22213317368</v>
      </c>
      <c r="L103" s="688">
        <v>2022036</v>
      </c>
      <c r="M103" s="688" t="e">
        <f>S103-#REF!</f>
        <v>#REF!</v>
      </c>
      <c r="N103" s="689">
        <v>2022036</v>
      </c>
      <c r="O103" s="689">
        <v>173061.92</v>
      </c>
      <c r="P103" s="689"/>
      <c r="Q103" s="689">
        <v>43265.48</v>
      </c>
      <c r="R103" s="689">
        <v>30000</v>
      </c>
      <c r="S103" s="689">
        <v>269850.67</v>
      </c>
      <c r="T103" s="689"/>
      <c r="U103" s="689"/>
      <c r="V103" s="689"/>
      <c r="W103" s="689"/>
      <c r="X103" s="689"/>
      <c r="Y103" s="689"/>
      <c r="Z103" s="689"/>
      <c r="AA103" s="689"/>
      <c r="AB103" s="689">
        <v>41666.67</v>
      </c>
      <c r="AC103" s="689">
        <v>2500</v>
      </c>
      <c r="AD103" s="689"/>
      <c r="AE103" s="689"/>
      <c r="AF103" s="689"/>
      <c r="AG103" s="689"/>
      <c r="AH103" s="689"/>
      <c r="AI103" s="689"/>
      <c r="AJ103" s="689">
        <v>2500</v>
      </c>
      <c r="AK103" s="689"/>
      <c r="AL103" s="689">
        <v>383.33</v>
      </c>
      <c r="AM103" s="689"/>
      <c r="AN103" s="689"/>
      <c r="AO103" s="689"/>
      <c r="AP103" s="689"/>
      <c r="AQ103" s="689"/>
      <c r="AR103" s="689"/>
      <c r="AS103" s="689"/>
      <c r="AT103" s="689"/>
      <c r="AU103" s="689">
        <f t="shared" si="100"/>
        <v>10794.0268</v>
      </c>
      <c r="AV103" s="689"/>
      <c r="AW103" s="689"/>
      <c r="AX103" s="718">
        <f t="shared" si="101"/>
        <v>5397.0134</v>
      </c>
      <c r="AY103" s="718"/>
      <c r="AZ103" s="718"/>
      <c r="BA103" s="689"/>
      <c r="BB103" s="689"/>
      <c r="BC103" s="689"/>
      <c r="BD103" s="719"/>
      <c r="BE103" s="719"/>
      <c r="BF103" s="689"/>
      <c r="BG103" s="689"/>
      <c r="BH103" s="727"/>
      <c r="BI103" s="689"/>
      <c r="BJ103" s="689"/>
      <c r="BK103" s="689"/>
      <c r="BL103" s="689">
        <v>5000</v>
      </c>
      <c r="BM103" s="689"/>
      <c r="BN103" s="689"/>
      <c r="BO103" s="689">
        <v>70000</v>
      </c>
      <c r="BP103" s="689"/>
      <c r="BQ103" s="689"/>
      <c r="BR103" s="731"/>
      <c r="BS103" s="731"/>
      <c r="BT103" s="731"/>
      <c r="BU103" s="731"/>
      <c r="BV103" s="731"/>
      <c r="BW103" s="731"/>
      <c r="BX103" s="731">
        <v>5000</v>
      </c>
      <c r="BY103" s="731"/>
      <c r="BZ103" s="731">
        <v>1500</v>
      </c>
      <c r="CA103" s="718">
        <f t="shared" si="94"/>
        <v>6330.3468</v>
      </c>
      <c r="CB103" s="735"/>
      <c r="CC103" s="731">
        <v>40341.58</v>
      </c>
      <c r="CD103" s="702">
        <f t="shared" si="97"/>
        <v>316517.34</v>
      </c>
      <c r="CE103" s="731">
        <f t="shared" si="99"/>
        <v>144362.967</v>
      </c>
      <c r="CF103" s="739">
        <f t="shared" si="98"/>
        <v>172154.373</v>
      </c>
      <c r="CG103" s="742">
        <f t="shared" si="96"/>
        <v>144362.967</v>
      </c>
      <c r="CH103" s="743" t="e">
        <f>'[6]JACKSON AKPOJARO '!C249*12</f>
        <v>#REF!</v>
      </c>
      <c r="CI103" s="744" t="e">
        <f t="shared" si="106"/>
        <v>#REF!</v>
      </c>
      <c r="CJ103" s="745">
        <f t="shared" si="102"/>
        <v>0</v>
      </c>
      <c r="CK103" s="748" t="e">
        <f t="shared" si="107"/>
        <v>#REF!</v>
      </c>
      <c r="CL103" s="749" t="e">
        <f t="shared" si="108"/>
        <v>#REF!</v>
      </c>
      <c r="CM103" s="744"/>
      <c r="CN103" s="745" t="e">
        <f t="shared" si="109"/>
        <v>#REF!</v>
      </c>
      <c r="CO103" s="745" t="e">
        <f t="shared" si="110"/>
        <v>#REF!</v>
      </c>
      <c r="CP103" s="745" t="e">
        <f t="shared" si="111"/>
        <v>#REF!</v>
      </c>
      <c r="CQ103" s="745" t="e">
        <f t="shared" si="112"/>
        <v>#REF!</v>
      </c>
      <c r="CR103" s="745" t="e">
        <f t="shared" si="113"/>
        <v>#REF!</v>
      </c>
      <c r="CS103" s="745" t="e">
        <f t="shared" si="114"/>
        <v>#REF!</v>
      </c>
      <c r="CT103" s="754" t="e">
        <f t="shared" si="115"/>
        <v>#REF!</v>
      </c>
      <c r="CU103" s="755" t="e">
        <f t="shared" si="116"/>
        <v>#REF!</v>
      </c>
      <c r="CV103" s="756">
        <f t="shared" si="105"/>
        <v>40341.58</v>
      </c>
      <c r="CW103" s="757"/>
      <c r="CX103" s="758"/>
      <c r="CY103" s="759"/>
      <c r="CZ103" s="760"/>
      <c r="DA103" s="767"/>
    </row>
    <row r="104" ht="236" customHeight="1" spans="1:105">
      <c r="A104" s="673">
        <v>427</v>
      </c>
      <c r="B104" s="676" t="s">
        <v>1045</v>
      </c>
      <c r="C104" s="677" t="s">
        <v>1594</v>
      </c>
      <c r="D104" s="677" t="s">
        <v>1650</v>
      </c>
      <c r="E104" s="677" t="s">
        <v>135</v>
      </c>
      <c r="F104" s="1452" t="s">
        <v>1046</v>
      </c>
      <c r="G104" s="677" t="s">
        <v>1625</v>
      </c>
      <c r="H104" s="679"/>
      <c r="I104" s="681" t="s">
        <v>915</v>
      </c>
      <c r="J104" s="686" t="s">
        <v>1046</v>
      </c>
      <c r="K104" s="687" t="str">
        <f>'[5] NON-TEACHING STAFF'!$J$92</f>
        <v>22227202098</v>
      </c>
      <c r="L104" s="688" t="e">
        <f>#REF!*12</f>
        <v>#REF!</v>
      </c>
      <c r="M104" s="688" t="e">
        <f>S104-#REF!</f>
        <v>#REF!</v>
      </c>
      <c r="N104" s="689"/>
      <c r="O104" s="689">
        <v>30000</v>
      </c>
      <c r="P104" s="689"/>
      <c r="Q104" s="689">
        <v>7500</v>
      </c>
      <c r="R104" s="689">
        <v>43499.98</v>
      </c>
      <c r="S104" s="689">
        <f t="shared" ref="S104:S127" si="117">SUM(O104:R104)</f>
        <v>80999.98</v>
      </c>
      <c r="T104" s="689"/>
      <c r="U104" s="689"/>
      <c r="V104" s="689"/>
      <c r="W104" s="689"/>
      <c r="X104" s="689"/>
      <c r="Y104" s="689"/>
      <c r="Z104" s="689"/>
      <c r="AA104" s="689"/>
      <c r="AB104" s="689"/>
      <c r="AC104" s="689">
        <v>2500</v>
      </c>
      <c r="AD104" s="689"/>
      <c r="AE104" s="689"/>
      <c r="AF104" s="689"/>
      <c r="AG104" s="689"/>
      <c r="AH104" s="689"/>
      <c r="AI104" s="689"/>
      <c r="AJ104" s="689">
        <v>2500</v>
      </c>
      <c r="AK104" s="689"/>
      <c r="AL104" s="689">
        <v>383.33</v>
      </c>
      <c r="AM104" s="689"/>
      <c r="AN104" s="689"/>
      <c r="AO104" s="689"/>
      <c r="AP104" s="689"/>
      <c r="AQ104" s="689"/>
      <c r="AR104" s="689"/>
      <c r="AS104" s="689"/>
      <c r="AT104" s="689"/>
      <c r="AU104" s="689">
        <f>S104*0.03</f>
        <v>2429.9994</v>
      </c>
      <c r="AV104" s="689"/>
      <c r="AW104" s="689"/>
      <c r="AX104" s="689">
        <v>1619.9996</v>
      </c>
      <c r="AY104" s="718"/>
      <c r="AZ104" s="718"/>
      <c r="BA104" s="689"/>
      <c r="BB104" s="689"/>
      <c r="BC104" s="689"/>
      <c r="BD104" s="719"/>
      <c r="BE104" s="719">
        <f t="shared" si="95"/>
        <v>2429.9994</v>
      </c>
      <c r="BF104" s="689"/>
      <c r="BG104" s="689"/>
      <c r="BH104" s="727"/>
      <c r="BI104" s="689"/>
      <c r="BJ104" s="689"/>
      <c r="BK104" s="689"/>
      <c r="BL104" s="689"/>
      <c r="BM104" s="689"/>
      <c r="BN104" s="689"/>
      <c r="BO104" s="689">
        <v>0</v>
      </c>
      <c r="BP104" s="689"/>
      <c r="BQ104" s="689"/>
      <c r="BR104" s="731"/>
      <c r="BS104" s="731" t="s">
        <v>1525</v>
      </c>
      <c r="BT104" s="731"/>
      <c r="BU104" s="731"/>
      <c r="BV104" s="731"/>
      <c r="BW104" s="731"/>
      <c r="BX104" s="731">
        <v>5000</v>
      </c>
      <c r="BY104" s="731"/>
      <c r="BZ104" s="731">
        <v>500</v>
      </c>
      <c r="CA104" s="718">
        <f t="shared" si="94"/>
        <v>1719.9996</v>
      </c>
      <c r="CB104" s="735"/>
      <c r="CC104" s="731">
        <v>4820</v>
      </c>
      <c r="CD104" s="702">
        <f t="shared" si="97"/>
        <v>85999.98</v>
      </c>
      <c r="CE104" s="731">
        <f t="shared" si="99"/>
        <v>18519.998</v>
      </c>
      <c r="CF104" s="739">
        <f t="shared" si="98"/>
        <v>67479.982</v>
      </c>
      <c r="CG104" s="742">
        <f t="shared" si="96"/>
        <v>18519.998</v>
      </c>
      <c r="CH104" s="743" t="e">
        <f>'[6]JACKSON AKPOJARO '!C250*12</f>
        <v>#REF!</v>
      </c>
      <c r="CI104" s="744" t="e">
        <f t="shared" si="106"/>
        <v>#REF!</v>
      </c>
      <c r="CJ104" s="745">
        <f t="shared" si="102"/>
        <v>0</v>
      </c>
      <c r="CK104" s="748" t="e">
        <f t="shared" si="107"/>
        <v>#REF!</v>
      </c>
      <c r="CL104" s="749" t="e">
        <f t="shared" si="108"/>
        <v>#REF!</v>
      </c>
      <c r="CM104" s="744"/>
      <c r="CN104" s="745" t="e">
        <f t="shared" si="109"/>
        <v>#REF!</v>
      </c>
      <c r="CO104" s="745" t="e">
        <f t="shared" si="110"/>
        <v>#REF!</v>
      </c>
      <c r="CP104" s="745" t="e">
        <f t="shared" si="111"/>
        <v>#REF!</v>
      </c>
      <c r="CQ104" s="745" t="e">
        <f t="shared" si="112"/>
        <v>#REF!</v>
      </c>
      <c r="CR104" s="745" t="e">
        <f t="shared" si="113"/>
        <v>#REF!</v>
      </c>
      <c r="CS104" s="745" t="e">
        <f t="shared" si="114"/>
        <v>#REF!</v>
      </c>
      <c r="CT104" s="754" t="e">
        <f t="shared" si="115"/>
        <v>#REF!</v>
      </c>
      <c r="CU104" s="755" t="e">
        <f t="shared" si="116"/>
        <v>#REF!</v>
      </c>
      <c r="CV104" s="756">
        <v>674.8</v>
      </c>
      <c r="CW104" s="757"/>
      <c r="CX104" s="758"/>
      <c r="CY104" s="759"/>
      <c r="CZ104" s="760"/>
      <c r="DA104" s="767"/>
    </row>
    <row r="105" ht="236" customHeight="1" spans="1:105">
      <c r="A105" s="675">
        <v>428</v>
      </c>
      <c r="B105" s="676" t="s">
        <v>1047</v>
      </c>
      <c r="C105" s="677" t="s">
        <v>1594</v>
      </c>
      <c r="D105" s="677" t="s">
        <v>1650</v>
      </c>
      <c r="E105" s="677" t="s">
        <v>145</v>
      </c>
      <c r="F105" s="1452" t="s">
        <v>1048</v>
      </c>
      <c r="G105" s="677" t="s">
        <v>1625</v>
      </c>
      <c r="H105" s="679"/>
      <c r="I105" s="681" t="s">
        <v>145</v>
      </c>
      <c r="J105" s="686" t="s">
        <v>1048</v>
      </c>
      <c r="K105" s="687"/>
      <c r="L105" s="688" t="e">
        <f>#REF!*12</f>
        <v>#REF!</v>
      </c>
      <c r="M105" s="688" t="e">
        <f>S105-#REF!</f>
        <v>#REF!</v>
      </c>
      <c r="N105" s="689"/>
      <c r="O105" s="689">
        <v>30000</v>
      </c>
      <c r="P105" s="689"/>
      <c r="Q105" s="689">
        <v>7500</v>
      </c>
      <c r="R105" s="689">
        <v>43499.98</v>
      </c>
      <c r="S105" s="689">
        <f t="shared" si="117"/>
        <v>80999.98</v>
      </c>
      <c r="T105" s="689"/>
      <c r="U105" s="689"/>
      <c r="V105" s="689"/>
      <c r="W105" s="689"/>
      <c r="X105" s="689"/>
      <c r="Y105" s="689"/>
      <c r="Z105" s="689"/>
      <c r="AA105" s="689"/>
      <c r="AB105" s="689"/>
      <c r="AC105" s="689">
        <v>2500</v>
      </c>
      <c r="AD105" s="689"/>
      <c r="AE105" s="689"/>
      <c r="AF105" s="689"/>
      <c r="AG105" s="689"/>
      <c r="AH105" s="689"/>
      <c r="AI105" s="689"/>
      <c r="AJ105" s="689">
        <v>2500</v>
      </c>
      <c r="AK105" s="689"/>
      <c r="AL105" s="689">
        <v>383.33</v>
      </c>
      <c r="AM105" s="689"/>
      <c r="AN105" s="689"/>
      <c r="AO105" s="689"/>
      <c r="AP105" s="689"/>
      <c r="AQ105" s="689"/>
      <c r="AR105" s="689"/>
      <c r="AS105" s="689"/>
      <c r="AT105" s="689"/>
      <c r="AU105" s="689">
        <f>S105*0.03</f>
        <v>2429.9994</v>
      </c>
      <c r="AV105" s="689"/>
      <c r="AW105" s="689"/>
      <c r="AX105" s="718">
        <f t="shared" si="101"/>
        <v>1619.9996</v>
      </c>
      <c r="AY105" s="718"/>
      <c r="AZ105" s="718"/>
      <c r="BA105" s="689"/>
      <c r="BB105" s="689"/>
      <c r="BC105" s="689"/>
      <c r="BD105" s="719"/>
      <c r="BE105" s="719">
        <f t="shared" si="95"/>
        <v>2429.9994</v>
      </c>
      <c r="BF105" s="689"/>
      <c r="BG105" s="689"/>
      <c r="BH105" s="727"/>
      <c r="BI105" s="689"/>
      <c r="BJ105" s="689"/>
      <c r="BK105" s="689"/>
      <c r="BL105" s="689"/>
      <c r="BM105" s="689"/>
      <c r="BN105" s="689"/>
      <c r="BO105" s="689">
        <v>0</v>
      </c>
      <c r="BP105" s="689"/>
      <c r="BQ105" s="689"/>
      <c r="BR105" s="731"/>
      <c r="BS105" s="731"/>
      <c r="BT105" s="731"/>
      <c r="BU105" s="731"/>
      <c r="BV105" s="731"/>
      <c r="BW105" s="731"/>
      <c r="BX105" s="731"/>
      <c r="BY105" s="731">
        <v>2000</v>
      </c>
      <c r="BZ105" s="731">
        <v>500</v>
      </c>
      <c r="CA105" s="718">
        <f t="shared" si="94"/>
        <v>1719.9996</v>
      </c>
      <c r="CB105" s="735"/>
      <c r="CC105" s="731">
        <v>4819.9976</v>
      </c>
      <c r="CD105" s="702">
        <f t="shared" si="97"/>
        <v>85999.98</v>
      </c>
      <c r="CE105" s="731">
        <f t="shared" si="99"/>
        <v>15519.9956</v>
      </c>
      <c r="CF105" s="739">
        <f t="shared" si="98"/>
        <v>70479.9844</v>
      </c>
      <c r="CG105" s="742">
        <f t="shared" si="96"/>
        <v>15519.9956</v>
      </c>
      <c r="CH105" s="743" t="e">
        <f>'[6]JACKSON AKPOJARO '!C251*12</f>
        <v>#REF!</v>
      </c>
      <c r="CI105" s="744" t="e">
        <f t="shared" si="106"/>
        <v>#REF!</v>
      </c>
      <c r="CJ105" s="745">
        <f t="shared" si="102"/>
        <v>0</v>
      </c>
      <c r="CK105" s="748" t="e">
        <f t="shared" si="107"/>
        <v>#REF!</v>
      </c>
      <c r="CL105" s="749" t="e">
        <f t="shared" si="108"/>
        <v>#REF!</v>
      </c>
      <c r="CM105" s="744"/>
      <c r="CN105" s="745" t="e">
        <f t="shared" si="109"/>
        <v>#REF!</v>
      </c>
      <c r="CO105" s="745" t="e">
        <f t="shared" si="110"/>
        <v>#REF!</v>
      </c>
      <c r="CP105" s="745" t="e">
        <f t="shared" si="111"/>
        <v>#REF!</v>
      </c>
      <c r="CQ105" s="745" t="e">
        <f t="shared" si="112"/>
        <v>#REF!</v>
      </c>
      <c r="CR105" s="745" t="e">
        <f t="shared" si="113"/>
        <v>#REF!</v>
      </c>
      <c r="CS105" s="745" t="e">
        <f t="shared" si="114"/>
        <v>#REF!</v>
      </c>
      <c r="CT105" s="754" t="e">
        <f t="shared" si="115"/>
        <v>#REF!</v>
      </c>
      <c r="CU105" s="755" t="e">
        <f t="shared" si="116"/>
        <v>#REF!</v>
      </c>
      <c r="CV105" s="756">
        <v>674.8</v>
      </c>
      <c r="CW105" s="757"/>
      <c r="CX105" s="758"/>
      <c r="CY105" s="759"/>
      <c r="CZ105" s="760"/>
      <c r="DA105" s="767"/>
    </row>
    <row r="106" ht="236" customHeight="1" spans="1:105">
      <c r="A106" s="673">
        <v>429</v>
      </c>
      <c r="B106" s="676" t="s">
        <v>1049</v>
      </c>
      <c r="C106" s="677" t="s">
        <v>1594</v>
      </c>
      <c r="D106" s="677" t="s">
        <v>1650</v>
      </c>
      <c r="E106" s="677" t="s">
        <v>122</v>
      </c>
      <c r="F106" s="1452" t="s">
        <v>1050</v>
      </c>
      <c r="G106" s="677" t="s">
        <v>1625</v>
      </c>
      <c r="H106" s="679"/>
      <c r="I106" s="681" t="s">
        <v>122</v>
      </c>
      <c r="J106" s="686" t="s">
        <v>1050</v>
      </c>
      <c r="K106" s="687"/>
      <c r="L106" s="688"/>
      <c r="M106" s="688"/>
      <c r="N106" s="689"/>
      <c r="O106" s="689">
        <v>30000</v>
      </c>
      <c r="P106" s="689"/>
      <c r="Q106" s="689">
        <v>7500</v>
      </c>
      <c r="R106" s="689">
        <v>43499.98</v>
      </c>
      <c r="S106" s="689">
        <f t="shared" si="117"/>
        <v>80999.98</v>
      </c>
      <c r="T106" s="689"/>
      <c r="U106" s="689"/>
      <c r="V106" s="689"/>
      <c r="W106" s="689"/>
      <c r="X106" s="689"/>
      <c r="Y106" s="689"/>
      <c r="Z106" s="689"/>
      <c r="AA106" s="689"/>
      <c r="AB106" s="689"/>
      <c r="AC106" s="689">
        <v>2500</v>
      </c>
      <c r="AD106" s="689"/>
      <c r="AE106" s="689"/>
      <c r="AF106" s="689"/>
      <c r="AG106" s="689"/>
      <c r="AH106" s="689"/>
      <c r="AI106" s="689"/>
      <c r="AJ106" s="689">
        <v>2500</v>
      </c>
      <c r="AK106" s="689"/>
      <c r="AL106" s="689">
        <v>384.33</v>
      </c>
      <c r="AM106" s="689"/>
      <c r="AN106" s="689"/>
      <c r="AO106" s="689"/>
      <c r="AP106" s="689"/>
      <c r="AQ106" s="689"/>
      <c r="AR106" s="689"/>
      <c r="AS106" s="689"/>
      <c r="AT106" s="689"/>
      <c r="AU106" s="689">
        <f>S106*0.03</f>
        <v>2429.9994</v>
      </c>
      <c r="AV106" s="689"/>
      <c r="AW106" s="689"/>
      <c r="AX106" s="718"/>
      <c r="AY106" s="718"/>
      <c r="AZ106" s="718"/>
      <c r="BA106" s="689"/>
      <c r="BB106" s="689"/>
      <c r="BC106" s="689"/>
      <c r="BD106" s="719"/>
      <c r="BE106" s="719">
        <f t="shared" si="95"/>
        <v>2429.9994</v>
      </c>
      <c r="BF106" s="689"/>
      <c r="BG106" s="689"/>
      <c r="BH106" s="727"/>
      <c r="BI106" s="689"/>
      <c r="BJ106" s="689"/>
      <c r="BK106" s="689"/>
      <c r="BL106" s="689"/>
      <c r="BM106" s="689"/>
      <c r="BN106" s="689"/>
      <c r="BO106" s="689">
        <v>0</v>
      </c>
      <c r="BP106" s="689"/>
      <c r="BQ106" s="689"/>
      <c r="BR106" s="731"/>
      <c r="BS106" s="731"/>
      <c r="BT106" s="731"/>
      <c r="BU106" s="731"/>
      <c r="BV106" s="731"/>
      <c r="BW106" s="731"/>
      <c r="BX106" s="731"/>
      <c r="BY106" s="731">
        <v>2000</v>
      </c>
      <c r="BZ106" s="731">
        <v>500</v>
      </c>
      <c r="CA106" s="718">
        <f t="shared" si="94"/>
        <v>1719.9996</v>
      </c>
      <c r="CB106" s="735"/>
      <c r="CC106" s="731">
        <v>4819.9976</v>
      </c>
      <c r="CD106" s="702">
        <f t="shared" si="97"/>
        <v>85999.98</v>
      </c>
      <c r="CE106" s="731">
        <f t="shared" si="99"/>
        <v>13899.996</v>
      </c>
      <c r="CF106" s="739">
        <f t="shared" si="98"/>
        <v>72099.984</v>
      </c>
      <c r="CG106" s="742">
        <f t="shared" si="96"/>
        <v>13899.996</v>
      </c>
      <c r="CH106" s="743" t="e">
        <f>'[6]JACKSON AKPOJARO '!C252*12</f>
        <v>#REF!</v>
      </c>
      <c r="CI106" s="744" t="e">
        <f t="shared" si="106"/>
        <v>#REF!</v>
      </c>
      <c r="CJ106" s="745">
        <f t="shared" si="102"/>
        <v>0</v>
      </c>
      <c r="CK106" s="748" t="e">
        <f t="shared" si="107"/>
        <v>#REF!</v>
      </c>
      <c r="CL106" s="749" t="e">
        <f t="shared" si="108"/>
        <v>#REF!</v>
      </c>
      <c r="CM106" s="744"/>
      <c r="CN106" s="745" t="e">
        <f t="shared" si="109"/>
        <v>#REF!</v>
      </c>
      <c r="CO106" s="745" t="e">
        <f t="shared" si="110"/>
        <v>#REF!</v>
      </c>
      <c r="CP106" s="745" t="e">
        <f t="shared" si="111"/>
        <v>#REF!</v>
      </c>
      <c r="CQ106" s="745" t="e">
        <f t="shared" si="112"/>
        <v>#REF!</v>
      </c>
      <c r="CR106" s="745" t="e">
        <f t="shared" si="113"/>
        <v>#REF!</v>
      </c>
      <c r="CS106" s="745" t="e">
        <f t="shared" si="114"/>
        <v>#REF!</v>
      </c>
      <c r="CT106" s="754"/>
      <c r="CU106" s="755"/>
      <c r="CV106" s="756"/>
      <c r="CW106" s="757"/>
      <c r="CX106" s="758"/>
      <c r="CY106" s="759"/>
      <c r="CZ106" s="760"/>
      <c r="DA106" s="767"/>
    </row>
    <row r="107" ht="236" customHeight="1" spans="1:105">
      <c r="A107" s="675">
        <v>430</v>
      </c>
      <c r="B107" s="676" t="s">
        <v>1051</v>
      </c>
      <c r="C107" s="677" t="s">
        <v>1533</v>
      </c>
      <c r="D107" s="677" t="s">
        <v>1568</v>
      </c>
      <c r="E107" s="677" t="s">
        <v>93</v>
      </c>
      <c r="F107" s="677" t="s">
        <v>1052</v>
      </c>
      <c r="G107" s="677" t="s">
        <v>1590</v>
      </c>
      <c r="H107" s="679"/>
      <c r="I107" s="681" t="s">
        <v>93</v>
      </c>
      <c r="J107" s="686">
        <v>3075750881</v>
      </c>
      <c r="K107" s="687" t="str">
        <f>'[5] NON-TEACHING STAFF'!$J$94</f>
        <v>22294210880</v>
      </c>
      <c r="L107" s="688">
        <v>477055</v>
      </c>
      <c r="M107" s="688" t="e">
        <f>S107-#REF!</f>
        <v>#REF!</v>
      </c>
      <c r="N107" s="689">
        <v>489388</v>
      </c>
      <c r="O107" s="689">
        <v>40782.3333333333</v>
      </c>
      <c r="P107" s="689"/>
      <c r="Q107" s="689">
        <v>10195.5833333333</v>
      </c>
      <c r="R107" s="689">
        <v>42499.98</v>
      </c>
      <c r="S107" s="689">
        <v>124335.5</v>
      </c>
      <c r="T107" s="689"/>
      <c r="U107" s="689"/>
      <c r="V107" s="689"/>
      <c r="W107" s="689"/>
      <c r="X107" s="689"/>
      <c r="Y107" s="689"/>
      <c r="Z107" s="689"/>
      <c r="AA107" s="689"/>
      <c r="AB107" s="689"/>
      <c r="AC107" s="689">
        <v>2500</v>
      </c>
      <c r="AD107" s="689"/>
      <c r="AE107" s="689"/>
      <c r="AF107" s="689"/>
      <c r="AG107" s="689"/>
      <c r="AH107" s="689"/>
      <c r="AI107" s="689"/>
      <c r="AJ107" s="689">
        <v>2500</v>
      </c>
      <c r="AK107" s="689"/>
      <c r="AL107" s="689">
        <v>383.33</v>
      </c>
      <c r="AM107" s="689"/>
      <c r="AN107" s="689"/>
      <c r="AO107" s="689"/>
      <c r="AP107" s="689"/>
      <c r="AQ107" s="689"/>
      <c r="AR107" s="689"/>
      <c r="AS107" s="689"/>
      <c r="AT107" s="689"/>
      <c r="AU107" s="689">
        <f>S107*0.03</f>
        <v>3730.065</v>
      </c>
      <c r="AV107" s="689"/>
      <c r="AW107" s="689"/>
      <c r="AX107" s="718"/>
      <c r="AY107" s="718"/>
      <c r="AZ107" s="718"/>
      <c r="BA107" s="689"/>
      <c r="BB107" s="689"/>
      <c r="BC107" s="689"/>
      <c r="BD107" s="719"/>
      <c r="BE107" s="719">
        <f t="shared" si="95"/>
        <v>3730.065</v>
      </c>
      <c r="BF107" s="689"/>
      <c r="BG107" s="689"/>
      <c r="BH107" s="727"/>
      <c r="BI107" s="689"/>
      <c r="BJ107" s="689"/>
      <c r="BK107" s="689"/>
      <c r="BL107" s="689"/>
      <c r="BM107" s="689"/>
      <c r="BN107" s="689"/>
      <c r="BO107" s="689">
        <v>5000</v>
      </c>
      <c r="BP107" s="689"/>
      <c r="BQ107" s="689"/>
      <c r="BR107" s="731"/>
      <c r="BS107" s="731"/>
      <c r="BT107" s="731"/>
      <c r="BU107" s="731"/>
      <c r="BV107" s="731"/>
      <c r="BW107" s="731"/>
      <c r="BX107" s="731"/>
      <c r="BY107" s="731"/>
      <c r="BZ107" s="731">
        <v>500</v>
      </c>
      <c r="CA107" s="718">
        <f t="shared" si="94"/>
        <v>2586.71</v>
      </c>
      <c r="CB107" s="735"/>
      <c r="CC107" s="731">
        <v>10020.26</v>
      </c>
      <c r="CD107" s="702">
        <f t="shared" si="97"/>
        <v>129335.5</v>
      </c>
      <c r="CE107" s="731">
        <f t="shared" si="99"/>
        <v>25567.1</v>
      </c>
      <c r="CF107" s="739">
        <f t="shared" si="98"/>
        <v>103768.4</v>
      </c>
      <c r="CG107" s="742">
        <f t="shared" si="96"/>
        <v>25567.1</v>
      </c>
      <c r="CH107" s="743" t="e">
        <f>'[6]JACKSON AKPOJARO '!C252*12</f>
        <v>#REF!</v>
      </c>
      <c r="CI107" s="744" t="e">
        <f t="shared" si="106"/>
        <v>#REF!</v>
      </c>
      <c r="CJ107" s="745">
        <f t="shared" si="102"/>
        <v>0</v>
      </c>
      <c r="CK107" s="748" t="e">
        <f t="shared" si="107"/>
        <v>#REF!</v>
      </c>
      <c r="CL107" s="749" t="e">
        <f t="shared" si="108"/>
        <v>#REF!</v>
      </c>
      <c r="CM107" s="744"/>
      <c r="CN107" s="745" t="e">
        <f t="shared" si="109"/>
        <v>#REF!</v>
      </c>
      <c r="CO107" s="745" t="e">
        <f t="shared" si="110"/>
        <v>#REF!</v>
      </c>
      <c r="CP107" s="745" t="e">
        <f t="shared" si="111"/>
        <v>#REF!</v>
      </c>
      <c r="CQ107" s="745" t="e">
        <f t="shared" si="112"/>
        <v>#REF!</v>
      </c>
      <c r="CR107" s="745" t="e">
        <f t="shared" si="113"/>
        <v>#REF!</v>
      </c>
      <c r="CS107" s="745" t="e">
        <f t="shared" si="114"/>
        <v>#REF!</v>
      </c>
      <c r="CT107" s="754" t="e">
        <f>1%*CH107</f>
        <v>#REF!</v>
      </c>
      <c r="CU107" s="755" t="e">
        <f>MAX(CT107:CT107)</f>
        <v>#REF!</v>
      </c>
      <c r="CV107" s="756">
        <f t="shared" ref="CV107:CV126" si="118">CC107</f>
        <v>10020.26</v>
      </c>
      <c r="CW107" s="757"/>
      <c r="CX107" s="758"/>
      <c r="CY107" s="759"/>
      <c r="CZ107" s="760"/>
      <c r="DA107" s="767"/>
    </row>
    <row r="108" ht="236" customHeight="1" spans="1:105">
      <c r="A108" s="673">
        <v>431</v>
      </c>
      <c r="B108" s="676" t="s">
        <v>1053</v>
      </c>
      <c r="C108" s="677" t="s">
        <v>1533</v>
      </c>
      <c r="D108" s="677" t="s">
        <v>1651</v>
      </c>
      <c r="E108" s="677" t="s">
        <v>165</v>
      </c>
      <c r="F108" s="677">
        <v>2217921259</v>
      </c>
      <c r="G108" s="677" t="s">
        <v>1652</v>
      </c>
      <c r="H108" s="679"/>
      <c r="I108" s="681" t="s">
        <v>165</v>
      </c>
      <c r="J108" s="686">
        <v>2217921259</v>
      </c>
      <c r="K108" s="687"/>
      <c r="L108" s="688">
        <v>1963528</v>
      </c>
      <c r="M108" s="688"/>
      <c r="N108" s="689">
        <v>1963528</v>
      </c>
      <c r="O108" s="689">
        <v>163627.333333333</v>
      </c>
      <c r="P108" s="689"/>
      <c r="Q108" s="689">
        <v>40906.8333333333</v>
      </c>
      <c r="R108" s="689">
        <v>30000</v>
      </c>
      <c r="S108" s="689">
        <v>240628.67</v>
      </c>
      <c r="T108" s="689"/>
      <c r="U108" s="689"/>
      <c r="V108" s="689"/>
      <c r="W108" s="689"/>
      <c r="X108" s="689"/>
      <c r="Y108" s="689"/>
      <c r="Z108" s="689"/>
      <c r="AA108" s="689"/>
      <c r="AB108" s="689"/>
      <c r="AC108" s="689">
        <v>2500</v>
      </c>
      <c r="AD108" s="689"/>
      <c r="AE108" s="689"/>
      <c r="AF108" s="689"/>
      <c r="AG108" s="689"/>
      <c r="AH108" s="689"/>
      <c r="AI108" s="689"/>
      <c r="AJ108" s="689">
        <v>2500</v>
      </c>
      <c r="AK108" s="689"/>
      <c r="AL108" s="689">
        <v>383.33</v>
      </c>
      <c r="AM108" s="689"/>
      <c r="AN108" s="689"/>
      <c r="AO108" s="689"/>
      <c r="AP108" s="689"/>
      <c r="AQ108" s="689"/>
      <c r="AR108" s="689"/>
      <c r="AS108" s="689"/>
      <c r="AT108" s="689"/>
      <c r="AU108" s="689">
        <f t="shared" si="100"/>
        <v>9625.1468</v>
      </c>
      <c r="AV108" s="689"/>
      <c r="AW108" s="689"/>
      <c r="AX108" s="718">
        <f t="shared" si="101"/>
        <v>4812.5734</v>
      </c>
      <c r="AY108" s="718"/>
      <c r="AZ108" s="718"/>
      <c r="BA108" s="689"/>
      <c r="BB108" s="689"/>
      <c r="BC108" s="689"/>
      <c r="BD108" s="719"/>
      <c r="BE108" s="719"/>
      <c r="BF108" s="689"/>
      <c r="BG108" s="689"/>
      <c r="BH108" s="727"/>
      <c r="BI108" s="689"/>
      <c r="BJ108" s="689"/>
      <c r="BK108" s="689"/>
      <c r="BL108" s="689">
        <v>7500</v>
      </c>
      <c r="BM108" s="689"/>
      <c r="BN108" s="689"/>
      <c r="BO108" s="689">
        <v>35000</v>
      </c>
      <c r="BP108" s="689"/>
      <c r="BQ108" s="689"/>
      <c r="BR108" s="731"/>
      <c r="BS108" s="731"/>
      <c r="BT108" s="731"/>
      <c r="BU108" s="731"/>
      <c r="BV108" s="731"/>
      <c r="BW108" s="731"/>
      <c r="BX108" s="731">
        <v>5000</v>
      </c>
      <c r="BY108" s="731"/>
      <c r="BZ108" s="731">
        <v>1000</v>
      </c>
      <c r="CA108" s="718">
        <f t="shared" si="94"/>
        <v>4912.5734</v>
      </c>
      <c r="CB108" s="735"/>
      <c r="CC108" s="731">
        <v>24832.28</v>
      </c>
      <c r="CD108" s="702">
        <f t="shared" si="97"/>
        <v>245628.67</v>
      </c>
      <c r="CE108" s="731">
        <f t="shared" si="99"/>
        <v>92682.5736</v>
      </c>
      <c r="CF108" s="739">
        <f t="shared" si="98"/>
        <v>152946.0964</v>
      </c>
      <c r="CG108" s="742">
        <f t="shared" si="96"/>
        <v>92682.5736</v>
      </c>
      <c r="CH108" s="743" t="e">
        <f>'[6]JACKSON AKPOJARO '!C253*12</f>
        <v>#REF!</v>
      </c>
      <c r="CI108" s="744" t="e">
        <f t="shared" si="106"/>
        <v>#REF!</v>
      </c>
      <c r="CJ108" s="745">
        <f t="shared" si="102"/>
        <v>0</v>
      </c>
      <c r="CK108" s="748" t="e">
        <f t="shared" si="107"/>
        <v>#REF!</v>
      </c>
      <c r="CL108" s="749" t="e">
        <f t="shared" si="108"/>
        <v>#REF!</v>
      </c>
      <c r="CM108" s="744"/>
      <c r="CN108" s="745" t="e">
        <f t="shared" si="109"/>
        <v>#REF!</v>
      </c>
      <c r="CO108" s="745" t="e">
        <f t="shared" si="110"/>
        <v>#REF!</v>
      </c>
      <c r="CP108" s="745" t="e">
        <f t="shared" si="111"/>
        <v>#REF!</v>
      </c>
      <c r="CQ108" s="745" t="e">
        <f t="shared" si="112"/>
        <v>#REF!</v>
      </c>
      <c r="CR108" s="745" t="e">
        <f t="shared" si="113"/>
        <v>#REF!</v>
      </c>
      <c r="CS108" s="745" t="e">
        <f t="shared" si="114"/>
        <v>#REF!</v>
      </c>
      <c r="CT108" s="754" t="e">
        <f>CT109</f>
        <v>#REF!</v>
      </c>
      <c r="CU108" s="755">
        <f>CC108+CA108+BV108+BR108</f>
        <v>29744.8534</v>
      </c>
      <c r="CV108" s="756">
        <f t="shared" si="118"/>
        <v>24832.28</v>
      </c>
      <c r="CW108" s="757"/>
      <c r="CX108" s="758"/>
      <c r="CY108" s="759"/>
      <c r="CZ108" s="760"/>
      <c r="DA108" s="767"/>
    </row>
    <row r="109" ht="236" customHeight="1" spans="1:105">
      <c r="A109" s="675">
        <v>432</v>
      </c>
      <c r="B109" s="676" t="s">
        <v>1054</v>
      </c>
      <c r="C109" s="677" t="s">
        <v>1561</v>
      </c>
      <c r="D109" s="677" t="s">
        <v>1653</v>
      </c>
      <c r="E109" s="677" t="s">
        <v>135</v>
      </c>
      <c r="F109" s="1452" t="s">
        <v>1055</v>
      </c>
      <c r="G109" s="677" t="s">
        <v>1536</v>
      </c>
      <c r="H109" s="679"/>
      <c r="I109" s="681" t="s">
        <v>135</v>
      </c>
      <c r="J109" s="686" t="s">
        <v>1055</v>
      </c>
      <c r="K109" s="687">
        <f>'[5] NON-TEACHING STAFF'!$J$96</f>
        <v>22225541794</v>
      </c>
      <c r="L109" s="688">
        <f>L83</f>
        <v>1967327</v>
      </c>
      <c r="M109" s="688" t="e">
        <f>S109-#REF!</f>
        <v>#REF!</v>
      </c>
      <c r="N109" s="689">
        <v>1967327</v>
      </c>
      <c r="O109" s="689">
        <v>168503</v>
      </c>
      <c r="P109" s="689"/>
      <c r="Q109" s="689">
        <v>42125.75</v>
      </c>
      <c r="R109" s="689">
        <v>30000</v>
      </c>
      <c r="S109" s="689">
        <v>269850.67</v>
      </c>
      <c r="T109" s="689"/>
      <c r="U109" s="689"/>
      <c r="V109" s="689"/>
      <c r="W109" s="689"/>
      <c r="X109" s="689"/>
      <c r="Y109" s="689"/>
      <c r="Z109" s="689"/>
      <c r="AA109" s="689"/>
      <c r="AB109" s="689">
        <v>25000</v>
      </c>
      <c r="AC109" s="689">
        <v>2500</v>
      </c>
      <c r="AD109" s="689"/>
      <c r="AE109" s="689"/>
      <c r="AF109" s="689"/>
      <c r="AG109" s="689"/>
      <c r="AH109" s="689"/>
      <c r="AI109" s="689"/>
      <c r="AJ109" s="689">
        <v>2500</v>
      </c>
      <c r="AK109" s="689"/>
      <c r="AL109" s="689">
        <v>383.33</v>
      </c>
      <c r="AM109" s="689"/>
      <c r="AN109" s="689"/>
      <c r="AO109" s="689"/>
      <c r="AP109" s="689"/>
      <c r="AQ109" s="689"/>
      <c r="AR109" s="689"/>
      <c r="AS109" s="689"/>
      <c r="AT109" s="689"/>
      <c r="AU109" s="689">
        <f t="shared" si="100"/>
        <v>10794.0268</v>
      </c>
      <c r="AV109" s="689"/>
      <c r="AW109" s="689"/>
      <c r="AX109" s="718">
        <f t="shared" si="101"/>
        <v>5397.0134</v>
      </c>
      <c r="AY109" s="718"/>
      <c r="AZ109" s="718"/>
      <c r="BA109" s="689"/>
      <c r="BB109" s="689"/>
      <c r="BC109" s="689"/>
      <c r="BD109" s="719"/>
      <c r="BE109" s="719"/>
      <c r="BF109" s="689"/>
      <c r="BG109" s="689"/>
      <c r="BH109" s="727"/>
      <c r="BI109" s="689"/>
      <c r="BJ109" s="689"/>
      <c r="BK109" s="689"/>
      <c r="BL109" s="689">
        <v>5000</v>
      </c>
      <c r="BM109" s="689"/>
      <c r="BN109" s="689"/>
      <c r="BO109" s="689">
        <v>54583.33</v>
      </c>
      <c r="BP109" s="689"/>
      <c r="BQ109" s="689"/>
      <c r="BR109" s="731"/>
      <c r="BS109" s="731">
        <v>15427</v>
      </c>
      <c r="BT109" s="731"/>
      <c r="BU109" s="731"/>
      <c r="BV109" s="731"/>
      <c r="BW109" s="731"/>
      <c r="BX109" s="731"/>
      <c r="BY109" s="731"/>
      <c r="BZ109" s="731">
        <v>1500</v>
      </c>
      <c r="CA109" s="718">
        <f t="shared" si="94"/>
        <v>5997.0134</v>
      </c>
      <c r="CB109" s="735"/>
      <c r="CC109" s="731">
        <v>37541.58</v>
      </c>
      <c r="CD109" s="702">
        <f t="shared" si="97"/>
        <v>299850.67</v>
      </c>
      <c r="CE109" s="731">
        <f t="shared" si="99"/>
        <v>136239.9636</v>
      </c>
      <c r="CF109" s="739">
        <f t="shared" si="98"/>
        <v>163610.7064</v>
      </c>
      <c r="CG109" s="742">
        <f t="shared" si="96"/>
        <v>136239.9636</v>
      </c>
      <c r="CH109" s="743" t="e">
        <f>'[6]JACKSON AKPOJARO '!C254*12</f>
        <v>#REF!</v>
      </c>
      <c r="CI109" s="744" t="e">
        <f t="shared" si="106"/>
        <v>#REF!</v>
      </c>
      <c r="CJ109" s="745">
        <f t="shared" si="102"/>
        <v>0</v>
      </c>
      <c r="CK109" s="748" t="e">
        <f t="shared" si="107"/>
        <v>#REF!</v>
      </c>
      <c r="CL109" s="749" t="e">
        <f t="shared" si="108"/>
        <v>#REF!</v>
      </c>
      <c r="CM109" s="744"/>
      <c r="CN109" s="745" t="e">
        <f t="shared" si="109"/>
        <v>#REF!</v>
      </c>
      <c r="CO109" s="745" t="e">
        <f t="shared" si="110"/>
        <v>#REF!</v>
      </c>
      <c r="CP109" s="745" t="e">
        <f t="shared" si="111"/>
        <v>#REF!</v>
      </c>
      <c r="CQ109" s="745" t="e">
        <f t="shared" si="112"/>
        <v>#REF!</v>
      </c>
      <c r="CR109" s="745" t="e">
        <f t="shared" si="113"/>
        <v>#REF!</v>
      </c>
      <c r="CS109" s="745" t="e">
        <f t="shared" si="114"/>
        <v>#REF!</v>
      </c>
      <c r="CT109" s="754" t="e">
        <f t="shared" ref="CT109:CT127" si="119">1%*CH109</f>
        <v>#REF!</v>
      </c>
      <c r="CU109" s="755" t="e">
        <f t="shared" ref="CU109:CU127" si="120">MAX(CT109:CT109)</f>
        <v>#REF!</v>
      </c>
      <c r="CV109" s="756">
        <f t="shared" si="118"/>
        <v>37541.58</v>
      </c>
      <c r="CW109" s="757"/>
      <c r="CX109" s="758"/>
      <c r="CY109" s="759"/>
      <c r="CZ109" s="760"/>
      <c r="DA109" s="767"/>
    </row>
    <row r="110" s="657" customFormat="1" ht="236" customHeight="1" spans="1:106">
      <c r="A110" s="673">
        <v>433</v>
      </c>
      <c r="B110" s="774" t="s">
        <v>1056</v>
      </c>
      <c r="C110" s="775" t="s">
        <v>1561</v>
      </c>
      <c r="D110" s="775" t="s">
        <v>1653</v>
      </c>
      <c r="E110" s="775" t="s">
        <v>165</v>
      </c>
      <c r="F110" s="775" t="s">
        <v>1057</v>
      </c>
      <c r="G110" s="775" t="s">
        <v>1628</v>
      </c>
      <c r="H110" s="776"/>
      <c r="I110" s="778" t="s">
        <v>165</v>
      </c>
      <c r="J110" s="779">
        <v>2118373508</v>
      </c>
      <c r="K110" s="784" t="str">
        <f>'[5] NON-TEACHING STAFF'!$J$97</f>
        <v>22162370609</v>
      </c>
      <c r="L110" s="781">
        <f>L84</f>
        <v>1967327</v>
      </c>
      <c r="M110" s="781" t="e">
        <f>S110-#REF!</f>
        <v>#REF!</v>
      </c>
      <c r="N110" s="782">
        <v>1967327</v>
      </c>
      <c r="O110" s="782">
        <v>163943.92</v>
      </c>
      <c r="P110" s="782"/>
      <c r="Q110" s="782">
        <v>40985.98</v>
      </c>
      <c r="R110" s="782">
        <v>30000</v>
      </c>
      <c r="S110" s="782">
        <v>260727.58</v>
      </c>
      <c r="T110" s="782"/>
      <c r="U110" s="689"/>
      <c r="V110" s="689"/>
      <c r="W110" s="689"/>
      <c r="X110" s="689"/>
      <c r="Y110" s="689"/>
      <c r="Z110" s="689"/>
      <c r="AA110" s="689"/>
      <c r="AB110" s="689"/>
      <c r="AC110" s="689">
        <v>2500</v>
      </c>
      <c r="AD110" s="689"/>
      <c r="AE110" s="689"/>
      <c r="AF110" s="689"/>
      <c r="AG110" s="689"/>
      <c r="AH110" s="689"/>
      <c r="AI110" s="689"/>
      <c r="AJ110" s="689">
        <v>2500</v>
      </c>
      <c r="AK110" s="689"/>
      <c r="AL110" s="689">
        <v>383.33</v>
      </c>
      <c r="AM110" s="689"/>
      <c r="AN110" s="689"/>
      <c r="AO110" s="689"/>
      <c r="AP110" s="689"/>
      <c r="AQ110" s="689"/>
      <c r="AR110" s="689"/>
      <c r="AS110" s="689"/>
      <c r="AT110" s="689"/>
      <c r="AU110" s="689">
        <f t="shared" si="100"/>
        <v>10429.1032</v>
      </c>
      <c r="AV110" s="782"/>
      <c r="AW110" s="782"/>
      <c r="AX110" s="788">
        <f t="shared" si="101"/>
        <v>5214.5516</v>
      </c>
      <c r="AY110" s="788"/>
      <c r="AZ110" s="788"/>
      <c r="BA110" s="782"/>
      <c r="BB110" s="782">
        <v>0</v>
      </c>
      <c r="BC110" s="782"/>
      <c r="BD110" s="789"/>
      <c r="BE110" s="789"/>
      <c r="BF110" s="782"/>
      <c r="BG110" s="782"/>
      <c r="BH110" s="791"/>
      <c r="BI110" s="689"/>
      <c r="BJ110" s="782"/>
      <c r="BK110" s="689"/>
      <c r="BL110" s="689">
        <v>5000</v>
      </c>
      <c r="BM110" s="689"/>
      <c r="BN110" s="782"/>
      <c r="BO110" s="689">
        <v>90000.6666666667</v>
      </c>
      <c r="BP110" s="782"/>
      <c r="BQ110" s="782"/>
      <c r="BR110" s="792"/>
      <c r="BS110" s="731"/>
      <c r="BT110" s="731"/>
      <c r="BU110" s="792"/>
      <c r="BV110" s="731"/>
      <c r="BW110" s="731"/>
      <c r="BX110" s="731"/>
      <c r="BY110" s="792"/>
      <c r="BZ110" s="792">
        <v>1500</v>
      </c>
      <c r="CA110" s="788">
        <f t="shared" si="94"/>
        <v>5314.5516</v>
      </c>
      <c r="CB110" s="793"/>
      <c r="CC110" s="792">
        <v>31808.9</v>
      </c>
      <c r="CD110" s="795">
        <f t="shared" si="97"/>
        <v>265727.58</v>
      </c>
      <c r="CE110" s="792">
        <f t="shared" si="99"/>
        <v>149267.773066667</v>
      </c>
      <c r="CF110" s="796">
        <f t="shared" si="98"/>
        <v>116459.806933333</v>
      </c>
      <c r="CG110" s="797">
        <f t="shared" si="96"/>
        <v>149267.773066667</v>
      </c>
      <c r="CH110" s="798" t="e">
        <f>'[6]JACKSON AKPOJARO '!C255*12</f>
        <v>#REF!</v>
      </c>
      <c r="CI110" s="799" t="e">
        <f t="shared" si="106"/>
        <v>#REF!</v>
      </c>
      <c r="CJ110" s="800">
        <f t="shared" si="102"/>
        <v>0</v>
      </c>
      <c r="CK110" s="802" t="e">
        <f t="shared" si="107"/>
        <v>#REF!</v>
      </c>
      <c r="CL110" s="803" t="e">
        <f t="shared" si="108"/>
        <v>#REF!</v>
      </c>
      <c r="CM110" s="799"/>
      <c r="CN110" s="800" t="e">
        <f t="shared" si="109"/>
        <v>#REF!</v>
      </c>
      <c r="CO110" s="800" t="e">
        <f t="shared" si="110"/>
        <v>#REF!</v>
      </c>
      <c r="CP110" s="800" t="e">
        <f t="shared" si="111"/>
        <v>#REF!</v>
      </c>
      <c r="CQ110" s="800" t="e">
        <f t="shared" si="112"/>
        <v>#REF!</v>
      </c>
      <c r="CR110" s="800" t="e">
        <f t="shared" si="113"/>
        <v>#REF!</v>
      </c>
      <c r="CS110" s="800" t="e">
        <f t="shared" si="114"/>
        <v>#REF!</v>
      </c>
      <c r="CT110" s="806" t="e">
        <f t="shared" si="119"/>
        <v>#REF!</v>
      </c>
      <c r="CU110" s="807" t="e">
        <f t="shared" si="120"/>
        <v>#REF!</v>
      </c>
      <c r="CV110" s="808">
        <f t="shared" si="118"/>
        <v>31808.9</v>
      </c>
      <c r="CW110" s="809"/>
      <c r="CX110" s="810"/>
      <c r="CY110" s="811"/>
      <c r="CZ110" s="812"/>
      <c r="DA110" s="815"/>
      <c r="DB110" s="819"/>
    </row>
    <row r="111" ht="236" customHeight="1" spans="1:106">
      <c r="A111" s="675">
        <v>434</v>
      </c>
      <c r="B111" s="676" t="s">
        <v>1058</v>
      </c>
      <c r="C111" s="677" t="s">
        <v>1533</v>
      </c>
      <c r="D111" s="677" t="s">
        <v>1654</v>
      </c>
      <c r="E111" s="677" t="s">
        <v>127</v>
      </c>
      <c r="F111" s="1452" t="s">
        <v>1059</v>
      </c>
      <c r="G111" s="677" t="s">
        <v>1628</v>
      </c>
      <c r="H111" s="679"/>
      <c r="I111" s="681" t="s">
        <v>127</v>
      </c>
      <c r="J111" s="686" t="s">
        <v>1059</v>
      </c>
      <c r="K111" s="687" t="str">
        <f>'[5] NON-TEACHING STAFF'!$J$98</f>
        <v>22144721748</v>
      </c>
      <c r="L111" s="688">
        <f>L103</f>
        <v>2022036</v>
      </c>
      <c r="M111" s="688" t="e">
        <f>S111-#REF!</f>
        <v>#REF!</v>
      </c>
      <c r="N111" s="689">
        <v>2022036</v>
      </c>
      <c r="O111" s="689">
        <v>177283.5</v>
      </c>
      <c r="P111" s="689"/>
      <c r="Q111" s="689">
        <v>44320.875</v>
      </c>
      <c r="R111" s="689">
        <v>30000</v>
      </c>
      <c r="S111" s="689">
        <v>260727.58</v>
      </c>
      <c r="T111" s="689"/>
      <c r="U111" s="689"/>
      <c r="V111" s="689"/>
      <c r="W111" s="689"/>
      <c r="X111" s="689"/>
      <c r="Y111" s="689"/>
      <c r="Z111" s="689"/>
      <c r="AA111" s="689"/>
      <c r="AB111" s="689"/>
      <c r="AC111" s="689">
        <v>2500</v>
      </c>
      <c r="AD111" s="689"/>
      <c r="AE111" s="689"/>
      <c r="AF111" s="689"/>
      <c r="AG111" s="689"/>
      <c r="AH111" s="689"/>
      <c r="AI111" s="689"/>
      <c r="AJ111" s="689">
        <v>2500</v>
      </c>
      <c r="AK111" s="689"/>
      <c r="AL111" s="689">
        <v>383.33</v>
      </c>
      <c r="AM111" s="689"/>
      <c r="AN111" s="689"/>
      <c r="AO111" s="689"/>
      <c r="AP111" s="689"/>
      <c r="AQ111" s="689"/>
      <c r="AR111" s="689"/>
      <c r="AS111" s="689"/>
      <c r="AT111" s="689"/>
      <c r="AU111" s="689">
        <f t="shared" si="100"/>
        <v>10429.1032</v>
      </c>
      <c r="AV111" s="689"/>
      <c r="AW111" s="689"/>
      <c r="AX111" s="718">
        <f t="shared" si="101"/>
        <v>5214.5516</v>
      </c>
      <c r="AY111" s="718"/>
      <c r="AZ111" s="718"/>
      <c r="BA111" s="689"/>
      <c r="BB111" s="689"/>
      <c r="BC111" s="689"/>
      <c r="BD111" s="719"/>
      <c r="BE111" s="719"/>
      <c r="BF111" s="689"/>
      <c r="BG111" s="689"/>
      <c r="BH111" s="727"/>
      <c r="BI111" s="689"/>
      <c r="BJ111" s="689"/>
      <c r="BK111" s="689"/>
      <c r="BL111" s="689">
        <v>15000</v>
      </c>
      <c r="BM111" s="689"/>
      <c r="BN111" s="689"/>
      <c r="BO111" s="689">
        <v>102500</v>
      </c>
      <c r="BQ111" s="689"/>
      <c r="BR111" s="731"/>
      <c r="BS111" s="731"/>
      <c r="BT111" s="731"/>
      <c r="BU111" s="731"/>
      <c r="BV111" s="731"/>
      <c r="BW111" s="731"/>
      <c r="BX111" s="731"/>
      <c r="BY111" s="731"/>
      <c r="BZ111" s="731">
        <v>1500</v>
      </c>
      <c r="CA111" s="718">
        <f t="shared" si="94"/>
        <v>5314.5516</v>
      </c>
      <c r="CB111" s="735"/>
      <c r="CC111" s="731">
        <v>31808.9</v>
      </c>
      <c r="CD111" s="702">
        <f t="shared" si="97"/>
        <v>265727.58</v>
      </c>
      <c r="CE111" s="731">
        <f t="shared" si="99"/>
        <v>171767.1064</v>
      </c>
      <c r="CF111" s="739">
        <f t="shared" si="98"/>
        <v>93960.4736</v>
      </c>
      <c r="CG111" s="742">
        <f t="shared" si="96"/>
        <v>171767.1064</v>
      </c>
      <c r="CH111" s="743" t="e">
        <f>'[6]JACKSON AKPOJARO '!C256*12</f>
        <v>#REF!</v>
      </c>
      <c r="CI111" s="744" t="e">
        <f t="shared" si="106"/>
        <v>#REF!</v>
      </c>
      <c r="CJ111" s="745">
        <f t="shared" si="102"/>
        <v>0</v>
      </c>
      <c r="CK111" s="748" t="e">
        <f t="shared" si="107"/>
        <v>#REF!</v>
      </c>
      <c r="CL111" s="749" t="e">
        <f t="shared" si="108"/>
        <v>#REF!</v>
      </c>
      <c r="CM111" s="744"/>
      <c r="CN111" s="745" t="e">
        <f t="shared" si="109"/>
        <v>#REF!</v>
      </c>
      <c r="CO111" s="745" t="e">
        <f t="shared" si="110"/>
        <v>#REF!</v>
      </c>
      <c r="CP111" s="745" t="e">
        <f t="shared" si="111"/>
        <v>#REF!</v>
      </c>
      <c r="CQ111" s="745" t="e">
        <f t="shared" si="112"/>
        <v>#REF!</v>
      </c>
      <c r="CR111" s="745" t="e">
        <f t="shared" si="113"/>
        <v>#REF!</v>
      </c>
      <c r="CS111" s="745" t="e">
        <f t="shared" si="114"/>
        <v>#REF!</v>
      </c>
      <c r="CT111" s="754" t="e">
        <f t="shared" si="119"/>
        <v>#REF!</v>
      </c>
      <c r="CU111" s="755" t="e">
        <f t="shared" si="120"/>
        <v>#REF!</v>
      </c>
      <c r="CV111" s="756">
        <f t="shared" si="118"/>
        <v>31808.9</v>
      </c>
      <c r="CW111" s="757"/>
      <c r="CX111" s="758"/>
      <c r="CY111" s="759"/>
      <c r="CZ111" s="760"/>
      <c r="DA111" s="767"/>
      <c r="DB111" s="770"/>
    </row>
    <row r="112" ht="236" customHeight="1" spans="1:106">
      <c r="A112" s="673">
        <v>435</v>
      </c>
      <c r="B112" s="676" t="s">
        <v>1060</v>
      </c>
      <c r="C112" s="677" t="s">
        <v>1527</v>
      </c>
      <c r="D112" s="677" t="s">
        <v>1535</v>
      </c>
      <c r="E112" s="677" t="s">
        <v>873</v>
      </c>
      <c r="F112" s="1452" t="s">
        <v>1061</v>
      </c>
      <c r="G112" s="677" t="s">
        <v>1628</v>
      </c>
      <c r="H112" s="679"/>
      <c r="I112" s="681" t="s">
        <v>127</v>
      </c>
      <c r="J112" s="686" t="s">
        <v>1061</v>
      </c>
      <c r="K112" s="687" t="str">
        <f>'[5] NON-TEACHING STAFF'!$J$99</f>
        <v>22305333269</v>
      </c>
      <c r="L112" s="688">
        <f>L110</f>
        <v>1967327</v>
      </c>
      <c r="M112" s="688" t="e">
        <f>S112-#REF!</f>
        <v>#REF!</v>
      </c>
      <c r="N112" s="689">
        <v>1967327</v>
      </c>
      <c r="O112" s="689">
        <v>177283.5</v>
      </c>
      <c r="P112" s="689"/>
      <c r="Q112" s="689">
        <v>44320.875</v>
      </c>
      <c r="R112" s="689">
        <v>30000</v>
      </c>
      <c r="S112" s="689">
        <v>260727.58</v>
      </c>
      <c r="T112" s="689"/>
      <c r="U112" s="689"/>
      <c r="V112" s="689"/>
      <c r="W112" s="689"/>
      <c r="X112" s="689"/>
      <c r="Y112" s="689"/>
      <c r="Z112" s="689"/>
      <c r="AA112" s="689"/>
      <c r="AB112" s="689">
        <v>12500</v>
      </c>
      <c r="AC112" s="689">
        <v>2500</v>
      </c>
      <c r="AD112" s="689"/>
      <c r="AE112" s="689"/>
      <c r="AF112" s="689"/>
      <c r="AG112" s="689"/>
      <c r="AH112" s="689"/>
      <c r="AI112" s="689"/>
      <c r="AJ112" s="689">
        <v>2500</v>
      </c>
      <c r="AK112" s="689"/>
      <c r="AL112" s="689">
        <v>383.33</v>
      </c>
      <c r="AM112" s="689"/>
      <c r="AN112" s="689"/>
      <c r="AO112" s="689"/>
      <c r="AP112" s="689"/>
      <c r="AQ112" s="689"/>
      <c r="AR112" s="689"/>
      <c r="AS112" s="689"/>
      <c r="AT112" s="689"/>
      <c r="AU112" s="689">
        <f t="shared" si="100"/>
        <v>10429.1032</v>
      </c>
      <c r="AV112" s="689"/>
      <c r="AW112" s="689">
        <v>2000</v>
      </c>
      <c r="AX112" s="718">
        <f t="shared" si="101"/>
        <v>5214.5516</v>
      </c>
      <c r="AY112" s="718"/>
      <c r="AZ112" s="718"/>
      <c r="BA112" s="689"/>
      <c r="BB112" s="689"/>
      <c r="BC112" s="689"/>
      <c r="BD112" s="719"/>
      <c r="BE112" s="719"/>
      <c r="BF112" s="689"/>
      <c r="BG112" s="689"/>
      <c r="BH112" s="727"/>
      <c r="BI112" s="689"/>
      <c r="BJ112" s="689"/>
      <c r="BK112" s="689"/>
      <c r="BL112" s="689">
        <v>10000</v>
      </c>
      <c r="BM112" s="689"/>
      <c r="BN112" s="689"/>
      <c r="BO112" s="689">
        <v>47500</v>
      </c>
      <c r="BP112" s="689"/>
      <c r="BQ112" s="689"/>
      <c r="BR112" s="731"/>
      <c r="BS112" s="731"/>
      <c r="BT112" s="731"/>
      <c r="BU112" s="731"/>
      <c r="BV112" s="731"/>
      <c r="BW112" s="731"/>
      <c r="BX112" s="731">
        <v>5000</v>
      </c>
      <c r="BY112" s="731">
        <v>2000</v>
      </c>
      <c r="BZ112" s="731">
        <v>1500</v>
      </c>
      <c r="CA112" s="718">
        <f t="shared" si="94"/>
        <v>5564.5516</v>
      </c>
      <c r="CB112" s="735"/>
      <c r="CC112" s="731">
        <v>33908.9</v>
      </c>
      <c r="CD112" s="702">
        <f t="shared" si="97"/>
        <v>278227.58</v>
      </c>
      <c r="CE112" s="731">
        <f t="shared" si="99"/>
        <v>123117.1064</v>
      </c>
      <c r="CF112" s="739">
        <f t="shared" si="98"/>
        <v>155110.4736</v>
      </c>
      <c r="CG112" s="742">
        <f t="shared" si="96"/>
        <v>123117.1064</v>
      </c>
      <c r="CH112" s="743" t="e">
        <f>'[6]JACKSON AKPOJARO '!C257*12</f>
        <v>#REF!</v>
      </c>
      <c r="CI112" s="744" t="e">
        <f t="shared" si="106"/>
        <v>#REF!</v>
      </c>
      <c r="CJ112" s="745">
        <f t="shared" si="102"/>
        <v>0</v>
      </c>
      <c r="CK112" s="748" t="e">
        <f t="shared" si="107"/>
        <v>#REF!</v>
      </c>
      <c r="CL112" s="749" t="e">
        <f t="shared" si="108"/>
        <v>#REF!</v>
      </c>
      <c r="CM112" s="744"/>
      <c r="CN112" s="745" t="e">
        <f t="shared" si="109"/>
        <v>#REF!</v>
      </c>
      <c r="CO112" s="745" t="e">
        <f t="shared" si="110"/>
        <v>#REF!</v>
      </c>
      <c r="CP112" s="745" t="e">
        <f t="shared" si="111"/>
        <v>#REF!</v>
      </c>
      <c r="CQ112" s="745" t="e">
        <f t="shared" si="112"/>
        <v>#REF!</v>
      </c>
      <c r="CR112" s="745" t="e">
        <f t="shared" si="113"/>
        <v>#REF!</v>
      </c>
      <c r="CS112" s="745" t="e">
        <f t="shared" si="114"/>
        <v>#REF!</v>
      </c>
      <c r="CT112" s="754" t="e">
        <f t="shared" si="119"/>
        <v>#REF!</v>
      </c>
      <c r="CU112" s="755" t="e">
        <f t="shared" si="120"/>
        <v>#REF!</v>
      </c>
      <c r="CV112" s="756">
        <f t="shared" si="118"/>
        <v>33908.9</v>
      </c>
      <c r="CW112" s="757"/>
      <c r="CX112" s="758"/>
      <c r="CY112" s="759"/>
      <c r="CZ112" s="760"/>
      <c r="DA112" s="767"/>
      <c r="DB112" s="770"/>
    </row>
    <row r="113" ht="236" customHeight="1" spans="1:106">
      <c r="A113" s="675">
        <v>436</v>
      </c>
      <c r="B113" s="676" t="s">
        <v>1062</v>
      </c>
      <c r="C113" s="677" t="s">
        <v>1533</v>
      </c>
      <c r="D113" s="677" t="s">
        <v>1655</v>
      </c>
      <c r="E113" s="677" t="s">
        <v>915</v>
      </c>
      <c r="F113" s="1452" t="s">
        <v>1063</v>
      </c>
      <c r="G113" s="677" t="s">
        <v>1640</v>
      </c>
      <c r="H113" s="679"/>
      <c r="I113" s="681" t="s">
        <v>915</v>
      </c>
      <c r="J113" s="686" t="s">
        <v>1063</v>
      </c>
      <c r="K113" s="687" t="str">
        <f>'[5] NON-TEACHING STAFF'!$J$100</f>
        <v>22157445028</v>
      </c>
      <c r="L113" s="688">
        <v>2390149</v>
      </c>
      <c r="M113" s="688" t="e">
        <f>S113-#REF!</f>
        <v>#REF!</v>
      </c>
      <c r="N113" s="689">
        <v>2477732</v>
      </c>
      <c r="O113" s="689">
        <v>251743.75</v>
      </c>
      <c r="P113" s="689"/>
      <c r="Q113" s="689">
        <v>62935.9375</v>
      </c>
      <c r="R113" s="689">
        <v>30000</v>
      </c>
      <c r="S113" s="689">
        <v>357763.25</v>
      </c>
      <c r="T113" s="689"/>
      <c r="U113" s="689"/>
      <c r="V113" s="689"/>
      <c r="W113" s="689"/>
      <c r="X113" s="689"/>
      <c r="Y113" s="689"/>
      <c r="Z113" s="689"/>
      <c r="AA113" s="689">
        <f>S113*0.35/3</f>
        <v>41739.0458333333</v>
      </c>
      <c r="AB113" s="689"/>
      <c r="AC113" s="689">
        <v>2500</v>
      </c>
      <c r="AD113" s="689"/>
      <c r="AE113" s="689"/>
      <c r="AF113" s="689"/>
      <c r="AG113" s="689"/>
      <c r="AH113" s="689"/>
      <c r="AI113" s="689"/>
      <c r="AJ113" s="689">
        <v>2500</v>
      </c>
      <c r="AK113" s="689"/>
      <c r="AL113" s="689">
        <v>383.33</v>
      </c>
      <c r="AM113" s="689"/>
      <c r="AN113" s="689"/>
      <c r="AO113" s="689"/>
      <c r="AP113" s="689"/>
      <c r="AQ113" s="689"/>
      <c r="AR113" s="689"/>
      <c r="AS113" s="689"/>
      <c r="AT113" s="689"/>
      <c r="AU113" s="689">
        <f t="shared" si="100"/>
        <v>14310.53</v>
      </c>
      <c r="AV113" s="689"/>
      <c r="AW113" s="689"/>
      <c r="AX113" s="718">
        <f t="shared" si="101"/>
        <v>7155.265</v>
      </c>
      <c r="AY113" s="718"/>
      <c r="AZ113" s="718"/>
      <c r="BA113" s="689"/>
      <c r="BB113" s="689"/>
      <c r="BC113" s="689"/>
      <c r="BD113" s="719"/>
      <c r="BE113" s="719"/>
      <c r="BF113" s="689"/>
      <c r="BG113" s="689"/>
      <c r="BH113" s="727"/>
      <c r="BI113" s="689"/>
      <c r="BJ113" s="689"/>
      <c r="BK113" s="689"/>
      <c r="BL113" s="689"/>
      <c r="BM113" s="689"/>
      <c r="BN113" s="689"/>
      <c r="BO113" s="689">
        <v>0</v>
      </c>
      <c r="BP113" s="689"/>
      <c r="BQ113" s="689"/>
      <c r="BR113" s="731"/>
      <c r="BS113" s="731"/>
      <c r="BT113" s="731"/>
      <c r="BU113" s="731"/>
      <c r="BV113" s="731"/>
      <c r="BW113" s="731"/>
      <c r="BX113" s="731"/>
      <c r="BY113" s="731"/>
      <c r="BZ113" s="731">
        <v>2000</v>
      </c>
      <c r="CA113" s="718">
        <f t="shared" si="94"/>
        <v>8090.04591666667</v>
      </c>
      <c r="CB113" s="735"/>
      <c r="CC113" s="742">
        <v>56331.11</v>
      </c>
      <c r="CD113" s="702">
        <f t="shared" si="97"/>
        <v>404502.295833333</v>
      </c>
      <c r="CE113" s="731">
        <f t="shared" si="99"/>
        <v>87886.9509166667</v>
      </c>
      <c r="CF113" s="739">
        <f t="shared" si="98"/>
        <v>316615.344916667</v>
      </c>
      <c r="CG113" s="742">
        <f t="shared" si="96"/>
        <v>87886.9509166667</v>
      </c>
      <c r="CH113" s="743" t="e">
        <f>'[6]JACKSON AKPOJARO '!C258*12</f>
        <v>#REF!</v>
      </c>
      <c r="CI113" s="744" t="e">
        <f t="shared" si="106"/>
        <v>#REF!</v>
      </c>
      <c r="CJ113" s="745">
        <f t="shared" si="102"/>
        <v>0</v>
      </c>
      <c r="CK113" s="748" t="e">
        <f t="shared" si="107"/>
        <v>#REF!</v>
      </c>
      <c r="CL113" s="749" t="e">
        <f t="shared" si="108"/>
        <v>#REF!</v>
      </c>
      <c r="CM113" s="744"/>
      <c r="CN113" s="745" t="e">
        <f t="shared" si="109"/>
        <v>#REF!</v>
      </c>
      <c r="CO113" s="745" t="e">
        <f t="shared" si="110"/>
        <v>#REF!</v>
      </c>
      <c r="CP113" s="745" t="e">
        <f t="shared" si="111"/>
        <v>#REF!</v>
      </c>
      <c r="CQ113" s="745" t="e">
        <f t="shared" si="112"/>
        <v>#REF!</v>
      </c>
      <c r="CR113" s="745" t="e">
        <f t="shared" si="113"/>
        <v>#REF!</v>
      </c>
      <c r="CS113" s="745" t="e">
        <f t="shared" si="114"/>
        <v>#REF!</v>
      </c>
      <c r="CT113" s="754" t="e">
        <f t="shared" si="119"/>
        <v>#REF!</v>
      </c>
      <c r="CU113" s="755" t="e">
        <f t="shared" si="120"/>
        <v>#REF!</v>
      </c>
      <c r="CV113" s="756">
        <f t="shared" si="118"/>
        <v>56331.11</v>
      </c>
      <c r="CW113" s="757"/>
      <c r="CX113" s="758"/>
      <c r="CY113" s="759"/>
      <c r="CZ113" s="760"/>
      <c r="DA113" s="767"/>
      <c r="DB113" s="770"/>
    </row>
    <row r="114" ht="236" customHeight="1" spans="1:105">
      <c r="A114" s="673">
        <v>437</v>
      </c>
      <c r="B114" s="676" t="s">
        <v>1064</v>
      </c>
      <c r="C114" s="677" t="s">
        <v>1533</v>
      </c>
      <c r="D114" s="677" t="s">
        <v>1656</v>
      </c>
      <c r="E114" s="677" t="s">
        <v>871</v>
      </c>
      <c r="F114" s="677" t="s">
        <v>1065</v>
      </c>
      <c r="G114" s="677" t="s">
        <v>1577</v>
      </c>
      <c r="H114" s="679"/>
      <c r="I114" s="33" t="s">
        <v>259</v>
      </c>
      <c r="J114" s="33">
        <v>6321216596</v>
      </c>
      <c r="K114" s="687" t="str">
        <f>'[5] NON-TEACHING STAFF'!$J$101</f>
        <v>22257019103</v>
      </c>
      <c r="L114" s="688">
        <f>L112</f>
        <v>1967327</v>
      </c>
      <c r="M114" s="688" t="e">
        <f>S114-#REF!</f>
        <v>#REF!</v>
      </c>
      <c r="N114" s="689">
        <v>1967327</v>
      </c>
      <c r="O114" s="689">
        <v>163943.916666667</v>
      </c>
      <c r="P114" s="689"/>
      <c r="Q114" s="689">
        <v>40985.9791666667</v>
      </c>
      <c r="R114" s="689">
        <v>30000</v>
      </c>
      <c r="S114" s="689">
        <v>252026</v>
      </c>
      <c r="T114" s="689"/>
      <c r="U114" s="689"/>
      <c r="V114" s="689"/>
      <c r="W114" s="689"/>
      <c r="X114" s="689"/>
      <c r="Y114" s="689"/>
      <c r="Z114" s="689"/>
      <c r="AA114" s="689"/>
      <c r="AB114" s="689"/>
      <c r="AC114" s="689">
        <v>2500</v>
      </c>
      <c r="AD114" s="689"/>
      <c r="AE114" s="689"/>
      <c r="AF114" s="689"/>
      <c r="AG114" s="689"/>
      <c r="AH114" s="689"/>
      <c r="AI114" s="689"/>
      <c r="AJ114" s="689">
        <v>2500</v>
      </c>
      <c r="AK114" s="689"/>
      <c r="AL114" s="689">
        <v>383.33</v>
      </c>
      <c r="AM114" s="689"/>
      <c r="AN114" s="689"/>
      <c r="AO114" s="689"/>
      <c r="AP114" s="689"/>
      <c r="AQ114" s="689"/>
      <c r="AR114" s="689"/>
      <c r="AS114" s="689"/>
      <c r="AT114" s="689"/>
      <c r="AU114" s="689">
        <f t="shared" si="100"/>
        <v>10081.04</v>
      </c>
      <c r="AV114" s="689"/>
      <c r="AW114" s="689"/>
      <c r="AX114" s="718">
        <f t="shared" si="101"/>
        <v>5040.52</v>
      </c>
      <c r="AY114" s="718"/>
      <c r="AZ114" s="718"/>
      <c r="BA114" s="689"/>
      <c r="BB114" s="689"/>
      <c r="BC114" s="689"/>
      <c r="BD114" s="719"/>
      <c r="BE114" s="719"/>
      <c r="BF114" s="689"/>
      <c r="BG114" s="689"/>
      <c r="BH114" s="727"/>
      <c r="BI114" s="689"/>
      <c r="BJ114" s="689"/>
      <c r="BK114" s="689"/>
      <c r="BL114" s="689">
        <v>10000</v>
      </c>
      <c r="BM114" s="689"/>
      <c r="BN114" s="689"/>
      <c r="BO114" s="689">
        <v>0</v>
      </c>
      <c r="BP114" s="689"/>
      <c r="BQ114" s="689"/>
      <c r="BR114" s="731"/>
      <c r="BS114" s="731"/>
      <c r="BT114" s="731"/>
      <c r="BU114" s="731"/>
      <c r="BV114" s="731"/>
      <c r="BW114" s="731"/>
      <c r="BX114" s="731"/>
      <c r="BY114" s="731"/>
      <c r="BZ114" s="731">
        <v>1500</v>
      </c>
      <c r="CA114" s="718">
        <f t="shared" si="94"/>
        <v>5140.52</v>
      </c>
      <c r="CB114" s="735"/>
      <c r="CC114" s="731">
        <v>30347.03</v>
      </c>
      <c r="CD114" s="702">
        <f t="shared" si="97"/>
        <v>257026</v>
      </c>
      <c r="CE114" s="731">
        <f t="shared" si="99"/>
        <v>62109.11</v>
      </c>
      <c r="CF114" s="739">
        <f t="shared" si="98"/>
        <v>194916.89</v>
      </c>
      <c r="CG114" s="742">
        <f t="shared" si="96"/>
        <v>62109.11</v>
      </c>
      <c r="CH114" s="743" t="e">
        <f>'[6]JACKSON AKPOJARO '!C259*12</f>
        <v>#REF!</v>
      </c>
      <c r="CI114" s="744" t="e">
        <f t="shared" si="106"/>
        <v>#REF!</v>
      </c>
      <c r="CJ114" s="745">
        <f t="shared" si="102"/>
        <v>0</v>
      </c>
      <c r="CK114" s="748" t="e">
        <f t="shared" si="107"/>
        <v>#REF!</v>
      </c>
      <c r="CL114" s="749" t="e">
        <f t="shared" si="108"/>
        <v>#REF!</v>
      </c>
      <c r="CM114" s="744"/>
      <c r="CN114" s="745" t="e">
        <f t="shared" si="109"/>
        <v>#REF!</v>
      </c>
      <c r="CO114" s="745" t="e">
        <f t="shared" si="110"/>
        <v>#REF!</v>
      </c>
      <c r="CP114" s="745" t="e">
        <f t="shared" si="111"/>
        <v>#REF!</v>
      </c>
      <c r="CQ114" s="745" t="e">
        <f t="shared" si="112"/>
        <v>#REF!</v>
      </c>
      <c r="CR114" s="745" t="e">
        <f t="shared" si="113"/>
        <v>#REF!</v>
      </c>
      <c r="CS114" s="745" t="e">
        <f t="shared" si="114"/>
        <v>#REF!</v>
      </c>
      <c r="CT114" s="754" t="e">
        <f t="shared" si="119"/>
        <v>#REF!</v>
      </c>
      <c r="CU114" s="755" t="e">
        <f t="shared" si="120"/>
        <v>#REF!</v>
      </c>
      <c r="CV114" s="756">
        <f t="shared" si="118"/>
        <v>30347.03</v>
      </c>
      <c r="CW114" s="757"/>
      <c r="CX114" s="758"/>
      <c r="CY114" s="759"/>
      <c r="CZ114" s="760"/>
      <c r="DA114" s="767"/>
    </row>
    <row r="115" ht="236" customHeight="1" spans="1:106">
      <c r="A115" s="675">
        <v>438</v>
      </c>
      <c r="B115" s="676" t="s">
        <v>1066</v>
      </c>
      <c r="C115" s="677" t="s">
        <v>1533</v>
      </c>
      <c r="D115" s="677" t="s">
        <v>1656</v>
      </c>
      <c r="E115" s="677" t="s">
        <v>113</v>
      </c>
      <c r="F115" s="1452" t="s">
        <v>1067</v>
      </c>
      <c r="G115" s="677" t="s">
        <v>1628</v>
      </c>
      <c r="H115" s="679"/>
      <c r="I115" s="681" t="s">
        <v>127</v>
      </c>
      <c r="J115" s="686" t="s">
        <v>1657</v>
      </c>
      <c r="K115" s="687" t="str">
        <f>'[5] NON-TEACHING STAFF'!$J$102</f>
        <v>22312377508</v>
      </c>
      <c r="L115" s="688">
        <f>L114</f>
        <v>1967327</v>
      </c>
      <c r="M115" s="688" t="e">
        <f>S115-#REF!</f>
        <v>#REF!</v>
      </c>
      <c r="N115" s="689">
        <v>1967327</v>
      </c>
      <c r="O115" s="689">
        <v>177283.5</v>
      </c>
      <c r="P115" s="689"/>
      <c r="Q115" s="689">
        <v>44320.875</v>
      </c>
      <c r="R115" s="689">
        <v>30000</v>
      </c>
      <c r="S115" s="689">
        <v>260727.58</v>
      </c>
      <c r="T115" s="689"/>
      <c r="U115" s="689"/>
      <c r="V115" s="689"/>
      <c r="W115" s="689"/>
      <c r="X115" s="689"/>
      <c r="Y115" s="689"/>
      <c r="Z115" s="689"/>
      <c r="AA115" s="689"/>
      <c r="AB115" s="689">
        <v>25000</v>
      </c>
      <c r="AC115" s="689">
        <v>2500</v>
      </c>
      <c r="AD115" s="689"/>
      <c r="AE115" s="689"/>
      <c r="AF115" s="689"/>
      <c r="AG115" s="689"/>
      <c r="AH115" s="689"/>
      <c r="AI115" s="689"/>
      <c r="AJ115" s="689">
        <v>2500</v>
      </c>
      <c r="AK115" s="689"/>
      <c r="AL115" s="689">
        <v>383.33</v>
      </c>
      <c r="AM115" s="689"/>
      <c r="AN115" s="689"/>
      <c r="AO115" s="689"/>
      <c r="AP115" s="689"/>
      <c r="AQ115" s="689"/>
      <c r="AR115" s="689"/>
      <c r="AS115" s="689"/>
      <c r="AT115" s="689"/>
      <c r="AU115" s="689">
        <f t="shared" si="100"/>
        <v>10429.1032</v>
      </c>
      <c r="AV115" s="689"/>
      <c r="AW115" s="790">
        <v>2000</v>
      </c>
      <c r="AX115" s="718">
        <f t="shared" si="101"/>
        <v>5214.5516</v>
      </c>
      <c r="AY115" s="718"/>
      <c r="AZ115" s="718"/>
      <c r="BA115" s="689"/>
      <c r="BB115" s="689"/>
      <c r="BC115" s="689"/>
      <c r="BD115" s="719"/>
      <c r="BE115" s="719"/>
      <c r="BF115" s="689"/>
      <c r="BG115" s="689"/>
      <c r="BH115" s="727"/>
      <c r="BI115" s="689"/>
      <c r="BJ115" s="689"/>
      <c r="BK115" s="689"/>
      <c r="BL115" s="689">
        <v>8333.34</v>
      </c>
      <c r="BM115" s="689">
        <v>81334</v>
      </c>
      <c r="BN115" s="689"/>
      <c r="BO115" s="689">
        <v>60000</v>
      </c>
      <c r="BP115" s="689"/>
      <c r="BQ115" s="689"/>
      <c r="BR115" s="731"/>
      <c r="BS115" s="731"/>
      <c r="BT115" s="731"/>
      <c r="BU115" s="731"/>
      <c r="BV115" s="731"/>
      <c r="BW115" s="731"/>
      <c r="BX115" s="731"/>
      <c r="BY115" s="731"/>
      <c r="BZ115" s="731">
        <v>1500</v>
      </c>
      <c r="CA115" s="718">
        <f t="shared" si="94"/>
        <v>5814.5516</v>
      </c>
      <c r="CB115" s="735"/>
      <c r="CC115" s="731">
        <v>36008.9</v>
      </c>
      <c r="CD115" s="702">
        <f t="shared" si="97"/>
        <v>290727.58</v>
      </c>
      <c r="CE115" s="731">
        <f t="shared" si="99"/>
        <v>210634.4464</v>
      </c>
      <c r="CF115" s="739">
        <f t="shared" si="98"/>
        <v>80093.1336</v>
      </c>
      <c r="CG115" s="742">
        <f t="shared" si="96"/>
        <v>210634.4464</v>
      </c>
      <c r="CH115" s="743" t="e">
        <f>'[6]JACKSON AKPOJARO '!C260*12</f>
        <v>#REF!</v>
      </c>
      <c r="CI115" s="744" t="e">
        <f t="shared" si="106"/>
        <v>#REF!</v>
      </c>
      <c r="CJ115" s="745">
        <f t="shared" si="102"/>
        <v>0</v>
      </c>
      <c r="CK115" s="748" t="e">
        <f t="shared" si="107"/>
        <v>#REF!</v>
      </c>
      <c r="CL115" s="749" t="e">
        <f t="shared" si="108"/>
        <v>#REF!</v>
      </c>
      <c r="CM115" s="744"/>
      <c r="CN115" s="745" t="e">
        <f t="shared" si="109"/>
        <v>#REF!</v>
      </c>
      <c r="CO115" s="745" t="e">
        <f t="shared" si="110"/>
        <v>#REF!</v>
      </c>
      <c r="CP115" s="745" t="e">
        <f t="shared" si="111"/>
        <v>#REF!</v>
      </c>
      <c r="CQ115" s="745" t="e">
        <f t="shared" si="112"/>
        <v>#REF!</v>
      </c>
      <c r="CR115" s="745" t="e">
        <f t="shared" si="113"/>
        <v>#REF!</v>
      </c>
      <c r="CS115" s="745" t="e">
        <f t="shared" si="114"/>
        <v>#REF!</v>
      </c>
      <c r="CT115" s="754" t="e">
        <f t="shared" si="119"/>
        <v>#REF!</v>
      </c>
      <c r="CU115" s="755" t="e">
        <f t="shared" si="120"/>
        <v>#REF!</v>
      </c>
      <c r="CV115" s="756">
        <f t="shared" si="118"/>
        <v>36008.9</v>
      </c>
      <c r="CW115" s="757"/>
      <c r="CX115" s="758"/>
      <c r="CY115" s="759"/>
      <c r="CZ115" s="760"/>
      <c r="DA115" s="767"/>
      <c r="DB115" s="770"/>
    </row>
    <row r="116" ht="236" customHeight="1" spans="1:106">
      <c r="A116" s="673">
        <v>439</v>
      </c>
      <c r="B116" s="676" t="s">
        <v>1068</v>
      </c>
      <c r="C116" s="677" t="s">
        <v>1527</v>
      </c>
      <c r="D116" s="677" t="s">
        <v>1573</v>
      </c>
      <c r="E116" s="677" t="s">
        <v>135</v>
      </c>
      <c r="F116" s="1452" t="s">
        <v>1069</v>
      </c>
      <c r="G116" s="677" t="s">
        <v>1558</v>
      </c>
      <c r="H116" s="679"/>
      <c r="I116" s="681" t="s">
        <v>915</v>
      </c>
      <c r="J116" s="686" t="s">
        <v>1069</v>
      </c>
      <c r="K116" s="687" t="str">
        <f>'[5] NON-TEACHING STAFF'!$J$102</f>
        <v>22312377508</v>
      </c>
      <c r="L116" s="688">
        <v>2076743</v>
      </c>
      <c r="M116" s="688" t="e">
        <f>S116-#REF!</f>
        <v>#REF!</v>
      </c>
      <c r="N116" s="689">
        <v>2131450</v>
      </c>
      <c r="O116" s="689">
        <v>177620.833333333</v>
      </c>
      <c r="P116" s="689"/>
      <c r="Q116" s="689">
        <v>44405.2083333333</v>
      </c>
      <c r="R116" s="689">
        <v>30000</v>
      </c>
      <c r="S116" s="689">
        <v>257724.67</v>
      </c>
      <c r="T116" s="689"/>
      <c r="U116" s="689"/>
      <c r="V116" s="689"/>
      <c r="W116" s="689"/>
      <c r="X116" s="689"/>
      <c r="Y116" s="689"/>
      <c r="Z116" s="689"/>
      <c r="AA116" s="689"/>
      <c r="AB116" s="689"/>
      <c r="AC116" s="689">
        <v>2500</v>
      </c>
      <c r="AD116" s="689"/>
      <c r="AE116" s="689"/>
      <c r="AF116" s="689"/>
      <c r="AG116" s="689"/>
      <c r="AH116" s="689"/>
      <c r="AI116" s="689"/>
      <c r="AJ116" s="689">
        <v>2500</v>
      </c>
      <c r="AK116" s="689"/>
      <c r="AL116" s="689">
        <v>383.33</v>
      </c>
      <c r="AM116" s="689"/>
      <c r="AN116" s="689"/>
      <c r="AO116" s="689"/>
      <c r="AP116" s="689"/>
      <c r="AQ116" s="689"/>
      <c r="AR116" s="689"/>
      <c r="AS116" s="689"/>
      <c r="AT116" s="689"/>
      <c r="AU116" s="689">
        <f t="shared" si="100"/>
        <v>10308.9868</v>
      </c>
      <c r="AV116" s="689"/>
      <c r="AW116" s="790">
        <v>1500</v>
      </c>
      <c r="AX116" s="718">
        <f t="shared" si="101"/>
        <v>5154.4934</v>
      </c>
      <c r="AY116" s="718"/>
      <c r="AZ116" s="718"/>
      <c r="BA116" s="689"/>
      <c r="BB116" s="689"/>
      <c r="BC116" s="689"/>
      <c r="BD116" s="719"/>
      <c r="BE116" s="719"/>
      <c r="BF116" s="689"/>
      <c r="BG116" s="689"/>
      <c r="BH116" s="727"/>
      <c r="BI116" s="689"/>
      <c r="BJ116" s="689"/>
      <c r="BK116" s="689"/>
      <c r="BL116" s="689"/>
      <c r="BM116" s="689"/>
      <c r="BN116" s="689"/>
      <c r="BO116" s="689">
        <v>10000</v>
      </c>
      <c r="BP116" s="689"/>
      <c r="BQ116" s="689"/>
      <c r="BR116" s="731"/>
      <c r="BS116" s="731"/>
      <c r="BT116" s="731"/>
      <c r="BU116" s="731"/>
      <c r="BV116" s="731"/>
      <c r="BW116" s="731"/>
      <c r="BX116" s="731"/>
      <c r="BY116" s="731">
        <v>2000</v>
      </c>
      <c r="BZ116" s="731">
        <v>1500</v>
      </c>
      <c r="CA116" s="718">
        <f t="shared" si="94"/>
        <v>5254.4934</v>
      </c>
      <c r="CB116" s="735"/>
      <c r="CC116" s="731">
        <v>31304.41</v>
      </c>
      <c r="CD116" s="702">
        <f t="shared" si="97"/>
        <v>262724.67</v>
      </c>
      <c r="CE116" s="731">
        <f t="shared" si="99"/>
        <v>67022.3836</v>
      </c>
      <c r="CF116" s="739">
        <f t="shared" si="98"/>
        <v>195702.2864</v>
      </c>
      <c r="CG116" s="742">
        <f t="shared" si="96"/>
        <v>67022.3836</v>
      </c>
      <c r="CH116" s="743" t="e">
        <f>'[6]JACKSON AKPOJARO '!C261*12</f>
        <v>#REF!</v>
      </c>
      <c r="CI116" s="744" t="e">
        <f t="shared" si="106"/>
        <v>#REF!</v>
      </c>
      <c r="CJ116" s="745">
        <f t="shared" si="102"/>
        <v>0</v>
      </c>
      <c r="CK116" s="748" t="e">
        <f t="shared" si="107"/>
        <v>#REF!</v>
      </c>
      <c r="CL116" s="749" t="e">
        <f t="shared" si="108"/>
        <v>#REF!</v>
      </c>
      <c r="CM116" s="744"/>
      <c r="CN116" s="745" t="e">
        <f t="shared" si="109"/>
        <v>#REF!</v>
      </c>
      <c r="CO116" s="745" t="e">
        <f t="shared" si="110"/>
        <v>#REF!</v>
      </c>
      <c r="CP116" s="745" t="e">
        <f t="shared" si="111"/>
        <v>#REF!</v>
      </c>
      <c r="CQ116" s="745" t="e">
        <f t="shared" si="112"/>
        <v>#REF!</v>
      </c>
      <c r="CR116" s="745" t="e">
        <f t="shared" si="113"/>
        <v>#REF!</v>
      </c>
      <c r="CS116" s="745" t="e">
        <f t="shared" si="114"/>
        <v>#REF!</v>
      </c>
      <c r="CT116" s="754" t="e">
        <f t="shared" si="119"/>
        <v>#REF!</v>
      </c>
      <c r="CU116" s="755" t="e">
        <f t="shared" si="120"/>
        <v>#REF!</v>
      </c>
      <c r="CV116" s="756">
        <f t="shared" si="118"/>
        <v>31304.41</v>
      </c>
      <c r="CW116" s="757"/>
      <c r="CX116" s="758"/>
      <c r="CY116" s="759"/>
      <c r="CZ116" s="760"/>
      <c r="DA116" s="767"/>
      <c r="DB116" s="820"/>
    </row>
    <row r="117" ht="236" customHeight="1" spans="1:106">
      <c r="A117" s="675">
        <v>440</v>
      </c>
      <c r="B117" s="676" t="s">
        <v>1070</v>
      </c>
      <c r="C117" s="677" t="s">
        <v>1533</v>
      </c>
      <c r="D117" s="677" t="s">
        <v>1658</v>
      </c>
      <c r="E117" s="677" t="s">
        <v>873</v>
      </c>
      <c r="F117" s="1452" t="s">
        <v>1071</v>
      </c>
      <c r="G117" s="677" t="s">
        <v>1659</v>
      </c>
      <c r="H117" s="679"/>
      <c r="I117" s="681" t="s">
        <v>127</v>
      </c>
      <c r="J117" s="686" t="s">
        <v>1071</v>
      </c>
      <c r="K117" s="687" t="str">
        <f>'[5] NON-TEACHING STAFF'!$J$105</f>
        <v>22195288090</v>
      </c>
      <c r="L117" s="688">
        <v>4025741</v>
      </c>
      <c r="M117" s="688" t="e">
        <f>S117-#REF!</f>
        <v>#REF!</v>
      </c>
      <c r="N117" s="689">
        <v>4025741</v>
      </c>
      <c r="O117" s="689">
        <v>335478.416666667</v>
      </c>
      <c r="P117" s="689"/>
      <c r="Q117" s="689">
        <v>83869.6041666667</v>
      </c>
      <c r="R117" s="689">
        <v>30000</v>
      </c>
      <c r="S117" s="689">
        <v>612701.42</v>
      </c>
      <c r="T117" s="689"/>
      <c r="U117" s="689"/>
      <c r="V117" s="689"/>
      <c r="W117" s="689"/>
      <c r="X117" s="689"/>
      <c r="Y117" s="689"/>
      <c r="Z117" s="689"/>
      <c r="AA117" s="689">
        <f>S117*0.35/3</f>
        <v>71481.8323333333</v>
      </c>
      <c r="AB117" s="689">
        <v>41667</v>
      </c>
      <c r="AC117" s="689">
        <v>2500</v>
      </c>
      <c r="AD117" s="689"/>
      <c r="AE117" s="689"/>
      <c r="AF117" s="689"/>
      <c r="AG117" s="689"/>
      <c r="AH117" s="689">
        <v>51750</v>
      </c>
      <c r="AI117" s="689"/>
      <c r="AJ117" s="689">
        <v>2500</v>
      </c>
      <c r="AK117" s="689"/>
      <c r="AL117" s="689">
        <v>383.33</v>
      </c>
      <c r="AM117" s="689"/>
      <c r="AN117" s="689"/>
      <c r="AO117" s="689"/>
      <c r="AP117" s="689"/>
      <c r="AQ117" s="689"/>
      <c r="AR117" s="689"/>
      <c r="AS117" s="689"/>
      <c r="AT117" s="689"/>
      <c r="AU117" s="689">
        <f t="shared" si="100"/>
        <v>24508.0568</v>
      </c>
      <c r="AV117" s="689"/>
      <c r="AW117" s="689"/>
      <c r="AX117" s="718">
        <f t="shared" si="101"/>
        <v>12254.0284</v>
      </c>
      <c r="AY117" s="718"/>
      <c r="AZ117" s="718"/>
      <c r="BA117" s="689"/>
      <c r="BB117" s="689"/>
      <c r="BC117" s="689"/>
      <c r="BD117" s="719"/>
      <c r="BE117" s="719"/>
      <c r="BF117" s="724"/>
      <c r="BG117" s="724"/>
      <c r="BH117" s="727"/>
      <c r="BI117" s="689"/>
      <c r="BJ117" s="689"/>
      <c r="BK117" s="689"/>
      <c r="BL117" s="689">
        <v>10000</v>
      </c>
      <c r="BM117" s="689"/>
      <c r="BN117" s="689"/>
      <c r="BO117" s="689">
        <v>0</v>
      </c>
      <c r="BP117" s="689"/>
      <c r="BQ117" s="689"/>
      <c r="BR117" s="731"/>
      <c r="BS117" s="731"/>
      <c r="BT117" s="731"/>
      <c r="BU117" s="731"/>
      <c r="BV117" s="731"/>
      <c r="BW117" s="731"/>
      <c r="BX117" s="731">
        <v>5000</v>
      </c>
      <c r="BY117" s="731"/>
      <c r="BZ117" s="731">
        <v>3500</v>
      </c>
      <c r="CA117" s="718">
        <f t="shared" si="94"/>
        <v>15652.0050466667</v>
      </c>
      <c r="CB117" s="735"/>
      <c r="CC117" s="731">
        <v>128925.92</v>
      </c>
      <c r="CD117" s="702">
        <f t="shared" si="97"/>
        <v>782600.252333333</v>
      </c>
      <c r="CE117" s="731">
        <f t="shared" si="99"/>
        <v>199840.010246667</v>
      </c>
      <c r="CF117" s="739">
        <f t="shared" si="98"/>
        <v>582760.242086667</v>
      </c>
      <c r="CG117" s="742">
        <f t="shared" si="96"/>
        <v>199840.010246667</v>
      </c>
      <c r="CH117" s="743" t="e">
        <f>'[6]JACKSON AKPOJARO '!C262*12</f>
        <v>#REF!</v>
      </c>
      <c r="CI117" s="744" t="e">
        <f t="shared" si="106"/>
        <v>#REF!</v>
      </c>
      <c r="CJ117" s="745">
        <f t="shared" si="102"/>
        <v>0</v>
      </c>
      <c r="CK117" s="748" t="e">
        <f t="shared" si="107"/>
        <v>#REF!</v>
      </c>
      <c r="CL117" s="749" t="e">
        <f t="shared" si="108"/>
        <v>#REF!</v>
      </c>
      <c r="CM117" s="744"/>
      <c r="CN117" s="745" t="e">
        <f t="shared" si="109"/>
        <v>#REF!</v>
      </c>
      <c r="CO117" s="745" t="e">
        <f t="shared" si="110"/>
        <v>#REF!</v>
      </c>
      <c r="CP117" s="745" t="e">
        <f t="shared" si="111"/>
        <v>#REF!</v>
      </c>
      <c r="CQ117" s="745" t="e">
        <f t="shared" si="112"/>
        <v>#REF!</v>
      </c>
      <c r="CR117" s="745" t="e">
        <f t="shared" si="113"/>
        <v>#REF!</v>
      </c>
      <c r="CS117" s="745" t="e">
        <f t="shared" si="114"/>
        <v>#REF!</v>
      </c>
      <c r="CT117" s="754" t="e">
        <f t="shared" si="119"/>
        <v>#REF!</v>
      </c>
      <c r="CU117" s="755" t="e">
        <f t="shared" si="120"/>
        <v>#REF!</v>
      </c>
      <c r="CV117" s="756">
        <f t="shared" si="118"/>
        <v>128925.92</v>
      </c>
      <c r="CW117" s="757"/>
      <c r="CX117" s="758"/>
      <c r="CY117" s="759"/>
      <c r="CZ117" s="760"/>
      <c r="DA117" s="767"/>
      <c r="DB117" s="770" t="s">
        <v>1660</v>
      </c>
    </row>
    <row r="118" ht="236" customHeight="1" spans="1:106">
      <c r="A118" s="673">
        <v>441</v>
      </c>
      <c r="B118" s="676" t="s">
        <v>1072</v>
      </c>
      <c r="C118" s="677" t="s">
        <v>1550</v>
      </c>
      <c r="D118" s="677" t="s">
        <v>1661</v>
      </c>
      <c r="E118" s="677" t="s">
        <v>873</v>
      </c>
      <c r="F118" s="1452" t="s">
        <v>1073</v>
      </c>
      <c r="G118" s="677" t="s">
        <v>1628</v>
      </c>
      <c r="H118" s="679"/>
      <c r="I118" s="681" t="s">
        <v>915</v>
      </c>
      <c r="J118" s="686" t="s">
        <v>1662</v>
      </c>
      <c r="K118" s="687">
        <f>'[5] NON-TEACHING STAFF'!$J$106</f>
        <v>22234852008</v>
      </c>
      <c r="L118" s="688">
        <v>1967927</v>
      </c>
      <c r="M118" s="688" t="e">
        <f>S118-#REF!</f>
        <v>#REF!</v>
      </c>
      <c r="N118" s="689">
        <v>2127402</v>
      </c>
      <c r="O118" s="689">
        <v>163943.92</v>
      </c>
      <c r="P118" s="689"/>
      <c r="Q118" s="689">
        <v>40985.98</v>
      </c>
      <c r="R118" s="689">
        <v>30000</v>
      </c>
      <c r="S118" s="689">
        <v>260727.58</v>
      </c>
      <c r="T118" s="689"/>
      <c r="U118" s="689">
        <v>66625</v>
      </c>
      <c r="V118" s="689"/>
      <c r="W118" s="689"/>
      <c r="X118" s="689"/>
      <c r="Y118" s="689"/>
      <c r="Z118" s="689"/>
      <c r="AA118" s="689"/>
      <c r="AB118" s="689">
        <v>25000</v>
      </c>
      <c r="AC118" s="689">
        <v>2500</v>
      </c>
      <c r="AD118" s="689"/>
      <c r="AE118" s="689"/>
      <c r="AF118" s="689"/>
      <c r="AG118" s="689"/>
      <c r="AH118" s="689">
        <v>46000</v>
      </c>
      <c r="AI118" s="689"/>
      <c r="AJ118" s="689">
        <v>2500</v>
      </c>
      <c r="AK118" s="689"/>
      <c r="AL118" s="689">
        <v>383.33</v>
      </c>
      <c r="AM118" s="689"/>
      <c r="AN118" s="689"/>
      <c r="AO118" s="689"/>
      <c r="AP118" s="689"/>
      <c r="AQ118" s="689"/>
      <c r="AR118" s="689"/>
      <c r="AS118" s="689"/>
      <c r="AT118" s="689"/>
      <c r="AU118" s="689">
        <f t="shared" si="100"/>
        <v>10429.1032</v>
      </c>
      <c r="AV118" s="689"/>
      <c r="AW118" s="689"/>
      <c r="AX118" s="718">
        <f t="shared" si="101"/>
        <v>5214.5516</v>
      </c>
      <c r="AY118" s="718"/>
      <c r="AZ118" s="718"/>
      <c r="BA118" s="689"/>
      <c r="BB118" s="689"/>
      <c r="BC118" s="689"/>
      <c r="BD118" s="719"/>
      <c r="BE118" s="719"/>
      <c r="BF118" s="689"/>
      <c r="BG118" s="689"/>
      <c r="BH118" s="727">
        <v>3000</v>
      </c>
      <c r="BI118" s="689"/>
      <c r="BJ118" s="689"/>
      <c r="BK118" s="689"/>
      <c r="BL118" s="689">
        <v>10000</v>
      </c>
      <c r="BM118" s="689"/>
      <c r="BN118" s="689"/>
      <c r="BO118" s="689">
        <v>132083.46</v>
      </c>
      <c r="BP118" s="689"/>
      <c r="BQ118" s="689"/>
      <c r="BR118" s="731"/>
      <c r="BS118" s="731"/>
      <c r="BT118" s="731"/>
      <c r="BU118" s="731"/>
      <c r="BV118" s="731"/>
      <c r="BW118" s="731"/>
      <c r="BX118" s="731"/>
      <c r="BY118" s="731"/>
      <c r="BZ118" s="731">
        <v>1500</v>
      </c>
      <c r="CA118" s="718">
        <f t="shared" si="94"/>
        <v>9399.5516</v>
      </c>
      <c r="CB118" s="735"/>
      <c r="CC118" s="731">
        <v>68975.96</v>
      </c>
      <c r="CD118" s="702">
        <f t="shared" si="97"/>
        <v>469977.58</v>
      </c>
      <c r="CE118" s="731">
        <f t="shared" si="99"/>
        <v>240602.6264</v>
      </c>
      <c r="CF118" s="739">
        <f t="shared" si="98"/>
        <v>229374.9536</v>
      </c>
      <c r="CG118" s="742">
        <f t="shared" si="96"/>
        <v>240602.6264</v>
      </c>
      <c r="CH118" s="743" t="e">
        <f>'[6]JACKSON AKPOJARO '!C263*12</f>
        <v>#REF!</v>
      </c>
      <c r="CI118" s="744" t="e">
        <f t="shared" si="106"/>
        <v>#REF!</v>
      </c>
      <c r="CJ118" s="745">
        <f t="shared" si="102"/>
        <v>0</v>
      </c>
      <c r="CK118" s="748" t="e">
        <f t="shared" si="107"/>
        <v>#REF!</v>
      </c>
      <c r="CL118" s="749" t="e">
        <f t="shared" si="108"/>
        <v>#REF!</v>
      </c>
      <c r="CM118" s="744"/>
      <c r="CN118" s="745" t="e">
        <f t="shared" si="109"/>
        <v>#REF!</v>
      </c>
      <c r="CO118" s="745" t="e">
        <f t="shared" si="110"/>
        <v>#REF!</v>
      </c>
      <c r="CP118" s="745" t="e">
        <f t="shared" si="111"/>
        <v>#REF!</v>
      </c>
      <c r="CQ118" s="745" t="e">
        <f t="shared" si="112"/>
        <v>#REF!</v>
      </c>
      <c r="CR118" s="745" t="e">
        <f t="shared" si="113"/>
        <v>#REF!</v>
      </c>
      <c r="CS118" s="745" t="e">
        <f t="shared" si="114"/>
        <v>#REF!</v>
      </c>
      <c r="CT118" s="754" t="e">
        <f t="shared" si="119"/>
        <v>#REF!</v>
      </c>
      <c r="CU118" s="755" t="e">
        <f t="shared" si="120"/>
        <v>#REF!</v>
      </c>
      <c r="CV118" s="756">
        <f t="shared" si="118"/>
        <v>68975.96</v>
      </c>
      <c r="CW118" s="757"/>
      <c r="CX118" s="758"/>
      <c r="CY118" s="759"/>
      <c r="CZ118" s="760"/>
      <c r="DA118" s="767"/>
      <c r="DB118" s="770"/>
    </row>
    <row r="119" ht="236" customHeight="1" spans="1:105">
      <c r="A119" s="675">
        <v>442</v>
      </c>
      <c r="B119" s="676" t="s">
        <v>1074</v>
      </c>
      <c r="C119" s="677" t="s">
        <v>1527</v>
      </c>
      <c r="D119" s="677" t="s">
        <v>1573</v>
      </c>
      <c r="E119" s="677" t="s">
        <v>135</v>
      </c>
      <c r="F119" s="1452" t="s">
        <v>1075</v>
      </c>
      <c r="G119" s="677" t="s">
        <v>1642</v>
      </c>
      <c r="H119" s="679"/>
      <c r="I119" s="681" t="s">
        <v>135</v>
      </c>
      <c r="J119" s="686" t="s">
        <v>1075</v>
      </c>
      <c r="K119" s="687">
        <f>'[5] NON-TEACHING STAFF'!$J$107</f>
        <v>22286110934</v>
      </c>
      <c r="L119" s="688">
        <v>1857913</v>
      </c>
      <c r="M119" s="688" t="e">
        <f>S119-#REF!</f>
        <v>#REF!</v>
      </c>
      <c r="N119" s="689">
        <v>1912620</v>
      </c>
      <c r="O119" s="689">
        <v>159385</v>
      </c>
      <c r="P119" s="689"/>
      <c r="Q119" s="689">
        <v>39846.25</v>
      </c>
      <c r="R119" s="689">
        <v>30000</v>
      </c>
      <c r="S119" s="689">
        <v>251604.42</v>
      </c>
      <c r="T119" s="689"/>
      <c r="U119" s="689"/>
      <c r="V119" s="689"/>
      <c r="W119" s="689"/>
      <c r="X119" s="689"/>
      <c r="Y119" s="689"/>
      <c r="Z119" s="689"/>
      <c r="AA119" s="689"/>
      <c r="AB119" s="689">
        <v>25000</v>
      </c>
      <c r="AC119" s="689">
        <v>2500</v>
      </c>
      <c r="AD119" s="689"/>
      <c r="AE119" s="689"/>
      <c r="AF119" s="689"/>
      <c r="AG119" s="689"/>
      <c r="AH119" s="689" t="s">
        <v>1663</v>
      </c>
      <c r="AI119" s="689"/>
      <c r="AJ119" s="689">
        <v>2500</v>
      </c>
      <c r="AK119" s="689"/>
      <c r="AL119" s="689">
        <v>383.33</v>
      </c>
      <c r="AM119" s="689"/>
      <c r="AN119" s="689"/>
      <c r="AO119" s="689"/>
      <c r="AP119" s="689"/>
      <c r="AQ119" s="689"/>
      <c r="AR119" s="689"/>
      <c r="AS119" s="689"/>
      <c r="AT119" s="689"/>
      <c r="AU119" s="689">
        <f t="shared" si="100"/>
        <v>10064.1768</v>
      </c>
      <c r="AV119" s="689"/>
      <c r="AW119" s="689">
        <v>2000</v>
      </c>
      <c r="AX119" s="718">
        <f t="shared" si="101"/>
        <v>5032.0884</v>
      </c>
      <c r="AY119" s="718"/>
      <c r="AZ119" s="718"/>
      <c r="BA119" s="689"/>
      <c r="BB119" s="689">
        <v>12500</v>
      </c>
      <c r="BC119" s="689"/>
      <c r="BD119" s="719"/>
      <c r="BE119" s="719"/>
      <c r="BF119" s="689"/>
      <c r="BG119" s="689"/>
      <c r="BH119" s="727"/>
      <c r="BI119" s="689"/>
      <c r="BJ119" s="689"/>
      <c r="BK119" s="689"/>
      <c r="BL119" s="689">
        <v>10000</v>
      </c>
      <c r="BM119" s="689"/>
      <c r="BN119" s="689"/>
      <c r="BO119" s="689">
        <v>10000</v>
      </c>
      <c r="BP119" s="689"/>
      <c r="BQ119" s="689"/>
      <c r="BR119" s="731"/>
      <c r="BS119" s="731"/>
      <c r="BT119" s="731"/>
      <c r="BU119" s="731"/>
      <c r="BV119" s="731"/>
      <c r="BW119" s="731"/>
      <c r="BX119" s="731"/>
      <c r="BY119" s="731">
        <v>2000</v>
      </c>
      <c r="BZ119" s="731">
        <v>1500</v>
      </c>
      <c r="CA119" s="718">
        <f t="shared" si="94"/>
        <v>5632.0884</v>
      </c>
      <c r="CB119" s="735"/>
      <c r="CC119" s="731">
        <v>34476.21</v>
      </c>
      <c r="CD119" s="702">
        <f>AJ119+AC119+AB119+S119</f>
        <v>281604.42</v>
      </c>
      <c r="CE119" s="731">
        <f t="shared" si="99"/>
        <v>93204.5636</v>
      </c>
      <c r="CF119" s="739">
        <f t="shared" si="98"/>
        <v>188399.8564</v>
      </c>
      <c r="CG119" s="742">
        <f t="shared" si="96"/>
        <v>93204.5636</v>
      </c>
      <c r="CH119" s="743" t="e">
        <f>'[6]JACKSON AKPOJARO '!C264*12</f>
        <v>#REF!</v>
      </c>
      <c r="CI119" s="744" t="e">
        <f t="shared" si="106"/>
        <v>#REF!</v>
      </c>
      <c r="CJ119" s="745">
        <f t="shared" si="102"/>
        <v>0</v>
      </c>
      <c r="CK119" s="748" t="e">
        <f t="shared" si="107"/>
        <v>#REF!</v>
      </c>
      <c r="CL119" s="749" t="e">
        <f t="shared" si="108"/>
        <v>#REF!</v>
      </c>
      <c r="CM119" s="744"/>
      <c r="CN119" s="745" t="e">
        <f t="shared" si="109"/>
        <v>#REF!</v>
      </c>
      <c r="CO119" s="745" t="e">
        <f t="shared" si="110"/>
        <v>#REF!</v>
      </c>
      <c r="CP119" s="745" t="e">
        <f t="shared" si="111"/>
        <v>#REF!</v>
      </c>
      <c r="CQ119" s="745" t="e">
        <f t="shared" si="112"/>
        <v>#REF!</v>
      </c>
      <c r="CR119" s="745" t="e">
        <f t="shared" si="113"/>
        <v>#REF!</v>
      </c>
      <c r="CS119" s="745" t="e">
        <f t="shared" si="114"/>
        <v>#REF!</v>
      </c>
      <c r="CT119" s="754" t="e">
        <f t="shared" si="119"/>
        <v>#REF!</v>
      </c>
      <c r="CU119" s="755" t="e">
        <f t="shared" si="120"/>
        <v>#REF!</v>
      </c>
      <c r="CV119" s="756">
        <f t="shared" si="118"/>
        <v>34476.21</v>
      </c>
      <c r="CW119" s="757"/>
      <c r="CX119" s="758"/>
      <c r="CY119" s="759"/>
      <c r="CZ119" s="760"/>
      <c r="DA119" s="767"/>
    </row>
    <row r="120" ht="236" customHeight="1" spans="1:106">
      <c r="A120" s="673">
        <v>443</v>
      </c>
      <c r="B120" s="676" t="s">
        <v>1076</v>
      </c>
      <c r="C120" s="677" t="s">
        <v>1550</v>
      </c>
      <c r="D120" s="677" t="s">
        <v>1629</v>
      </c>
      <c r="E120" s="677" t="s">
        <v>113</v>
      </c>
      <c r="F120" s="677" t="s">
        <v>1077</v>
      </c>
      <c r="G120" s="677" t="s">
        <v>1536</v>
      </c>
      <c r="H120" s="679"/>
      <c r="I120" s="681" t="s">
        <v>113</v>
      </c>
      <c r="J120" s="686">
        <v>1021829913</v>
      </c>
      <c r="K120" s="785" t="str">
        <f>'[5] NON-TEACHING STAFF'!$J$108</f>
        <v>22356469128</v>
      </c>
      <c r="L120" s="688">
        <v>2076743</v>
      </c>
      <c r="M120" s="688" t="e">
        <f>S120-#REF!</f>
        <v>#REF!</v>
      </c>
      <c r="N120" s="689">
        <f>S120*12</f>
        <v>3238206.84</v>
      </c>
      <c r="O120" s="689">
        <v>184582.08</v>
      </c>
      <c r="P120" s="689"/>
      <c r="Q120" s="689">
        <v>46145.52</v>
      </c>
      <c r="R120" s="689">
        <v>30000</v>
      </c>
      <c r="S120" s="689">
        <v>269850.57</v>
      </c>
      <c r="T120" s="689"/>
      <c r="U120" s="689"/>
      <c r="V120" s="689">
        <v>40000</v>
      </c>
      <c r="W120" s="689"/>
      <c r="X120" s="689"/>
      <c r="Y120" s="689"/>
      <c r="Z120" s="689"/>
      <c r="AA120" s="689"/>
      <c r="AB120" s="689">
        <v>25000</v>
      </c>
      <c r="AC120" s="689">
        <v>2500</v>
      </c>
      <c r="AD120" s="689"/>
      <c r="AE120" s="689"/>
      <c r="AF120" s="689"/>
      <c r="AG120" s="689"/>
      <c r="AH120" s="689">
        <v>46000</v>
      </c>
      <c r="AI120" s="689"/>
      <c r="AJ120" s="689">
        <v>2500</v>
      </c>
      <c r="AK120" s="689"/>
      <c r="AL120" s="689">
        <v>383.33</v>
      </c>
      <c r="AM120" s="689"/>
      <c r="AN120" s="689"/>
      <c r="AO120" s="689"/>
      <c r="AP120" s="689"/>
      <c r="AQ120" s="689"/>
      <c r="AR120" s="689"/>
      <c r="AS120" s="689"/>
      <c r="AT120" s="689"/>
      <c r="AU120" s="689">
        <f t="shared" si="100"/>
        <v>10794.0228</v>
      </c>
      <c r="AV120" s="689"/>
      <c r="AW120" s="689"/>
      <c r="AX120" s="718">
        <f t="shared" si="101"/>
        <v>5397.0114</v>
      </c>
      <c r="AY120" s="718"/>
      <c r="AZ120" s="718"/>
      <c r="BA120" s="689"/>
      <c r="BB120" s="689"/>
      <c r="BC120" s="689"/>
      <c r="BD120" s="719"/>
      <c r="BE120" s="719"/>
      <c r="BF120" s="689"/>
      <c r="BG120" s="689"/>
      <c r="BH120" s="727">
        <v>3000</v>
      </c>
      <c r="BI120" s="689"/>
      <c r="BJ120" s="689"/>
      <c r="BK120" s="689"/>
      <c r="BL120" s="689"/>
      <c r="BM120" s="689"/>
      <c r="BN120" s="689"/>
      <c r="BO120" s="689">
        <v>137500</v>
      </c>
      <c r="BP120" s="689"/>
      <c r="BQ120" s="689"/>
      <c r="BR120" s="731"/>
      <c r="BS120" s="731"/>
      <c r="BT120" s="731"/>
      <c r="BU120" s="731"/>
      <c r="BV120" s="731"/>
      <c r="BW120" s="731"/>
      <c r="BX120" s="731"/>
      <c r="BY120" s="731"/>
      <c r="BZ120" s="731">
        <v>1500</v>
      </c>
      <c r="CA120" s="718">
        <v>7534.552</v>
      </c>
      <c r="CB120" s="735"/>
      <c r="CC120" s="731">
        <v>52749.98</v>
      </c>
      <c r="CD120" s="702">
        <f t="shared" si="97"/>
        <v>385850.57</v>
      </c>
      <c r="CE120" s="731">
        <f t="shared" si="99"/>
        <v>218475.5662</v>
      </c>
      <c r="CF120" s="739">
        <f t="shared" si="98"/>
        <v>167375.0038</v>
      </c>
      <c r="CG120" s="742">
        <f t="shared" si="96"/>
        <v>218475.5662</v>
      </c>
      <c r="CH120" s="743" t="e">
        <f>'[6]JACKSON AKPOJARO '!C265*12</f>
        <v>#REF!</v>
      </c>
      <c r="CI120" s="744" t="e">
        <f t="shared" si="106"/>
        <v>#REF!</v>
      </c>
      <c r="CJ120" s="745">
        <f t="shared" si="102"/>
        <v>0</v>
      </c>
      <c r="CK120" s="748" t="e">
        <f t="shared" si="107"/>
        <v>#REF!</v>
      </c>
      <c r="CL120" s="749" t="e">
        <f t="shared" si="108"/>
        <v>#REF!</v>
      </c>
      <c r="CM120" s="744"/>
      <c r="CN120" s="745" t="e">
        <f t="shared" si="109"/>
        <v>#REF!</v>
      </c>
      <c r="CO120" s="745" t="e">
        <f t="shared" si="110"/>
        <v>#REF!</v>
      </c>
      <c r="CP120" s="745" t="e">
        <f t="shared" si="111"/>
        <v>#REF!</v>
      </c>
      <c r="CQ120" s="745" t="e">
        <f t="shared" si="112"/>
        <v>#REF!</v>
      </c>
      <c r="CR120" s="745" t="e">
        <f t="shared" si="113"/>
        <v>#REF!</v>
      </c>
      <c r="CS120" s="745" t="e">
        <f t="shared" si="114"/>
        <v>#REF!</v>
      </c>
      <c r="CT120" s="754" t="e">
        <f t="shared" si="119"/>
        <v>#REF!</v>
      </c>
      <c r="CU120" s="755" t="e">
        <f t="shared" si="120"/>
        <v>#REF!</v>
      </c>
      <c r="CV120" s="756">
        <f t="shared" si="118"/>
        <v>52749.98</v>
      </c>
      <c r="CW120" s="757"/>
      <c r="CX120" s="758"/>
      <c r="CY120" s="759"/>
      <c r="CZ120" s="760"/>
      <c r="DA120" s="767"/>
      <c r="DB120" s="821"/>
    </row>
    <row r="121" ht="236" customHeight="1" spans="1:105">
      <c r="A121" s="675">
        <v>444</v>
      </c>
      <c r="B121" s="676" t="s">
        <v>1078</v>
      </c>
      <c r="C121" s="677" t="s">
        <v>1588</v>
      </c>
      <c r="D121" s="677" t="s">
        <v>1664</v>
      </c>
      <c r="E121" s="677" t="s">
        <v>135</v>
      </c>
      <c r="F121" s="1452" t="s">
        <v>1079</v>
      </c>
      <c r="G121" s="677" t="s">
        <v>1628</v>
      </c>
      <c r="H121" s="679"/>
      <c r="I121" s="681" t="s">
        <v>135</v>
      </c>
      <c r="J121" s="686" t="s">
        <v>1079</v>
      </c>
      <c r="K121" s="687">
        <f>'[5] NON-TEACHING STAFF'!$J$110</f>
        <v>22146608618</v>
      </c>
      <c r="L121" s="688">
        <v>1967927</v>
      </c>
      <c r="M121" s="688" t="e">
        <f>S121-#REF!</f>
        <v>#REF!</v>
      </c>
      <c r="N121" s="689">
        <v>1967327</v>
      </c>
      <c r="O121" s="689">
        <v>168503</v>
      </c>
      <c r="P121" s="689"/>
      <c r="Q121" s="689">
        <v>42125.75</v>
      </c>
      <c r="R121" s="689">
        <v>30000</v>
      </c>
      <c r="S121" s="689">
        <v>260727.58</v>
      </c>
      <c r="T121" s="689"/>
      <c r="U121" s="689"/>
      <c r="V121" s="689"/>
      <c r="W121" s="689"/>
      <c r="X121" s="689"/>
      <c r="Y121" s="689"/>
      <c r="Z121" s="689"/>
      <c r="AA121" s="689"/>
      <c r="AB121" s="689">
        <v>25000</v>
      </c>
      <c r="AC121" s="689">
        <v>2500</v>
      </c>
      <c r="AD121" s="689"/>
      <c r="AE121" s="689"/>
      <c r="AF121" s="689"/>
      <c r="AG121" s="689"/>
      <c r="AH121" s="689">
        <v>46000</v>
      </c>
      <c r="AI121" s="689"/>
      <c r="AJ121" s="689">
        <v>2500</v>
      </c>
      <c r="AK121" s="689"/>
      <c r="AL121" s="689">
        <v>383.33</v>
      </c>
      <c r="AM121" s="689"/>
      <c r="AN121" s="689"/>
      <c r="AO121" s="689"/>
      <c r="AP121" s="689"/>
      <c r="AQ121" s="689"/>
      <c r="AR121" s="689"/>
      <c r="AS121" s="689"/>
      <c r="AT121" s="689"/>
      <c r="AU121" s="689">
        <f t="shared" si="100"/>
        <v>10429.1032</v>
      </c>
      <c r="AV121" s="689"/>
      <c r="AW121" s="689"/>
      <c r="AX121" s="718">
        <f t="shared" si="101"/>
        <v>5214.5516</v>
      </c>
      <c r="AY121" s="718"/>
      <c r="AZ121" s="718"/>
      <c r="BA121" s="689"/>
      <c r="BB121" s="689"/>
      <c r="BC121" s="689"/>
      <c r="BD121" s="719"/>
      <c r="BE121" s="719"/>
      <c r="BF121" s="689"/>
      <c r="BG121" s="689"/>
      <c r="BH121" s="727"/>
      <c r="BI121" s="689"/>
      <c r="BJ121" s="689"/>
      <c r="BK121" s="689"/>
      <c r="BL121" s="689"/>
      <c r="BM121" s="689"/>
      <c r="BN121" s="689"/>
      <c r="BO121" s="689">
        <v>10000</v>
      </c>
      <c r="BP121" s="689"/>
      <c r="BQ121" s="689"/>
      <c r="BR121" s="731"/>
      <c r="BS121" s="731"/>
      <c r="BT121" s="731"/>
      <c r="BU121" s="731"/>
      <c r="BV121" s="731"/>
      <c r="BW121" s="731"/>
      <c r="BX121" s="731">
        <v>5000</v>
      </c>
      <c r="BY121" s="731"/>
      <c r="BZ121" s="731">
        <v>1500</v>
      </c>
      <c r="CA121" s="718">
        <f t="shared" si="94"/>
        <v>6734.5516</v>
      </c>
      <c r="CB121" s="735"/>
      <c r="CC121" s="731">
        <v>43736.9</v>
      </c>
      <c r="CD121" s="702">
        <f t="shared" si="97"/>
        <v>336727.58</v>
      </c>
      <c r="CE121" s="731">
        <f t="shared" si="99"/>
        <v>82615.1064</v>
      </c>
      <c r="CF121" s="739">
        <f t="shared" si="98"/>
        <v>254112.4736</v>
      </c>
      <c r="CG121" s="742">
        <f t="shared" si="96"/>
        <v>82615.1064</v>
      </c>
      <c r="CH121" s="743" t="e">
        <f>'[6]JACKSON AKPOJARO '!C266*12</f>
        <v>#REF!</v>
      </c>
      <c r="CI121" s="744" t="e">
        <f t="shared" si="106"/>
        <v>#REF!</v>
      </c>
      <c r="CJ121" s="745">
        <f t="shared" si="102"/>
        <v>0</v>
      </c>
      <c r="CK121" s="748" t="e">
        <f t="shared" si="107"/>
        <v>#REF!</v>
      </c>
      <c r="CL121" s="749" t="e">
        <f t="shared" si="108"/>
        <v>#REF!</v>
      </c>
      <c r="CM121" s="744"/>
      <c r="CN121" s="745" t="e">
        <f t="shared" si="109"/>
        <v>#REF!</v>
      </c>
      <c r="CO121" s="745" t="e">
        <f t="shared" si="110"/>
        <v>#REF!</v>
      </c>
      <c r="CP121" s="745" t="e">
        <f t="shared" si="111"/>
        <v>#REF!</v>
      </c>
      <c r="CQ121" s="745" t="e">
        <f t="shared" si="112"/>
        <v>#REF!</v>
      </c>
      <c r="CR121" s="745" t="e">
        <f t="shared" si="113"/>
        <v>#REF!</v>
      </c>
      <c r="CS121" s="745" t="e">
        <f t="shared" si="114"/>
        <v>#REF!</v>
      </c>
      <c r="CT121" s="754" t="e">
        <f t="shared" si="119"/>
        <v>#REF!</v>
      </c>
      <c r="CU121" s="755" t="e">
        <f t="shared" si="120"/>
        <v>#REF!</v>
      </c>
      <c r="CV121" s="756">
        <f t="shared" si="118"/>
        <v>43736.9</v>
      </c>
      <c r="CW121" s="757"/>
      <c r="CX121" s="758"/>
      <c r="CY121" s="759"/>
      <c r="CZ121" s="760"/>
      <c r="DA121" s="767"/>
    </row>
    <row r="122" ht="236" customHeight="1" spans="1:106">
      <c r="A122" s="673">
        <v>445</v>
      </c>
      <c r="B122" s="676" t="s">
        <v>1080</v>
      </c>
      <c r="C122" s="677" t="s">
        <v>1588</v>
      </c>
      <c r="D122" s="677" t="s">
        <v>1665</v>
      </c>
      <c r="E122" s="677" t="s">
        <v>93</v>
      </c>
      <c r="F122" s="677" t="s">
        <v>1081</v>
      </c>
      <c r="G122" s="677" t="s">
        <v>1640</v>
      </c>
      <c r="H122" s="679"/>
      <c r="I122" s="681" t="s">
        <v>93</v>
      </c>
      <c r="J122" s="686">
        <v>3055322826</v>
      </c>
      <c r="K122" s="687">
        <f>'[5] NON-TEACHING STAFF'!$J$110</f>
        <v>22146608618</v>
      </c>
      <c r="L122" s="688">
        <v>2477732</v>
      </c>
      <c r="M122" s="688" t="e">
        <f>S122-#REF!</f>
        <v>#REF!</v>
      </c>
      <c r="N122" s="689">
        <v>2477732</v>
      </c>
      <c r="O122" s="689">
        <v>251743.75</v>
      </c>
      <c r="P122" s="689"/>
      <c r="Q122" s="689">
        <v>62935.9375</v>
      </c>
      <c r="R122" s="689">
        <v>30000</v>
      </c>
      <c r="S122" s="689">
        <v>357763.25</v>
      </c>
      <c r="T122" s="689"/>
      <c r="U122" s="689"/>
      <c r="V122" s="689">
        <v>80000</v>
      </c>
      <c r="W122" s="689"/>
      <c r="X122" s="689"/>
      <c r="Y122" s="689"/>
      <c r="Z122" s="689"/>
      <c r="AA122" s="689">
        <f>AA20</f>
        <v>47844.6885</v>
      </c>
      <c r="AB122" s="689">
        <v>41666.67</v>
      </c>
      <c r="AC122" s="689">
        <v>2500</v>
      </c>
      <c r="AD122" s="689"/>
      <c r="AE122" s="689"/>
      <c r="AF122" s="689"/>
      <c r="AG122" s="689"/>
      <c r="AH122" s="689">
        <v>51750</v>
      </c>
      <c r="AI122" s="689"/>
      <c r="AJ122" s="689">
        <v>2500</v>
      </c>
      <c r="AK122" s="689"/>
      <c r="AL122" s="689">
        <v>383.33</v>
      </c>
      <c r="AM122" s="689"/>
      <c r="AN122" s="689"/>
      <c r="AO122" s="689"/>
      <c r="AP122" s="689"/>
      <c r="AQ122" s="689"/>
      <c r="AR122" s="689"/>
      <c r="AS122" s="689"/>
      <c r="AT122" s="689"/>
      <c r="AU122" s="689">
        <f t="shared" si="100"/>
        <v>14310.53</v>
      </c>
      <c r="AV122" s="689"/>
      <c r="AW122" s="689"/>
      <c r="AX122" s="718">
        <f t="shared" si="101"/>
        <v>7155.265</v>
      </c>
      <c r="AY122" s="718"/>
      <c r="AZ122" s="718"/>
      <c r="BA122" s="689"/>
      <c r="BB122" s="689">
        <v>150000</v>
      </c>
      <c r="BC122" s="689"/>
      <c r="BD122" s="719"/>
      <c r="BE122" s="719"/>
      <c r="BF122" s="689"/>
      <c r="BG122" s="689"/>
      <c r="BH122" s="727"/>
      <c r="BI122" s="689"/>
      <c r="BJ122" s="689"/>
      <c r="BK122" s="689"/>
      <c r="BL122" s="689">
        <v>10000</v>
      </c>
      <c r="BM122" s="689"/>
      <c r="BN122" s="689"/>
      <c r="BO122" s="689">
        <v>113333</v>
      </c>
      <c r="BP122" s="689"/>
      <c r="BQ122" s="689"/>
      <c r="BR122" s="731"/>
      <c r="BS122" s="731"/>
      <c r="BT122" s="731"/>
      <c r="BU122" s="731"/>
      <c r="BV122" s="731"/>
      <c r="BW122" s="731"/>
      <c r="BX122" s="731">
        <v>5000</v>
      </c>
      <c r="BY122" s="731">
        <v>2000</v>
      </c>
      <c r="BZ122" s="731">
        <v>2000</v>
      </c>
      <c r="CA122" s="718">
        <f t="shared" si="94"/>
        <v>11680.49217</v>
      </c>
      <c r="CB122" s="735"/>
      <c r="CC122" s="731">
        <v>90799.39</v>
      </c>
      <c r="CD122" s="702">
        <f t="shared" si="97"/>
        <v>584024.6085</v>
      </c>
      <c r="CE122" s="731">
        <f t="shared" si="99"/>
        <v>406278.67717</v>
      </c>
      <c r="CF122" s="739">
        <f t="shared" si="98"/>
        <v>177745.93133</v>
      </c>
      <c r="CG122" s="742">
        <f t="shared" si="96"/>
        <v>406278.67717</v>
      </c>
      <c r="CH122" s="743" t="e">
        <f>'[6]JACKSON AKPOJARO '!C267*12</f>
        <v>#REF!</v>
      </c>
      <c r="CI122" s="744" t="e">
        <f t="shared" si="106"/>
        <v>#REF!</v>
      </c>
      <c r="CJ122" s="745">
        <f t="shared" si="102"/>
        <v>0</v>
      </c>
      <c r="CK122" s="748" t="e">
        <f t="shared" si="107"/>
        <v>#REF!</v>
      </c>
      <c r="CL122" s="749" t="e">
        <f t="shared" si="108"/>
        <v>#REF!</v>
      </c>
      <c r="CM122" s="744"/>
      <c r="CN122" s="745" t="e">
        <f t="shared" si="109"/>
        <v>#REF!</v>
      </c>
      <c r="CO122" s="745" t="e">
        <f t="shared" si="110"/>
        <v>#REF!</v>
      </c>
      <c r="CP122" s="745" t="e">
        <f t="shared" si="111"/>
        <v>#REF!</v>
      </c>
      <c r="CQ122" s="745" t="e">
        <f t="shared" si="112"/>
        <v>#REF!</v>
      </c>
      <c r="CR122" s="745" t="e">
        <f t="shared" si="113"/>
        <v>#REF!</v>
      </c>
      <c r="CS122" s="745" t="e">
        <f t="shared" si="114"/>
        <v>#REF!</v>
      </c>
      <c r="CT122" s="754" t="e">
        <f t="shared" si="119"/>
        <v>#REF!</v>
      </c>
      <c r="CU122" s="755" t="e">
        <f t="shared" si="120"/>
        <v>#REF!</v>
      </c>
      <c r="CV122" s="756">
        <f t="shared" si="118"/>
        <v>90799.39</v>
      </c>
      <c r="CW122" s="757"/>
      <c r="CX122" s="758"/>
      <c r="CY122" s="759"/>
      <c r="CZ122" s="760"/>
      <c r="DA122" s="767"/>
      <c r="DB122" s="770"/>
    </row>
    <row r="123" ht="236" customHeight="1" spans="1:106">
      <c r="A123" s="675">
        <v>446</v>
      </c>
      <c r="B123" s="676" t="s">
        <v>1082</v>
      </c>
      <c r="C123" s="677" t="s">
        <v>1533</v>
      </c>
      <c r="D123" s="677" t="s">
        <v>1656</v>
      </c>
      <c r="E123" s="677" t="s">
        <v>113</v>
      </c>
      <c r="F123" s="677" t="s">
        <v>1083</v>
      </c>
      <c r="G123" s="677" t="s">
        <v>1628</v>
      </c>
      <c r="H123" s="679"/>
      <c r="I123" s="681" t="s">
        <v>113</v>
      </c>
      <c r="J123" s="686">
        <v>1023452694</v>
      </c>
      <c r="K123" s="687" t="str">
        <f>'[5] NON-TEACHING STAFF'!$J$111</f>
        <v>22330558035</v>
      </c>
      <c r="L123" s="688">
        <v>1857913</v>
      </c>
      <c r="M123" s="688" t="e">
        <f>S123-#REF!</f>
        <v>#REF!</v>
      </c>
      <c r="N123" s="689">
        <v>1912620</v>
      </c>
      <c r="O123" s="689">
        <v>177283.5</v>
      </c>
      <c r="P123" s="689"/>
      <c r="Q123" s="689">
        <v>44320.875</v>
      </c>
      <c r="R123" s="689">
        <v>30000</v>
      </c>
      <c r="S123" s="689">
        <v>260727.58</v>
      </c>
      <c r="T123" s="689"/>
      <c r="U123" s="689"/>
      <c r="V123" s="689"/>
      <c r="W123" s="689"/>
      <c r="X123" s="689"/>
      <c r="Y123" s="689"/>
      <c r="Z123" s="689"/>
      <c r="AA123" s="689"/>
      <c r="AB123" s="689">
        <v>25000</v>
      </c>
      <c r="AC123" s="689">
        <v>2500</v>
      </c>
      <c r="AD123" s="689"/>
      <c r="AE123" s="689"/>
      <c r="AF123" s="689"/>
      <c r="AG123" s="689"/>
      <c r="AH123" s="689"/>
      <c r="AI123" s="689"/>
      <c r="AJ123" s="689">
        <v>2500</v>
      </c>
      <c r="AK123" s="689"/>
      <c r="AL123" s="689">
        <v>383.33</v>
      </c>
      <c r="AM123" s="689"/>
      <c r="AN123" s="689"/>
      <c r="AO123" s="689"/>
      <c r="AP123" s="689"/>
      <c r="AQ123" s="689"/>
      <c r="AR123" s="689"/>
      <c r="AS123" s="689"/>
      <c r="AT123" s="689"/>
      <c r="AU123" s="689">
        <f t="shared" si="100"/>
        <v>10429.1032</v>
      </c>
      <c r="AV123" s="689"/>
      <c r="AW123" s="689"/>
      <c r="AX123" s="718">
        <f t="shared" si="101"/>
        <v>5214.5516</v>
      </c>
      <c r="AY123" s="718"/>
      <c r="AZ123" s="718"/>
      <c r="BA123" s="689"/>
      <c r="BB123" s="689"/>
      <c r="BC123" s="689"/>
      <c r="BD123" s="719"/>
      <c r="BE123" s="719"/>
      <c r="BF123" s="689"/>
      <c r="BG123" s="689"/>
      <c r="BH123" s="727"/>
      <c r="BI123" s="689"/>
      <c r="BJ123" s="689"/>
      <c r="BK123" s="689"/>
      <c r="BL123" s="689"/>
      <c r="BM123" s="689"/>
      <c r="BN123" s="689"/>
      <c r="BO123" s="689">
        <v>0</v>
      </c>
      <c r="BP123" s="689"/>
      <c r="BQ123" s="689"/>
      <c r="BR123" s="731"/>
      <c r="BS123" s="731"/>
      <c r="BT123" s="731"/>
      <c r="BU123" s="731"/>
      <c r="BV123" s="731"/>
      <c r="BW123" s="731"/>
      <c r="BX123" s="731"/>
      <c r="BY123" s="731"/>
      <c r="BZ123" s="731">
        <v>1500</v>
      </c>
      <c r="CA123" s="718">
        <f t="shared" si="94"/>
        <v>5814.5516</v>
      </c>
      <c r="CB123" s="735"/>
      <c r="CC123" s="731">
        <v>36008.9</v>
      </c>
      <c r="CD123" s="702">
        <f t="shared" si="97"/>
        <v>290727.58</v>
      </c>
      <c r="CE123" s="731">
        <f t="shared" si="99"/>
        <v>58967.1064</v>
      </c>
      <c r="CF123" s="739">
        <f t="shared" si="98"/>
        <v>231760.4736</v>
      </c>
      <c r="CG123" s="742">
        <f t="shared" si="96"/>
        <v>58967.1064</v>
      </c>
      <c r="CH123" s="743" t="e">
        <f>'[6]JACKSON AKPOJARO '!C268*12</f>
        <v>#REF!</v>
      </c>
      <c r="CI123" s="744" t="e">
        <f t="shared" si="106"/>
        <v>#REF!</v>
      </c>
      <c r="CJ123" s="745">
        <f t="shared" si="102"/>
        <v>0</v>
      </c>
      <c r="CK123" s="748" t="e">
        <f t="shared" si="107"/>
        <v>#REF!</v>
      </c>
      <c r="CL123" s="749" t="e">
        <f t="shared" si="108"/>
        <v>#REF!</v>
      </c>
      <c r="CM123" s="744"/>
      <c r="CN123" s="745" t="e">
        <f t="shared" si="109"/>
        <v>#REF!</v>
      </c>
      <c r="CO123" s="745" t="e">
        <f t="shared" si="110"/>
        <v>#REF!</v>
      </c>
      <c r="CP123" s="745" t="e">
        <f t="shared" si="111"/>
        <v>#REF!</v>
      </c>
      <c r="CQ123" s="745" t="e">
        <f t="shared" si="112"/>
        <v>#REF!</v>
      </c>
      <c r="CR123" s="745" t="e">
        <f t="shared" si="113"/>
        <v>#REF!</v>
      </c>
      <c r="CS123" s="745" t="e">
        <f t="shared" si="114"/>
        <v>#REF!</v>
      </c>
      <c r="CT123" s="754" t="e">
        <f t="shared" si="119"/>
        <v>#REF!</v>
      </c>
      <c r="CU123" s="755" t="e">
        <f t="shared" si="120"/>
        <v>#REF!</v>
      </c>
      <c r="CV123" s="756">
        <f t="shared" si="118"/>
        <v>36008.9</v>
      </c>
      <c r="CW123" s="757"/>
      <c r="CX123" s="758"/>
      <c r="CY123" s="759"/>
      <c r="CZ123" s="760"/>
      <c r="DA123" s="767"/>
      <c r="DB123" s="770"/>
    </row>
    <row r="124" ht="236" customHeight="1" spans="1:105">
      <c r="A124" s="673">
        <v>447</v>
      </c>
      <c r="B124" s="676" t="s">
        <v>1084</v>
      </c>
      <c r="C124" s="677" t="s">
        <v>1527</v>
      </c>
      <c r="D124" s="677" t="s">
        <v>1573</v>
      </c>
      <c r="E124" s="677" t="s">
        <v>93</v>
      </c>
      <c r="F124" s="677" t="s">
        <v>1085</v>
      </c>
      <c r="G124" s="677" t="s">
        <v>1642</v>
      </c>
      <c r="H124" s="679"/>
      <c r="I124" s="696" t="s">
        <v>93</v>
      </c>
      <c r="J124" s="696">
        <v>3005222550</v>
      </c>
      <c r="K124" s="687" t="str">
        <f>'[5] NON-TEACHING STAFF'!$J$112</f>
        <v>22232208542</v>
      </c>
      <c r="L124" s="688">
        <v>1857913</v>
      </c>
      <c r="M124" s="688" t="e">
        <f>S124-#REF!</f>
        <v>#REF!</v>
      </c>
      <c r="N124" s="689">
        <v>1912620</v>
      </c>
      <c r="O124" s="689">
        <v>159385</v>
      </c>
      <c r="P124" s="689"/>
      <c r="Q124" s="689">
        <v>39846.25</v>
      </c>
      <c r="R124" s="689">
        <v>30000</v>
      </c>
      <c r="S124" s="689">
        <v>251604.42</v>
      </c>
      <c r="T124" s="689"/>
      <c r="U124" s="689"/>
      <c r="V124" s="689"/>
      <c r="W124" s="689"/>
      <c r="X124" s="689"/>
      <c r="Y124" s="689"/>
      <c r="Z124" s="689"/>
      <c r="AA124" s="689"/>
      <c r="AB124" s="689"/>
      <c r="AC124" s="689">
        <v>2500</v>
      </c>
      <c r="AD124" s="689"/>
      <c r="AE124" s="689"/>
      <c r="AF124" s="689"/>
      <c r="AG124" s="689"/>
      <c r="AH124" s="689"/>
      <c r="AI124" s="689"/>
      <c r="AJ124" s="689">
        <v>2500</v>
      </c>
      <c r="AK124" s="689"/>
      <c r="AL124" s="689">
        <v>383.33</v>
      </c>
      <c r="AM124" s="689"/>
      <c r="AN124" s="689"/>
      <c r="AO124" s="689"/>
      <c r="AP124" s="689"/>
      <c r="AQ124" s="689"/>
      <c r="AR124" s="689"/>
      <c r="AS124" s="689"/>
      <c r="AT124" s="689"/>
      <c r="AU124" s="689">
        <f t="shared" si="100"/>
        <v>10064.1768</v>
      </c>
      <c r="AV124" s="689"/>
      <c r="AW124" s="689">
        <v>2000</v>
      </c>
      <c r="AX124" s="718">
        <f t="shared" si="101"/>
        <v>5032.0884</v>
      </c>
      <c r="AY124" s="718"/>
      <c r="AZ124" s="718"/>
      <c r="BA124" s="689"/>
      <c r="BB124" s="689"/>
      <c r="BC124" s="689"/>
      <c r="BD124" s="719"/>
      <c r="BE124" s="719"/>
      <c r="BF124" s="689"/>
      <c r="BG124" s="689"/>
      <c r="BH124" s="727"/>
      <c r="BI124" s="689"/>
      <c r="BJ124" s="689"/>
      <c r="BK124" s="689"/>
      <c r="BL124" s="689">
        <v>7500</v>
      </c>
      <c r="BM124" s="689"/>
      <c r="BN124" s="689"/>
      <c r="BO124" s="689">
        <v>85000</v>
      </c>
      <c r="BP124" s="689"/>
      <c r="BQ124" s="689"/>
      <c r="BR124" s="731"/>
      <c r="BS124" s="731"/>
      <c r="BT124" s="731"/>
      <c r="BU124" s="731"/>
      <c r="BV124" s="731"/>
      <c r="BW124" s="731"/>
      <c r="BX124" s="731">
        <v>5000</v>
      </c>
      <c r="BY124" s="731">
        <v>2000</v>
      </c>
      <c r="BZ124" s="731">
        <v>1500</v>
      </c>
      <c r="CA124" s="718">
        <f t="shared" si="94"/>
        <v>5132.0884</v>
      </c>
      <c r="CB124" s="735"/>
      <c r="CC124" s="731">
        <v>30276.21</v>
      </c>
      <c r="CD124" s="702">
        <f t="shared" si="97"/>
        <v>256604.42</v>
      </c>
      <c r="CE124" s="731">
        <f t="shared" si="99"/>
        <v>153504.5636</v>
      </c>
      <c r="CF124" s="739">
        <f t="shared" si="98"/>
        <v>103099.8564</v>
      </c>
      <c r="CG124" s="742">
        <f t="shared" si="96"/>
        <v>153504.5636</v>
      </c>
      <c r="CH124" s="743" t="e">
        <f>'[6]JACKSON AKPOJARO '!C269*12</f>
        <v>#REF!</v>
      </c>
      <c r="CI124" s="744" t="e">
        <f t="shared" si="106"/>
        <v>#REF!</v>
      </c>
      <c r="CJ124" s="745">
        <f t="shared" si="102"/>
        <v>0</v>
      </c>
      <c r="CK124" s="748" t="e">
        <f t="shared" si="107"/>
        <v>#REF!</v>
      </c>
      <c r="CL124" s="749" t="e">
        <f t="shared" si="108"/>
        <v>#REF!</v>
      </c>
      <c r="CM124" s="744"/>
      <c r="CN124" s="745" t="e">
        <f t="shared" si="109"/>
        <v>#REF!</v>
      </c>
      <c r="CO124" s="745" t="e">
        <f t="shared" si="110"/>
        <v>#REF!</v>
      </c>
      <c r="CP124" s="745" t="e">
        <f t="shared" si="111"/>
        <v>#REF!</v>
      </c>
      <c r="CQ124" s="745" t="e">
        <f t="shared" si="112"/>
        <v>#REF!</v>
      </c>
      <c r="CR124" s="745" t="e">
        <f t="shared" si="113"/>
        <v>#REF!</v>
      </c>
      <c r="CS124" s="745" t="e">
        <f t="shared" si="114"/>
        <v>#REF!</v>
      </c>
      <c r="CT124" s="754" t="e">
        <f t="shared" si="119"/>
        <v>#REF!</v>
      </c>
      <c r="CU124" s="755" t="e">
        <f t="shared" si="120"/>
        <v>#REF!</v>
      </c>
      <c r="CV124" s="756">
        <f t="shared" si="118"/>
        <v>30276.21</v>
      </c>
      <c r="CW124" s="757"/>
      <c r="CX124" s="758"/>
      <c r="CY124" s="759"/>
      <c r="CZ124" s="760"/>
      <c r="DA124" s="767"/>
    </row>
    <row r="125" ht="236" customHeight="1" spans="1:105">
      <c r="A125" s="675">
        <v>448</v>
      </c>
      <c r="B125" s="676" t="s">
        <v>1086</v>
      </c>
      <c r="C125" s="677" t="s">
        <v>1550</v>
      </c>
      <c r="D125" s="677" t="s">
        <v>1666</v>
      </c>
      <c r="E125" s="677" t="s">
        <v>873</v>
      </c>
      <c r="F125" s="1452" t="s">
        <v>1087</v>
      </c>
      <c r="G125" s="677" t="s">
        <v>1581</v>
      </c>
      <c r="H125" s="679"/>
      <c r="I125" s="681" t="s">
        <v>127</v>
      </c>
      <c r="J125" s="686" t="s">
        <v>1087</v>
      </c>
      <c r="K125" s="687" t="str">
        <f>'[5] NON-TEACHING STAFF'!$J$113</f>
        <v>22158208767</v>
      </c>
      <c r="L125" s="688">
        <v>1661463</v>
      </c>
      <c r="M125" s="688" t="e">
        <f>S125-#REF!</f>
        <v>#REF!</v>
      </c>
      <c r="N125" s="689">
        <v>1711783</v>
      </c>
      <c r="O125" s="689">
        <v>142648.583333333</v>
      </c>
      <c r="P125" s="689"/>
      <c r="Q125" s="689">
        <v>35662.1458333333</v>
      </c>
      <c r="R125" s="689">
        <v>30000</v>
      </c>
      <c r="S125" s="689">
        <v>217833.92</v>
      </c>
      <c r="T125" s="689"/>
      <c r="U125" s="689"/>
      <c r="V125" s="689"/>
      <c r="W125" s="689"/>
      <c r="X125" s="689"/>
      <c r="Y125" s="689"/>
      <c r="Z125" s="689"/>
      <c r="AA125" s="689"/>
      <c r="AB125" s="689">
        <v>25000</v>
      </c>
      <c r="AC125" s="689">
        <v>2500</v>
      </c>
      <c r="AD125" s="689"/>
      <c r="AE125" s="689"/>
      <c r="AF125" s="689"/>
      <c r="AG125" s="689"/>
      <c r="AH125" s="689">
        <v>46000</v>
      </c>
      <c r="AI125" s="689"/>
      <c r="AJ125" s="689">
        <v>2500</v>
      </c>
      <c r="AK125" s="689"/>
      <c r="AL125" s="689">
        <v>383.33</v>
      </c>
      <c r="AM125" s="689"/>
      <c r="AN125" s="689"/>
      <c r="AO125" s="689"/>
      <c r="AP125" s="689"/>
      <c r="AQ125" s="689"/>
      <c r="AR125" s="689"/>
      <c r="AS125" s="689"/>
      <c r="AT125" s="689"/>
      <c r="AU125" s="689">
        <f t="shared" si="100"/>
        <v>8713.3568</v>
      </c>
      <c r="AV125" s="689"/>
      <c r="AW125" s="689"/>
      <c r="AX125" s="718">
        <f t="shared" si="101"/>
        <v>4356.6784</v>
      </c>
      <c r="AY125" s="718"/>
      <c r="AZ125" s="718"/>
      <c r="BA125" s="689"/>
      <c r="BB125" s="689"/>
      <c r="BC125" s="689"/>
      <c r="BD125" s="719"/>
      <c r="BE125" s="719"/>
      <c r="BF125" s="689"/>
      <c r="BG125" s="689"/>
      <c r="BH125" s="727"/>
      <c r="BI125" s="689"/>
      <c r="BJ125" s="689"/>
      <c r="BK125" s="689"/>
      <c r="BL125" s="689"/>
      <c r="BM125" s="689"/>
      <c r="BN125" s="689"/>
      <c r="BO125" s="689">
        <v>85833.3333333333</v>
      </c>
      <c r="BP125" s="689"/>
      <c r="BQ125" s="689"/>
      <c r="BR125" s="731"/>
      <c r="BS125" s="731"/>
      <c r="BT125" s="731"/>
      <c r="BU125" s="731"/>
      <c r="BV125" s="731"/>
      <c r="BW125" s="731"/>
      <c r="BX125" s="731">
        <v>5000</v>
      </c>
      <c r="BY125" s="731"/>
      <c r="BZ125" s="731">
        <v>1000</v>
      </c>
      <c r="CA125" s="718">
        <f t="shared" si="94"/>
        <v>5876.6784</v>
      </c>
      <c r="CB125" s="735"/>
      <c r="CC125" s="731">
        <v>36530.77</v>
      </c>
      <c r="CD125" s="702">
        <f t="shared" si="97"/>
        <v>293833.92</v>
      </c>
      <c r="CE125" s="731">
        <f t="shared" si="99"/>
        <v>147310.816933333</v>
      </c>
      <c r="CF125" s="739">
        <f t="shared" si="98"/>
        <v>146523.103066667</v>
      </c>
      <c r="CG125" s="742">
        <f t="shared" si="96"/>
        <v>147310.816933333</v>
      </c>
      <c r="CH125" s="743" t="e">
        <f>'[6]JACKSON AKPOJARO '!C270*12</f>
        <v>#REF!</v>
      </c>
      <c r="CI125" s="744" t="e">
        <f t="shared" si="106"/>
        <v>#REF!</v>
      </c>
      <c r="CJ125" s="745">
        <f t="shared" si="102"/>
        <v>0</v>
      </c>
      <c r="CK125" s="748" t="e">
        <f t="shared" si="107"/>
        <v>#REF!</v>
      </c>
      <c r="CL125" s="749" t="e">
        <f t="shared" si="108"/>
        <v>#REF!</v>
      </c>
      <c r="CM125" s="744"/>
      <c r="CN125" s="745" t="e">
        <f t="shared" si="109"/>
        <v>#REF!</v>
      </c>
      <c r="CO125" s="745" t="e">
        <f t="shared" si="110"/>
        <v>#REF!</v>
      </c>
      <c r="CP125" s="745" t="e">
        <f t="shared" si="111"/>
        <v>#REF!</v>
      </c>
      <c r="CQ125" s="745" t="e">
        <f t="shared" si="112"/>
        <v>#REF!</v>
      </c>
      <c r="CR125" s="745" t="e">
        <f t="shared" si="113"/>
        <v>#REF!</v>
      </c>
      <c r="CS125" s="745" t="e">
        <f t="shared" si="114"/>
        <v>#REF!</v>
      </c>
      <c r="CT125" s="754" t="e">
        <f t="shared" si="119"/>
        <v>#REF!</v>
      </c>
      <c r="CU125" s="755" t="e">
        <f t="shared" si="120"/>
        <v>#REF!</v>
      </c>
      <c r="CV125" s="756">
        <f t="shared" si="118"/>
        <v>36530.77</v>
      </c>
      <c r="CW125" s="757"/>
      <c r="CX125" s="758"/>
      <c r="CY125" s="759"/>
      <c r="CZ125" s="760"/>
      <c r="DA125" s="767"/>
    </row>
    <row r="126" ht="236" customHeight="1" spans="1:105">
      <c r="A126" s="673">
        <v>449</v>
      </c>
      <c r="B126" s="676" t="s">
        <v>1088</v>
      </c>
      <c r="C126" s="677" t="s">
        <v>1550</v>
      </c>
      <c r="D126" s="677" t="s">
        <v>1667</v>
      </c>
      <c r="E126" s="677" t="s">
        <v>259</v>
      </c>
      <c r="F126" s="1452" t="s">
        <v>1089</v>
      </c>
      <c r="G126" s="677" t="s">
        <v>1586</v>
      </c>
      <c r="H126" s="679"/>
      <c r="I126" s="33" t="s">
        <v>259</v>
      </c>
      <c r="J126" s="33" t="s">
        <v>1089</v>
      </c>
      <c r="K126" s="687"/>
      <c r="L126" s="688"/>
      <c r="M126" s="688" t="e">
        <f>S126-#REF!</f>
        <v>#REF!</v>
      </c>
      <c r="N126" s="689">
        <v>1343017</v>
      </c>
      <c r="O126" s="689">
        <v>111918.083333333</v>
      </c>
      <c r="P126" s="689"/>
      <c r="Q126" s="689">
        <v>27979.5208333333</v>
      </c>
      <c r="R126" s="689">
        <v>30000</v>
      </c>
      <c r="S126" s="689">
        <v>174353.67</v>
      </c>
      <c r="T126" s="689"/>
      <c r="U126" s="689"/>
      <c r="V126" s="689"/>
      <c r="W126" s="689"/>
      <c r="X126" s="689"/>
      <c r="Y126" s="689"/>
      <c r="Z126" s="689"/>
      <c r="AA126" s="689"/>
      <c r="AB126" s="689">
        <v>25000</v>
      </c>
      <c r="AC126" s="689">
        <v>2500</v>
      </c>
      <c r="AD126" s="689"/>
      <c r="AE126" s="689"/>
      <c r="AF126" s="689"/>
      <c r="AG126" s="689"/>
      <c r="AH126" s="689">
        <f>34500</f>
        <v>34500</v>
      </c>
      <c r="AI126" s="689"/>
      <c r="AJ126" s="689">
        <f>2500</f>
        <v>2500</v>
      </c>
      <c r="AK126" s="689"/>
      <c r="AL126" s="689">
        <v>383.33</v>
      </c>
      <c r="AM126" s="689"/>
      <c r="AN126" s="689"/>
      <c r="AO126" s="689"/>
      <c r="AP126" s="689"/>
      <c r="AQ126" s="689"/>
      <c r="AR126" s="689"/>
      <c r="AS126" s="689"/>
      <c r="AT126" s="689"/>
      <c r="AU126" s="689">
        <f t="shared" si="100"/>
        <v>6974.1468</v>
      </c>
      <c r="AV126" s="689"/>
      <c r="AW126" s="689"/>
      <c r="AX126" s="718">
        <f t="shared" ref="AX126:AX135" si="121">S126*0.02</f>
        <v>3487.0734</v>
      </c>
      <c r="AY126" s="718"/>
      <c r="AZ126" s="718"/>
      <c r="BA126" s="689"/>
      <c r="BB126" s="689">
        <v>50000</v>
      </c>
      <c r="BC126" s="689"/>
      <c r="BD126" s="719"/>
      <c r="BE126" s="719"/>
      <c r="BF126" s="689"/>
      <c r="BG126" s="689"/>
      <c r="BH126" s="727">
        <v>3000</v>
      </c>
      <c r="BI126" s="689"/>
      <c r="BJ126" s="689"/>
      <c r="BK126" s="689"/>
      <c r="BL126" s="689"/>
      <c r="BM126" s="689"/>
      <c r="BN126" s="689"/>
      <c r="BO126" s="689">
        <v>70000</v>
      </c>
      <c r="BP126" s="689"/>
      <c r="BQ126" s="689"/>
      <c r="BR126" s="731"/>
      <c r="BS126" s="731"/>
      <c r="BT126" s="731"/>
      <c r="BU126" s="731"/>
      <c r="BV126" s="731"/>
      <c r="BW126" s="731"/>
      <c r="BX126" s="731"/>
      <c r="BY126" s="731"/>
      <c r="BZ126" s="731">
        <v>1000</v>
      </c>
      <c r="CA126" s="718">
        <f t="shared" si="94"/>
        <v>4777.0734</v>
      </c>
      <c r="CB126" s="735"/>
      <c r="CC126" s="731">
        <v>27294.08</v>
      </c>
      <c r="CD126" s="702">
        <f t="shared" si="97"/>
        <v>238853.67</v>
      </c>
      <c r="CE126" s="731">
        <f t="shared" si="99"/>
        <v>166532.3736</v>
      </c>
      <c r="CF126" s="739">
        <f t="shared" si="98"/>
        <v>72321.2964</v>
      </c>
      <c r="CG126" s="742">
        <f t="shared" si="96"/>
        <v>166532.3736</v>
      </c>
      <c r="CH126" s="743" t="e">
        <f>'[6]JACKSON AKPOJARO '!C272*12</f>
        <v>#REF!</v>
      </c>
      <c r="CI126" s="744" t="e">
        <f t="shared" ref="CI126" si="122">200000+(0.2*CH126)</f>
        <v>#REF!</v>
      </c>
      <c r="CJ126" s="745">
        <f t="shared" si="102"/>
        <v>0</v>
      </c>
      <c r="CK126" s="748" t="e">
        <f t="shared" ref="CK126" si="123">SUM(CI126:CJ126)</f>
        <v>#REF!</v>
      </c>
      <c r="CL126" s="749" t="e">
        <f t="shared" ref="CL126" si="124">+CH126-CK126</f>
        <v>#REF!</v>
      </c>
      <c r="CM126" s="744"/>
      <c r="CN126" s="745" t="e">
        <f t="shared" ref="CN126" si="125">IF((CL126&gt;0),(IF((CL126&gt;300000),(300000*7%),(CL126*7%))),(CH126*1%))</f>
        <v>#REF!</v>
      </c>
      <c r="CO126" s="745" t="e">
        <f t="shared" ref="CO126" si="126">IF((CL126-300000)&gt;0,(IF((CL126&gt;600000),(300000*11%),((CL126-300000)*11%))),(""))</f>
        <v>#REF!</v>
      </c>
      <c r="CP126" s="745" t="e">
        <f t="shared" ref="CP126" si="127">IF(((CL126-600000)&gt;0),(IF((CL126&gt;1100000),(500000*15%),((CL126-600000)*15%))),(""))</f>
        <v>#REF!</v>
      </c>
      <c r="CQ126" s="745" t="e">
        <f t="shared" ref="CQ126" si="128">IF(((CL126-(1100000))&gt;0),(IF((CL126&gt;(1600000)),((500000)*19%),((CL126-(1100000))*19%))),(""))</f>
        <v>#REF!</v>
      </c>
      <c r="CR126" s="745" t="e">
        <f t="shared" ref="CR126" si="129">IF(((CL126-(1600000))&gt;0),(IF((CL126&gt;(3200000)),((1600000)*21%),((CL126-(1600000))*21%))),(""))</f>
        <v>#REF!</v>
      </c>
      <c r="CS126" s="745" t="e">
        <f t="shared" ref="CS126" si="130">IF(((CL126-(3200000))&gt;0),(IF((CL126&gt;(3200000)),((CL126-(3200000))*24%),(0))),(""))</f>
        <v>#REF!</v>
      </c>
      <c r="CT126" s="754" t="e">
        <f t="shared" si="119"/>
        <v>#REF!</v>
      </c>
      <c r="CU126" s="755" t="e">
        <f t="shared" si="120"/>
        <v>#REF!</v>
      </c>
      <c r="CV126" s="756">
        <f t="shared" si="118"/>
        <v>27294.08</v>
      </c>
      <c r="CW126" s="757"/>
      <c r="CX126" s="758"/>
      <c r="CY126" s="759"/>
      <c r="CZ126" s="760"/>
      <c r="DA126" s="767"/>
    </row>
    <row r="127" ht="236" customHeight="1" spans="1:105">
      <c r="A127" s="675">
        <v>450</v>
      </c>
      <c r="B127" s="676" t="s">
        <v>1090</v>
      </c>
      <c r="C127" s="677" t="s">
        <v>1527</v>
      </c>
      <c r="D127" s="677" t="s">
        <v>1668</v>
      </c>
      <c r="E127" s="677" t="s">
        <v>97</v>
      </c>
      <c r="F127" s="1452" t="s">
        <v>1091</v>
      </c>
      <c r="G127" s="677" t="s">
        <v>1540</v>
      </c>
      <c r="H127" s="679"/>
      <c r="I127" s="33" t="s">
        <v>97</v>
      </c>
      <c r="J127" s="33" t="s">
        <v>1091</v>
      </c>
      <c r="K127" s="687"/>
      <c r="L127" s="688"/>
      <c r="M127" s="688"/>
      <c r="N127" s="689">
        <v>1300238</v>
      </c>
      <c r="O127" s="689">
        <v>108353.166666667</v>
      </c>
      <c r="P127" s="689"/>
      <c r="Q127" s="689">
        <v>27088.2916666667</v>
      </c>
      <c r="R127" s="689">
        <v>30000</v>
      </c>
      <c r="S127" s="689">
        <f t="shared" si="117"/>
        <v>165441.458333333</v>
      </c>
      <c r="T127" s="689"/>
      <c r="U127" s="689"/>
      <c r="V127" s="689"/>
      <c r="W127" s="689"/>
      <c r="X127" s="689"/>
      <c r="Y127" s="689"/>
      <c r="Z127" s="689"/>
      <c r="AA127" s="689"/>
      <c r="AB127" s="689"/>
      <c r="AC127" s="689">
        <v>2500</v>
      </c>
      <c r="AD127" s="689"/>
      <c r="AE127" s="689"/>
      <c r="AF127" s="689"/>
      <c r="AG127" s="689"/>
      <c r="AH127" s="689"/>
      <c r="AI127" s="689"/>
      <c r="AJ127" s="689">
        <v>2500</v>
      </c>
      <c r="AK127" s="689"/>
      <c r="AL127" s="689">
        <v>383.33</v>
      </c>
      <c r="AM127" s="689"/>
      <c r="AN127" s="689"/>
      <c r="AO127" s="689"/>
      <c r="AP127" s="689"/>
      <c r="AQ127" s="689"/>
      <c r="AR127" s="689"/>
      <c r="AS127" s="689"/>
      <c r="AT127" s="689"/>
      <c r="AU127" s="689">
        <f t="shared" si="100"/>
        <v>6617.65833333333</v>
      </c>
      <c r="AV127" s="689"/>
      <c r="AW127" s="689"/>
      <c r="AX127" s="718">
        <f t="shared" si="121"/>
        <v>3308.82916666667</v>
      </c>
      <c r="AY127" s="718"/>
      <c r="AZ127" s="718"/>
      <c r="BA127" s="689"/>
      <c r="BB127" s="689"/>
      <c r="BC127" s="689"/>
      <c r="BD127" s="719"/>
      <c r="BE127" s="719"/>
      <c r="BF127" s="689"/>
      <c r="BG127" s="689"/>
      <c r="BH127" s="727"/>
      <c r="BI127" s="689"/>
      <c r="BJ127" s="689"/>
      <c r="BK127" s="689"/>
      <c r="BL127" s="689"/>
      <c r="BM127" s="689"/>
      <c r="BN127" s="689"/>
      <c r="BO127" s="689">
        <v>0</v>
      </c>
      <c r="BP127" s="689"/>
      <c r="BQ127" s="689"/>
      <c r="BR127" s="731"/>
      <c r="BS127" s="731"/>
      <c r="BT127" s="731"/>
      <c r="BU127" s="731"/>
      <c r="BV127" s="731"/>
      <c r="BW127" s="731"/>
      <c r="BX127" s="731"/>
      <c r="BY127" s="731"/>
      <c r="BZ127" s="731">
        <v>1000</v>
      </c>
      <c r="CA127" s="718">
        <f t="shared" si="94"/>
        <v>3408.82916666667</v>
      </c>
      <c r="CB127" s="735"/>
      <c r="CC127" s="731">
        <v>16073.77</v>
      </c>
      <c r="CD127" s="702">
        <f t="shared" si="97"/>
        <v>170441.458333333</v>
      </c>
      <c r="CE127" s="731">
        <f t="shared" si="99"/>
        <v>30409.0866666667</v>
      </c>
      <c r="CF127" s="739">
        <f t="shared" si="98"/>
        <v>140032.371666667</v>
      </c>
      <c r="CG127" s="742">
        <f t="shared" si="96"/>
        <v>30409.0866666667</v>
      </c>
      <c r="CH127" s="743" t="e">
        <f>'[6]JACKSON AKPOJARO '!C273*12</f>
        <v>#REF!</v>
      </c>
      <c r="CI127" s="744" t="e">
        <f t="shared" ref="CI127" si="131">200000+(0.2*CH127)</f>
        <v>#REF!</v>
      </c>
      <c r="CJ127" s="745">
        <f t="shared" si="102"/>
        <v>0</v>
      </c>
      <c r="CK127" s="748" t="e">
        <f t="shared" ref="CK127" si="132">SUM(CI127:CJ127)</f>
        <v>#REF!</v>
      </c>
      <c r="CL127" s="749" t="e">
        <f t="shared" ref="CL127" si="133">+CH127-CK127</f>
        <v>#REF!</v>
      </c>
      <c r="CM127" s="744"/>
      <c r="CN127" s="745" t="e">
        <f t="shared" ref="CN127" si="134">IF((CL127&gt;0),(IF((CL127&gt;300000),(300000*7%),(CL127*7%))),(CH127*1%))</f>
        <v>#REF!</v>
      </c>
      <c r="CO127" s="745" t="e">
        <f t="shared" ref="CO127" si="135">IF((CL127-300000)&gt;0,(IF((CL127&gt;600000),(300000*11%),((CL127-300000)*11%))),(""))</f>
        <v>#REF!</v>
      </c>
      <c r="CP127" s="745" t="e">
        <f t="shared" ref="CP127" si="136">IF(((CL127-600000)&gt;0),(IF((CL127&gt;1100000),(500000*15%),((CL127-600000)*15%))),(""))</f>
        <v>#REF!</v>
      </c>
      <c r="CQ127" s="745" t="e">
        <f t="shared" ref="CQ127" si="137">IF(((CL127-(1100000))&gt;0),(IF((CL127&gt;(1600000)),((500000)*19%),((CL127-(1100000))*19%))),(""))</f>
        <v>#REF!</v>
      </c>
      <c r="CR127" s="745" t="e">
        <f t="shared" ref="CR127" si="138">IF(((CL127-(1600000))&gt;0),(IF((CL127&gt;(3200000)),((1600000)*21%),((CL127-(1600000))*21%))),(""))</f>
        <v>#REF!</v>
      </c>
      <c r="CS127" s="745" t="e">
        <f t="shared" ref="CS127" si="139">IF(((CL127-(3200000))&gt;0),(IF((CL127&gt;(3200000)),((CL127-(3200000))*24%),(0))),(""))</f>
        <v>#REF!</v>
      </c>
      <c r="CT127" s="754" t="e">
        <f t="shared" si="119"/>
        <v>#REF!</v>
      </c>
      <c r="CU127" s="755" t="e">
        <f t="shared" si="120"/>
        <v>#REF!</v>
      </c>
      <c r="CV127" s="756"/>
      <c r="CW127" s="757"/>
      <c r="CX127" s="758"/>
      <c r="CY127" s="759"/>
      <c r="CZ127" s="760"/>
      <c r="DA127" s="767"/>
    </row>
    <row r="128" ht="236" customHeight="1" spans="1:106">
      <c r="A128" s="673">
        <v>451</v>
      </c>
      <c r="B128" s="676" t="s">
        <v>1092</v>
      </c>
      <c r="C128" s="677" t="s">
        <v>1527</v>
      </c>
      <c r="D128" s="677" t="s">
        <v>1668</v>
      </c>
      <c r="E128" s="677" t="s">
        <v>97</v>
      </c>
      <c r="F128" s="677">
        <v>1831218747</v>
      </c>
      <c r="G128" s="677" t="s">
        <v>1540</v>
      </c>
      <c r="H128" s="679"/>
      <c r="I128" s="33" t="s">
        <v>97</v>
      </c>
      <c r="J128" s="33">
        <v>1831218747</v>
      </c>
      <c r="K128" s="687"/>
      <c r="L128" s="688"/>
      <c r="M128" s="688"/>
      <c r="N128" s="689">
        <v>1300239</v>
      </c>
      <c r="O128" s="689">
        <v>108353.25</v>
      </c>
      <c r="P128" s="689"/>
      <c r="Q128" s="689">
        <v>27088.3125</v>
      </c>
      <c r="R128" s="689">
        <v>30000</v>
      </c>
      <c r="S128" s="689">
        <f t="shared" ref="S128:S187" si="140">SUM(O128:R128)</f>
        <v>165441.5625</v>
      </c>
      <c r="T128" s="689"/>
      <c r="U128" s="689"/>
      <c r="V128" s="689"/>
      <c r="W128" s="689"/>
      <c r="X128" s="689"/>
      <c r="Y128" s="689"/>
      <c r="Z128" s="689"/>
      <c r="AA128" s="689"/>
      <c r="AB128" s="689"/>
      <c r="AC128" s="689">
        <v>2500</v>
      </c>
      <c r="AD128" s="689"/>
      <c r="AE128" s="689"/>
      <c r="AF128" s="689"/>
      <c r="AG128" s="689"/>
      <c r="AH128" s="689"/>
      <c r="AI128" s="689"/>
      <c r="AJ128" s="689">
        <v>2500</v>
      </c>
      <c r="AK128" s="689"/>
      <c r="AL128" s="689">
        <v>383.33</v>
      </c>
      <c r="AM128" s="689"/>
      <c r="AN128" s="689"/>
      <c r="AO128" s="689"/>
      <c r="AP128" s="689"/>
      <c r="AQ128" s="689"/>
      <c r="AR128" s="689"/>
      <c r="AS128" s="689"/>
      <c r="AT128" s="689"/>
      <c r="AU128" s="689">
        <f t="shared" si="100"/>
        <v>6617.6625</v>
      </c>
      <c r="AV128" s="689"/>
      <c r="AW128" s="689"/>
      <c r="AX128" s="718">
        <f t="shared" ref="AX128" si="141">S128*0.02</f>
        <v>3308.83125</v>
      </c>
      <c r="AY128" s="718"/>
      <c r="AZ128" s="718"/>
      <c r="BA128" s="689"/>
      <c r="BB128" s="689"/>
      <c r="BC128" s="689"/>
      <c r="BD128" s="719"/>
      <c r="BE128" s="719"/>
      <c r="BF128" s="689"/>
      <c r="BG128" s="689"/>
      <c r="BH128" s="727"/>
      <c r="BI128" s="689"/>
      <c r="BJ128" s="689"/>
      <c r="BK128" s="689"/>
      <c r="BL128" s="689"/>
      <c r="BM128" s="689"/>
      <c r="BN128" s="689"/>
      <c r="BO128" s="689">
        <v>0</v>
      </c>
      <c r="BP128" s="689"/>
      <c r="BQ128" s="689"/>
      <c r="BR128" s="731"/>
      <c r="BS128" s="731"/>
      <c r="BT128" s="731"/>
      <c r="BU128" s="731"/>
      <c r="BV128" s="731"/>
      <c r="BW128" s="731"/>
      <c r="BX128" s="731"/>
      <c r="BY128" s="731"/>
      <c r="BZ128" s="731">
        <v>1000</v>
      </c>
      <c r="CA128" s="718">
        <f t="shared" si="94"/>
        <v>3408.83125</v>
      </c>
      <c r="CB128" s="735"/>
      <c r="CC128" s="731">
        <v>16073.77</v>
      </c>
      <c r="CD128" s="702">
        <f t="shared" si="97"/>
        <v>170441.5625</v>
      </c>
      <c r="CE128" s="731">
        <f t="shared" si="99"/>
        <v>30409.095</v>
      </c>
      <c r="CF128" s="739">
        <f t="shared" si="98"/>
        <v>140032.4675</v>
      </c>
      <c r="CG128" s="742">
        <f t="shared" si="96"/>
        <v>30409.095</v>
      </c>
      <c r="CH128" s="743"/>
      <c r="CI128" s="744"/>
      <c r="CJ128" s="745"/>
      <c r="CK128" s="748"/>
      <c r="CL128" s="749"/>
      <c r="CM128" s="744"/>
      <c r="CN128" s="745"/>
      <c r="CO128" s="745"/>
      <c r="CP128" s="745"/>
      <c r="CQ128" s="745"/>
      <c r="CR128" s="745"/>
      <c r="CS128" s="745"/>
      <c r="CT128" s="754"/>
      <c r="CU128" s="755"/>
      <c r="CV128" s="756"/>
      <c r="CW128" s="757"/>
      <c r="CX128" s="758"/>
      <c r="CY128" s="759"/>
      <c r="CZ128" s="760"/>
      <c r="DA128" s="767"/>
      <c r="DB128" s="770"/>
    </row>
    <row r="129" ht="236" customHeight="1" spans="1:106">
      <c r="A129" s="675">
        <v>452</v>
      </c>
      <c r="B129" s="676" t="s">
        <v>1093</v>
      </c>
      <c r="C129" s="677" t="s">
        <v>1669</v>
      </c>
      <c r="D129" s="677" t="s">
        <v>1670</v>
      </c>
      <c r="E129" s="677" t="s">
        <v>97</v>
      </c>
      <c r="F129" s="1452" t="s">
        <v>1094</v>
      </c>
      <c r="G129" s="677" t="s">
        <v>1540</v>
      </c>
      <c r="H129" s="679"/>
      <c r="I129" s="33"/>
      <c r="J129" s="33"/>
      <c r="K129" s="687"/>
      <c r="L129" s="688"/>
      <c r="M129" s="688"/>
      <c r="N129" s="689"/>
      <c r="O129" s="689"/>
      <c r="P129" s="689"/>
      <c r="Q129" s="689"/>
      <c r="R129" s="689"/>
      <c r="S129" s="689">
        <v>165441.56</v>
      </c>
      <c r="T129" s="689"/>
      <c r="U129" s="689"/>
      <c r="V129" s="689"/>
      <c r="W129" s="689"/>
      <c r="X129" s="689"/>
      <c r="Y129" s="689"/>
      <c r="Z129" s="689"/>
      <c r="AA129" s="689"/>
      <c r="AB129" s="689"/>
      <c r="AC129" s="689">
        <v>2500</v>
      </c>
      <c r="AD129" s="689"/>
      <c r="AE129" s="689"/>
      <c r="AF129" s="689"/>
      <c r="AG129" s="689"/>
      <c r="AH129" s="689"/>
      <c r="AI129" s="689"/>
      <c r="AJ129" s="689">
        <v>2500</v>
      </c>
      <c r="AK129" s="689"/>
      <c r="AL129" s="689">
        <v>383.33</v>
      </c>
      <c r="AM129" s="689"/>
      <c r="AN129" s="689"/>
      <c r="AO129" s="689"/>
      <c r="AP129" s="689"/>
      <c r="AQ129" s="689"/>
      <c r="AR129" s="689"/>
      <c r="AS129" s="689"/>
      <c r="AT129" s="689"/>
      <c r="AU129" s="689">
        <f t="shared" ref="AU129" si="142">S129*0.04</f>
        <v>6617.6624</v>
      </c>
      <c r="AV129" s="689"/>
      <c r="AW129" s="689"/>
      <c r="AX129" s="718">
        <f t="shared" ref="AX129" si="143">S129*0.02</f>
        <v>3308.8312</v>
      </c>
      <c r="AY129" s="718"/>
      <c r="AZ129" s="718"/>
      <c r="BA129" s="689"/>
      <c r="BB129" s="689"/>
      <c r="BC129" s="689"/>
      <c r="BD129" s="719"/>
      <c r="BE129" s="719"/>
      <c r="BF129" s="689"/>
      <c r="BG129" s="689"/>
      <c r="BH129" s="727"/>
      <c r="BI129" s="689"/>
      <c r="BJ129" s="689"/>
      <c r="BK129" s="689"/>
      <c r="BL129" s="689"/>
      <c r="BM129" s="689"/>
      <c r="BN129" s="689"/>
      <c r="BO129" s="689">
        <v>20000</v>
      </c>
      <c r="BP129" s="689"/>
      <c r="BQ129" s="689"/>
      <c r="BR129" s="731"/>
      <c r="BS129" s="731"/>
      <c r="BT129" s="731"/>
      <c r="BU129" s="731"/>
      <c r="BV129" s="731"/>
      <c r="BW129" s="731"/>
      <c r="BX129" s="731">
        <v>5000</v>
      </c>
      <c r="BY129" s="731"/>
      <c r="BZ129" s="731">
        <v>1000</v>
      </c>
      <c r="CA129" s="718">
        <f t="shared" ref="CA129" si="144">CD129*0.02</f>
        <v>3408.8312</v>
      </c>
      <c r="CB129" s="735"/>
      <c r="CC129" s="731">
        <v>16073.77</v>
      </c>
      <c r="CD129" s="702">
        <f t="shared" si="97"/>
        <v>170441.56</v>
      </c>
      <c r="CE129" s="731">
        <f t="shared" si="99"/>
        <v>55409.0948</v>
      </c>
      <c r="CF129" s="739">
        <f t="shared" si="98"/>
        <v>115032.4652</v>
      </c>
      <c r="CG129" s="742">
        <f t="shared" si="96"/>
        <v>55409.0948</v>
      </c>
      <c r="CH129" s="743"/>
      <c r="CI129" s="744"/>
      <c r="CJ129" s="745"/>
      <c r="CK129" s="748"/>
      <c r="CL129" s="749"/>
      <c r="CM129" s="744"/>
      <c r="CN129" s="745"/>
      <c r="CO129" s="745"/>
      <c r="CP129" s="745"/>
      <c r="CQ129" s="745"/>
      <c r="CR129" s="745"/>
      <c r="CS129" s="745"/>
      <c r="CT129" s="754"/>
      <c r="CU129" s="755"/>
      <c r="CV129" s="756"/>
      <c r="CW129" s="757"/>
      <c r="CX129" s="758"/>
      <c r="CY129" s="759"/>
      <c r="CZ129" s="760"/>
      <c r="DA129" s="767"/>
      <c r="DB129" s="770"/>
    </row>
    <row r="130" s="658" customFormat="1" ht="236" customHeight="1" spans="1:106">
      <c r="A130" s="673">
        <v>453</v>
      </c>
      <c r="B130" s="822" t="s">
        <v>1095</v>
      </c>
      <c r="C130" s="823" t="s">
        <v>1527</v>
      </c>
      <c r="D130" s="823" t="s">
        <v>1670</v>
      </c>
      <c r="E130" s="823" t="s">
        <v>1096</v>
      </c>
      <c r="F130" s="1454" t="s">
        <v>1097</v>
      </c>
      <c r="G130" s="823" t="s">
        <v>1540</v>
      </c>
      <c r="H130" s="824"/>
      <c r="I130" s="829"/>
      <c r="J130" s="829"/>
      <c r="K130" s="830"/>
      <c r="L130" s="831"/>
      <c r="M130" s="831"/>
      <c r="N130" s="832"/>
      <c r="O130" s="832"/>
      <c r="P130" s="832"/>
      <c r="Q130" s="832"/>
      <c r="R130" s="832"/>
      <c r="S130" s="689">
        <v>165441.56</v>
      </c>
      <c r="T130" s="689"/>
      <c r="U130" s="689"/>
      <c r="V130" s="689"/>
      <c r="W130" s="689"/>
      <c r="X130" s="689"/>
      <c r="Y130" s="689"/>
      <c r="Z130" s="689"/>
      <c r="AA130" s="689"/>
      <c r="AB130" s="689"/>
      <c r="AC130" s="689">
        <v>2500</v>
      </c>
      <c r="AD130" s="689"/>
      <c r="AE130" s="689"/>
      <c r="AF130" s="689"/>
      <c r="AG130" s="689"/>
      <c r="AH130" s="689">
        <v>34500</v>
      </c>
      <c r="AI130" s="689"/>
      <c r="AJ130" s="689">
        <v>2500</v>
      </c>
      <c r="AK130" s="689"/>
      <c r="AL130" s="689">
        <v>383.33</v>
      </c>
      <c r="AM130" s="689"/>
      <c r="AN130" s="689"/>
      <c r="AO130" s="689"/>
      <c r="AP130" s="689"/>
      <c r="AQ130" s="689"/>
      <c r="AR130" s="689"/>
      <c r="AS130" s="689"/>
      <c r="AT130" s="689"/>
      <c r="AU130" s="689">
        <f t="shared" ref="AU130" si="145">S130*0.04</f>
        <v>6617.6624</v>
      </c>
      <c r="AV130" s="689"/>
      <c r="AW130" s="689"/>
      <c r="AX130" s="718">
        <f t="shared" ref="AX130" si="146">S130*0.02</f>
        <v>3308.8312</v>
      </c>
      <c r="AY130" s="718"/>
      <c r="AZ130" s="718"/>
      <c r="BA130" s="689"/>
      <c r="BB130" s="689"/>
      <c r="BC130" s="689"/>
      <c r="BD130" s="719"/>
      <c r="BE130" s="719"/>
      <c r="BF130" s="689"/>
      <c r="BG130" s="689"/>
      <c r="BH130" s="727"/>
      <c r="BI130" s="689"/>
      <c r="BJ130" s="689"/>
      <c r="BK130" s="689"/>
      <c r="BL130" s="689"/>
      <c r="BM130" s="689"/>
      <c r="BN130" s="689"/>
      <c r="BO130" s="689"/>
      <c r="BP130" s="689"/>
      <c r="BQ130" s="689"/>
      <c r="BR130" s="731"/>
      <c r="BS130" s="731"/>
      <c r="BT130" s="731"/>
      <c r="BU130" s="731"/>
      <c r="BV130" s="731"/>
      <c r="BW130" s="731"/>
      <c r="BX130" s="731">
        <v>5000</v>
      </c>
      <c r="BY130" s="731"/>
      <c r="BZ130" s="731">
        <v>1000</v>
      </c>
      <c r="CA130" s="718">
        <f t="shared" ref="CA130" si="147">CD130*0.02</f>
        <v>4098.8312</v>
      </c>
      <c r="CB130" s="735"/>
      <c r="CC130" s="731">
        <v>21596.85</v>
      </c>
      <c r="CD130" s="702">
        <f t="shared" si="97"/>
        <v>204941.56</v>
      </c>
      <c r="CE130" s="731">
        <f t="shared" si="99"/>
        <v>41622.1748</v>
      </c>
      <c r="CF130" s="739">
        <f t="shared" si="98"/>
        <v>163319.3852</v>
      </c>
      <c r="CG130" s="839">
        <f t="shared" ref="CG130" si="148">CD130-CF130</f>
        <v>41622.1748</v>
      </c>
      <c r="CH130" s="840"/>
      <c r="CI130" s="841"/>
      <c r="CJ130" s="842"/>
      <c r="CK130" s="847"/>
      <c r="CL130" s="848"/>
      <c r="CM130" s="841"/>
      <c r="CN130" s="842"/>
      <c r="CO130" s="842"/>
      <c r="CP130" s="842"/>
      <c r="CQ130" s="842"/>
      <c r="CR130" s="842"/>
      <c r="CS130" s="842"/>
      <c r="CT130" s="851"/>
      <c r="CU130" s="852"/>
      <c r="CV130" s="853"/>
      <c r="CW130" s="854"/>
      <c r="CX130" s="855"/>
      <c r="CY130" s="856"/>
      <c r="CZ130" s="857"/>
      <c r="DA130" s="869"/>
      <c r="DB130" s="870" t="s">
        <v>1671</v>
      </c>
    </row>
    <row r="131" ht="236" customHeight="1" spans="1:105">
      <c r="A131" s="675">
        <v>454</v>
      </c>
      <c r="B131" s="676" t="s">
        <v>1098</v>
      </c>
      <c r="C131" s="677" t="s">
        <v>1527</v>
      </c>
      <c r="D131" s="677" t="s">
        <v>1587</v>
      </c>
      <c r="E131" s="677" t="s">
        <v>113</v>
      </c>
      <c r="F131" s="677">
        <v>2200874977</v>
      </c>
      <c r="G131" s="677" t="s">
        <v>1586</v>
      </c>
      <c r="H131" s="679"/>
      <c r="I131" s="681" t="s">
        <v>113</v>
      </c>
      <c r="J131" s="686">
        <v>2200874977</v>
      </c>
      <c r="K131" s="687"/>
      <c r="L131" s="688"/>
      <c r="M131" s="688"/>
      <c r="N131" s="689">
        <v>1343017</v>
      </c>
      <c r="O131" s="689">
        <v>111918.083333333</v>
      </c>
      <c r="P131" s="689"/>
      <c r="Q131" s="689">
        <v>27979.5208333333</v>
      </c>
      <c r="R131" s="689">
        <v>30000</v>
      </c>
      <c r="S131" s="689">
        <v>174353.67</v>
      </c>
      <c r="T131" s="689"/>
      <c r="U131" s="689"/>
      <c r="V131" s="689"/>
      <c r="W131" s="689"/>
      <c r="X131" s="689"/>
      <c r="Y131" s="689"/>
      <c r="Z131" s="689"/>
      <c r="AA131" s="689"/>
      <c r="AB131" s="689"/>
      <c r="AC131" s="689">
        <v>2500</v>
      </c>
      <c r="AD131" s="689"/>
      <c r="AE131" s="689"/>
      <c r="AF131" s="689"/>
      <c r="AG131" s="689"/>
      <c r="AH131" s="689"/>
      <c r="AI131" s="689"/>
      <c r="AJ131" s="689">
        <v>2500</v>
      </c>
      <c r="AK131" s="689"/>
      <c r="AL131" s="689">
        <v>383.33</v>
      </c>
      <c r="AM131" s="689"/>
      <c r="AN131" s="689"/>
      <c r="AO131" s="689"/>
      <c r="AP131" s="689"/>
      <c r="AQ131" s="689"/>
      <c r="AR131" s="689"/>
      <c r="AS131" s="689"/>
      <c r="AT131" s="689"/>
      <c r="AU131" s="689">
        <f t="shared" si="100"/>
        <v>6974.1468</v>
      </c>
      <c r="AV131" s="689"/>
      <c r="AW131" s="689"/>
      <c r="AX131" s="718">
        <f t="shared" si="121"/>
        <v>3487.0734</v>
      </c>
      <c r="AY131" s="718"/>
      <c r="AZ131" s="718"/>
      <c r="BA131" s="689"/>
      <c r="BB131" s="689"/>
      <c r="BC131" s="689"/>
      <c r="BD131" s="719"/>
      <c r="BE131" s="719"/>
      <c r="BF131" s="689"/>
      <c r="BG131" s="689"/>
      <c r="BH131" s="727"/>
      <c r="BI131" s="689"/>
      <c r="BJ131" s="689"/>
      <c r="BK131" s="689"/>
      <c r="BL131" s="689"/>
      <c r="BM131" s="689"/>
      <c r="BN131" s="689"/>
      <c r="BO131" s="689">
        <v>10000</v>
      </c>
      <c r="BP131" s="689"/>
      <c r="BQ131" s="689"/>
      <c r="BR131" s="731"/>
      <c r="BS131" s="731"/>
      <c r="BT131" s="731"/>
      <c r="BU131" s="731"/>
      <c r="BV131" s="731"/>
      <c r="BW131" s="731"/>
      <c r="BX131" s="731">
        <v>5000</v>
      </c>
      <c r="BY131" s="731"/>
      <c r="BZ131" s="731">
        <v>1000</v>
      </c>
      <c r="CA131" s="718">
        <f t="shared" ref="CA131:CA194" si="149">CD131*0.02</f>
        <v>3587.0734</v>
      </c>
      <c r="CB131" s="735"/>
      <c r="CC131" s="731">
        <v>17428.42</v>
      </c>
      <c r="CD131" s="702">
        <f t="shared" si="97"/>
        <v>179353.67</v>
      </c>
      <c r="CE131" s="731">
        <f t="shared" si="99"/>
        <v>47476.7136</v>
      </c>
      <c r="CF131" s="739">
        <f t="shared" si="98"/>
        <v>131876.9564</v>
      </c>
      <c r="CG131" s="742">
        <f t="shared" si="96"/>
        <v>47476.7136</v>
      </c>
      <c r="CH131" s="743" t="e">
        <f>'[6]JACKSON AKPOJARO '!C274*12</f>
        <v>#REF!</v>
      </c>
      <c r="CI131" s="744" t="e">
        <f t="shared" ref="CI131" si="150">200000+(0.2*CH131)</f>
        <v>#REF!</v>
      </c>
      <c r="CJ131" s="745">
        <f>CB131*12</f>
        <v>0</v>
      </c>
      <c r="CK131" s="748" t="e">
        <f t="shared" ref="CK131" si="151">SUM(CI131:CJ131)</f>
        <v>#REF!</v>
      </c>
      <c r="CL131" s="749" t="e">
        <f t="shared" ref="CL131" si="152">+CH131-CK131</f>
        <v>#REF!</v>
      </c>
      <c r="CM131" s="744"/>
      <c r="CN131" s="745" t="e">
        <f t="shared" ref="CN131" si="153">IF((CL131&gt;0),(IF((CL131&gt;300000),(300000*7%),(CL131*7%))),(CH131*1%))</f>
        <v>#REF!</v>
      </c>
      <c r="CO131" s="745" t="e">
        <f t="shared" ref="CO131" si="154">IF((CL131-300000)&gt;0,(IF((CL131&gt;600000),(300000*11%),((CL131-300000)*11%))),(""))</f>
        <v>#REF!</v>
      </c>
      <c r="CP131" s="745" t="e">
        <f t="shared" ref="CP131" si="155">IF(((CL131-600000)&gt;0),(IF((CL131&gt;1100000),(500000*15%),((CL131-600000)*15%))),(""))</f>
        <v>#REF!</v>
      </c>
      <c r="CQ131" s="745" t="e">
        <f t="shared" ref="CQ131" si="156">IF(((CL131-(1100000))&gt;0),(IF((CL131&gt;(1600000)),((500000)*19%),((CL131-(1100000))*19%))),(""))</f>
        <v>#REF!</v>
      </c>
      <c r="CR131" s="745" t="e">
        <f t="shared" ref="CR131" si="157">IF(((CL131-(1600000))&gt;0),(IF((CL131&gt;(3200000)),((1600000)*21%),((CL131-(1600000))*21%))),(""))</f>
        <v>#REF!</v>
      </c>
      <c r="CS131" s="745" t="e">
        <f t="shared" ref="CS131" si="158">IF(((CL131-(3200000))&gt;0),(IF((CL131&gt;(3200000)),((CL131-(3200000))*24%),(0))),(""))</f>
        <v>#REF!</v>
      </c>
      <c r="CT131" s="754"/>
      <c r="CU131" s="755"/>
      <c r="CV131" s="756"/>
      <c r="CW131" s="757"/>
      <c r="CX131" s="758"/>
      <c r="CY131" s="759"/>
      <c r="CZ131" s="760"/>
      <c r="DA131" s="767"/>
    </row>
    <row r="132" ht="236" customHeight="1" spans="1:105">
      <c r="A132" s="673">
        <v>455</v>
      </c>
      <c r="B132" s="676" t="s">
        <v>1099</v>
      </c>
      <c r="C132" s="677" t="s">
        <v>194</v>
      </c>
      <c r="D132" s="677" t="s">
        <v>1672</v>
      </c>
      <c r="E132" s="677" t="s">
        <v>145</v>
      </c>
      <c r="F132" s="1452" t="s">
        <v>1100</v>
      </c>
      <c r="G132" s="677" t="s">
        <v>1586</v>
      </c>
      <c r="H132" s="679"/>
      <c r="I132" s="681" t="s">
        <v>145</v>
      </c>
      <c r="J132" s="686" t="s">
        <v>1100</v>
      </c>
      <c r="K132" s="687"/>
      <c r="L132" s="688"/>
      <c r="M132" s="688"/>
      <c r="N132" s="689">
        <v>1343017</v>
      </c>
      <c r="O132" s="689">
        <v>111918.083333333</v>
      </c>
      <c r="P132" s="689"/>
      <c r="Q132" s="689">
        <v>27979.5208333333</v>
      </c>
      <c r="R132" s="689">
        <v>30000</v>
      </c>
      <c r="S132" s="689">
        <v>174353.67</v>
      </c>
      <c r="T132" s="689"/>
      <c r="U132" s="689"/>
      <c r="V132" s="689"/>
      <c r="W132" s="689"/>
      <c r="X132" s="689"/>
      <c r="Y132" s="689"/>
      <c r="Z132" s="689"/>
      <c r="AA132" s="689"/>
      <c r="AB132" s="689"/>
      <c r="AC132" s="689">
        <v>2500</v>
      </c>
      <c r="AD132" s="689"/>
      <c r="AE132" s="689"/>
      <c r="AF132" s="689"/>
      <c r="AG132" s="689"/>
      <c r="AH132" s="689"/>
      <c r="AI132" s="689"/>
      <c r="AJ132" s="689">
        <v>2500</v>
      </c>
      <c r="AK132" s="689"/>
      <c r="AL132" s="689">
        <v>383.33</v>
      </c>
      <c r="AM132" s="689"/>
      <c r="AN132" s="689"/>
      <c r="AO132" s="689"/>
      <c r="AP132" s="689"/>
      <c r="AQ132" s="689"/>
      <c r="AR132" s="689"/>
      <c r="AS132" s="689"/>
      <c r="AT132" s="689"/>
      <c r="AU132" s="689">
        <f t="shared" si="100"/>
        <v>6974.1468</v>
      </c>
      <c r="AV132" s="689"/>
      <c r="AW132" s="689">
        <v>3000</v>
      </c>
      <c r="AX132" s="718">
        <f t="shared" si="121"/>
        <v>3487.0734</v>
      </c>
      <c r="AY132" s="718"/>
      <c r="AZ132" s="718"/>
      <c r="BA132" s="689"/>
      <c r="BB132" s="689"/>
      <c r="BC132" s="689"/>
      <c r="BD132" s="719"/>
      <c r="BE132" s="719"/>
      <c r="BF132" s="689"/>
      <c r="BG132" s="689"/>
      <c r="BH132" s="727"/>
      <c r="BI132" s="689"/>
      <c r="BJ132" s="689"/>
      <c r="BK132" s="689"/>
      <c r="BL132" s="689"/>
      <c r="BM132" s="689"/>
      <c r="BN132" s="689"/>
      <c r="BO132" s="689">
        <v>38666.6666666667</v>
      </c>
      <c r="BP132" s="689"/>
      <c r="BQ132" s="689"/>
      <c r="BR132" s="731"/>
      <c r="BS132" s="731"/>
      <c r="BT132" s="731"/>
      <c r="BU132" s="731"/>
      <c r="BV132" s="731"/>
      <c r="BW132" s="731"/>
      <c r="BX132" s="731">
        <v>5000</v>
      </c>
      <c r="BY132" s="731">
        <v>2000</v>
      </c>
      <c r="BZ132" s="731">
        <v>1000</v>
      </c>
      <c r="CA132" s="718">
        <f t="shared" si="149"/>
        <v>3587.0734</v>
      </c>
      <c r="CB132" s="735"/>
      <c r="CC132" s="731">
        <v>17428.42</v>
      </c>
      <c r="CD132" s="702">
        <f t="shared" si="97"/>
        <v>179353.67</v>
      </c>
      <c r="CE132" s="731">
        <f t="shared" si="99"/>
        <v>81143.3802666667</v>
      </c>
      <c r="CF132" s="739">
        <f t="shared" si="98"/>
        <v>98210.2897333333</v>
      </c>
      <c r="CG132" s="742">
        <f t="shared" ref="CG132:CG195" si="159">CD132-CF132</f>
        <v>81143.3802666667</v>
      </c>
      <c r="CH132" s="743" t="e">
        <f>'[6]JACKSON AKPOJARO '!C275*12</f>
        <v>#REF!</v>
      </c>
      <c r="CI132" s="744" t="e">
        <f t="shared" ref="CI132" si="160">200000+(0.2*CH132)</f>
        <v>#REF!</v>
      </c>
      <c r="CJ132" s="745">
        <f>CB132*12</f>
        <v>0</v>
      </c>
      <c r="CK132" s="748" t="e">
        <f t="shared" ref="CK132" si="161">SUM(CI132:CJ132)</f>
        <v>#REF!</v>
      </c>
      <c r="CL132" s="749" t="e">
        <f t="shared" ref="CL132" si="162">+CH132-CK132</f>
        <v>#REF!</v>
      </c>
      <c r="CM132" s="744"/>
      <c r="CN132" s="745" t="e">
        <f t="shared" ref="CN132" si="163">IF((CL132&gt;0),(IF((CL132&gt;300000),(300000*7%),(CL132*7%))),(CH132*1%))</f>
        <v>#REF!</v>
      </c>
      <c r="CO132" s="745" t="e">
        <f t="shared" ref="CO132" si="164">IF((CL132-300000)&gt;0,(IF((CL132&gt;600000),(300000*11%),((CL132-300000)*11%))),(""))</f>
        <v>#REF!</v>
      </c>
      <c r="CP132" s="745" t="e">
        <f t="shared" ref="CP132" si="165">IF(((CL132-600000)&gt;0),(IF((CL132&gt;1100000),(500000*15%),((CL132-600000)*15%))),(""))</f>
        <v>#REF!</v>
      </c>
      <c r="CQ132" s="745" t="e">
        <f t="shared" ref="CQ132" si="166">IF(((CL132-(1100000))&gt;0),(IF((CL132&gt;(1600000)),((500000)*19%),((CL132-(1100000))*19%))),(""))</f>
        <v>#REF!</v>
      </c>
      <c r="CR132" s="745" t="e">
        <f t="shared" ref="CR132" si="167">IF(((CL132-(1600000))&gt;0),(IF((CL132&gt;(3200000)),((1600000)*21%),((CL132-(1600000))*21%))),(""))</f>
        <v>#REF!</v>
      </c>
      <c r="CS132" s="745" t="e">
        <f t="shared" ref="CS132" si="168">IF(((CL132-(3200000))&gt;0),(IF((CL132&gt;(3200000)),((CL132-(3200000))*24%),(0))),(""))</f>
        <v>#REF!</v>
      </c>
      <c r="CT132" s="754"/>
      <c r="CU132" s="755"/>
      <c r="CV132" s="756"/>
      <c r="CW132" s="757"/>
      <c r="CX132" s="758"/>
      <c r="CY132" s="759"/>
      <c r="CZ132" s="760"/>
      <c r="DA132" s="767"/>
    </row>
    <row r="133" ht="236" customHeight="1" spans="1:105">
      <c r="A133" s="675">
        <v>456</v>
      </c>
      <c r="B133" s="676" t="s">
        <v>1101</v>
      </c>
      <c r="C133" s="677" t="s">
        <v>1588</v>
      </c>
      <c r="D133" s="677" t="s">
        <v>1589</v>
      </c>
      <c r="E133" s="677" t="s">
        <v>93</v>
      </c>
      <c r="F133" s="677">
        <v>3088269523</v>
      </c>
      <c r="G133" s="677" t="s">
        <v>1586</v>
      </c>
      <c r="H133" s="679"/>
      <c r="I133" s="681" t="s">
        <v>93</v>
      </c>
      <c r="J133" s="686">
        <v>3088269523</v>
      </c>
      <c r="K133" s="687"/>
      <c r="L133" s="688"/>
      <c r="M133" s="688"/>
      <c r="N133" s="689">
        <v>1343017</v>
      </c>
      <c r="O133" s="689">
        <v>111918.083333333</v>
      </c>
      <c r="P133" s="689"/>
      <c r="Q133" s="689">
        <v>27979.5208333333</v>
      </c>
      <c r="R133" s="689">
        <v>30000</v>
      </c>
      <c r="S133" s="689">
        <v>174353.67</v>
      </c>
      <c r="T133" s="689"/>
      <c r="U133" s="689"/>
      <c r="V133" s="689"/>
      <c r="W133" s="689"/>
      <c r="X133" s="689"/>
      <c r="Y133" s="689"/>
      <c r="Z133" s="689"/>
      <c r="AA133" s="689"/>
      <c r="AB133" s="689">
        <v>25000</v>
      </c>
      <c r="AC133" s="689">
        <v>2500</v>
      </c>
      <c r="AD133" s="689"/>
      <c r="AE133" s="689"/>
      <c r="AF133" s="689"/>
      <c r="AG133" s="689"/>
      <c r="AH133" s="689">
        <v>34500</v>
      </c>
      <c r="AI133" s="689"/>
      <c r="AJ133" s="689">
        <v>2500</v>
      </c>
      <c r="AK133" s="689"/>
      <c r="AL133" s="689">
        <v>383.33</v>
      </c>
      <c r="AM133" s="689"/>
      <c r="AN133" s="689"/>
      <c r="AO133" s="689"/>
      <c r="AP133" s="689"/>
      <c r="AQ133" s="689"/>
      <c r="AR133" s="689"/>
      <c r="AS133" s="689"/>
      <c r="AT133" s="689"/>
      <c r="AU133" s="689">
        <f t="shared" si="100"/>
        <v>6974.1468</v>
      </c>
      <c r="AV133" s="689"/>
      <c r="AW133" s="689"/>
      <c r="AX133" s="718">
        <f t="shared" si="121"/>
        <v>3487.0734</v>
      </c>
      <c r="AY133" s="718"/>
      <c r="AZ133" s="718"/>
      <c r="BA133" s="689"/>
      <c r="BB133" s="689"/>
      <c r="BC133" s="689"/>
      <c r="BD133" s="719"/>
      <c r="BE133" s="719"/>
      <c r="BF133" s="689"/>
      <c r="BG133" s="689"/>
      <c r="BH133" s="727"/>
      <c r="BI133" s="689"/>
      <c r="BJ133" s="689"/>
      <c r="BK133" s="689"/>
      <c r="BL133" s="689"/>
      <c r="BM133" s="689"/>
      <c r="BN133" s="689"/>
      <c r="BO133" s="689">
        <v>10000</v>
      </c>
      <c r="BP133" s="689"/>
      <c r="BQ133" s="689"/>
      <c r="BR133" s="731"/>
      <c r="BS133" s="731"/>
      <c r="BT133" s="731"/>
      <c r="BU133" s="731"/>
      <c r="BV133" s="731"/>
      <c r="BW133" s="731"/>
      <c r="BX133" s="731"/>
      <c r="BY133" s="731">
        <v>2000</v>
      </c>
      <c r="BZ133" s="731">
        <v>1000</v>
      </c>
      <c r="CA133" s="718">
        <f t="shared" si="149"/>
        <v>4777.0734</v>
      </c>
      <c r="CB133" s="735"/>
      <c r="CC133" s="731">
        <v>27294.08</v>
      </c>
      <c r="CD133" s="702">
        <f t="shared" si="97"/>
        <v>238853.67</v>
      </c>
      <c r="CE133" s="731">
        <f t="shared" si="99"/>
        <v>55532.3736</v>
      </c>
      <c r="CF133" s="739">
        <f t="shared" si="98"/>
        <v>183321.2964</v>
      </c>
      <c r="CG133" s="742">
        <f t="shared" si="159"/>
        <v>55532.3736</v>
      </c>
      <c r="CH133" s="743" t="e">
        <f>'[6]JACKSON AKPOJARO '!C276*12</f>
        <v>#REF!</v>
      </c>
      <c r="CI133" s="744" t="e">
        <f t="shared" ref="CI133" si="169">200000+(0.2*CH133)</f>
        <v>#REF!</v>
      </c>
      <c r="CJ133" s="745">
        <f>CB133*12</f>
        <v>0</v>
      </c>
      <c r="CK133" s="748" t="e">
        <f t="shared" ref="CK133" si="170">SUM(CI133:CJ133)</f>
        <v>#REF!</v>
      </c>
      <c r="CL133" s="749" t="e">
        <f t="shared" ref="CL133" si="171">+CH133-CK133</f>
        <v>#REF!</v>
      </c>
      <c r="CM133" s="744"/>
      <c r="CN133" s="745" t="e">
        <f t="shared" ref="CN133" si="172">IF((CL133&gt;0),(IF((CL133&gt;300000),(300000*7%),(CL133*7%))),(CH133*1%))</f>
        <v>#REF!</v>
      </c>
      <c r="CO133" s="745" t="e">
        <f t="shared" ref="CO133" si="173">IF((CL133-300000)&gt;0,(IF((CL133&gt;600000),(300000*11%),((CL133-300000)*11%))),(""))</f>
        <v>#REF!</v>
      </c>
      <c r="CP133" s="745" t="e">
        <f t="shared" ref="CP133" si="174">IF(((CL133-600000)&gt;0),(IF((CL133&gt;1100000),(500000*15%),((CL133-600000)*15%))),(""))</f>
        <v>#REF!</v>
      </c>
      <c r="CQ133" s="745" t="e">
        <f t="shared" ref="CQ133" si="175">IF(((CL133-(1100000))&gt;0),(IF((CL133&gt;(1600000)),((500000)*19%),((CL133-(1100000))*19%))),(""))</f>
        <v>#REF!</v>
      </c>
      <c r="CR133" s="745" t="e">
        <f t="shared" ref="CR133" si="176">IF(((CL133-(1600000))&gt;0),(IF((CL133&gt;(3200000)),((1600000)*21%),((CL133-(1600000))*21%))),(""))</f>
        <v>#REF!</v>
      </c>
      <c r="CS133" s="745" t="e">
        <f t="shared" ref="CS133" si="177">IF(((CL133-(3200000))&gt;0),(IF((CL133&gt;(3200000)),((CL133-(3200000))*24%),(0))),(""))</f>
        <v>#REF!</v>
      </c>
      <c r="CT133" s="754"/>
      <c r="CU133" s="755"/>
      <c r="CV133" s="756"/>
      <c r="CW133" s="757"/>
      <c r="CX133" s="758"/>
      <c r="CY133" s="759"/>
      <c r="CZ133" s="760"/>
      <c r="DA133" s="767"/>
    </row>
    <row r="134" ht="236" customHeight="1" spans="1:105">
      <c r="A134" s="673">
        <v>457</v>
      </c>
      <c r="B134" s="676" t="s">
        <v>1102</v>
      </c>
      <c r="C134" s="677" t="s">
        <v>1527</v>
      </c>
      <c r="D134" s="677" t="s">
        <v>1673</v>
      </c>
      <c r="E134" s="677" t="s">
        <v>915</v>
      </c>
      <c r="F134" s="1452" t="s">
        <v>1103</v>
      </c>
      <c r="G134" s="677" t="s">
        <v>1586</v>
      </c>
      <c r="H134" s="679"/>
      <c r="I134" s="681" t="s">
        <v>915</v>
      </c>
      <c r="J134" s="686" t="s">
        <v>1103</v>
      </c>
      <c r="K134" s="687"/>
      <c r="L134" s="688"/>
      <c r="M134" s="688"/>
      <c r="N134" s="689">
        <v>1343017</v>
      </c>
      <c r="O134" s="689">
        <v>111918.083333333</v>
      </c>
      <c r="P134" s="689"/>
      <c r="Q134" s="689">
        <v>27979.5208333333</v>
      </c>
      <c r="R134" s="689">
        <v>30000</v>
      </c>
      <c r="S134" s="689">
        <v>174353.67</v>
      </c>
      <c r="T134" s="689"/>
      <c r="U134" s="689"/>
      <c r="V134" s="689"/>
      <c r="W134" s="689"/>
      <c r="X134" s="689"/>
      <c r="Y134" s="689"/>
      <c r="Z134" s="689"/>
      <c r="AA134" s="689"/>
      <c r="AB134" s="689"/>
      <c r="AC134" s="689">
        <v>2500</v>
      </c>
      <c r="AD134" s="689"/>
      <c r="AE134" s="689"/>
      <c r="AF134" s="689"/>
      <c r="AG134" s="689"/>
      <c r="AH134" s="689"/>
      <c r="AI134" s="689"/>
      <c r="AJ134" s="689">
        <f>2500</f>
        <v>2500</v>
      </c>
      <c r="AK134" s="689"/>
      <c r="AL134" s="689">
        <v>383.33</v>
      </c>
      <c r="AM134" s="689"/>
      <c r="AN134" s="689"/>
      <c r="AO134" s="689"/>
      <c r="AP134" s="689"/>
      <c r="AQ134" s="689"/>
      <c r="AR134" s="689"/>
      <c r="AS134" s="689"/>
      <c r="AT134" s="689"/>
      <c r="AU134" s="689">
        <f t="shared" si="100"/>
        <v>6974.1468</v>
      </c>
      <c r="AV134" s="689"/>
      <c r="AW134" s="689">
        <v>1500</v>
      </c>
      <c r="AX134" s="718">
        <f t="shared" si="121"/>
        <v>3487.0734</v>
      </c>
      <c r="AY134" s="718"/>
      <c r="AZ134" s="718"/>
      <c r="BA134" s="689"/>
      <c r="BB134" s="689"/>
      <c r="BC134" s="689"/>
      <c r="BD134" s="719"/>
      <c r="BE134" s="719"/>
      <c r="BF134" s="689"/>
      <c r="BG134" s="689"/>
      <c r="BH134" s="727"/>
      <c r="BI134" s="689"/>
      <c r="BJ134" s="689"/>
      <c r="BK134" s="689"/>
      <c r="BL134" s="689"/>
      <c r="BM134" s="689"/>
      <c r="BN134" s="689"/>
      <c r="BO134" s="689">
        <v>85000</v>
      </c>
      <c r="BP134" s="689"/>
      <c r="BQ134" s="689"/>
      <c r="BR134" s="731"/>
      <c r="BS134" s="731"/>
      <c r="BT134" s="731"/>
      <c r="BU134" s="731"/>
      <c r="BV134" s="731"/>
      <c r="BW134" s="731"/>
      <c r="BX134" s="731">
        <v>5000</v>
      </c>
      <c r="BY134" s="731">
        <v>2000</v>
      </c>
      <c r="BZ134" s="731">
        <v>1000</v>
      </c>
      <c r="CA134" s="718">
        <f t="shared" si="149"/>
        <v>3587.0734</v>
      </c>
      <c r="CB134" s="735"/>
      <c r="CC134" s="731">
        <v>17428.42</v>
      </c>
      <c r="CD134" s="702">
        <f t="shared" ref="CD134:CD197" si="178">AR134+AJ134+AH134+AG134+AE134+AF134+AD134+AC134+AB134+AA134+Z134+Y134+X134+W134+V134+U134+U134+T134+S134</f>
        <v>179353.67</v>
      </c>
      <c r="CE134" s="731">
        <f t="shared" si="99"/>
        <v>125976.7136</v>
      </c>
      <c r="CF134" s="739">
        <f t="shared" ref="CF134:CF197" si="179">CD134-CE134</f>
        <v>53376.9564</v>
      </c>
      <c r="CG134" s="742">
        <f t="shared" si="159"/>
        <v>125976.7136</v>
      </c>
      <c r="CH134" s="743"/>
      <c r="CI134" s="744"/>
      <c r="CJ134" s="745"/>
      <c r="CK134" s="748"/>
      <c r="CL134" s="749"/>
      <c r="CM134" s="744"/>
      <c r="CN134" s="745"/>
      <c r="CO134" s="745"/>
      <c r="CP134" s="745"/>
      <c r="CQ134" s="745"/>
      <c r="CR134" s="745"/>
      <c r="CS134" s="745"/>
      <c r="CT134" s="754"/>
      <c r="CU134" s="755"/>
      <c r="CV134" s="756"/>
      <c r="CW134" s="757"/>
      <c r="CX134" s="758"/>
      <c r="CY134" s="759"/>
      <c r="CZ134" s="760"/>
      <c r="DA134" s="767"/>
    </row>
    <row r="135" ht="236" customHeight="1" spans="1:105">
      <c r="A135" s="675">
        <v>458</v>
      </c>
      <c r="B135" s="676" t="s">
        <v>1104</v>
      </c>
      <c r="C135" s="677" t="s">
        <v>1527</v>
      </c>
      <c r="D135" s="677" t="s">
        <v>1674</v>
      </c>
      <c r="E135" s="677" t="s">
        <v>93</v>
      </c>
      <c r="F135" s="1452" t="s">
        <v>1105</v>
      </c>
      <c r="G135" s="677" t="s">
        <v>1586</v>
      </c>
      <c r="H135" s="679"/>
      <c r="I135" s="681" t="s">
        <v>93</v>
      </c>
      <c r="J135" s="686" t="s">
        <v>1105</v>
      </c>
      <c r="K135" s="687"/>
      <c r="L135" s="688"/>
      <c r="M135" s="688"/>
      <c r="N135" s="689">
        <v>1343017</v>
      </c>
      <c r="O135" s="689">
        <v>111918.083333333</v>
      </c>
      <c r="P135" s="689"/>
      <c r="Q135" s="689">
        <v>27979.5208333333</v>
      </c>
      <c r="R135" s="689">
        <v>30000</v>
      </c>
      <c r="S135" s="689">
        <v>174353.67</v>
      </c>
      <c r="T135" s="689"/>
      <c r="U135" s="689"/>
      <c r="V135" s="689"/>
      <c r="W135" s="689"/>
      <c r="X135" s="689"/>
      <c r="Y135" s="689"/>
      <c r="Z135" s="689"/>
      <c r="AA135" s="689"/>
      <c r="AB135" s="689"/>
      <c r="AC135" s="689">
        <v>2500</v>
      </c>
      <c r="AD135" s="689"/>
      <c r="AE135" s="689"/>
      <c r="AF135" s="689"/>
      <c r="AG135" s="689"/>
      <c r="AH135" s="689"/>
      <c r="AI135" s="689"/>
      <c r="AJ135" s="689">
        <f>2500</f>
        <v>2500</v>
      </c>
      <c r="AK135" s="689"/>
      <c r="AL135" s="689">
        <v>383.33</v>
      </c>
      <c r="AM135" s="689"/>
      <c r="AN135" s="689"/>
      <c r="AO135" s="689"/>
      <c r="AP135" s="689"/>
      <c r="AQ135" s="689"/>
      <c r="AR135" s="689"/>
      <c r="AS135" s="689"/>
      <c r="AT135" s="689"/>
      <c r="AU135" s="689">
        <f t="shared" ref="AU135:AU138" si="180">S135*0.04</f>
        <v>6974.1468</v>
      </c>
      <c r="AV135" s="689"/>
      <c r="AW135" s="689">
        <v>1500</v>
      </c>
      <c r="AX135" s="718">
        <f t="shared" si="121"/>
        <v>3487.0734</v>
      </c>
      <c r="AY135" s="718"/>
      <c r="AZ135" s="718"/>
      <c r="BA135" s="689"/>
      <c r="BB135" s="689"/>
      <c r="BC135" s="689"/>
      <c r="BD135" s="719"/>
      <c r="BE135" s="719"/>
      <c r="BF135" s="689"/>
      <c r="BG135" s="689"/>
      <c r="BH135" s="727"/>
      <c r="BI135" s="689"/>
      <c r="BJ135" s="689"/>
      <c r="BK135" s="689"/>
      <c r="BL135" s="689"/>
      <c r="BM135" s="689"/>
      <c r="BN135" s="689"/>
      <c r="BO135" s="689">
        <v>0</v>
      </c>
      <c r="BP135" s="689"/>
      <c r="BQ135" s="689"/>
      <c r="BR135" s="731"/>
      <c r="BS135" s="731"/>
      <c r="BT135" s="731"/>
      <c r="BU135" s="731"/>
      <c r="BV135" s="731"/>
      <c r="BW135" s="731"/>
      <c r="BX135" s="731"/>
      <c r="BY135" s="731">
        <v>2000</v>
      </c>
      <c r="BZ135" s="731">
        <v>1000</v>
      </c>
      <c r="CA135" s="718">
        <f t="shared" si="149"/>
        <v>3587.0734</v>
      </c>
      <c r="CB135" s="735"/>
      <c r="CC135" s="731">
        <v>17428.42</v>
      </c>
      <c r="CD135" s="702">
        <f t="shared" si="178"/>
        <v>179353.67</v>
      </c>
      <c r="CE135" s="731">
        <f t="shared" ref="CE135:CE198" si="181">SUM(AU135:CC135)+AT135</f>
        <v>35976.7136</v>
      </c>
      <c r="CF135" s="739">
        <f t="shared" si="179"/>
        <v>143376.9564</v>
      </c>
      <c r="CG135" s="742">
        <f t="shared" si="159"/>
        <v>35976.7136</v>
      </c>
      <c r="CH135" s="743"/>
      <c r="CI135" s="744"/>
      <c r="CJ135" s="745"/>
      <c r="CK135" s="748"/>
      <c r="CL135" s="749"/>
      <c r="CM135" s="744"/>
      <c r="CN135" s="745"/>
      <c r="CO135" s="745"/>
      <c r="CP135" s="745"/>
      <c r="CQ135" s="745"/>
      <c r="CR135" s="745"/>
      <c r="CS135" s="745"/>
      <c r="CT135" s="754"/>
      <c r="CU135" s="755"/>
      <c r="CV135" s="756"/>
      <c r="CW135" s="757"/>
      <c r="CX135" s="758"/>
      <c r="CY135" s="759"/>
      <c r="CZ135" s="760"/>
      <c r="DA135" s="767"/>
    </row>
    <row r="136" ht="236" customHeight="1" spans="1:105">
      <c r="A136" s="673">
        <v>459</v>
      </c>
      <c r="B136" s="676" t="s">
        <v>1106</v>
      </c>
      <c r="C136" s="677" t="s">
        <v>1527</v>
      </c>
      <c r="D136" s="677" t="s">
        <v>1573</v>
      </c>
      <c r="E136" s="677" t="s">
        <v>135</v>
      </c>
      <c r="F136" s="1452" t="s">
        <v>1107</v>
      </c>
      <c r="G136" s="677" t="s">
        <v>1642</v>
      </c>
      <c r="H136" s="679"/>
      <c r="I136" s="681" t="s">
        <v>135</v>
      </c>
      <c r="J136" s="686" t="s">
        <v>1107</v>
      </c>
      <c r="K136" s="687">
        <f>'[5] NON-TEACHING STAFF'!$J$114</f>
        <v>22164061187</v>
      </c>
      <c r="L136" s="688">
        <f>L124</f>
        <v>1857913</v>
      </c>
      <c r="M136" s="688" t="e">
        <f>S136-#REF!</f>
        <v>#REF!</v>
      </c>
      <c r="N136" s="689">
        <v>1912620</v>
      </c>
      <c r="O136" s="689">
        <v>159385</v>
      </c>
      <c r="P136" s="689"/>
      <c r="Q136" s="689">
        <v>39846.25</v>
      </c>
      <c r="R136" s="689">
        <v>30000</v>
      </c>
      <c r="S136" s="689">
        <v>251604.42</v>
      </c>
      <c r="T136" s="689"/>
      <c r="U136" s="689"/>
      <c r="V136" s="689"/>
      <c r="W136" s="689"/>
      <c r="X136" s="689"/>
      <c r="Y136" s="689"/>
      <c r="Z136" s="689"/>
      <c r="AA136" s="689"/>
      <c r="AB136" s="689">
        <v>25000</v>
      </c>
      <c r="AC136" s="689">
        <v>2500</v>
      </c>
      <c r="AD136" s="689"/>
      <c r="AE136" s="689"/>
      <c r="AF136" s="689"/>
      <c r="AG136" s="689"/>
      <c r="AH136" s="689"/>
      <c r="AI136" s="689"/>
      <c r="AJ136" s="689">
        <v>2500</v>
      </c>
      <c r="AK136" s="689"/>
      <c r="AL136" s="689">
        <v>383.33</v>
      </c>
      <c r="AM136" s="689"/>
      <c r="AN136" s="689"/>
      <c r="AO136" s="689"/>
      <c r="AP136" s="689"/>
      <c r="AQ136" s="689"/>
      <c r="AR136" s="689"/>
      <c r="AS136" s="689"/>
      <c r="AT136" s="689"/>
      <c r="AU136" s="689">
        <f t="shared" si="180"/>
        <v>10064.1768</v>
      </c>
      <c r="AV136" s="689"/>
      <c r="AW136" s="689">
        <v>19500</v>
      </c>
      <c r="AX136" s="718">
        <f t="shared" si="101"/>
        <v>5032.0884</v>
      </c>
      <c r="AY136" s="718"/>
      <c r="AZ136" s="718"/>
      <c r="BA136" s="689"/>
      <c r="BB136" s="689"/>
      <c r="BC136" s="689"/>
      <c r="BD136" s="719"/>
      <c r="BE136" s="719"/>
      <c r="BF136" s="689"/>
      <c r="BG136" s="689"/>
      <c r="BH136" s="727"/>
      <c r="BI136" s="689"/>
      <c r="BJ136" s="689"/>
      <c r="BK136" s="689"/>
      <c r="BL136" s="689">
        <v>7500</v>
      </c>
      <c r="BM136" s="689"/>
      <c r="BN136" s="689"/>
      <c r="BO136" s="689">
        <v>68333.3266666667</v>
      </c>
      <c r="BP136" s="689"/>
      <c r="BQ136" s="689"/>
      <c r="BR136" s="731"/>
      <c r="BS136" s="731"/>
      <c r="BT136" s="731"/>
      <c r="BU136" s="731"/>
      <c r="BV136" s="731"/>
      <c r="BW136" s="731"/>
      <c r="BX136" s="731"/>
      <c r="BY136" s="731"/>
      <c r="BZ136" s="731">
        <v>1500</v>
      </c>
      <c r="CA136" s="718">
        <f t="shared" si="149"/>
        <v>5632.0884</v>
      </c>
      <c r="CB136" s="735"/>
      <c r="CC136" s="731">
        <v>34476.21</v>
      </c>
      <c r="CD136" s="702">
        <f t="shared" si="178"/>
        <v>281604.42</v>
      </c>
      <c r="CE136" s="731">
        <f t="shared" si="181"/>
        <v>152037.890266667</v>
      </c>
      <c r="CF136" s="739">
        <f t="shared" si="179"/>
        <v>129566.529733333</v>
      </c>
      <c r="CG136" s="742">
        <f t="shared" si="159"/>
        <v>152037.890266667</v>
      </c>
      <c r="CH136" s="743" t="e">
        <f>'[6]JACKSON AKPOJARO '!C271*12</f>
        <v>#REF!</v>
      </c>
      <c r="CI136" s="744" t="e">
        <f t="shared" si="106"/>
        <v>#REF!</v>
      </c>
      <c r="CJ136" s="745">
        <f t="shared" ref="CJ136:CJ144" si="182">CB136*12</f>
        <v>0</v>
      </c>
      <c r="CK136" s="748" t="e">
        <f t="shared" si="107"/>
        <v>#REF!</v>
      </c>
      <c r="CL136" s="749" t="e">
        <f t="shared" si="108"/>
        <v>#REF!</v>
      </c>
      <c r="CM136" s="744"/>
      <c r="CN136" s="745" t="e">
        <f t="shared" si="109"/>
        <v>#REF!</v>
      </c>
      <c r="CO136" s="745" t="e">
        <f t="shared" si="110"/>
        <v>#REF!</v>
      </c>
      <c r="CP136" s="745" t="e">
        <f t="shared" si="111"/>
        <v>#REF!</v>
      </c>
      <c r="CQ136" s="745" t="e">
        <f t="shared" si="112"/>
        <v>#REF!</v>
      </c>
      <c r="CR136" s="745" t="e">
        <f t="shared" si="113"/>
        <v>#REF!</v>
      </c>
      <c r="CS136" s="745" t="e">
        <f t="shared" si="114"/>
        <v>#REF!</v>
      </c>
      <c r="CT136" s="754" t="e">
        <f t="shared" ref="CT136:CT144" si="183">1%*CH136</f>
        <v>#REF!</v>
      </c>
      <c r="CU136" s="755" t="e">
        <f t="shared" ref="CU136:CU144" si="184">MAX(CT136:CT136)</f>
        <v>#REF!</v>
      </c>
      <c r="CV136" s="756">
        <f>CC136</f>
        <v>34476.21</v>
      </c>
      <c r="CW136" s="757"/>
      <c r="CX136" s="758"/>
      <c r="CY136" s="759"/>
      <c r="CZ136" s="760"/>
      <c r="DA136" s="767"/>
    </row>
    <row r="137" ht="236" customHeight="1" spans="1:105">
      <c r="A137" s="675">
        <v>460</v>
      </c>
      <c r="B137" s="676" t="s">
        <v>1108</v>
      </c>
      <c r="C137" s="677" t="s">
        <v>1527</v>
      </c>
      <c r="D137" s="677" t="s">
        <v>1675</v>
      </c>
      <c r="E137" s="677" t="s">
        <v>873</v>
      </c>
      <c r="F137" s="1452" t="s">
        <v>1109</v>
      </c>
      <c r="G137" s="677" t="s">
        <v>1642</v>
      </c>
      <c r="H137" s="679"/>
      <c r="I137" s="681" t="s">
        <v>127</v>
      </c>
      <c r="J137" s="686" t="s">
        <v>1109</v>
      </c>
      <c r="K137" s="785" t="str">
        <f>'[5] NON-TEACHING STAFF'!$J$115</f>
        <v>22334743213</v>
      </c>
      <c r="L137" s="688">
        <f>L136</f>
        <v>1857913</v>
      </c>
      <c r="M137" s="688" t="e">
        <f>S137-#REF!</f>
        <v>#REF!</v>
      </c>
      <c r="N137" s="689">
        <v>1912620</v>
      </c>
      <c r="O137" s="689">
        <v>159385</v>
      </c>
      <c r="P137" s="689"/>
      <c r="Q137" s="689">
        <v>39846.25</v>
      </c>
      <c r="R137" s="689">
        <v>30000</v>
      </c>
      <c r="S137" s="689">
        <v>251604.42</v>
      </c>
      <c r="T137" s="689"/>
      <c r="U137" s="689"/>
      <c r="V137" s="689"/>
      <c r="W137" s="689"/>
      <c r="X137" s="689"/>
      <c r="Y137" s="689"/>
      <c r="Z137" s="689"/>
      <c r="AA137" s="689"/>
      <c r="AB137" s="689">
        <v>25000</v>
      </c>
      <c r="AC137" s="689">
        <v>2500</v>
      </c>
      <c r="AD137" s="689"/>
      <c r="AE137" s="689"/>
      <c r="AF137" s="689"/>
      <c r="AG137" s="689"/>
      <c r="AH137" s="689"/>
      <c r="AI137" s="689"/>
      <c r="AJ137" s="689">
        <v>2500</v>
      </c>
      <c r="AK137" s="689"/>
      <c r="AL137" s="689">
        <v>383.33</v>
      </c>
      <c r="AM137" s="689"/>
      <c r="AN137" s="689"/>
      <c r="AO137" s="689"/>
      <c r="AP137" s="689"/>
      <c r="AQ137" s="689"/>
      <c r="AR137" s="689"/>
      <c r="AS137" s="689"/>
      <c r="AT137" s="689"/>
      <c r="AU137" s="689">
        <f t="shared" si="180"/>
        <v>10064.1768</v>
      </c>
      <c r="AV137" s="689"/>
      <c r="AW137" s="689">
        <v>2000</v>
      </c>
      <c r="AX137" s="718">
        <f t="shared" si="101"/>
        <v>5032.0884</v>
      </c>
      <c r="AY137" s="718"/>
      <c r="AZ137" s="718"/>
      <c r="BA137" s="689"/>
      <c r="BB137" s="689"/>
      <c r="BC137" s="689"/>
      <c r="BD137" s="719"/>
      <c r="BE137" s="719"/>
      <c r="BF137" s="689"/>
      <c r="BG137" s="689"/>
      <c r="BH137" s="727"/>
      <c r="BI137" s="689"/>
      <c r="BJ137" s="689"/>
      <c r="BK137" s="689"/>
      <c r="BL137" s="689">
        <v>10000</v>
      </c>
      <c r="BM137" s="689"/>
      <c r="BN137" s="689"/>
      <c r="BO137" s="689">
        <v>63125</v>
      </c>
      <c r="BP137" s="689"/>
      <c r="BQ137" s="689"/>
      <c r="BR137" s="731"/>
      <c r="BS137" s="731"/>
      <c r="BT137" s="731"/>
      <c r="BU137" s="731"/>
      <c r="BV137" s="731"/>
      <c r="BW137" s="731"/>
      <c r="BX137" s="731">
        <v>5000</v>
      </c>
      <c r="BY137" s="731">
        <v>2000</v>
      </c>
      <c r="BZ137" s="731">
        <v>1500</v>
      </c>
      <c r="CA137" s="718">
        <f t="shared" si="149"/>
        <v>5632.0884</v>
      </c>
      <c r="CB137" s="735"/>
      <c r="CC137" s="731">
        <v>34476.21</v>
      </c>
      <c r="CD137" s="702">
        <f t="shared" si="178"/>
        <v>281604.42</v>
      </c>
      <c r="CE137" s="731">
        <f t="shared" si="181"/>
        <v>138829.5636</v>
      </c>
      <c r="CF137" s="739">
        <f t="shared" si="179"/>
        <v>142774.8564</v>
      </c>
      <c r="CG137" s="742">
        <f t="shared" si="159"/>
        <v>138829.5636</v>
      </c>
      <c r="CH137" s="743" t="e">
        <f>'[6]JACKSON AKPOJARO '!C272*12</f>
        <v>#REF!</v>
      </c>
      <c r="CI137" s="744" t="e">
        <f t="shared" si="106"/>
        <v>#REF!</v>
      </c>
      <c r="CJ137" s="745">
        <f t="shared" si="182"/>
        <v>0</v>
      </c>
      <c r="CK137" s="748" t="e">
        <f t="shared" si="107"/>
        <v>#REF!</v>
      </c>
      <c r="CL137" s="749" t="e">
        <f t="shared" si="108"/>
        <v>#REF!</v>
      </c>
      <c r="CM137" s="744"/>
      <c r="CN137" s="745" t="e">
        <f t="shared" si="109"/>
        <v>#REF!</v>
      </c>
      <c r="CO137" s="745" t="e">
        <f t="shared" si="110"/>
        <v>#REF!</v>
      </c>
      <c r="CP137" s="745" t="e">
        <f t="shared" si="111"/>
        <v>#REF!</v>
      </c>
      <c r="CQ137" s="745" t="e">
        <f t="shared" si="112"/>
        <v>#REF!</v>
      </c>
      <c r="CR137" s="745" t="e">
        <f t="shared" si="113"/>
        <v>#REF!</v>
      </c>
      <c r="CS137" s="745" t="e">
        <f t="shared" si="114"/>
        <v>#REF!</v>
      </c>
      <c r="CT137" s="754" t="e">
        <f t="shared" si="183"/>
        <v>#REF!</v>
      </c>
      <c r="CU137" s="755" t="e">
        <f t="shared" si="184"/>
        <v>#REF!</v>
      </c>
      <c r="CV137" s="756">
        <f>CC137</f>
        <v>34476.21</v>
      </c>
      <c r="CW137" s="757"/>
      <c r="CX137" s="758"/>
      <c r="CY137" s="759"/>
      <c r="CZ137" s="760"/>
      <c r="DA137" s="767"/>
    </row>
    <row r="138" ht="236" customHeight="1" spans="1:106">
      <c r="A138" s="673">
        <v>461</v>
      </c>
      <c r="B138" s="676" t="s">
        <v>1110</v>
      </c>
      <c r="C138" s="677" t="s">
        <v>1676</v>
      </c>
      <c r="D138" s="677" t="s">
        <v>1572</v>
      </c>
      <c r="E138" s="677" t="s">
        <v>549</v>
      </c>
      <c r="F138" s="1452" t="s">
        <v>1111</v>
      </c>
      <c r="G138" s="677" t="s">
        <v>1531</v>
      </c>
      <c r="H138" s="679"/>
      <c r="I138" s="681" t="s">
        <v>354</v>
      </c>
      <c r="J138" s="686">
        <v>6039577894</v>
      </c>
      <c r="K138" s="687" t="str">
        <f>'[5] NON-TEACHING STAFF'!$J$116</f>
        <v>22234176949</v>
      </c>
      <c r="L138" s="688">
        <v>1599686</v>
      </c>
      <c r="M138" s="688" t="e">
        <f>S138-#REF!</f>
        <v>#REF!</v>
      </c>
      <c r="N138" s="689">
        <f>S138*12</f>
        <v>2499729</v>
      </c>
      <c r="O138" s="689">
        <v>138452.75</v>
      </c>
      <c r="P138" s="689"/>
      <c r="Q138" s="689">
        <v>34613.1875</v>
      </c>
      <c r="R138" s="689">
        <v>30000</v>
      </c>
      <c r="S138" s="689">
        <v>208310.75</v>
      </c>
      <c r="T138" s="689"/>
      <c r="U138" s="689"/>
      <c r="V138" s="689"/>
      <c r="W138" s="689"/>
      <c r="X138" s="689"/>
      <c r="Y138" s="689"/>
      <c r="Z138" s="689"/>
      <c r="AA138" s="689"/>
      <c r="AB138" s="689"/>
      <c r="AC138" s="689">
        <v>2500</v>
      </c>
      <c r="AD138" s="689"/>
      <c r="AE138" s="689"/>
      <c r="AF138" s="689"/>
      <c r="AG138" s="689"/>
      <c r="AH138" s="689"/>
      <c r="AI138" s="689"/>
      <c r="AJ138" s="689">
        <v>2500</v>
      </c>
      <c r="AK138" s="689"/>
      <c r="AL138" s="689">
        <v>383.33</v>
      </c>
      <c r="AM138" s="689"/>
      <c r="AN138" s="689"/>
      <c r="AO138" s="689"/>
      <c r="AP138" s="689"/>
      <c r="AQ138" s="689"/>
      <c r="AR138" s="689"/>
      <c r="AS138" s="689"/>
      <c r="AT138" s="689"/>
      <c r="AU138" s="689">
        <f t="shared" si="180"/>
        <v>8332.43</v>
      </c>
      <c r="AV138" s="689"/>
      <c r="AW138" s="689"/>
      <c r="AX138" s="718">
        <f t="shared" si="101"/>
        <v>4166.215</v>
      </c>
      <c r="AY138" s="718"/>
      <c r="AZ138" s="718"/>
      <c r="BA138" s="689"/>
      <c r="BB138" s="689"/>
      <c r="BC138" s="689"/>
      <c r="BD138" s="719"/>
      <c r="BE138" s="719"/>
      <c r="BF138" s="689"/>
      <c r="BG138" s="689"/>
      <c r="BH138" s="727"/>
      <c r="BI138" s="689"/>
      <c r="BJ138" s="689"/>
      <c r="BK138" s="689">
        <f>'[8]TEACHING STAFF'!$AU$129</f>
        <v>0</v>
      </c>
      <c r="BL138" s="689"/>
      <c r="BM138" s="689"/>
      <c r="BN138" s="689"/>
      <c r="BO138" s="689">
        <v>35000</v>
      </c>
      <c r="BP138" s="689"/>
      <c r="BQ138" s="689"/>
      <c r="BR138" s="731"/>
      <c r="BS138" s="731"/>
      <c r="BT138" s="731"/>
      <c r="BU138" s="731"/>
      <c r="BV138" s="731">
        <v>1250</v>
      </c>
      <c r="BW138" s="731"/>
      <c r="BX138" s="731"/>
      <c r="BY138" s="731"/>
      <c r="BZ138" s="731">
        <v>1000</v>
      </c>
      <c r="CA138" s="718">
        <f t="shared" si="149"/>
        <v>4266.215</v>
      </c>
      <c r="CB138" s="735"/>
      <c r="CC138" s="731">
        <v>23002.87</v>
      </c>
      <c r="CD138" s="702">
        <f t="shared" si="178"/>
        <v>213310.75</v>
      </c>
      <c r="CE138" s="731">
        <f t="shared" si="181"/>
        <v>77017.73</v>
      </c>
      <c r="CF138" s="739">
        <f t="shared" si="179"/>
        <v>136293.02</v>
      </c>
      <c r="CG138" s="742">
        <f t="shared" si="159"/>
        <v>77017.73</v>
      </c>
      <c r="CH138" s="743" t="e">
        <f>'[6]JACKSON AKPOJARO '!C273*12</f>
        <v>#REF!</v>
      </c>
      <c r="CI138" s="744" t="e">
        <f t="shared" si="106"/>
        <v>#REF!</v>
      </c>
      <c r="CJ138" s="745">
        <f t="shared" si="182"/>
        <v>0</v>
      </c>
      <c r="CK138" s="748" t="e">
        <f t="shared" si="107"/>
        <v>#REF!</v>
      </c>
      <c r="CL138" s="749" t="e">
        <f t="shared" si="108"/>
        <v>#REF!</v>
      </c>
      <c r="CM138" s="744"/>
      <c r="CN138" s="745" t="e">
        <f t="shared" si="109"/>
        <v>#REF!</v>
      </c>
      <c r="CO138" s="745" t="e">
        <f t="shared" si="110"/>
        <v>#REF!</v>
      </c>
      <c r="CP138" s="745" t="e">
        <f t="shared" si="111"/>
        <v>#REF!</v>
      </c>
      <c r="CQ138" s="745" t="e">
        <f t="shared" si="112"/>
        <v>#REF!</v>
      </c>
      <c r="CR138" s="745" t="e">
        <f t="shared" si="113"/>
        <v>#REF!</v>
      </c>
      <c r="CS138" s="745" t="e">
        <f t="shared" si="114"/>
        <v>#REF!</v>
      </c>
      <c r="CT138" s="754" t="e">
        <f t="shared" si="183"/>
        <v>#REF!</v>
      </c>
      <c r="CU138" s="755" t="e">
        <f t="shared" si="184"/>
        <v>#REF!</v>
      </c>
      <c r="CV138" s="756">
        <f>CC138</f>
        <v>23002.87</v>
      </c>
      <c r="CW138" s="757"/>
      <c r="CX138" s="758"/>
      <c r="CY138" s="759"/>
      <c r="CZ138" s="760"/>
      <c r="DA138" s="767"/>
      <c r="DB138" s="770"/>
    </row>
    <row r="139" ht="236" customHeight="1" spans="1:105">
      <c r="A139" s="675">
        <v>462</v>
      </c>
      <c r="B139" s="676" t="s">
        <v>1112</v>
      </c>
      <c r="C139" s="677" t="s">
        <v>1533</v>
      </c>
      <c r="D139" s="677" t="s">
        <v>1613</v>
      </c>
      <c r="E139" s="677" t="s">
        <v>165</v>
      </c>
      <c r="F139" s="677" t="s">
        <v>1113</v>
      </c>
      <c r="G139" s="677" t="s">
        <v>1602</v>
      </c>
      <c r="H139" s="679"/>
      <c r="I139" s="681" t="s">
        <v>165</v>
      </c>
      <c r="J139" s="686">
        <v>2088149231</v>
      </c>
      <c r="K139" s="687">
        <f>'[5] NON-TEACHING STAFF'!$J$117</f>
        <v>22230973859</v>
      </c>
      <c r="L139" s="688">
        <v>477777</v>
      </c>
      <c r="M139" s="688" t="e">
        <f>S139-#REF!</f>
        <v>#REF!</v>
      </c>
      <c r="N139" s="689">
        <v>477777</v>
      </c>
      <c r="O139" s="689">
        <v>38620.42</v>
      </c>
      <c r="P139" s="689"/>
      <c r="Q139" s="689">
        <v>9655.105</v>
      </c>
      <c r="R139" s="689">
        <v>42499.98</v>
      </c>
      <c r="S139" s="689">
        <v>93794.83</v>
      </c>
      <c r="T139" s="689">
        <f>S139*0.11</f>
        <v>10317.4313</v>
      </c>
      <c r="U139" s="689"/>
      <c r="V139" s="689"/>
      <c r="W139" s="689"/>
      <c r="X139" s="689"/>
      <c r="Y139" s="689"/>
      <c r="Z139" s="689"/>
      <c r="AA139" s="689"/>
      <c r="AB139" s="689"/>
      <c r="AC139" s="689">
        <v>2500</v>
      </c>
      <c r="AD139" s="689"/>
      <c r="AE139" s="689"/>
      <c r="AF139" s="689"/>
      <c r="AG139" s="689"/>
      <c r="AH139" s="689"/>
      <c r="AI139" s="689"/>
      <c r="AJ139" s="689">
        <v>2500</v>
      </c>
      <c r="AK139" s="689"/>
      <c r="AL139" s="689">
        <v>383.33</v>
      </c>
      <c r="AM139" s="689"/>
      <c r="AN139" s="689"/>
      <c r="AO139" s="689"/>
      <c r="AP139" s="689"/>
      <c r="AQ139" s="689"/>
      <c r="AR139" s="689"/>
      <c r="AS139" s="689"/>
      <c r="AT139" s="689"/>
      <c r="AU139" s="689">
        <f t="shared" ref="AU139:AU158" si="185">S139*0.03</f>
        <v>2813.8449</v>
      </c>
      <c r="AV139" s="689"/>
      <c r="AW139" s="689"/>
      <c r="AX139" s="718">
        <f t="shared" si="101"/>
        <v>1875.8966</v>
      </c>
      <c r="AY139" s="718"/>
      <c r="AZ139" s="718"/>
      <c r="BA139" s="689"/>
      <c r="BB139" s="689"/>
      <c r="BC139" s="689"/>
      <c r="BD139" s="719"/>
      <c r="BE139" s="719">
        <f t="shared" ref="BE139:BE197" si="186">S139*0.03</f>
        <v>2813.8449</v>
      </c>
      <c r="BF139" s="689"/>
      <c r="BG139" s="689"/>
      <c r="BH139" s="727"/>
      <c r="BI139" s="689"/>
      <c r="BJ139" s="689"/>
      <c r="BK139" s="689"/>
      <c r="BL139" s="689"/>
      <c r="BM139" s="689"/>
      <c r="BN139" s="689"/>
      <c r="BO139" s="689">
        <v>0</v>
      </c>
      <c r="BP139" s="689"/>
      <c r="BQ139" s="689"/>
      <c r="BR139" s="731"/>
      <c r="BS139" s="731"/>
      <c r="BT139" s="731"/>
      <c r="BU139" s="731"/>
      <c r="BV139" s="731"/>
      <c r="BW139" s="731"/>
      <c r="BX139" s="731"/>
      <c r="BY139" s="731"/>
      <c r="BZ139" s="731">
        <v>500</v>
      </c>
      <c r="CA139" s="718">
        <f t="shared" si="149"/>
        <v>2182.245226</v>
      </c>
      <c r="CB139" s="735"/>
      <c r="CC139" s="731">
        <v>7593.47</v>
      </c>
      <c r="CD139" s="702">
        <f t="shared" si="178"/>
        <v>109112.2613</v>
      </c>
      <c r="CE139" s="731">
        <f t="shared" si="181"/>
        <v>17779.301626</v>
      </c>
      <c r="CF139" s="739">
        <f t="shared" si="179"/>
        <v>91332.959674</v>
      </c>
      <c r="CG139" s="742">
        <f t="shared" si="159"/>
        <v>17779.301626</v>
      </c>
      <c r="CH139" s="743" t="e">
        <f>'[6]JACKSON AKPOJARO '!C274*12</f>
        <v>#REF!</v>
      </c>
      <c r="CI139" s="744" t="e">
        <f t="shared" si="106"/>
        <v>#REF!</v>
      </c>
      <c r="CJ139" s="745">
        <f t="shared" si="182"/>
        <v>0</v>
      </c>
      <c r="CK139" s="748" t="e">
        <f t="shared" si="107"/>
        <v>#REF!</v>
      </c>
      <c r="CL139" s="749" t="e">
        <f t="shared" si="108"/>
        <v>#REF!</v>
      </c>
      <c r="CM139" s="744"/>
      <c r="CN139" s="745" t="e">
        <f t="shared" si="109"/>
        <v>#REF!</v>
      </c>
      <c r="CO139" s="745" t="e">
        <f t="shared" si="110"/>
        <v>#REF!</v>
      </c>
      <c r="CP139" s="745" t="e">
        <f t="shared" si="111"/>
        <v>#REF!</v>
      </c>
      <c r="CQ139" s="745" t="e">
        <f t="shared" si="112"/>
        <v>#REF!</v>
      </c>
      <c r="CR139" s="745" t="e">
        <f t="shared" si="113"/>
        <v>#REF!</v>
      </c>
      <c r="CS139" s="745" t="e">
        <f t="shared" si="114"/>
        <v>#REF!</v>
      </c>
      <c r="CT139" s="754" t="e">
        <f t="shared" si="183"/>
        <v>#REF!</v>
      </c>
      <c r="CU139" s="755" t="e">
        <f t="shared" si="184"/>
        <v>#REF!</v>
      </c>
      <c r="CV139" s="756">
        <f>CC139</f>
        <v>7593.47</v>
      </c>
      <c r="CW139" s="757"/>
      <c r="CX139" s="758"/>
      <c r="CY139" s="759"/>
      <c r="CZ139" s="760"/>
      <c r="DA139" s="767"/>
    </row>
    <row r="140" ht="236" customHeight="1" spans="1:105">
      <c r="A140" s="673">
        <v>463</v>
      </c>
      <c r="B140" s="676" t="s">
        <v>1114</v>
      </c>
      <c r="C140" s="677" t="s">
        <v>1533</v>
      </c>
      <c r="D140" s="677" t="s">
        <v>1677</v>
      </c>
      <c r="E140" s="677" t="s">
        <v>93</v>
      </c>
      <c r="F140" s="677" t="s">
        <v>1115</v>
      </c>
      <c r="G140" s="677" t="s">
        <v>1590</v>
      </c>
      <c r="H140" s="679"/>
      <c r="I140" s="681" t="s">
        <v>93</v>
      </c>
      <c r="J140" s="686">
        <v>3130986691</v>
      </c>
      <c r="K140" s="687" t="str">
        <f>'[5] NON-TEACHING STAFF'!$J$118</f>
        <v>22272026214</v>
      </c>
      <c r="L140" s="688">
        <v>508441</v>
      </c>
      <c r="M140" s="688" t="e">
        <f>S140-#REF!</f>
        <v>#REF!</v>
      </c>
      <c r="N140" s="689">
        <v>551360</v>
      </c>
      <c r="O140" s="689">
        <v>45946.6666666667</v>
      </c>
      <c r="P140" s="689"/>
      <c r="Q140" s="689">
        <v>11486.6666666667</v>
      </c>
      <c r="R140" s="689">
        <v>63561.4966666667</v>
      </c>
      <c r="S140" s="689">
        <v>124335.5</v>
      </c>
      <c r="T140" s="689"/>
      <c r="U140" s="689"/>
      <c r="V140" s="689"/>
      <c r="W140" s="689"/>
      <c r="X140" s="689"/>
      <c r="Y140" s="689"/>
      <c r="Z140" s="689"/>
      <c r="AA140" s="689"/>
      <c r="AB140" s="689"/>
      <c r="AC140" s="689">
        <v>2500</v>
      </c>
      <c r="AD140" s="689"/>
      <c r="AE140" s="689"/>
      <c r="AF140" s="689"/>
      <c r="AG140" s="689"/>
      <c r="AH140" s="689">
        <v>23000</v>
      </c>
      <c r="AI140" s="689"/>
      <c r="AJ140" s="689">
        <v>2500</v>
      </c>
      <c r="AK140" s="689"/>
      <c r="AL140" s="689">
        <v>383.33</v>
      </c>
      <c r="AM140" s="689"/>
      <c r="AN140" s="689"/>
      <c r="AO140" s="689"/>
      <c r="AP140" s="689"/>
      <c r="AQ140" s="689"/>
      <c r="AR140" s="689"/>
      <c r="AS140" s="689"/>
      <c r="AT140" s="689"/>
      <c r="AU140" s="689">
        <f t="shared" si="185"/>
        <v>3730.065</v>
      </c>
      <c r="AV140" s="689"/>
      <c r="AW140" s="689"/>
      <c r="AX140" s="718"/>
      <c r="AY140" s="718"/>
      <c r="AZ140" s="718"/>
      <c r="BA140" s="689"/>
      <c r="BB140" s="689"/>
      <c r="BC140" s="689"/>
      <c r="BD140" s="719"/>
      <c r="BE140" s="719">
        <f t="shared" si="186"/>
        <v>3730.065</v>
      </c>
      <c r="BF140" s="689"/>
      <c r="BG140" s="689"/>
      <c r="BH140" s="727"/>
      <c r="BI140" s="689"/>
      <c r="BJ140" s="689"/>
      <c r="BK140" s="689"/>
      <c r="BL140" s="689"/>
      <c r="BM140" s="689"/>
      <c r="BN140" s="689"/>
      <c r="BO140" s="741">
        <v>26667</v>
      </c>
      <c r="BP140" s="741"/>
      <c r="BQ140" s="689"/>
      <c r="BR140" s="731"/>
      <c r="BS140" s="731"/>
      <c r="BT140" s="731"/>
      <c r="BU140" s="731"/>
      <c r="BV140" s="731"/>
      <c r="BW140" s="731"/>
      <c r="BX140" s="731">
        <v>5000</v>
      </c>
      <c r="BY140" s="731"/>
      <c r="BZ140" s="731">
        <v>500</v>
      </c>
      <c r="CA140" s="718">
        <f t="shared" si="149"/>
        <v>3046.71</v>
      </c>
      <c r="CB140" s="735"/>
      <c r="CC140" s="731">
        <v>13321.66</v>
      </c>
      <c r="CD140" s="702">
        <f t="shared" si="178"/>
        <v>152335.5</v>
      </c>
      <c r="CE140" s="731">
        <f t="shared" si="181"/>
        <v>55995.5</v>
      </c>
      <c r="CF140" s="739">
        <f t="shared" si="179"/>
        <v>96340</v>
      </c>
      <c r="CG140" s="742">
        <f t="shared" si="159"/>
        <v>55995.5</v>
      </c>
      <c r="CH140" s="743" t="e">
        <f>'[6]JACKSON AKPOJARO '!C275*12</f>
        <v>#REF!</v>
      </c>
      <c r="CI140" s="744" t="e">
        <f t="shared" si="106"/>
        <v>#REF!</v>
      </c>
      <c r="CJ140" s="745">
        <f t="shared" si="182"/>
        <v>0</v>
      </c>
      <c r="CK140" s="748" t="e">
        <f t="shared" si="107"/>
        <v>#REF!</v>
      </c>
      <c r="CL140" s="749" t="e">
        <f t="shared" si="108"/>
        <v>#REF!</v>
      </c>
      <c r="CM140" s="744"/>
      <c r="CN140" s="745" t="e">
        <f t="shared" si="109"/>
        <v>#REF!</v>
      </c>
      <c r="CO140" s="745" t="e">
        <f t="shared" si="110"/>
        <v>#REF!</v>
      </c>
      <c r="CP140" s="745" t="e">
        <f t="shared" si="111"/>
        <v>#REF!</v>
      </c>
      <c r="CQ140" s="745" t="e">
        <f t="shared" si="112"/>
        <v>#REF!</v>
      </c>
      <c r="CR140" s="745" t="e">
        <f t="shared" si="113"/>
        <v>#REF!</v>
      </c>
      <c r="CS140" s="745" t="e">
        <f t="shared" si="114"/>
        <v>#REF!</v>
      </c>
      <c r="CT140" s="754" t="e">
        <f t="shared" si="183"/>
        <v>#REF!</v>
      </c>
      <c r="CU140" s="755" t="e">
        <f t="shared" si="184"/>
        <v>#REF!</v>
      </c>
      <c r="CV140" s="756">
        <v>1927.27</v>
      </c>
      <c r="CW140" s="757"/>
      <c r="CX140" s="758"/>
      <c r="CY140" s="759"/>
      <c r="CZ140" s="760"/>
      <c r="DA140" s="767"/>
    </row>
    <row r="141" ht="236" customHeight="1" spans="1:105">
      <c r="A141" s="675">
        <v>464</v>
      </c>
      <c r="B141" s="676" t="s">
        <v>1116</v>
      </c>
      <c r="C141" s="677" t="s">
        <v>1533</v>
      </c>
      <c r="D141" s="677" t="s">
        <v>1677</v>
      </c>
      <c r="E141" s="677" t="s">
        <v>313</v>
      </c>
      <c r="F141" s="677" t="s">
        <v>1117</v>
      </c>
      <c r="G141" s="677" t="s">
        <v>1590</v>
      </c>
      <c r="H141" s="679"/>
      <c r="I141" s="33" t="s">
        <v>313</v>
      </c>
      <c r="J141" s="33">
        <v>1583600019</v>
      </c>
      <c r="K141" s="687" t="str">
        <f>'[5] NON-TEACHING STAFF'!$J$119</f>
        <v>22184870709</v>
      </c>
      <c r="L141" s="688">
        <v>508441</v>
      </c>
      <c r="M141" s="688" t="e">
        <f>S141-#REF!</f>
        <v>#REF!</v>
      </c>
      <c r="N141" s="689">
        <v>533895</v>
      </c>
      <c r="O141" s="689">
        <v>45946.6666666667</v>
      </c>
      <c r="P141" s="689"/>
      <c r="Q141" s="689">
        <v>11486.6666666667</v>
      </c>
      <c r="R141" s="689">
        <v>63561.4966666667</v>
      </c>
      <c r="S141" s="689">
        <v>124335.5</v>
      </c>
      <c r="T141" s="689"/>
      <c r="U141" s="689"/>
      <c r="V141" s="689"/>
      <c r="W141" s="689"/>
      <c r="X141" s="689"/>
      <c r="Y141" s="689"/>
      <c r="Z141" s="689"/>
      <c r="AA141" s="689"/>
      <c r="AB141" s="689"/>
      <c r="AC141" s="689">
        <v>2500</v>
      </c>
      <c r="AD141" s="689"/>
      <c r="AE141" s="689"/>
      <c r="AF141" s="689"/>
      <c r="AG141" s="689"/>
      <c r="AH141" s="689">
        <v>23000</v>
      </c>
      <c r="AI141" s="689"/>
      <c r="AJ141" s="689">
        <v>2500</v>
      </c>
      <c r="AK141" s="689"/>
      <c r="AL141" s="689">
        <v>383.33</v>
      </c>
      <c r="AM141" s="689"/>
      <c r="AN141" s="689"/>
      <c r="AO141" s="689"/>
      <c r="AP141" s="689"/>
      <c r="AQ141" s="689"/>
      <c r="AR141" s="689"/>
      <c r="AS141" s="689"/>
      <c r="AT141" s="689"/>
      <c r="AU141" s="689">
        <f t="shared" si="185"/>
        <v>3730.065</v>
      </c>
      <c r="AV141" s="689"/>
      <c r="AW141" s="689"/>
      <c r="AX141" s="718"/>
      <c r="AY141" s="718"/>
      <c r="AZ141" s="718"/>
      <c r="BA141" s="689"/>
      <c r="BB141" s="689">
        <v>5000</v>
      </c>
      <c r="BC141" s="689"/>
      <c r="BD141" s="719"/>
      <c r="BE141" s="719">
        <f t="shared" si="186"/>
        <v>3730.065</v>
      </c>
      <c r="BF141" s="689"/>
      <c r="BG141" s="689"/>
      <c r="BH141" s="727"/>
      <c r="BI141" s="689"/>
      <c r="BJ141" s="689"/>
      <c r="BK141" s="689"/>
      <c r="BL141" s="689"/>
      <c r="BM141" s="689"/>
      <c r="BN141" s="689"/>
      <c r="BO141" s="689">
        <v>36334</v>
      </c>
      <c r="BP141" s="689"/>
      <c r="BQ141" s="689"/>
      <c r="BR141" s="731"/>
      <c r="BS141" s="731"/>
      <c r="BT141" s="731"/>
      <c r="BU141" s="731"/>
      <c r="BV141" s="731"/>
      <c r="BW141" s="731"/>
      <c r="BX141" s="731">
        <v>5000</v>
      </c>
      <c r="BY141" s="731"/>
      <c r="BZ141" s="731">
        <v>500</v>
      </c>
      <c r="CA141" s="718">
        <f t="shared" si="149"/>
        <v>3046.71</v>
      </c>
      <c r="CB141" s="735"/>
      <c r="CC141" s="731">
        <v>13321.66</v>
      </c>
      <c r="CD141" s="702">
        <f t="shared" si="178"/>
        <v>152335.5</v>
      </c>
      <c r="CE141" s="731">
        <f t="shared" si="181"/>
        <v>70662.5</v>
      </c>
      <c r="CF141" s="739">
        <f t="shared" si="179"/>
        <v>81673</v>
      </c>
      <c r="CG141" s="742">
        <f t="shared" si="159"/>
        <v>70662.5</v>
      </c>
      <c r="CH141" s="743" t="e">
        <f>'[6]JACKSON AKPOJARO '!C276*12</f>
        <v>#REF!</v>
      </c>
      <c r="CI141" s="744" t="e">
        <f t="shared" si="106"/>
        <v>#REF!</v>
      </c>
      <c r="CJ141" s="745">
        <f t="shared" si="182"/>
        <v>0</v>
      </c>
      <c r="CK141" s="748" t="e">
        <f t="shared" si="107"/>
        <v>#REF!</v>
      </c>
      <c r="CL141" s="749" t="e">
        <f t="shared" si="108"/>
        <v>#REF!</v>
      </c>
      <c r="CM141" s="744"/>
      <c r="CN141" s="745" t="e">
        <f t="shared" si="109"/>
        <v>#REF!</v>
      </c>
      <c r="CO141" s="745" t="e">
        <f t="shared" si="110"/>
        <v>#REF!</v>
      </c>
      <c r="CP141" s="745" t="e">
        <f t="shared" si="111"/>
        <v>#REF!</v>
      </c>
      <c r="CQ141" s="745" t="e">
        <f t="shared" si="112"/>
        <v>#REF!</v>
      </c>
      <c r="CR141" s="745" t="e">
        <f t="shared" si="113"/>
        <v>#REF!</v>
      </c>
      <c r="CS141" s="745" t="e">
        <f t="shared" si="114"/>
        <v>#REF!</v>
      </c>
      <c r="CT141" s="754" t="e">
        <f t="shared" si="183"/>
        <v>#REF!</v>
      </c>
      <c r="CU141" s="755" t="e">
        <f t="shared" si="184"/>
        <v>#REF!</v>
      </c>
      <c r="CV141" s="756">
        <f>CC141</f>
        <v>13321.66</v>
      </c>
      <c r="CW141" s="757"/>
      <c r="CX141" s="758"/>
      <c r="CY141" s="759"/>
      <c r="CZ141" s="760"/>
      <c r="DA141" s="767"/>
    </row>
    <row r="142" ht="236" customHeight="1" spans="1:105">
      <c r="A142" s="673">
        <v>465</v>
      </c>
      <c r="B142" s="676" t="s">
        <v>1118</v>
      </c>
      <c r="C142" s="677" t="s">
        <v>1527</v>
      </c>
      <c r="D142" s="677" t="s">
        <v>1678</v>
      </c>
      <c r="E142" s="677" t="s">
        <v>165</v>
      </c>
      <c r="F142" s="677" t="s">
        <v>1119</v>
      </c>
      <c r="G142" s="677" t="s">
        <v>1602</v>
      </c>
      <c r="H142" s="679"/>
      <c r="I142" s="681" t="s">
        <v>135</v>
      </c>
      <c r="J142" s="686" t="s">
        <v>1679</v>
      </c>
      <c r="K142" s="687">
        <f>'[5] NON-TEACHING STAFF'!$J$120</f>
        <v>22297237145</v>
      </c>
      <c r="L142" s="688">
        <v>449113</v>
      </c>
      <c r="M142" s="688" t="e">
        <f>S142-#REF!</f>
        <v>#REF!</v>
      </c>
      <c r="N142" s="689">
        <v>449113</v>
      </c>
      <c r="O142" s="689">
        <v>37426.0833333333</v>
      </c>
      <c r="P142" s="689"/>
      <c r="Q142" s="689">
        <v>9356.52083333333</v>
      </c>
      <c r="R142" s="689">
        <v>42499.98</v>
      </c>
      <c r="S142" s="689">
        <v>93784.83</v>
      </c>
      <c r="T142" s="689">
        <f>S142*0.11</f>
        <v>10316.3313</v>
      </c>
      <c r="U142" s="689"/>
      <c r="V142" s="689"/>
      <c r="W142" s="689"/>
      <c r="X142" s="689"/>
      <c r="Y142" s="689"/>
      <c r="Z142" s="689"/>
      <c r="AA142" s="689"/>
      <c r="AB142" s="689"/>
      <c r="AC142" s="689">
        <v>2500</v>
      </c>
      <c r="AD142" s="689"/>
      <c r="AE142" s="689"/>
      <c r="AF142" s="689"/>
      <c r="AG142" s="689"/>
      <c r="AH142" s="689"/>
      <c r="AI142" s="689"/>
      <c r="AJ142" s="689">
        <v>2500</v>
      </c>
      <c r="AK142" s="689"/>
      <c r="AL142" s="689">
        <v>383.33</v>
      </c>
      <c r="AM142" s="689"/>
      <c r="AN142" s="689"/>
      <c r="AO142" s="689"/>
      <c r="AP142" s="689"/>
      <c r="AQ142" s="689"/>
      <c r="AR142" s="689"/>
      <c r="AS142" s="689"/>
      <c r="AT142" s="689"/>
      <c r="AU142" s="689">
        <f t="shared" si="185"/>
        <v>2813.5449</v>
      </c>
      <c r="AV142" s="689"/>
      <c r="AW142" s="689"/>
      <c r="AX142" s="718"/>
      <c r="AY142" s="718"/>
      <c r="AZ142" s="718"/>
      <c r="BA142" s="689"/>
      <c r="BB142" s="689"/>
      <c r="BC142" s="689"/>
      <c r="BD142" s="719"/>
      <c r="BE142" s="719">
        <f t="shared" si="186"/>
        <v>2813.5449</v>
      </c>
      <c r="BF142" s="689"/>
      <c r="BG142" s="689"/>
      <c r="BH142" s="727"/>
      <c r="BI142" s="689"/>
      <c r="BJ142" s="689"/>
      <c r="BK142" s="689"/>
      <c r="BL142" s="689"/>
      <c r="BM142" s="689"/>
      <c r="BN142" s="689"/>
      <c r="BO142" s="689">
        <v>5000</v>
      </c>
      <c r="BP142" s="689"/>
      <c r="BQ142" s="689"/>
      <c r="BR142" s="731"/>
      <c r="BS142" s="731"/>
      <c r="BT142" s="731"/>
      <c r="BU142" s="731"/>
      <c r="BV142" s="731"/>
      <c r="BW142" s="731"/>
      <c r="BX142" s="731"/>
      <c r="BY142" s="731"/>
      <c r="BZ142" s="731">
        <v>500</v>
      </c>
      <c r="CA142" s="718">
        <f t="shared" si="149"/>
        <v>2182.023226</v>
      </c>
      <c r="CB142" s="735"/>
      <c r="CC142" s="731">
        <v>7592.14</v>
      </c>
      <c r="CD142" s="702">
        <f t="shared" si="178"/>
        <v>109101.1613</v>
      </c>
      <c r="CE142" s="731">
        <f t="shared" si="181"/>
        <v>20901.253026</v>
      </c>
      <c r="CF142" s="739">
        <f t="shared" si="179"/>
        <v>88199.908274</v>
      </c>
      <c r="CG142" s="742">
        <f t="shared" si="159"/>
        <v>20901.253026</v>
      </c>
      <c r="CH142" s="743" t="e">
        <f>'[6]JACKSON AKPOJARO '!C277*12</f>
        <v>#REF!</v>
      </c>
      <c r="CI142" s="744" t="e">
        <f t="shared" si="106"/>
        <v>#REF!</v>
      </c>
      <c r="CJ142" s="745">
        <f t="shared" si="182"/>
        <v>0</v>
      </c>
      <c r="CK142" s="748" t="e">
        <f t="shared" si="107"/>
        <v>#REF!</v>
      </c>
      <c r="CL142" s="749" t="e">
        <f t="shared" si="108"/>
        <v>#REF!</v>
      </c>
      <c r="CM142" s="744"/>
      <c r="CN142" s="745" t="e">
        <f t="shared" si="109"/>
        <v>#REF!</v>
      </c>
      <c r="CO142" s="745" t="e">
        <f t="shared" si="110"/>
        <v>#REF!</v>
      </c>
      <c r="CP142" s="745" t="e">
        <f t="shared" si="111"/>
        <v>#REF!</v>
      </c>
      <c r="CQ142" s="745" t="e">
        <f t="shared" si="112"/>
        <v>#REF!</v>
      </c>
      <c r="CR142" s="745" t="e">
        <f t="shared" si="113"/>
        <v>#REF!</v>
      </c>
      <c r="CS142" s="745" t="e">
        <f t="shared" si="114"/>
        <v>#REF!</v>
      </c>
      <c r="CT142" s="754" t="e">
        <f t="shared" si="183"/>
        <v>#REF!</v>
      </c>
      <c r="CU142" s="755" t="e">
        <f t="shared" si="184"/>
        <v>#REF!</v>
      </c>
      <c r="CV142" s="756">
        <f>CC142</f>
        <v>7592.14</v>
      </c>
      <c r="CW142" s="757"/>
      <c r="CX142" s="758"/>
      <c r="CY142" s="759"/>
      <c r="CZ142" s="760"/>
      <c r="DA142" s="767"/>
    </row>
    <row r="143" ht="236" customHeight="1" spans="1:105">
      <c r="A143" s="675">
        <v>466</v>
      </c>
      <c r="B143" s="676" t="s">
        <v>1120</v>
      </c>
      <c r="C143" s="677" t="s">
        <v>1527</v>
      </c>
      <c r="D143" s="677" t="s">
        <v>1680</v>
      </c>
      <c r="E143" s="677" t="s">
        <v>151</v>
      </c>
      <c r="F143" s="677" t="s">
        <v>1121</v>
      </c>
      <c r="G143" s="677" t="s">
        <v>1575</v>
      </c>
      <c r="H143" s="825" t="s">
        <v>1681</v>
      </c>
      <c r="I143" s="681" t="s">
        <v>93</v>
      </c>
      <c r="J143" s="686" t="s">
        <v>1121</v>
      </c>
      <c r="K143" s="687">
        <f>'[5] NON-TEACHING STAFF'!$J$121</f>
        <v>22337780066</v>
      </c>
      <c r="L143" s="688">
        <v>1343017</v>
      </c>
      <c r="M143" s="688" t="e">
        <f>S143-#REF!</f>
        <v>#REF!</v>
      </c>
      <c r="N143" s="689">
        <v>1385795</v>
      </c>
      <c r="O143" s="689">
        <v>115482.916666667</v>
      </c>
      <c r="P143" s="689"/>
      <c r="Q143" s="689">
        <v>28870.7291666667</v>
      </c>
      <c r="R143" s="689">
        <v>30000</v>
      </c>
      <c r="S143" s="689">
        <v>178809.67</v>
      </c>
      <c r="T143" s="689"/>
      <c r="U143" s="689"/>
      <c r="V143" s="689"/>
      <c r="W143" s="689"/>
      <c r="X143" s="689"/>
      <c r="Y143" s="689"/>
      <c r="Z143" s="689"/>
      <c r="AA143" s="689"/>
      <c r="AB143" s="689"/>
      <c r="AC143" s="689">
        <v>2500</v>
      </c>
      <c r="AD143" s="689"/>
      <c r="AE143" s="689"/>
      <c r="AF143" s="689"/>
      <c r="AG143" s="689"/>
      <c r="AH143" s="689"/>
      <c r="AI143" s="689"/>
      <c r="AJ143" s="689">
        <v>2500</v>
      </c>
      <c r="AK143" s="689"/>
      <c r="AL143" s="689">
        <v>383.33</v>
      </c>
      <c r="AM143" s="689"/>
      <c r="AN143" s="689"/>
      <c r="AO143" s="689"/>
      <c r="AP143" s="689"/>
      <c r="AQ143" s="689"/>
      <c r="AR143" s="689"/>
      <c r="AS143" s="689"/>
      <c r="AT143" s="689"/>
      <c r="AU143" s="689">
        <f t="shared" si="185"/>
        <v>5364.2901</v>
      </c>
      <c r="AV143" s="689"/>
      <c r="AW143" s="689">
        <v>3000</v>
      </c>
      <c r="AX143" s="718">
        <f t="shared" ref="AX143:AX144" si="187">S143*0.02</f>
        <v>3576.1934</v>
      </c>
      <c r="AY143" s="718"/>
      <c r="AZ143" s="718"/>
      <c r="BA143" s="689"/>
      <c r="BB143" s="689"/>
      <c r="BC143" s="689"/>
      <c r="BD143" s="719"/>
      <c r="BE143" s="719">
        <f t="shared" si="186"/>
        <v>5364.2901</v>
      </c>
      <c r="BF143" s="689"/>
      <c r="BG143" s="689"/>
      <c r="BH143" s="727"/>
      <c r="BI143" s="689"/>
      <c r="BJ143" s="689"/>
      <c r="BK143" s="689"/>
      <c r="BL143" s="689"/>
      <c r="BM143" s="689"/>
      <c r="BN143" s="689"/>
      <c r="BO143" s="689">
        <v>45000</v>
      </c>
      <c r="BP143" s="689"/>
      <c r="BQ143" s="689"/>
      <c r="BR143" s="731"/>
      <c r="BS143" s="731"/>
      <c r="BT143" s="731"/>
      <c r="BU143" s="731"/>
      <c r="BV143" s="731"/>
      <c r="BW143" s="731"/>
      <c r="BX143" s="731"/>
      <c r="BY143" s="731">
        <v>2000</v>
      </c>
      <c r="BZ143" s="731">
        <v>1000</v>
      </c>
      <c r="CA143" s="718">
        <f t="shared" si="149"/>
        <v>3676.1934</v>
      </c>
      <c r="CB143" s="735"/>
      <c r="CC143" s="731">
        <v>18105.74</v>
      </c>
      <c r="CD143" s="702">
        <f t="shared" si="178"/>
        <v>183809.67</v>
      </c>
      <c r="CE143" s="731">
        <f t="shared" si="181"/>
        <v>87086.707</v>
      </c>
      <c r="CF143" s="739">
        <f t="shared" si="179"/>
        <v>96722.963</v>
      </c>
      <c r="CG143" s="742">
        <f t="shared" si="159"/>
        <v>87086.707</v>
      </c>
      <c r="CH143" s="743" t="e">
        <f>'[6]JACKSON AKPOJARO '!C278*12</f>
        <v>#REF!</v>
      </c>
      <c r="CI143" s="744" t="e">
        <f t="shared" si="106"/>
        <v>#REF!</v>
      </c>
      <c r="CJ143" s="745">
        <f t="shared" si="182"/>
        <v>0</v>
      </c>
      <c r="CK143" s="748" t="e">
        <f t="shared" si="107"/>
        <v>#REF!</v>
      </c>
      <c r="CL143" s="749" t="e">
        <f t="shared" si="108"/>
        <v>#REF!</v>
      </c>
      <c r="CM143" s="744"/>
      <c r="CN143" s="745" t="e">
        <f t="shared" si="109"/>
        <v>#REF!</v>
      </c>
      <c r="CO143" s="745" t="e">
        <f t="shared" si="110"/>
        <v>#REF!</v>
      </c>
      <c r="CP143" s="745" t="e">
        <f t="shared" si="111"/>
        <v>#REF!</v>
      </c>
      <c r="CQ143" s="745" t="e">
        <f t="shared" si="112"/>
        <v>#REF!</v>
      </c>
      <c r="CR143" s="745" t="e">
        <f t="shared" si="113"/>
        <v>#REF!</v>
      </c>
      <c r="CS143" s="745" t="e">
        <f t="shared" si="114"/>
        <v>#REF!</v>
      </c>
      <c r="CT143" s="754" t="e">
        <f t="shared" si="183"/>
        <v>#REF!</v>
      </c>
      <c r="CU143" s="755" t="e">
        <f t="shared" si="184"/>
        <v>#REF!</v>
      </c>
      <c r="CV143" s="756">
        <f>CC143</f>
        <v>18105.74</v>
      </c>
      <c r="CW143" s="757"/>
      <c r="CX143" s="758"/>
      <c r="CY143" s="759"/>
      <c r="CZ143" s="760"/>
      <c r="DA143" s="767"/>
    </row>
    <row r="144" ht="236" customHeight="1" spans="1:105">
      <c r="A144" s="673">
        <v>467</v>
      </c>
      <c r="B144" s="676" t="s">
        <v>1122</v>
      </c>
      <c r="C144" s="677" t="s">
        <v>1533</v>
      </c>
      <c r="D144" s="677" t="s">
        <v>1682</v>
      </c>
      <c r="E144" s="677" t="s">
        <v>135</v>
      </c>
      <c r="F144" s="1452" t="s">
        <v>1123</v>
      </c>
      <c r="G144" s="677" t="s">
        <v>1683</v>
      </c>
      <c r="H144" s="679"/>
      <c r="I144" s="681" t="s">
        <v>135</v>
      </c>
      <c r="J144" s="686" t="s">
        <v>1123</v>
      </c>
      <c r="K144" s="687"/>
      <c r="L144" s="688">
        <v>403057</v>
      </c>
      <c r="M144" s="688" t="e">
        <f>S144-#REF!</f>
        <v>#REF!</v>
      </c>
      <c r="N144" s="689">
        <v>403057</v>
      </c>
      <c r="O144" s="689">
        <v>33588.0833333333</v>
      </c>
      <c r="P144" s="689"/>
      <c r="Q144" s="689">
        <v>8397.02083333333</v>
      </c>
      <c r="R144" s="689">
        <v>42499.98</v>
      </c>
      <c r="S144" s="689">
        <v>84485.0841666667</v>
      </c>
      <c r="T144" s="689"/>
      <c r="U144" s="689"/>
      <c r="V144" s="689"/>
      <c r="W144" s="689"/>
      <c r="X144" s="689"/>
      <c r="Y144" s="689"/>
      <c r="Z144" s="689"/>
      <c r="AA144" s="689"/>
      <c r="AB144" s="689"/>
      <c r="AC144" s="689">
        <v>2500</v>
      </c>
      <c r="AD144" s="689"/>
      <c r="AE144" s="689"/>
      <c r="AF144" s="689"/>
      <c r="AG144" s="689"/>
      <c r="AH144" s="689"/>
      <c r="AI144" s="689"/>
      <c r="AJ144" s="689">
        <v>2500</v>
      </c>
      <c r="AK144" s="689"/>
      <c r="AL144" s="689">
        <v>383.33</v>
      </c>
      <c r="AM144" s="689"/>
      <c r="AN144" s="689"/>
      <c r="AO144" s="689"/>
      <c r="AP144" s="689"/>
      <c r="AQ144" s="689"/>
      <c r="AR144" s="689"/>
      <c r="AS144" s="689"/>
      <c r="AT144" s="689"/>
      <c r="AU144" s="689">
        <f t="shared" si="185"/>
        <v>2534.552525</v>
      </c>
      <c r="AV144" s="689"/>
      <c r="AW144" s="689"/>
      <c r="AX144" s="718">
        <f t="shared" si="187"/>
        <v>1689.70168333333</v>
      </c>
      <c r="AY144" s="718"/>
      <c r="AZ144" s="718"/>
      <c r="BA144" s="689"/>
      <c r="BB144" s="689"/>
      <c r="BD144" s="719"/>
      <c r="BF144" s="689"/>
      <c r="BG144" s="689"/>
      <c r="BH144" s="727"/>
      <c r="BI144" s="689"/>
      <c r="BJ144" s="689"/>
      <c r="BK144" s="689"/>
      <c r="BL144" s="689"/>
      <c r="BM144" s="689"/>
      <c r="BN144" s="689"/>
      <c r="BO144" s="689">
        <v>0</v>
      </c>
      <c r="BP144" s="689"/>
      <c r="BQ144" s="689"/>
      <c r="BR144" s="731"/>
      <c r="BS144" s="731"/>
      <c r="BT144" s="731"/>
      <c r="BU144" s="731"/>
      <c r="BV144" s="731"/>
      <c r="BW144" s="731"/>
      <c r="BX144" s="731"/>
      <c r="BY144" s="731">
        <v>500</v>
      </c>
      <c r="BZ144" s="731">
        <v>1000</v>
      </c>
      <c r="CA144" s="718">
        <f t="shared" si="149"/>
        <v>1789.70168333333</v>
      </c>
      <c r="CB144" s="735">
        <v>12597.0168333333</v>
      </c>
      <c r="CC144" s="731">
        <v>5392.38</v>
      </c>
      <c r="CD144" s="702">
        <f t="shared" si="178"/>
        <v>89485.0841666667</v>
      </c>
      <c r="CE144" s="731">
        <f t="shared" si="181"/>
        <v>25503.352725</v>
      </c>
      <c r="CF144" s="739">
        <f t="shared" si="179"/>
        <v>63981.7314416667</v>
      </c>
      <c r="CG144" s="742">
        <f t="shared" si="159"/>
        <v>25503.352725</v>
      </c>
      <c r="CH144" s="743" t="e">
        <f>'[6]JACKSON AKPOJARO '!C279*12</f>
        <v>#REF!</v>
      </c>
      <c r="CI144" s="744" t="e">
        <f t="shared" ref="CI144:CI150" si="188">200000+(0.2*CH144)</f>
        <v>#REF!</v>
      </c>
      <c r="CJ144" s="745">
        <f t="shared" si="182"/>
        <v>151164.202</v>
      </c>
      <c r="CK144" s="748" t="e">
        <f t="shared" ref="CK144:CK150" si="189">SUM(CI144:CJ144)</f>
        <v>#REF!</v>
      </c>
      <c r="CL144" s="749" t="e">
        <f t="shared" ref="CL144:CL150" si="190">+CH144-CK144</f>
        <v>#REF!</v>
      </c>
      <c r="CM144" s="744"/>
      <c r="CN144" s="745" t="e">
        <f t="shared" ref="CN144:CN150" si="191">IF((CL144&gt;0),(IF((CL144&gt;300000),(300000*7%),(CL144*7%))),(CH144*1%))</f>
        <v>#REF!</v>
      </c>
      <c r="CO144" s="745" t="e">
        <f t="shared" ref="CO144:CO150" si="192">IF((CL144-300000)&gt;0,(IF((CL144&gt;600000),(300000*11%),((CL144-300000)*11%))),(""))</f>
        <v>#REF!</v>
      </c>
      <c r="CP144" s="745" t="e">
        <f t="shared" ref="CP144:CP150" si="193">IF(((CL144-600000)&gt;0),(IF((CL144&gt;1100000),(500000*15%),((CL144-600000)*15%))),(""))</f>
        <v>#REF!</v>
      </c>
      <c r="CQ144" s="745" t="e">
        <f t="shared" ref="CQ144:CQ150" si="194">IF(((CL144-(1100000))&gt;0),(IF((CL144&gt;(1600000)),((500000)*19%),((CL144-(1100000))*19%))),(""))</f>
        <v>#REF!</v>
      </c>
      <c r="CR144" s="745" t="e">
        <f t="shared" ref="CR144:CR150" si="195">IF(((CL144-(1600000))&gt;0),(IF((CL144&gt;(3200000)),((1600000)*21%),((CL144-(1600000))*21%))),(""))</f>
        <v>#REF!</v>
      </c>
      <c r="CS144" s="745" t="e">
        <f t="shared" ref="CS144:CS150" si="196">IF(((CL144-(3200000))&gt;0),(IF((CL144&gt;(3200000)),((CL144-(3200000))*24%),(0))),(""))</f>
        <v>#REF!</v>
      </c>
      <c r="CT144" s="754" t="e">
        <f t="shared" si="183"/>
        <v>#REF!</v>
      </c>
      <c r="CU144" s="755" t="e">
        <f t="shared" si="184"/>
        <v>#REF!</v>
      </c>
      <c r="CV144" s="756">
        <v>498.29</v>
      </c>
      <c r="CW144" s="757"/>
      <c r="CX144" s="758"/>
      <c r="CY144" s="759"/>
      <c r="CZ144" s="760"/>
      <c r="DA144" s="767"/>
    </row>
    <row r="145" ht="236" customHeight="1" spans="1:105">
      <c r="A145" s="675">
        <v>468</v>
      </c>
      <c r="B145" s="676" t="s">
        <v>1124</v>
      </c>
      <c r="C145" s="677" t="s">
        <v>1527</v>
      </c>
      <c r="D145" s="677" t="s">
        <v>1684</v>
      </c>
      <c r="E145" s="677" t="s">
        <v>915</v>
      </c>
      <c r="F145" s="1452" t="s">
        <v>1125</v>
      </c>
      <c r="G145" s="677" t="s">
        <v>1685</v>
      </c>
      <c r="H145" s="679"/>
      <c r="I145" s="681" t="s">
        <v>915</v>
      </c>
      <c r="J145" s="686" t="s">
        <v>1125</v>
      </c>
      <c r="K145" s="687"/>
      <c r="L145" s="688"/>
      <c r="M145" s="688" t="e">
        <f>S145-#REF!</f>
        <v>#REF!</v>
      </c>
      <c r="N145" s="689">
        <v>403057</v>
      </c>
      <c r="O145" s="689">
        <v>33588.0833333333</v>
      </c>
      <c r="P145" s="689"/>
      <c r="Q145" s="689">
        <v>8397.02083333333</v>
      </c>
      <c r="R145" s="689">
        <v>42499.98</v>
      </c>
      <c r="S145" s="689">
        <v>85769.83</v>
      </c>
      <c r="T145" s="689"/>
      <c r="U145" s="689"/>
      <c r="V145" s="689"/>
      <c r="W145" s="689"/>
      <c r="X145" s="689"/>
      <c r="Y145" s="689"/>
      <c r="Z145" s="689"/>
      <c r="AA145" s="689"/>
      <c r="AB145" s="689"/>
      <c r="AC145" s="689">
        <v>2500</v>
      </c>
      <c r="AD145" s="689"/>
      <c r="AE145" s="689"/>
      <c r="AF145" s="689"/>
      <c r="AG145" s="689"/>
      <c r="AH145" s="689"/>
      <c r="AI145" s="689"/>
      <c r="AJ145" s="689">
        <v>2500</v>
      </c>
      <c r="AK145" s="689"/>
      <c r="AL145" s="689">
        <v>383.33</v>
      </c>
      <c r="AM145" s="689"/>
      <c r="AN145" s="689"/>
      <c r="AO145" s="689"/>
      <c r="AP145" s="689"/>
      <c r="AQ145" s="689"/>
      <c r="AR145" s="689"/>
      <c r="AS145" s="689"/>
      <c r="AT145" s="689"/>
      <c r="AU145" s="689">
        <f t="shared" si="185"/>
        <v>2573.0949</v>
      </c>
      <c r="AV145" s="689"/>
      <c r="AW145" s="689"/>
      <c r="AX145" s="718"/>
      <c r="AY145" s="718"/>
      <c r="AZ145" s="718"/>
      <c r="BA145" s="689"/>
      <c r="BB145" s="689"/>
      <c r="BC145" s="689"/>
      <c r="BD145" s="719"/>
      <c r="BE145" s="719">
        <f t="shared" si="186"/>
        <v>2573.0949</v>
      </c>
      <c r="BF145" s="689"/>
      <c r="BG145" s="689"/>
      <c r="BH145" s="727"/>
      <c r="BI145" s="689"/>
      <c r="BJ145" s="689"/>
      <c r="BK145" s="689"/>
      <c r="BL145" s="689"/>
      <c r="BM145" s="689"/>
      <c r="BN145" s="689"/>
      <c r="BO145" s="689">
        <v>0</v>
      </c>
      <c r="BP145" s="689"/>
      <c r="BQ145" s="689"/>
      <c r="BR145" s="731"/>
      <c r="BS145" s="731"/>
      <c r="BT145" s="731"/>
      <c r="BU145" s="731"/>
      <c r="BV145" s="731"/>
      <c r="BW145" s="731"/>
      <c r="BX145" s="731"/>
      <c r="BY145" s="731"/>
      <c r="BZ145" s="731">
        <v>500</v>
      </c>
      <c r="CA145" s="718">
        <f t="shared" si="149"/>
        <v>1815.3966</v>
      </c>
      <c r="CB145" s="735"/>
      <c r="CC145" s="731">
        <v>5238.2101</v>
      </c>
      <c r="CD145" s="702">
        <f t="shared" si="178"/>
        <v>90769.83</v>
      </c>
      <c r="CE145" s="731">
        <f t="shared" si="181"/>
        <v>12699.7965</v>
      </c>
      <c r="CF145" s="739">
        <f t="shared" si="179"/>
        <v>78070.0335</v>
      </c>
      <c r="CG145" s="742">
        <f t="shared" si="159"/>
        <v>12699.7965</v>
      </c>
      <c r="CH145" s="743"/>
      <c r="CI145" s="744"/>
      <c r="CJ145" s="745"/>
      <c r="CK145" s="748"/>
      <c r="CL145" s="749"/>
      <c r="CM145" s="744"/>
      <c r="CN145" s="745"/>
      <c r="CO145" s="745"/>
      <c r="CP145" s="745"/>
      <c r="CQ145" s="745"/>
      <c r="CR145" s="745"/>
      <c r="CS145" s="745"/>
      <c r="CT145" s="754"/>
      <c r="CU145" s="755"/>
      <c r="CV145" s="756"/>
      <c r="CW145" s="757"/>
      <c r="CX145" s="758"/>
      <c r="CY145" s="759"/>
      <c r="CZ145" s="760"/>
      <c r="DA145" s="767"/>
    </row>
    <row r="146" ht="236" customHeight="1" spans="1:105">
      <c r="A146" s="673">
        <v>469</v>
      </c>
      <c r="B146" s="676" t="s">
        <v>1126</v>
      </c>
      <c r="C146" s="677" t="s">
        <v>1533</v>
      </c>
      <c r="D146" s="677" t="s">
        <v>1686</v>
      </c>
      <c r="E146" s="677" t="s">
        <v>165</v>
      </c>
      <c r="F146" s="677">
        <v>2260477525</v>
      </c>
      <c r="G146" s="677" t="s">
        <v>1681</v>
      </c>
      <c r="H146" s="679"/>
      <c r="I146" s="681" t="s">
        <v>165</v>
      </c>
      <c r="J146" s="686">
        <v>2260477525</v>
      </c>
      <c r="K146" s="687"/>
      <c r="L146" s="688"/>
      <c r="M146" s="688"/>
      <c r="N146" s="689">
        <v>390724</v>
      </c>
      <c r="O146" s="689">
        <v>32560.3333333333</v>
      </c>
      <c r="P146" s="689"/>
      <c r="Q146" s="689">
        <v>8140.08333333333</v>
      </c>
      <c r="R146" s="689">
        <v>42499.98</v>
      </c>
      <c r="S146" s="689">
        <v>84485.08</v>
      </c>
      <c r="T146" s="689"/>
      <c r="U146" s="689"/>
      <c r="V146" s="689"/>
      <c r="W146" s="689"/>
      <c r="X146" s="689"/>
      <c r="Y146" s="689"/>
      <c r="Z146" s="689"/>
      <c r="AA146" s="689"/>
      <c r="AB146" s="689"/>
      <c r="AC146" s="689">
        <v>2500</v>
      </c>
      <c r="AD146" s="689"/>
      <c r="AE146" s="689"/>
      <c r="AF146" s="689"/>
      <c r="AG146" s="689"/>
      <c r="AH146" s="689"/>
      <c r="AI146" s="689"/>
      <c r="AJ146" s="689">
        <f>2500</f>
        <v>2500</v>
      </c>
      <c r="AK146" s="689"/>
      <c r="AL146" s="689">
        <v>384.33</v>
      </c>
      <c r="AM146" s="689"/>
      <c r="AN146" s="689"/>
      <c r="AO146" s="689"/>
      <c r="AP146" s="689"/>
      <c r="AQ146" s="689"/>
      <c r="AR146" s="689"/>
      <c r="AS146" s="689"/>
      <c r="AT146" s="689"/>
      <c r="AU146" s="689">
        <f t="shared" si="185"/>
        <v>2534.5524</v>
      </c>
      <c r="AV146" s="689"/>
      <c r="AW146" s="689"/>
      <c r="AX146" s="718"/>
      <c r="AY146" s="718"/>
      <c r="AZ146" s="718"/>
      <c r="BA146" s="689"/>
      <c r="BB146" s="689"/>
      <c r="BC146" s="689"/>
      <c r="BD146" s="719"/>
      <c r="BE146" s="719">
        <f t="shared" si="186"/>
        <v>2534.5524</v>
      </c>
      <c r="BF146" s="689"/>
      <c r="BG146" s="689"/>
      <c r="BH146" s="727"/>
      <c r="BI146" s="689"/>
      <c r="BJ146" s="689"/>
      <c r="BK146" s="689"/>
      <c r="BL146" s="689"/>
      <c r="BM146" s="689"/>
      <c r="BN146" s="689"/>
      <c r="BO146" s="689">
        <v>0</v>
      </c>
      <c r="BP146" s="689"/>
      <c r="BQ146" s="689"/>
      <c r="BR146" s="731"/>
      <c r="BS146" s="731"/>
      <c r="BT146" s="731"/>
      <c r="BU146" s="731"/>
      <c r="BV146" s="731"/>
      <c r="BW146" s="731"/>
      <c r="BX146" s="731"/>
      <c r="BY146" s="731"/>
      <c r="BZ146" s="731">
        <v>500</v>
      </c>
      <c r="CA146" s="718">
        <f t="shared" si="149"/>
        <v>1789.7016</v>
      </c>
      <c r="CB146" s="735"/>
      <c r="CC146" s="731">
        <v>5392.3796</v>
      </c>
      <c r="CD146" s="702">
        <f t="shared" si="178"/>
        <v>89485.08</v>
      </c>
      <c r="CE146" s="731">
        <f t="shared" si="181"/>
        <v>12751.186</v>
      </c>
      <c r="CF146" s="739">
        <f t="shared" si="179"/>
        <v>76733.894</v>
      </c>
      <c r="CG146" s="742">
        <f t="shared" si="159"/>
        <v>12751.186</v>
      </c>
      <c r="CH146" s="743" t="e">
        <f>'[6]JACKSON AKPOJARO '!C281*12</f>
        <v>#REF!</v>
      </c>
      <c r="CI146" s="744" t="e">
        <f t="shared" si="188"/>
        <v>#REF!</v>
      </c>
      <c r="CJ146" s="745">
        <f>CB146*12</f>
        <v>0</v>
      </c>
      <c r="CK146" s="748" t="e">
        <f t="shared" si="189"/>
        <v>#REF!</v>
      </c>
      <c r="CL146" s="749" t="e">
        <f t="shared" si="190"/>
        <v>#REF!</v>
      </c>
      <c r="CM146" s="744"/>
      <c r="CN146" s="745" t="e">
        <f t="shared" si="191"/>
        <v>#REF!</v>
      </c>
      <c r="CO146" s="745" t="e">
        <f t="shared" si="192"/>
        <v>#REF!</v>
      </c>
      <c r="CP146" s="745" t="e">
        <f t="shared" si="193"/>
        <v>#REF!</v>
      </c>
      <c r="CQ146" s="745" t="e">
        <f t="shared" si="194"/>
        <v>#REF!</v>
      </c>
      <c r="CR146" s="745" t="e">
        <f t="shared" si="195"/>
        <v>#REF!</v>
      </c>
      <c r="CS146" s="745" t="e">
        <f t="shared" si="196"/>
        <v>#REF!</v>
      </c>
      <c r="CT146" s="754"/>
      <c r="CU146" s="755"/>
      <c r="CV146" s="756"/>
      <c r="CW146" s="757"/>
      <c r="CX146" s="758"/>
      <c r="CY146" s="759"/>
      <c r="CZ146" s="760"/>
      <c r="DA146" s="767"/>
    </row>
    <row r="147" ht="236" customHeight="1" spans="1:105">
      <c r="A147" s="675">
        <v>470</v>
      </c>
      <c r="B147" s="676" t="s">
        <v>1127</v>
      </c>
      <c r="C147" s="677" t="s">
        <v>1533</v>
      </c>
      <c r="D147" s="677" t="s">
        <v>1687</v>
      </c>
      <c r="E147" s="677" t="s">
        <v>93</v>
      </c>
      <c r="F147" s="677">
        <v>3092554154</v>
      </c>
      <c r="G147" s="677" t="s">
        <v>1681</v>
      </c>
      <c r="H147" s="679"/>
      <c r="I147" s="681" t="s">
        <v>93</v>
      </c>
      <c r="J147" s="686">
        <v>3092554154</v>
      </c>
      <c r="K147" s="687"/>
      <c r="L147" s="688"/>
      <c r="M147" s="688"/>
      <c r="N147" s="689">
        <v>390724</v>
      </c>
      <c r="O147" s="689">
        <v>32560.3333333333</v>
      </c>
      <c r="P147" s="689"/>
      <c r="Q147" s="689">
        <v>8140.08333333333</v>
      </c>
      <c r="R147" s="689">
        <v>42499.98</v>
      </c>
      <c r="S147" s="689">
        <v>84485.08</v>
      </c>
      <c r="T147" s="689"/>
      <c r="U147" s="689"/>
      <c r="V147" s="689"/>
      <c r="W147" s="689"/>
      <c r="X147" s="689"/>
      <c r="Y147" s="689"/>
      <c r="Z147" s="689"/>
      <c r="AA147" s="689"/>
      <c r="AB147" s="689"/>
      <c r="AC147" s="689">
        <v>2500</v>
      </c>
      <c r="AD147" s="689"/>
      <c r="AE147" s="689"/>
      <c r="AF147" s="689"/>
      <c r="AG147" s="689"/>
      <c r="AH147" s="689"/>
      <c r="AI147" s="689"/>
      <c r="AJ147" s="689">
        <f>2500</f>
        <v>2500</v>
      </c>
      <c r="AK147" s="689"/>
      <c r="AL147" s="689">
        <v>385.33</v>
      </c>
      <c r="AM147" s="689"/>
      <c r="AN147" s="689"/>
      <c r="AO147" s="689"/>
      <c r="AP147" s="689"/>
      <c r="AQ147" s="689"/>
      <c r="AR147" s="689"/>
      <c r="AS147" s="689"/>
      <c r="AT147" s="689"/>
      <c r="AU147" s="689">
        <f t="shared" si="185"/>
        <v>2534.5524</v>
      </c>
      <c r="AV147" s="689"/>
      <c r="AW147" s="689"/>
      <c r="AX147" s="718"/>
      <c r="AY147" s="718"/>
      <c r="AZ147" s="718"/>
      <c r="BA147" s="689"/>
      <c r="BB147" s="689"/>
      <c r="BC147" s="689"/>
      <c r="BD147" s="719"/>
      <c r="BE147" s="719">
        <f t="shared" si="186"/>
        <v>2534.5524</v>
      </c>
      <c r="BF147" s="689"/>
      <c r="BG147" s="689"/>
      <c r="BH147" s="727"/>
      <c r="BI147" s="689"/>
      <c r="BJ147" s="689"/>
      <c r="BK147" s="689"/>
      <c r="BL147" s="689"/>
      <c r="BM147" s="689"/>
      <c r="BN147" s="689"/>
      <c r="BO147" s="689">
        <v>0</v>
      </c>
      <c r="BP147" s="689"/>
      <c r="BQ147" s="689"/>
      <c r="BR147" s="731"/>
      <c r="BS147" s="731"/>
      <c r="BT147" s="731"/>
      <c r="BU147" s="731"/>
      <c r="BV147" s="731"/>
      <c r="BW147" s="731"/>
      <c r="BX147" s="731"/>
      <c r="BY147" s="731">
        <v>1000</v>
      </c>
      <c r="BZ147" s="731">
        <v>500</v>
      </c>
      <c r="CA147" s="718">
        <f t="shared" si="149"/>
        <v>1789.7016</v>
      </c>
      <c r="CB147" s="735"/>
      <c r="CC147" s="731">
        <v>5238.21</v>
      </c>
      <c r="CD147" s="702">
        <f t="shared" si="178"/>
        <v>89485.08</v>
      </c>
      <c r="CE147" s="731">
        <f t="shared" si="181"/>
        <v>13597.0164</v>
      </c>
      <c r="CF147" s="739">
        <f t="shared" si="179"/>
        <v>75888.0636</v>
      </c>
      <c r="CG147" s="742">
        <f t="shared" si="159"/>
        <v>13597.0164</v>
      </c>
      <c r="CH147" s="743" t="e">
        <f>'[6]JACKSON AKPOJARO '!C282*12</f>
        <v>#REF!</v>
      </c>
      <c r="CI147" s="744" t="e">
        <f t="shared" si="188"/>
        <v>#REF!</v>
      </c>
      <c r="CJ147" s="745">
        <f>CB147*12</f>
        <v>0</v>
      </c>
      <c r="CK147" s="748" t="e">
        <f t="shared" si="189"/>
        <v>#REF!</v>
      </c>
      <c r="CL147" s="749" t="e">
        <f t="shared" si="190"/>
        <v>#REF!</v>
      </c>
      <c r="CM147" s="744"/>
      <c r="CN147" s="745" t="e">
        <f t="shared" si="191"/>
        <v>#REF!</v>
      </c>
      <c r="CO147" s="745" t="e">
        <f t="shared" si="192"/>
        <v>#REF!</v>
      </c>
      <c r="CP147" s="745" t="e">
        <f t="shared" si="193"/>
        <v>#REF!</v>
      </c>
      <c r="CQ147" s="745" t="e">
        <f t="shared" si="194"/>
        <v>#REF!</v>
      </c>
      <c r="CR147" s="745" t="e">
        <f t="shared" si="195"/>
        <v>#REF!</v>
      </c>
      <c r="CS147" s="745" t="e">
        <f t="shared" si="196"/>
        <v>#REF!</v>
      </c>
      <c r="CT147" s="754"/>
      <c r="CU147" s="755"/>
      <c r="CV147" s="756"/>
      <c r="CW147" s="757"/>
      <c r="CX147" s="758"/>
      <c r="CY147" s="759"/>
      <c r="CZ147" s="760"/>
      <c r="DA147" s="767"/>
    </row>
    <row r="148" ht="236" customHeight="1" spans="1:105">
      <c r="A148" s="673">
        <v>471</v>
      </c>
      <c r="B148" s="676" t="s">
        <v>1128</v>
      </c>
      <c r="C148" s="677" t="s">
        <v>1533</v>
      </c>
      <c r="D148" s="677" t="s">
        <v>1687</v>
      </c>
      <c r="E148" s="677" t="s">
        <v>934</v>
      </c>
      <c r="F148" s="1452" t="s">
        <v>1129</v>
      </c>
      <c r="G148" s="677" t="s">
        <v>1681</v>
      </c>
      <c r="H148" s="679"/>
      <c r="I148" s="681"/>
      <c r="J148" s="686"/>
      <c r="K148" s="687"/>
      <c r="L148" s="688"/>
      <c r="M148" s="688"/>
      <c r="N148" s="689"/>
      <c r="O148" s="689">
        <v>32560.3333333333</v>
      </c>
      <c r="P148" s="689"/>
      <c r="Q148" s="689">
        <v>8140.08333333333</v>
      </c>
      <c r="R148" s="689">
        <v>42499.98</v>
      </c>
      <c r="S148" s="689">
        <v>84485.08</v>
      </c>
      <c r="T148" s="689"/>
      <c r="U148" s="689"/>
      <c r="V148" s="689"/>
      <c r="W148" s="689"/>
      <c r="X148" s="689"/>
      <c r="Y148" s="689"/>
      <c r="Z148" s="689"/>
      <c r="AA148" s="689"/>
      <c r="AB148" s="689"/>
      <c r="AC148" s="689">
        <v>2501</v>
      </c>
      <c r="AD148" s="689"/>
      <c r="AE148" s="689"/>
      <c r="AF148" s="689"/>
      <c r="AG148" s="689"/>
      <c r="AH148" s="689"/>
      <c r="AI148" s="689"/>
      <c r="AJ148" s="689">
        <f>2500</f>
        <v>2500</v>
      </c>
      <c r="AK148" s="689"/>
      <c r="AL148" s="689">
        <v>386.33</v>
      </c>
      <c r="AM148" s="689"/>
      <c r="AN148" s="689"/>
      <c r="AO148" s="689"/>
      <c r="AP148" s="689"/>
      <c r="AQ148" s="689"/>
      <c r="AR148" s="689"/>
      <c r="AS148" s="689"/>
      <c r="AT148" s="689"/>
      <c r="AU148" s="689">
        <f t="shared" si="185"/>
        <v>2534.5524</v>
      </c>
      <c r="AV148" s="689"/>
      <c r="AW148" s="689"/>
      <c r="AX148" s="718"/>
      <c r="AY148" s="718"/>
      <c r="AZ148" s="718"/>
      <c r="BA148" s="689"/>
      <c r="BB148" s="689"/>
      <c r="BC148" s="689"/>
      <c r="BD148" s="719"/>
      <c r="BE148" s="719">
        <f t="shared" si="186"/>
        <v>2534.5524</v>
      </c>
      <c r="BF148" s="689"/>
      <c r="BG148" s="689"/>
      <c r="BH148" s="727"/>
      <c r="BI148" s="689"/>
      <c r="BJ148" s="689"/>
      <c r="BK148" s="689"/>
      <c r="BL148" s="689"/>
      <c r="BM148" s="689"/>
      <c r="BN148" s="689"/>
      <c r="BO148" s="689">
        <v>0</v>
      </c>
      <c r="BP148" s="689"/>
      <c r="BQ148" s="689"/>
      <c r="BR148" s="731"/>
      <c r="BS148" s="731"/>
      <c r="BT148" s="731"/>
      <c r="BU148" s="731"/>
      <c r="BV148" s="731"/>
      <c r="BW148" s="731"/>
      <c r="BX148" s="731"/>
      <c r="BY148" s="731">
        <v>1000</v>
      </c>
      <c r="BZ148" s="731">
        <v>500</v>
      </c>
      <c r="CA148" s="718">
        <f t="shared" ref="CA148" si="197">CD148*0.02</f>
        <v>1789.7216</v>
      </c>
      <c r="CB148" s="735"/>
      <c r="CC148" s="731">
        <v>5238.21</v>
      </c>
      <c r="CD148" s="702">
        <f t="shared" si="178"/>
        <v>89486.08</v>
      </c>
      <c r="CE148" s="731">
        <f t="shared" si="181"/>
        <v>13597.0364</v>
      </c>
      <c r="CF148" s="739">
        <f t="shared" si="179"/>
        <v>75889.0436</v>
      </c>
      <c r="CG148" s="742">
        <f t="shared" si="159"/>
        <v>13597.0364</v>
      </c>
      <c r="CH148" s="743"/>
      <c r="CI148" s="744"/>
      <c r="CJ148" s="745"/>
      <c r="CK148" s="748"/>
      <c r="CL148" s="749"/>
      <c r="CM148" s="744"/>
      <c r="CN148" s="745"/>
      <c r="CO148" s="745"/>
      <c r="CP148" s="745"/>
      <c r="CQ148" s="745"/>
      <c r="CR148" s="745"/>
      <c r="CS148" s="745"/>
      <c r="CT148" s="754"/>
      <c r="CU148" s="755"/>
      <c r="CV148" s="756"/>
      <c r="CW148" s="757"/>
      <c r="CX148" s="758"/>
      <c r="CY148" s="759"/>
      <c r="CZ148" s="760"/>
      <c r="DA148" s="767"/>
    </row>
    <row r="149" ht="236" customHeight="1" spans="1:105">
      <c r="A149" s="675">
        <v>472</v>
      </c>
      <c r="B149" s="676" t="s">
        <v>1130</v>
      </c>
      <c r="C149" s="677" t="s">
        <v>1527</v>
      </c>
      <c r="D149" s="677" t="s">
        <v>1678</v>
      </c>
      <c r="E149" s="677" t="s">
        <v>113</v>
      </c>
      <c r="F149" s="677" t="s">
        <v>1131</v>
      </c>
      <c r="G149" s="677" t="s">
        <v>1602</v>
      </c>
      <c r="H149" s="679"/>
      <c r="I149" s="681" t="s">
        <v>113</v>
      </c>
      <c r="J149" s="686">
        <v>2053211086</v>
      </c>
      <c r="K149" s="687"/>
      <c r="L149" s="688">
        <v>449113</v>
      </c>
      <c r="M149" s="688" t="e">
        <f>S149-#REF!</f>
        <v>#REF!</v>
      </c>
      <c r="N149" s="689">
        <v>463445</v>
      </c>
      <c r="O149" s="689">
        <v>38620.4166666667</v>
      </c>
      <c r="P149" s="689"/>
      <c r="Q149" s="689">
        <v>9655.10416666667</v>
      </c>
      <c r="R149" s="689">
        <v>42499.98</v>
      </c>
      <c r="S149" s="689">
        <v>93784.83</v>
      </c>
      <c r="T149" s="689">
        <f>S149*0.11</f>
        <v>10316.3313</v>
      </c>
      <c r="U149" s="689"/>
      <c r="V149" s="689"/>
      <c r="W149" s="689"/>
      <c r="X149" s="689"/>
      <c r="Y149" s="689"/>
      <c r="Z149" s="689"/>
      <c r="AA149" s="689"/>
      <c r="AB149" s="689"/>
      <c r="AC149" s="689">
        <v>2500</v>
      </c>
      <c r="AD149" s="689"/>
      <c r="AE149" s="689"/>
      <c r="AF149" s="689"/>
      <c r="AG149" s="689"/>
      <c r="AH149" s="689"/>
      <c r="AI149" s="689"/>
      <c r="AJ149" s="689">
        <v>2500</v>
      </c>
      <c r="AK149" s="689"/>
      <c r="AL149" s="689">
        <v>383.33</v>
      </c>
      <c r="AM149" s="689"/>
      <c r="AN149" s="689"/>
      <c r="AO149" s="689"/>
      <c r="AP149" s="689"/>
      <c r="AQ149" s="689"/>
      <c r="AR149" s="689"/>
      <c r="AS149" s="689"/>
      <c r="AT149" s="689"/>
      <c r="AU149" s="689">
        <f t="shared" si="185"/>
        <v>2813.5449</v>
      </c>
      <c r="AV149" s="689"/>
      <c r="AW149" s="689"/>
      <c r="AX149" s="718"/>
      <c r="AY149" s="718"/>
      <c r="AZ149" s="718"/>
      <c r="BA149" s="689"/>
      <c r="BB149" s="689"/>
      <c r="BC149" s="689"/>
      <c r="BD149" s="719"/>
      <c r="BE149" s="719">
        <f t="shared" si="186"/>
        <v>2813.5449</v>
      </c>
      <c r="BF149" s="689"/>
      <c r="BG149" s="689"/>
      <c r="BH149" s="727"/>
      <c r="BI149" s="689"/>
      <c r="BJ149" s="689"/>
      <c r="BK149" s="689"/>
      <c r="BL149" s="689"/>
      <c r="BM149" s="689"/>
      <c r="BN149" s="689"/>
      <c r="BO149" s="689">
        <v>0</v>
      </c>
      <c r="BP149" s="689"/>
      <c r="BQ149" s="689"/>
      <c r="BR149" s="731"/>
      <c r="BS149" s="731"/>
      <c r="BT149" s="731"/>
      <c r="BU149" s="731"/>
      <c r="BV149" s="731"/>
      <c r="BW149" s="731"/>
      <c r="BX149" s="731"/>
      <c r="BY149" s="731">
        <v>1000</v>
      </c>
      <c r="BZ149" s="731">
        <v>500</v>
      </c>
      <c r="CA149" s="718">
        <f t="shared" si="149"/>
        <v>2182.023226</v>
      </c>
      <c r="CB149" s="735"/>
      <c r="CC149" s="731">
        <v>7592.14</v>
      </c>
      <c r="CD149" s="702">
        <f t="shared" si="178"/>
        <v>109101.1613</v>
      </c>
      <c r="CE149" s="731">
        <f t="shared" si="181"/>
        <v>16901.253026</v>
      </c>
      <c r="CF149" s="739">
        <f t="shared" si="179"/>
        <v>92199.908274</v>
      </c>
      <c r="CG149" s="742">
        <f t="shared" si="159"/>
        <v>16901.253026</v>
      </c>
      <c r="CH149" s="743" t="e">
        <f>'[6]JACKSON AKPOJARO '!C280*12</f>
        <v>#REF!</v>
      </c>
      <c r="CI149" s="744" t="e">
        <f t="shared" si="188"/>
        <v>#REF!</v>
      </c>
      <c r="CJ149" s="745">
        <f t="shared" ref="CJ149:CJ156" si="198">CB149*12</f>
        <v>0</v>
      </c>
      <c r="CK149" s="748" t="e">
        <f t="shared" si="189"/>
        <v>#REF!</v>
      </c>
      <c r="CL149" s="749" t="e">
        <f t="shared" si="190"/>
        <v>#REF!</v>
      </c>
      <c r="CM149" s="744"/>
      <c r="CN149" s="745" t="e">
        <f t="shared" si="191"/>
        <v>#REF!</v>
      </c>
      <c r="CO149" s="745" t="e">
        <f t="shared" si="192"/>
        <v>#REF!</v>
      </c>
      <c r="CP149" s="745" t="e">
        <f t="shared" si="193"/>
        <v>#REF!</v>
      </c>
      <c r="CQ149" s="745" t="e">
        <f t="shared" si="194"/>
        <v>#REF!</v>
      </c>
      <c r="CR149" s="745" t="e">
        <f t="shared" si="195"/>
        <v>#REF!</v>
      </c>
      <c r="CS149" s="745" t="e">
        <f t="shared" si="196"/>
        <v>#REF!</v>
      </c>
      <c r="CT149" s="754" t="e">
        <f>1%*CH149</f>
        <v>#REF!</v>
      </c>
      <c r="CU149" s="755" t="e">
        <f>MAX(CT149:CT149)</f>
        <v>#REF!</v>
      </c>
      <c r="CV149" s="756">
        <f>CC149</f>
        <v>7592.14</v>
      </c>
      <c r="CW149" s="757"/>
      <c r="CX149" s="758"/>
      <c r="CY149" s="759"/>
      <c r="CZ149" s="760"/>
      <c r="DA149" s="767"/>
    </row>
    <row r="150" ht="236" customHeight="1" spans="1:105">
      <c r="A150" s="673">
        <v>473</v>
      </c>
      <c r="B150" s="676" t="s">
        <v>1132</v>
      </c>
      <c r="C150" s="677" t="s">
        <v>1579</v>
      </c>
      <c r="D150" s="677" t="s">
        <v>1688</v>
      </c>
      <c r="E150" s="677" t="s">
        <v>934</v>
      </c>
      <c r="F150" s="677" t="s">
        <v>1133</v>
      </c>
      <c r="G150" s="677" t="s">
        <v>1683</v>
      </c>
      <c r="H150" s="679"/>
      <c r="I150" s="681" t="s">
        <v>934</v>
      </c>
      <c r="J150" s="686" t="s">
        <v>1133</v>
      </c>
      <c r="K150" s="687"/>
      <c r="L150" s="688"/>
      <c r="M150" s="688"/>
      <c r="N150" s="689">
        <v>434781</v>
      </c>
      <c r="O150" s="689">
        <v>36231.75</v>
      </c>
      <c r="P150" s="689"/>
      <c r="Q150" s="689">
        <v>9057.9375</v>
      </c>
      <c r="R150" s="689">
        <v>42499.98</v>
      </c>
      <c r="S150" s="689">
        <v>89282.58</v>
      </c>
      <c r="T150" s="689"/>
      <c r="U150" s="689"/>
      <c r="V150" s="689"/>
      <c r="W150" s="689"/>
      <c r="X150" s="689"/>
      <c r="Y150" s="689"/>
      <c r="Z150" s="689"/>
      <c r="AA150" s="689"/>
      <c r="AB150" s="689"/>
      <c r="AC150" s="689">
        <v>2500</v>
      </c>
      <c r="AD150" s="689"/>
      <c r="AE150" s="689"/>
      <c r="AF150" s="689"/>
      <c r="AG150" s="689"/>
      <c r="AH150" s="689"/>
      <c r="AI150" s="689"/>
      <c r="AJ150" s="689">
        <v>2500</v>
      </c>
      <c r="AK150" s="689"/>
      <c r="AL150" s="689">
        <v>383.33</v>
      </c>
      <c r="AM150" s="689"/>
      <c r="AN150" s="689"/>
      <c r="AO150" s="689"/>
      <c r="AP150" s="689"/>
      <c r="AQ150" s="689"/>
      <c r="AR150" s="689"/>
      <c r="AS150" s="689"/>
      <c r="AT150" s="689"/>
      <c r="AU150" s="689">
        <f t="shared" si="185"/>
        <v>2678.4774</v>
      </c>
      <c r="AV150" s="689"/>
      <c r="AW150" s="689"/>
      <c r="AX150" s="718"/>
      <c r="AY150" s="718"/>
      <c r="AZ150" s="718"/>
      <c r="BA150" s="689"/>
      <c r="BB150" s="689"/>
      <c r="BC150" s="689"/>
      <c r="BD150" s="719"/>
      <c r="BE150" s="719">
        <f t="shared" si="186"/>
        <v>2678.4774</v>
      </c>
      <c r="BF150" s="689"/>
      <c r="BG150" s="689"/>
      <c r="BH150" s="727"/>
      <c r="BI150" s="689"/>
      <c r="BJ150" s="689"/>
      <c r="BK150" s="689"/>
      <c r="BL150" s="689"/>
      <c r="BM150" s="689"/>
      <c r="BN150" s="689"/>
      <c r="BO150" s="689">
        <v>0</v>
      </c>
      <c r="BP150" s="689"/>
      <c r="BQ150" s="689"/>
      <c r="BR150" s="731"/>
      <c r="BS150" s="731"/>
      <c r="BT150" s="731"/>
      <c r="BU150" s="731"/>
      <c r="BV150" s="731"/>
      <c r="BW150" s="731"/>
      <c r="BX150" s="731"/>
      <c r="BY150" s="731"/>
      <c r="BZ150" s="731">
        <v>500</v>
      </c>
      <c r="CA150" s="718">
        <f t="shared" si="149"/>
        <v>1885.6516</v>
      </c>
      <c r="CB150" s="735"/>
      <c r="CC150" s="731">
        <v>5813.91</v>
      </c>
      <c r="CD150" s="702">
        <f t="shared" si="178"/>
        <v>94282.58</v>
      </c>
      <c r="CE150" s="731">
        <f t="shared" si="181"/>
        <v>13556.5164</v>
      </c>
      <c r="CF150" s="739">
        <f t="shared" si="179"/>
        <v>80726.0636</v>
      </c>
      <c r="CG150" s="742">
        <f t="shared" si="159"/>
        <v>13556.5164</v>
      </c>
      <c r="CH150" s="743" t="e">
        <f>'[6]JACKSON AKPOJARO '!C281*12</f>
        <v>#REF!</v>
      </c>
      <c r="CI150" s="744" t="e">
        <f t="shared" si="188"/>
        <v>#REF!</v>
      </c>
      <c r="CJ150" s="745">
        <f t="shared" si="198"/>
        <v>0</v>
      </c>
      <c r="CK150" s="748" t="e">
        <f t="shared" si="189"/>
        <v>#REF!</v>
      </c>
      <c r="CL150" s="749" t="e">
        <f t="shared" si="190"/>
        <v>#REF!</v>
      </c>
      <c r="CM150" s="744"/>
      <c r="CN150" s="745" t="e">
        <f t="shared" si="191"/>
        <v>#REF!</v>
      </c>
      <c r="CO150" s="745" t="e">
        <f t="shared" si="192"/>
        <v>#REF!</v>
      </c>
      <c r="CP150" s="745" t="e">
        <f t="shared" si="193"/>
        <v>#REF!</v>
      </c>
      <c r="CQ150" s="745" t="e">
        <f t="shared" si="194"/>
        <v>#REF!</v>
      </c>
      <c r="CR150" s="745" t="e">
        <f t="shared" si="195"/>
        <v>#REF!</v>
      </c>
      <c r="CS150" s="745" t="e">
        <f t="shared" si="196"/>
        <v>#REF!</v>
      </c>
      <c r="CT150" s="754"/>
      <c r="CU150" s="755"/>
      <c r="CV150" s="756"/>
      <c r="CW150" s="757"/>
      <c r="CX150" s="758"/>
      <c r="CY150" s="759"/>
      <c r="CZ150" s="760"/>
      <c r="DA150" s="767"/>
    </row>
    <row r="151" ht="236" customHeight="1" spans="1:105">
      <c r="A151" s="675">
        <v>474</v>
      </c>
      <c r="B151" s="676" t="s">
        <v>1134</v>
      </c>
      <c r="C151" s="677" t="s">
        <v>1527</v>
      </c>
      <c r="D151" s="677" t="s">
        <v>1670</v>
      </c>
      <c r="E151" s="677" t="s">
        <v>135</v>
      </c>
      <c r="F151" s="1452" t="s">
        <v>1135</v>
      </c>
      <c r="G151" s="677" t="s">
        <v>1575</v>
      </c>
      <c r="H151" s="679"/>
      <c r="I151" s="681" t="s">
        <v>135</v>
      </c>
      <c r="J151" s="686" t="s">
        <v>1135</v>
      </c>
      <c r="K151" s="687">
        <f>'[5] NON-TEACHING STAFF'!$J$122</f>
        <v>22210017131</v>
      </c>
      <c r="L151" s="688">
        <v>1343017</v>
      </c>
      <c r="M151" s="688" t="e">
        <f>S151-#REF!</f>
        <v>#REF!</v>
      </c>
      <c r="N151" s="689">
        <v>1385795</v>
      </c>
      <c r="O151" s="689">
        <v>115482.916666667</v>
      </c>
      <c r="P151" s="689"/>
      <c r="Q151" s="689">
        <v>28870.7291666667</v>
      </c>
      <c r="R151" s="689">
        <v>30000</v>
      </c>
      <c r="S151" s="689">
        <v>178809.67</v>
      </c>
      <c r="T151" s="689"/>
      <c r="U151" s="689"/>
      <c r="V151" s="689"/>
      <c r="W151" s="689"/>
      <c r="X151" s="689"/>
      <c r="Y151" s="689"/>
      <c r="Z151" s="689"/>
      <c r="AA151" s="689"/>
      <c r="AB151" s="689"/>
      <c r="AC151" s="689">
        <v>2500</v>
      </c>
      <c r="AD151" s="689"/>
      <c r="AE151" s="689"/>
      <c r="AF151" s="689"/>
      <c r="AG151" s="689"/>
      <c r="AH151" s="689"/>
      <c r="AI151" s="689"/>
      <c r="AJ151" s="689">
        <v>2500</v>
      </c>
      <c r="AK151" s="689"/>
      <c r="AL151" s="689">
        <v>383.33</v>
      </c>
      <c r="AM151" s="689"/>
      <c r="AN151" s="689"/>
      <c r="AO151" s="689"/>
      <c r="AP151" s="689"/>
      <c r="AQ151" s="689"/>
      <c r="AR151" s="689"/>
      <c r="AS151" s="689"/>
      <c r="AT151" s="689"/>
      <c r="AU151" s="689">
        <f t="shared" si="185"/>
        <v>5364.2901</v>
      </c>
      <c r="AV151" s="689"/>
      <c r="AW151" s="689">
        <v>3000</v>
      </c>
      <c r="AX151" s="718">
        <v>3041.66</v>
      </c>
      <c r="AY151" s="718"/>
      <c r="AZ151" s="718"/>
      <c r="BA151" s="689"/>
      <c r="BB151" s="689"/>
      <c r="BC151" s="689"/>
      <c r="BD151" s="719"/>
      <c r="BE151" s="719">
        <f t="shared" si="186"/>
        <v>5364.2901</v>
      </c>
      <c r="BF151" s="689"/>
      <c r="BG151" s="689"/>
      <c r="BH151" s="727"/>
      <c r="BI151" s="689"/>
      <c r="BJ151" s="689"/>
      <c r="BK151" s="689"/>
      <c r="BL151" s="689"/>
      <c r="BM151" s="689"/>
      <c r="BN151" s="689"/>
      <c r="BO151" s="689">
        <v>10000</v>
      </c>
      <c r="BP151" s="689"/>
      <c r="BQ151" s="689"/>
      <c r="BR151" s="731"/>
      <c r="BS151" s="731"/>
      <c r="BT151" s="731"/>
      <c r="BU151" s="731"/>
      <c r="BV151" s="731"/>
      <c r="BW151" s="731"/>
      <c r="BX151" s="731"/>
      <c r="BY151" s="731"/>
      <c r="BZ151" s="731">
        <v>1000</v>
      </c>
      <c r="CA151" s="718">
        <f t="shared" si="149"/>
        <v>3676.1934</v>
      </c>
      <c r="CB151" s="735"/>
      <c r="CC151" s="731">
        <v>18105.74</v>
      </c>
      <c r="CD151" s="702">
        <f t="shared" si="178"/>
        <v>183809.67</v>
      </c>
      <c r="CE151" s="731">
        <f t="shared" si="181"/>
        <v>49552.1736</v>
      </c>
      <c r="CF151" s="739">
        <f t="shared" si="179"/>
        <v>134257.4964</v>
      </c>
      <c r="CG151" s="742">
        <f t="shared" si="159"/>
        <v>49552.1736</v>
      </c>
      <c r="CH151" s="743" t="e">
        <f>'[6]JACKSON AKPOJARO '!C281*12</f>
        <v>#REF!</v>
      </c>
      <c r="CI151" s="744" t="e">
        <f t="shared" si="106"/>
        <v>#REF!</v>
      </c>
      <c r="CJ151" s="745">
        <f t="shared" si="198"/>
        <v>0</v>
      </c>
      <c r="CK151" s="748" t="e">
        <f t="shared" si="107"/>
        <v>#REF!</v>
      </c>
      <c r="CL151" s="749" t="e">
        <f t="shared" si="108"/>
        <v>#REF!</v>
      </c>
      <c r="CM151" s="744"/>
      <c r="CN151" s="745" t="e">
        <f t="shared" si="109"/>
        <v>#REF!</v>
      </c>
      <c r="CO151" s="745" t="e">
        <f t="shared" si="110"/>
        <v>#REF!</v>
      </c>
      <c r="CP151" s="745" t="e">
        <f t="shared" si="111"/>
        <v>#REF!</v>
      </c>
      <c r="CQ151" s="745" t="e">
        <f t="shared" si="112"/>
        <v>#REF!</v>
      </c>
      <c r="CR151" s="745" t="e">
        <f t="shared" si="113"/>
        <v>#REF!</v>
      </c>
      <c r="CS151" s="745" t="e">
        <f t="shared" si="114"/>
        <v>#REF!</v>
      </c>
      <c r="CT151" s="754" t="e">
        <f t="shared" ref="CT151:CT173" si="199">1%*CH151</f>
        <v>#REF!</v>
      </c>
      <c r="CU151" s="755" t="e">
        <f t="shared" ref="CU151:CU173" si="200">MAX(CT151:CT151)</f>
        <v>#REF!</v>
      </c>
      <c r="CV151" s="756">
        <f t="shared" ref="CV151:CV156" si="201">CC151</f>
        <v>18105.74</v>
      </c>
      <c r="CW151" s="757"/>
      <c r="CX151" s="758"/>
      <c r="CY151" s="759"/>
      <c r="CZ151" s="760"/>
      <c r="DA151" s="767"/>
    </row>
    <row r="152" ht="236" customHeight="1" spans="1:105">
      <c r="A152" s="673">
        <v>475</v>
      </c>
      <c r="B152" s="676" t="s">
        <v>1136</v>
      </c>
      <c r="C152" s="677" t="s">
        <v>1527</v>
      </c>
      <c r="D152" s="677" t="s">
        <v>1678</v>
      </c>
      <c r="E152" s="677" t="s">
        <v>113</v>
      </c>
      <c r="F152" s="677" t="s">
        <v>1137</v>
      </c>
      <c r="G152" s="677" t="s">
        <v>1602</v>
      </c>
      <c r="H152" s="679"/>
      <c r="I152" s="681" t="s">
        <v>113</v>
      </c>
      <c r="J152" s="686">
        <v>2064055080</v>
      </c>
      <c r="K152" s="687">
        <f>'[5] NON-TEACHING STAFF'!$J$123</f>
        <v>22284241162</v>
      </c>
      <c r="L152" s="688">
        <v>477777</v>
      </c>
      <c r="M152" s="688" t="e">
        <f>S152-#REF!</f>
        <v>#REF!</v>
      </c>
      <c r="N152" s="689">
        <v>477777</v>
      </c>
      <c r="O152" s="689">
        <v>39814.75</v>
      </c>
      <c r="P152" s="689"/>
      <c r="Q152" s="689">
        <v>9953.6875</v>
      </c>
      <c r="R152" s="689">
        <v>42499.98</v>
      </c>
      <c r="S152" s="689">
        <v>93784.83</v>
      </c>
      <c r="T152" s="689">
        <f>S152*0.11</f>
        <v>10316.3313</v>
      </c>
      <c r="U152" s="689"/>
      <c r="V152" s="689"/>
      <c r="W152" s="689"/>
      <c r="X152" s="689"/>
      <c r="Y152" s="689"/>
      <c r="Z152" s="689"/>
      <c r="AA152" s="689"/>
      <c r="AB152" s="689"/>
      <c r="AC152" s="689">
        <v>2500</v>
      </c>
      <c r="AD152" s="689"/>
      <c r="AE152" s="689"/>
      <c r="AF152" s="689"/>
      <c r="AG152" s="689"/>
      <c r="AH152" s="689"/>
      <c r="AI152" s="689"/>
      <c r="AJ152" s="689">
        <v>2500</v>
      </c>
      <c r="AK152" s="689"/>
      <c r="AL152" s="689">
        <v>383.33</v>
      </c>
      <c r="AM152" s="689"/>
      <c r="AN152" s="689"/>
      <c r="AO152" s="689"/>
      <c r="AP152" s="689"/>
      <c r="AQ152" s="689"/>
      <c r="AR152" s="689"/>
      <c r="AS152" s="689"/>
      <c r="AT152" s="689"/>
      <c r="AU152" s="689">
        <f t="shared" si="185"/>
        <v>2813.5449</v>
      </c>
      <c r="AV152" s="689"/>
      <c r="AW152" s="689"/>
      <c r="AX152" s="718"/>
      <c r="AY152" s="718"/>
      <c r="AZ152" s="718"/>
      <c r="BA152" s="689"/>
      <c r="BB152" s="689"/>
      <c r="BC152" s="689"/>
      <c r="BD152" s="719"/>
      <c r="BE152" s="719">
        <f t="shared" si="186"/>
        <v>2813.5449</v>
      </c>
      <c r="BF152" s="689"/>
      <c r="BG152" s="689"/>
      <c r="BH152" s="727"/>
      <c r="BI152" s="689"/>
      <c r="BJ152" s="689"/>
      <c r="BK152" s="689"/>
      <c r="BL152" s="689"/>
      <c r="BM152" s="689"/>
      <c r="BN152" s="689"/>
      <c r="BO152" s="689">
        <v>0</v>
      </c>
      <c r="BP152" s="689"/>
      <c r="BQ152" s="689"/>
      <c r="BR152" s="731"/>
      <c r="BS152" s="731"/>
      <c r="BT152" s="731"/>
      <c r="BU152" s="731"/>
      <c r="BV152" s="731"/>
      <c r="BW152" s="731"/>
      <c r="BX152" s="731"/>
      <c r="BY152" s="731"/>
      <c r="BZ152" s="731">
        <v>500</v>
      </c>
      <c r="CA152" s="718">
        <f t="shared" si="149"/>
        <v>2182.023226</v>
      </c>
      <c r="CB152" s="735"/>
      <c r="CC152" s="731">
        <v>7592.14</v>
      </c>
      <c r="CD152" s="702">
        <f t="shared" si="178"/>
        <v>109101.1613</v>
      </c>
      <c r="CE152" s="731">
        <f t="shared" si="181"/>
        <v>15901.253026</v>
      </c>
      <c r="CF152" s="739">
        <f t="shared" si="179"/>
        <v>93199.908274</v>
      </c>
      <c r="CG152" s="742">
        <f t="shared" si="159"/>
        <v>15901.253026</v>
      </c>
      <c r="CH152" s="743" t="e">
        <f>'[6]JACKSON AKPOJARO '!C282*12</f>
        <v>#REF!</v>
      </c>
      <c r="CI152" s="744" t="e">
        <f t="shared" si="106"/>
        <v>#REF!</v>
      </c>
      <c r="CJ152" s="745">
        <f t="shared" si="198"/>
        <v>0</v>
      </c>
      <c r="CK152" s="748" t="e">
        <f t="shared" si="107"/>
        <v>#REF!</v>
      </c>
      <c r="CL152" s="749" t="e">
        <f t="shared" si="108"/>
        <v>#REF!</v>
      </c>
      <c r="CM152" s="744"/>
      <c r="CN152" s="745" t="e">
        <f t="shared" si="109"/>
        <v>#REF!</v>
      </c>
      <c r="CO152" s="745" t="e">
        <f t="shared" si="110"/>
        <v>#REF!</v>
      </c>
      <c r="CP152" s="745" t="e">
        <f t="shared" si="111"/>
        <v>#REF!</v>
      </c>
      <c r="CQ152" s="745" t="e">
        <f t="shared" si="112"/>
        <v>#REF!</v>
      </c>
      <c r="CR152" s="745" t="e">
        <f t="shared" si="113"/>
        <v>#REF!</v>
      </c>
      <c r="CS152" s="745" t="e">
        <f t="shared" si="114"/>
        <v>#REF!</v>
      </c>
      <c r="CT152" s="754" t="e">
        <f t="shared" si="199"/>
        <v>#REF!</v>
      </c>
      <c r="CU152" s="755" t="e">
        <f t="shared" si="200"/>
        <v>#REF!</v>
      </c>
      <c r="CV152" s="756">
        <f t="shared" si="201"/>
        <v>7592.14</v>
      </c>
      <c r="CW152" s="757"/>
      <c r="CX152" s="758"/>
      <c r="CY152" s="759"/>
      <c r="CZ152" s="760"/>
      <c r="DA152" s="767"/>
    </row>
    <row r="153" ht="236" customHeight="1" spans="1:105">
      <c r="A153" s="675">
        <v>476</v>
      </c>
      <c r="B153" s="676" t="s">
        <v>1138</v>
      </c>
      <c r="C153" s="677" t="s">
        <v>1527</v>
      </c>
      <c r="D153" s="677" t="s">
        <v>1689</v>
      </c>
      <c r="E153" s="677" t="s">
        <v>127</v>
      </c>
      <c r="F153" s="677" t="s">
        <v>1139</v>
      </c>
      <c r="G153" s="677" t="s">
        <v>1620</v>
      </c>
      <c r="H153" s="679"/>
      <c r="I153" s="681" t="s">
        <v>127</v>
      </c>
      <c r="J153" s="686" t="s">
        <v>1139</v>
      </c>
      <c r="K153" s="687"/>
      <c r="L153" s="688">
        <v>533895</v>
      </c>
      <c r="M153" s="688" t="e">
        <f>S153-#REF!</f>
        <v>#REF!</v>
      </c>
      <c r="N153" s="689">
        <v>937691</v>
      </c>
      <c r="O153" s="689">
        <v>78140.9166666667</v>
      </c>
      <c r="P153" s="689"/>
      <c r="Q153" s="689">
        <v>19535.2291666667</v>
      </c>
      <c r="R153" s="689">
        <v>30000</v>
      </c>
      <c r="S153" s="689">
        <v>131016.75</v>
      </c>
      <c r="T153" s="689">
        <f>S153*0.11</f>
        <v>14411.8425</v>
      </c>
      <c r="U153" s="689"/>
      <c r="V153" s="689"/>
      <c r="W153" s="689"/>
      <c r="X153" s="689"/>
      <c r="Y153" s="689"/>
      <c r="Z153" s="689"/>
      <c r="AA153" s="689"/>
      <c r="AB153" s="689"/>
      <c r="AC153" s="689">
        <v>2500</v>
      </c>
      <c r="AD153" s="689"/>
      <c r="AE153" s="689"/>
      <c r="AF153" s="689"/>
      <c r="AG153" s="689"/>
      <c r="AH153" s="689"/>
      <c r="AI153" s="689"/>
      <c r="AJ153" s="689">
        <v>2500</v>
      </c>
      <c r="AK153" s="689"/>
      <c r="AL153" s="689">
        <v>383.33</v>
      </c>
      <c r="AM153" s="689"/>
      <c r="AN153" s="689"/>
      <c r="AO153" s="689"/>
      <c r="AP153" s="689"/>
      <c r="AQ153" s="689"/>
      <c r="AR153" s="689"/>
      <c r="AS153" s="689"/>
      <c r="AT153" s="689"/>
      <c r="AU153" s="689">
        <f t="shared" si="185"/>
        <v>3930.5025</v>
      </c>
      <c r="AV153" s="689"/>
      <c r="AW153" s="689"/>
      <c r="AX153" s="718"/>
      <c r="AY153" s="718"/>
      <c r="AZ153" s="718"/>
      <c r="BA153" s="689"/>
      <c r="BB153" s="689"/>
      <c r="BC153" s="689"/>
      <c r="BD153" s="719"/>
      <c r="BE153" s="719">
        <f t="shared" si="186"/>
        <v>3930.5025</v>
      </c>
      <c r="BF153" s="689"/>
      <c r="BG153" s="689"/>
      <c r="BH153" s="727"/>
      <c r="BI153" s="689"/>
      <c r="BJ153" s="689"/>
      <c r="BK153" s="689"/>
      <c r="BL153" s="689"/>
      <c r="BM153" s="689"/>
      <c r="BN153" s="689"/>
      <c r="BO153" s="689">
        <v>10000</v>
      </c>
      <c r="BP153" s="689"/>
      <c r="BQ153" s="689"/>
      <c r="BR153" s="731"/>
      <c r="BS153" s="731"/>
      <c r="BT153" s="731"/>
      <c r="BU153" s="731"/>
      <c r="BV153" s="731"/>
      <c r="BW153" s="731"/>
      <c r="BX153" s="731"/>
      <c r="BY153" s="731">
        <v>1000</v>
      </c>
      <c r="BZ153" s="731">
        <v>500</v>
      </c>
      <c r="CA153" s="718">
        <f t="shared" si="149"/>
        <v>3008.57185</v>
      </c>
      <c r="CB153" s="735"/>
      <c r="CC153" s="731">
        <v>13031.81</v>
      </c>
      <c r="CD153" s="702">
        <f t="shared" si="178"/>
        <v>150428.5925</v>
      </c>
      <c r="CE153" s="731">
        <f t="shared" si="181"/>
        <v>35401.38685</v>
      </c>
      <c r="CF153" s="739">
        <f t="shared" si="179"/>
        <v>115027.20565</v>
      </c>
      <c r="CG153" s="742">
        <f t="shared" si="159"/>
        <v>35401.38685</v>
      </c>
      <c r="CH153" s="743" t="e">
        <f>'[6]JACKSON AKPOJARO '!C283*12</f>
        <v>#REF!</v>
      </c>
      <c r="CI153" s="744" t="e">
        <f t="shared" si="106"/>
        <v>#REF!</v>
      </c>
      <c r="CJ153" s="745">
        <f t="shared" si="198"/>
        <v>0</v>
      </c>
      <c r="CK153" s="748" t="e">
        <f t="shared" si="107"/>
        <v>#REF!</v>
      </c>
      <c r="CL153" s="749" t="e">
        <f t="shared" si="108"/>
        <v>#REF!</v>
      </c>
      <c r="CM153" s="744"/>
      <c r="CN153" s="745" t="e">
        <f t="shared" si="109"/>
        <v>#REF!</v>
      </c>
      <c r="CO153" s="745" t="e">
        <f t="shared" si="110"/>
        <v>#REF!</v>
      </c>
      <c r="CP153" s="745" t="e">
        <f t="shared" si="111"/>
        <v>#REF!</v>
      </c>
      <c r="CQ153" s="745" t="e">
        <f t="shared" si="112"/>
        <v>#REF!</v>
      </c>
      <c r="CR153" s="745" t="e">
        <f t="shared" si="113"/>
        <v>#REF!</v>
      </c>
      <c r="CS153" s="745" t="e">
        <f t="shared" si="114"/>
        <v>#REF!</v>
      </c>
      <c r="CT153" s="754" t="e">
        <f t="shared" si="199"/>
        <v>#REF!</v>
      </c>
      <c r="CU153" s="755" t="e">
        <f t="shared" si="200"/>
        <v>#REF!</v>
      </c>
      <c r="CV153" s="756">
        <f t="shared" si="201"/>
        <v>13031.81</v>
      </c>
      <c r="CW153" s="757"/>
      <c r="CX153" s="758"/>
      <c r="CY153" s="759"/>
      <c r="CZ153" s="760"/>
      <c r="DA153" s="767"/>
    </row>
    <row r="154" s="659" customFormat="1" ht="236" customHeight="1" spans="1:106">
      <c r="A154" s="673">
        <v>477</v>
      </c>
      <c r="B154" s="676" t="s">
        <v>1140</v>
      </c>
      <c r="C154" s="677" t="s">
        <v>1527</v>
      </c>
      <c r="D154" s="677" t="s">
        <v>1678</v>
      </c>
      <c r="E154" s="677" t="s">
        <v>135</v>
      </c>
      <c r="F154" s="1452" t="s">
        <v>1141</v>
      </c>
      <c r="G154" s="677" t="s">
        <v>1602</v>
      </c>
      <c r="H154" s="679"/>
      <c r="I154" s="681" t="s">
        <v>135</v>
      </c>
      <c r="J154" s="686" t="s">
        <v>1141</v>
      </c>
      <c r="K154" s="687">
        <f>'[5] NON-TEACHING STAFF'!$J$126</f>
        <v>22451861353</v>
      </c>
      <c r="L154" s="688">
        <f>L153</f>
        <v>533895</v>
      </c>
      <c r="M154" s="688" t="e">
        <f>S154-#REF!</f>
        <v>#REF!</v>
      </c>
      <c r="N154" s="689">
        <f>N152</f>
        <v>477777</v>
      </c>
      <c r="O154" s="689">
        <v>39814.75</v>
      </c>
      <c r="P154" s="689"/>
      <c r="Q154" s="689">
        <v>9953.6875</v>
      </c>
      <c r="R154" s="689">
        <v>40000</v>
      </c>
      <c r="S154" s="689">
        <v>93784.83</v>
      </c>
      <c r="T154" s="689">
        <f>S154*0.11</f>
        <v>10316.3313</v>
      </c>
      <c r="U154" s="689"/>
      <c r="V154" s="689"/>
      <c r="W154" s="689"/>
      <c r="X154" s="689"/>
      <c r="Y154" s="689"/>
      <c r="Z154" s="689"/>
      <c r="AA154" s="689"/>
      <c r="AB154" s="689"/>
      <c r="AC154" s="689">
        <v>2500</v>
      </c>
      <c r="AD154" s="689"/>
      <c r="AE154" s="689"/>
      <c r="AF154" s="689"/>
      <c r="AG154" s="689"/>
      <c r="AH154" s="689"/>
      <c r="AI154" s="689"/>
      <c r="AJ154" s="689">
        <v>2500</v>
      </c>
      <c r="AK154" s="689"/>
      <c r="AL154" s="689">
        <v>383.33</v>
      </c>
      <c r="AM154" s="689"/>
      <c r="AN154" s="689"/>
      <c r="AO154" s="689"/>
      <c r="AP154" s="689"/>
      <c r="AQ154" s="689"/>
      <c r="AR154" s="689"/>
      <c r="AS154" s="689"/>
      <c r="AT154" s="689"/>
      <c r="AU154" s="689">
        <f t="shared" si="185"/>
        <v>2813.5449</v>
      </c>
      <c r="AV154" s="689"/>
      <c r="AW154" s="689"/>
      <c r="AX154" s="718"/>
      <c r="AY154" s="718"/>
      <c r="AZ154" s="718"/>
      <c r="BA154" s="689"/>
      <c r="BB154" s="689"/>
      <c r="BC154" s="689"/>
      <c r="BD154" s="719"/>
      <c r="BE154" s="719">
        <f t="shared" si="186"/>
        <v>2813.5449</v>
      </c>
      <c r="BF154" s="689"/>
      <c r="BG154" s="689"/>
      <c r="BH154" s="727"/>
      <c r="BI154" s="689"/>
      <c r="BJ154" s="689"/>
      <c r="BK154" s="689"/>
      <c r="BL154" s="689">
        <f>'[8]TEACHING STAFF'!$AU$129</f>
        <v>0</v>
      </c>
      <c r="BM154" s="689"/>
      <c r="BN154" s="689"/>
      <c r="BO154" s="689">
        <v>39167</v>
      </c>
      <c r="BP154" s="689"/>
      <c r="BQ154" s="689"/>
      <c r="BR154" s="731"/>
      <c r="BS154" s="731"/>
      <c r="BT154" s="731"/>
      <c r="BU154" s="731"/>
      <c r="BV154" s="731"/>
      <c r="BW154" s="731"/>
      <c r="BX154" s="731"/>
      <c r="BY154" s="731"/>
      <c r="BZ154" s="731">
        <v>500</v>
      </c>
      <c r="CA154" s="718">
        <f t="shared" si="149"/>
        <v>2182.023226</v>
      </c>
      <c r="CB154" s="735"/>
      <c r="CC154" s="731">
        <v>7592.14</v>
      </c>
      <c r="CD154" s="702">
        <f t="shared" si="178"/>
        <v>109101.1613</v>
      </c>
      <c r="CE154" s="731">
        <f t="shared" si="181"/>
        <v>55068.253026</v>
      </c>
      <c r="CF154" s="739">
        <f t="shared" si="179"/>
        <v>54032.908274</v>
      </c>
      <c r="CG154" s="742">
        <f t="shared" si="159"/>
        <v>55068.253026</v>
      </c>
      <c r="CH154" s="743" t="e">
        <f>'[6]JACKSON AKPOJARO '!C284*12</f>
        <v>#REF!</v>
      </c>
      <c r="CI154" s="744" t="e">
        <f t="shared" si="106"/>
        <v>#REF!</v>
      </c>
      <c r="CJ154" s="745">
        <f t="shared" si="198"/>
        <v>0</v>
      </c>
      <c r="CK154" s="748" t="e">
        <f t="shared" si="107"/>
        <v>#REF!</v>
      </c>
      <c r="CL154" s="749" t="e">
        <f t="shared" si="108"/>
        <v>#REF!</v>
      </c>
      <c r="CM154" s="744"/>
      <c r="CN154" s="745" t="e">
        <f t="shared" si="109"/>
        <v>#REF!</v>
      </c>
      <c r="CO154" s="745" t="e">
        <f t="shared" si="110"/>
        <v>#REF!</v>
      </c>
      <c r="CP154" s="745" t="e">
        <f t="shared" si="111"/>
        <v>#REF!</v>
      </c>
      <c r="CQ154" s="745" t="e">
        <f t="shared" si="112"/>
        <v>#REF!</v>
      </c>
      <c r="CR154" s="745" t="e">
        <f t="shared" si="113"/>
        <v>#REF!</v>
      </c>
      <c r="CS154" s="745" t="e">
        <f t="shared" si="114"/>
        <v>#REF!</v>
      </c>
      <c r="CT154" s="745" t="e">
        <f t="shared" si="199"/>
        <v>#REF!</v>
      </c>
      <c r="CU154" s="804" t="e">
        <f t="shared" si="200"/>
        <v>#REF!</v>
      </c>
      <c r="CV154" s="744">
        <f t="shared" si="201"/>
        <v>7592.14</v>
      </c>
      <c r="CW154" s="858"/>
      <c r="CX154" s="859"/>
      <c r="CY154" s="860"/>
      <c r="CZ154" s="861"/>
      <c r="DA154" s="871"/>
      <c r="DB154" s="670"/>
    </row>
    <row r="155" ht="236" customHeight="1" spans="1:105">
      <c r="A155" s="675">
        <v>478</v>
      </c>
      <c r="B155" s="676" t="s">
        <v>1142</v>
      </c>
      <c r="C155" s="677" t="s">
        <v>1527</v>
      </c>
      <c r="D155" s="677" t="s">
        <v>1678</v>
      </c>
      <c r="E155" s="677" t="s">
        <v>135</v>
      </c>
      <c r="F155" s="1452" t="s">
        <v>1143</v>
      </c>
      <c r="G155" s="677" t="s">
        <v>1602</v>
      </c>
      <c r="H155" s="679"/>
      <c r="I155" s="681" t="s">
        <v>135</v>
      </c>
      <c r="J155" s="686" t="s">
        <v>1143</v>
      </c>
      <c r="K155" s="687">
        <f>'[5] NON-TEACHING STAFF'!$J$127</f>
        <v>22408299062</v>
      </c>
      <c r="L155" s="688">
        <f>L154</f>
        <v>533895</v>
      </c>
      <c r="M155" s="688" t="e">
        <f>S155-#REF!</f>
        <v>#REF!</v>
      </c>
      <c r="N155" s="689">
        <v>477777</v>
      </c>
      <c r="O155" s="689">
        <v>39814.75</v>
      </c>
      <c r="P155" s="689"/>
      <c r="Q155" s="689">
        <v>9953.6875</v>
      </c>
      <c r="R155" s="689">
        <v>40000</v>
      </c>
      <c r="S155" s="689">
        <v>93784.83</v>
      </c>
      <c r="T155" s="689">
        <f>S155*0.11</f>
        <v>10316.3313</v>
      </c>
      <c r="U155" s="689"/>
      <c r="V155" s="689"/>
      <c r="W155" s="689"/>
      <c r="X155" s="689"/>
      <c r="Y155" s="689"/>
      <c r="Z155" s="689"/>
      <c r="AA155" s="689"/>
      <c r="AB155" s="689"/>
      <c r="AC155" s="689">
        <v>2500</v>
      </c>
      <c r="AD155" s="689"/>
      <c r="AE155" s="689"/>
      <c r="AF155" s="689"/>
      <c r="AG155" s="689"/>
      <c r="AH155" s="689"/>
      <c r="AI155" s="689"/>
      <c r="AJ155" s="689">
        <v>2500</v>
      </c>
      <c r="AK155" s="689"/>
      <c r="AL155" s="689">
        <v>383.33</v>
      </c>
      <c r="AM155" s="689"/>
      <c r="AN155" s="689"/>
      <c r="AO155" s="689"/>
      <c r="AP155" s="689"/>
      <c r="AQ155" s="689"/>
      <c r="AR155" s="689"/>
      <c r="AS155" s="689"/>
      <c r="AT155" s="689"/>
      <c r="AU155" s="689">
        <f t="shared" si="185"/>
        <v>2813.5449</v>
      </c>
      <c r="AV155" s="689"/>
      <c r="AW155" s="689"/>
      <c r="AX155" s="718"/>
      <c r="AY155" s="718"/>
      <c r="AZ155" s="718"/>
      <c r="BA155" s="689"/>
      <c r="BB155" s="689"/>
      <c r="BC155" s="689"/>
      <c r="BD155" s="719"/>
      <c r="BE155" s="719">
        <f t="shared" si="186"/>
        <v>2813.5449</v>
      </c>
      <c r="BF155" s="689"/>
      <c r="BG155" s="689"/>
      <c r="BH155" s="727"/>
      <c r="BI155" s="689"/>
      <c r="BJ155" s="689"/>
      <c r="BK155" s="689"/>
      <c r="BL155" s="689"/>
      <c r="BM155" s="689"/>
      <c r="BN155" s="689"/>
      <c r="BO155" s="689">
        <v>0</v>
      </c>
      <c r="BP155" s="689"/>
      <c r="BQ155" s="689"/>
      <c r="BR155" s="731"/>
      <c r="BS155" s="731"/>
      <c r="BT155" s="731"/>
      <c r="BU155" s="731"/>
      <c r="BV155" s="731"/>
      <c r="BW155" s="731"/>
      <c r="BX155" s="731"/>
      <c r="BY155" s="731">
        <v>1000</v>
      </c>
      <c r="BZ155" s="731">
        <v>500</v>
      </c>
      <c r="CA155" s="718">
        <f t="shared" si="149"/>
        <v>2182.023226</v>
      </c>
      <c r="CB155" s="735"/>
      <c r="CC155" s="731">
        <v>7592.14</v>
      </c>
      <c r="CD155" s="702">
        <f t="shared" si="178"/>
        <v>109101.1613</v>
      </c>
      <c r="CE155" s="731">
        <f t="shared" si="181"/>
        <v>16901.253026</v>
      </c>
      <c r="CF155" s="739">
        <f t="shared" si="179"/>
        <v>92199.908274</v>
      </c>
      <c r="CG155" s="742">
        <f t="shared" si="159"/>
        <v>16901.253026</v>
      </c>
      <c r="CH155" s="743" t="e">
        <f>'[6]JACKSON AKPOJARO '!C285*12</f>
        <v>#REF!</v>
      </c>
      <c r="CI155" s="744" t="e">
        <f t="shared" si="106"/>
        <v>#REF!</v>
      </c>
      <c r="CJ155" s="745">
        <f t="shared" si="198"/>
        <v>0</v>
      </c>
      <c r="CK155" s="748" t="e">
        <f t="shared" si="107"/>
        <v>#REF!</v>
      </c>
      <c r="CL155" s="749" t="e">
        <f t="shared" si="108"/>
        <v>#REF!</v>
      </c>
      <c r="CM155" s="744"/>
      <c r="CN155" s="745" t="e">
        <f t="shared" si="109"/>
        <v>#REF!</v>
      </c>
      <c r="CO155" s="745" t="e">
        <f t="shared" si="110"/>
        <v>#REF!</v>
      </c>
      <c r="CP155" s="745" t="e">
        <f t="shared" si="111"/>
        <v>#REF!</v>
      </c>
      <c r="CQ155" s="745" t="e">
        <f t="shared" si="112"/>
        <v>#REF!</v>
      </c>
      <c r="CR155" s="745" t="e">
        <f t="shared" si="113"/>
        <v>#REF!</v>
      </c>
      <c r="CS155" s="745" t="e">
        <f t="shared" si="114"/>
        <v>#REF!</v>
      </c>
      <c r="CT155" s="754" t="e">
        <f t="shared" si="199"/>
        <v>#REF!</v>
      </c>
      <c r="CU155" s="755" t="e">
        <f t="shared" si="200"/>
        <v>#REF!</v>
      </c>
      <c r="CV155" s="756">
        <f t="shared" si="201"/>
        <v>7592.14</v>
      </c>
      <c r="CW155" s="757"/>
      <c r="CX155" s="758"/>
      <c r="CY155" s="759"/>
      <c r="CZ155" s="760"/>
      <c r="DA155" s="767"/>
    </row>
    <row r="156" ht="236" customHeight="1" spans="1:105">
      <c r="A156" s="673">
        <v>479</v>
      </c>
      <c r="B156" s="676" t="s">
        <v>1144</v>
      </c>
      <c r="C156" s="677" t="s">
        <v>1527</v>
      </c>
      <c r="D156" s="677" t="s">
        <v>1572</v>
      </c>
      <c r="E156" s="677" t="s">
        <v>165</v>
      </c>
      <c r="F156" s="677" t="s">
        <v>1145</v>
      </c>
      <c r="G156" s="677" t="s">
        <v>1690</v>
      </c>
      <c r="H156" s="679"/>
      <c r="I156" s="681" t="s">
        <v>165</v>
      </c>
      <c r="J156" s="686">
        <v>2265061952</v>
      </c>
      <c r="K156" s="785" t="str">
        <f>'[5] NON-TEACHING STAFF'!$J$128</f>
        <v>223844515064</v>
      </c>
      <c r="L156" s="688">
        <f>L151</f>
        <v>1343017</v>
      </c>
      <c r="M156" s="688" t="e">
        <f>S156-#REF!</f>
        <v>#REF!</v>
      </c>
      <c r="N156" s="689">
        <v>1385795</v>
      </c>
      <c r="O156" s="689">
        <v>115482.916666667</v>
      </c>
      <c r="P156" s="689"/>
      <c r="Q156" s="689">
        <v>28870.7291666667</v>
      </c>
      <c r="R156" s="689">
        <v>30000</v>
      </c>
      <c r="S156" s="689">
        <v>183265.75</v>
      </c>
      <c r="T156" s="689"/>
      <c r="U156" s="689"/>
      <c r="V156" s="689"/>
      <c r="W156" s="689"/>
      <c r="X156" s="689"/>
      <c r="Y156" s="689"/>
      <c r="Z156" s="689"/>
      <c r="AA156" s="689"/>
      <c r="AB156" s="689"/>
      <c r="AC156" s="689">
        <v>2500</v>
      </c>
      <c r="AD156" s="689"/>
      <c r="AE156" s="689"/>
      <c r="AF156" s="689"/>
      <c r="AG156" s="689"/>
      <c r="AH156" s="689"/>
      <c r="AI156" s="689"/>
      <c r="AJ156" s="689">
        <v>2500</v>
      </c>
      <c r="AK156" s="689">
        <v>2500</v>
      </c>
      <c r="AL156" s="689">
        <v>2500</v>
      </c>
      <c r="AM156" s="689">
        <v>2500</v>
      </c>
      <c r="AN156" s="689">
        <v>2500</v>
      </c>
      <c r="AO156" s="689">
        <v>2500</v>
      </c>
      <c r="AP156" s="689">
        <v>2500</v>
      </c>
      <c r="AQ156" s="689">
        <v>2500</v>
      </c>
      <c r="AR156" s="689"/>
      <c r="AS156" s="689"/>
      <c r="AT156" s="689"/>
      <c r="AU156" s="689">
        <f t="shared" si="185"/>
        <v>5497.9725</v>
      </c>
      <c r="AV156" s="689"/>
      <c r="AW156" s="689">
        <v>1500</v>
      </c>
      <c r="AX156" s="718">
        <f>S156*0.02</f>
        <v>3665.315</v>
      </c>
      <c r="AY156" s="718"/>
      <c r="AZ156" s="718"/>
      <c r="BA156" s="689"/>
      <c r="BB156" s="689"/>
      <c r="BC156" s="689"/>
      <c r="BD156" s="719"/>
      <c r="BE156" s="719"/>
      <c r="BF156" s="689"/>
      <c r="BG156" s="689"/>
      <c r="BH156" s="727"/>
      <c r="BI156" s="689"/>
      <c r="BJ156" s="711"/>
      <c r="BK156" s="393"/>
      <c r="BL156" s="689"/>
      <c r="BM156" s="689"/>
      <c r="BN156" s="689"/>
      <c r="BO156" s="689">
        <v>0</v>
      </c>
      <c r="BP156" s="689"/>
      <c r="BQ156" s="689"/>
      <c r="BR156" s="731"/>
      <c r="BS156" s="731"/>
      <c r="BT156" s="731"/>
      <c r="BU156" s="731"/>
      <c r="BV156" s="731"/>
      <c r="BW156" s="731"/>
      <c r="BX156" s="731"/>
      <c r="BY156" s="731">
        <v>2000</v>
      </c>
      <c r="BZ156" s="731">
        <v>1000</v>
      </c>
      <c r="CA156" s="718">
        <f t="shared" si="149"/>
        <v>3765.315</v>
      </c>
      <c r="CB156" s="735"/>
      <c r="CC156" s="801">
        <v>18795.31</v>
      </c>
      <c r="CD156" s="702">
        <f t="shared" si="178"/>
        <v>188265.75</v>
      </c>
      <c r="CE156" s="731">
        <f t="shared" si="181"/>
        <v>36223.9125</v>
      </c>
      <c r="CF156" s="739">
        <f t="shared" si="179"/>
        <v>152041.8375</v>
      </c>
      <c r="CG156" s="742">
        <f t="shared" si="159"/>
        <v>36223.9125</v>
      </c>
      <c r="CH156" s="743" t="e">
        <f>'[6]JACKSON AKPOJARO '!C286*12</f>
        <v>#REF!</v>
      </c>
      <c r="CI156" s="744" t="e">
        <f t="shared" si="106"/>
        <v>#REF!</v>
      </c>
      <c r="CJ156" s="745">
        <f t="shared" si="198"/>
        <v>0</v>
      </c>
      <c r="CK156" s="748" t="e">
        <f t="shared" si="107"/>
        <v>#REF!</v>
      </c>
      <c r="CL156" s="749" t="e">
        <f t="shared" si="108"/>
        <v>#REF!</v>
      </c>
      <c r="CM156" s="744"/>
      <c r="CN156" s="745" t="e">
        <f t="shared" si="109"/>
        <v>#REF!</v>
      </c>
      <c r="CO156" s="745" t="e">
        <f t="shared" si="110"/>
        <v>#REF!</v>
      </c>
      <c r="CP156" s="745" t="e">
        <f t="shared" si="111"/>
        <v>#REF!</v>
      </c>
      <c r="CQ156" s="745" t="e">
        <f t="shared" si="112"/>
        <v>#REF!</v>
      </c>
      <c r="CR156" s="745" t="e">
        <f t="shared" si="113"/>
        <v>#REF!</v>
      </c>
      <c r="CS156" s="745" t="e">
        <f t="shared" si="114"/>
        <v>#REF!</v>
      </c>
      <c r="CT156" s="754" t="e">
        <f t="shared" si="199"/>
        <v>#REF!</v>
      </c>
      <c r="CU156" s="755" t="e">
        <f t="shared" si="200"/>
        <v>#REF!</v>
      </c>
      <c r="CV156" s="756">
        <f t="shared" si="201"/>
        <v>18795.31</v>
      </c>
      <c r="CW156" s="757"/>
      <c r="CX156" s="758"/>
      <c r="CY156" s="759"/>
      <c r="CZ156" s="760"/>
      <c r="DA156" s="767"/>
    </row>
    <row r="157" ht="236" customHeight="1" spans="1:105">
      <c r="A157" s="675">
        <v>480</v>
      </c>
      <c r="B157" s="676" t="s">
        <v>1146</v>
      </c>
      <c r="C157" s="677" t="s">
        <v>1533</v>
      </c>
      <c r="D157" s="677" t="s">
        <v>1682</v>
      </c>
      <c r="E157" s="677" t="s">
        <v>135</v>
      </c>
      <c r="F157" s="1452" t="s">
        <v>1147</v>
      </c>
      <c r="G157" s="677" t="s">
        <v>1683</v>
      </c>
      <c r="H157" s="679"/>
      <c r="I157" s="33" t="s">
        <v>135</v>
      </c>
      <c r="J157" s="33" t="s">
        <v>1147</v>
      </c>
      <c r="K157" s="695"/>
      <c r="L157" s="688">
        <v>403057</v>
      </c>
      <c r="M157" s="688" t="e">
        <f>S157-#REF!</f>
        <v>#REF!</v>
      </c>
      <c r="N157" s="689">
        <v>415390</v>
      </c>
      <c r="O157" s="689">
        <v>33588.0833333333</v>
      </c>
      <c r="P157" s="689"/>
      <c r="Q157" s="689">
        <v>8397.02083333333</v>
      </c>
      <c r="R157" s="689">
        <v>42499.98</v>
      </c>
      <c r="S157" s="689">
        <v>89282.58</v>
      </c>
      <c r="T157" s="689"/>
      <c r="U157" s="689"/>
      <c r="V157" s="689"/>
      <c r="W157" s="689"/>
      <c r="X157" s="689"/>
      <c r="Y157" s="689"/>
      <c r="Z157" s="689"/>
      <c r="AA157" s="689"/>
      <c r="AB157" s="689"/>
      <c r="AC157" s="689">
        <v>2500</v>
      </c>
      <c r="AD157" s="689"/>
      <c r="AE157" s="689"/>
      <c r="AF157" s="689"/>
      <c r="AG157" s="689"/>
      <c r="AH157" s="689"/>
      <c r="AI157" s="689"/>
      <c r="AJ157" s="689">
        <v>2500</v>
      </c>
      <c r="AK157" s="689"/>
      <c r="AL157" s="689">
        <v>383.33</v>
      </c>
      <c r="AM157" s="689"/>
      <c r="AN157" s="689"/>
      <c r="AO157" s="689"/>
      <c r="AP157" s="689"/>
      <c r="AQ157" s="689"/>
      <c r="AR157" s="689"/>
      <c r="AS157" s="689"/>
      <c r="AT157" s="689"/>
      <c r="AU157" s="689">
        <f t="shared" si="185"/>
        <v>2678.4774</v>
      </c>
      <c r="AV157" s="689"/>
      <c r="AW157" s="689"/>
      <c r="AX157" s="718"/>
      <c r="AY157" s="718"/>
      <c r="AZ157" s="718"/>
      <c r="BA157" s="689"/>
      <c r="BB157" s="689"/>
      <c r="BC157" s="689"/>
      <c r="BD157" s="719"/>
      <c r="BE157" s="719">
        <f>S157*0.03</f>
        <v>2678.4774</v>
      </c>
      <c r="BF157" s="689"/>
      <c r="BG157" s="689"/>
      <c r="BH157" s="727"/>
      <c r="BI157" s="689"/>
      <c r="BJ157" s="689"/>
      <c r="BK157" s="689"/>
      <c r="BL157" s="689"/>
      <c r="BM157" s="689"/>
      <c r="BN157" s="689"/>
      <c r="BO157" s="689">
        <v>0</v>
      </c>
      <c r="BP157" s="689"/>
      <c r="BQ157" s="689"/>
      <c r="BR157" s="731"/>
      <c r="BS157" s="731"/>
      <c r="BT157" s="731"/>
      <c r="BU157" s="731"/>
      <c r="BV157" s="731"/>
      <c r="BW157" s="731"/>
      <c r="BX157" s="731"/>
      <c r="BY157" s="731"/>
      <c r="BZ157" s="731">
        <v>1000</v>
      </c>
      <c r="CA157" s="718">
        <f t="shared" si="149"/>
        <v>1885.6516</v>
      </c>
      <c r="CB157" s="735"/>
      <c r="CC157" s="731">
        <v>5813.91</v>
      </c>
      <c r="CD157" s="702">
        <f t="shared" si="178"/>
        <v>94282.58</v>
      </c>
      <c r="CE157" s="731">
        <f t="shared" si="181"/>
        <v>14056.5164</v>
      </c>
      <c r="CF157" s="739">
        <f t="shared" si="179"/>
        <v>80226.0636</v>
      </c>
      <c r="CG157" s="742">
        <f t="shared" si="159"/>
        <v>14056.5164</v>
      </c>
      <c r="CH157" s="743" t="e">
        <v>#REF!</v>
      </c>
      <c r="CI157" s="744" t="e">
        <v>#REF!</v>
      </c>
      <c r="CJ157" s="745">
        <v>0</v>
      </c>
      <c r="CK157" s="748" t="e">
        <v>#REF!</v>
      </c>
      <c r="CL157" s="749" t="e">
        <v>#REF!</v>
      </c>
      <c r="CM157" s="744"/>
      <c r="CN157" s="745" t="e">
        <v>#REF!</v>
      </c>
      <c r="CO157" s="745" t="e">
        <v>#REF!</v>
      </c>
      <c r="CP157" s="745" t="e">
        <v>#REF!</v>
      </c>
      <c r="CQ157" s="745" t="e">
        <v>#REF!</v>
      </c>
      <c r="CR157" s="745" t="e">
        <v>#REF!</v>
      </c>
      <c r="CS157" s="745" t="e">
        <v>#REF!</v>
      </c>
      <c r="CT157" s="754" t="e">
        <v>#REF!</v>
      </c>
      <c r="CU157" s="755" t="e">
        <v>#REF!</v>
      </c>
      <c r="CV157" s="756">
        <v>498.29</v>
      </c>
      <c r="CW157" s="757"/>
      <c r="CX157" s="758"/>
      <c r="CY157" s="759"/>
      <c r="CZ157" s="760"/>
      <c r="DA157" s="767"/>
    </row>
    <row r="158" s="660" customFormat="1" ht="236" customHeight="1" spans="1:106">
      <c r="A158" s="673">
        <v>481</v>
      </c>
      <c r="B158" s="826" t="s">
        <v>1148</v>
      </c>
      <c r="C158" s="827" t="s">
        <v>1527</v>
      </c>
      <c r="D158" s="827" t="s">
        <v>1678</v>
      </c>
      <c r="E158" s="827" t="s">
        <v>1149</v>
      </c>
      <c r="F158" s="827" t="s">
        <v>1150</v>
      </c>
      <c r="G158" s="827" t="s">
        <v>1602</v>
      </c>
      <c r="H158" s="828"/>
      <c r="I158" s="833" t="s">
        <v>113</v>
      </c>
      <c r="J158" s="834">
        <v>2120617218</v>
      </c>
      <c r="K158" s="835">
        <f>'[5] NON-TEACHING STAFF'!$J$130</f>
        <v>22386853197</v>
      </c>
      <c r="L158" s="836">
        <v>449113</v>
      </c>
      <c r="M158" s="836" t="e">
        <f>S158-#REF!</f>
        <v>#REF!</v>
      </c>
      <c r="N158" s="837">
        <v>449113</v>
      </c>
      <c r="O158" s="837">
        <v>37426.0833333333</v>
      </c>
      <c r="P158" s="837"/>
      <c r="Q158" s="837">
        <v>9356.52083333333</v>
      </c>
      <c r="R158" s="837">
        <v>42499.98</v>
      </c>
      <c r="S158" s="689">
        <v>93784.83</v>
      </c>
      <c r="T158" s="689">
        <f>S158*0.11</f>
        <v>10316.3313</v>
      </c>
      <c r="U158" s="689"/>
      <c r="V158" s="689"/>
      <c r="W158" s="689"/>
      <c r="X158" s="689"/>
      <c r="Y158" s="689"/>
      <c r="Z158" s="689"/>
      <c r="AA158" s="689"/>
      <c r="AB158" s="689"/>
      <c r="AC158" s="689">
        <v>2500</v>
      </c>
      <c r="AD158" s="689"/>
      <c r="AE158" s="689"/>
      <c r="AF158" s="689"/>
      <c r="AG158" s="689"/>
      <c r="AH158" s="689"/>
      <c r="AI158" s="689"/>
      <c r="AJ158" s="689">
        <v>2500</v>
      </c>
      <c r="AK158" s="689"/>
      <c r="AL158" s="689">
        <v>383.33</v>
      </c>
      <c r="AM158" s="689"/>
      <c r="AN158" s="689"/>
      <c r="AO158" s="689"/>
      <c r="AP158" s="689"/>
      <c r="AQ158" s="689"/>
      <c r="AR158" s="689"/>
      <c r="AS158" s="689"/>
      <c r="AT158" s="689"/>
      <c r="AU158" s="689">
        <f t="shared" si="185"/>
        <v>2813.5449</v>
      </c>
      <c r="AV158" s="689"/>
      <c r="AW158" s="689"/>
      <c r="AX158" s="718"/>
      <c r="AY158" s="718"/>
      <c r="AZ158" s="718"/>
      <c r="BA158" s="689"/>
      <c r="BB158" s="689"/>
      <c r="BC158" s="689"/>
      <c r="BD158" s="719"/>
      <c r="BE158" s="719">
        <f t="shared" si="186"/>
        <v>2813.5449</v>
      </c>
      <c r="BF158" s="689"/>
      <c r="BG158" s="689">
        <v>42100</v>
      </c>
      <c r="BH158" s="727"/>
      <c r="BI158" s="689"/>
      <c r="BJ158" s="689"/>
      <c r="BK158" s="689"/>
      <c r="BL158" s="689"/>
      <c r="BM158" s="689"/>
      <c r="BN158" s="689"/>
      <c r="BO158" s="689">
        <v>0</v>
      </c>
      <c r="BP158" s="689"/>
      <c r="BQ158" s="689"/>
      <c r="BR158" s="731"/>
      <c r="BS158" s="731"/>
      <c r="BT158" s="731"/>
      <c r="BU158" s="731"/>
      <c r="BV158" s="731"/>
      <c r="BW158" s="731"/>
      <c r="BX158" s="731"/>
      <c r="BY158" s="731"/>
      <c r="BZ158" s="731">
        <v>500</v>
      </c>
      <c r="CA158" s="718">
        <f t="shared" ref="CA158" si="202">CD158*0.02</f>
        <v>2182.023226</v>
      </c>
      <c r="CB158" s="735"/>
      <c r="CC158" s="731">
        <v>6354.18</v>
      </c>
      <c r="CD158" s="702">
        <f t="shared" si="178"/>
        <v>109101.1613</v>
      </c>
      <c r="CE158" s="731">
        <f t="shared" si="181"/>
        <v>56763.293026</v>
      </c>
      <c r="CF158" s="739">
        <f t="shared" si="179"/>
        <v>52337.868274</v>
      </c>
      <c r="CG158" s="843">
        <f t="shared" si="159"/>
        <v>56763.293026</v>
      </c>
      <c r="CH158" s="844" t="e">
        <f>'[6]JACKSON AKPOJARO '!C288*12</f>
        <v>#REF!</v>
      </c>
      <c r="CI158" s="845" t="e">
        <f t="shared" si="106"/>
        <v>#REF!</v>
      </c>
      <c r="CJ158" s="846">
        <f t="shared" ref="CJ158:CJ176" si="203">CB158*12</f>
        <v>0</v>
      </c>
      <c r="CK158" s="849" t="e">
        <f t="shared" si="107"/>
        <v>#REF!</v>
      </c>
      <c r="CL158" s="850" t="e">
        <f t="shared" si="108"/>
        <v>#REF!</v>
      </c>
      <c r="CM158" s="845"/>
      <c r="CN158" s="846" t="e">
        <f t="shared" si="109"/>
        <v>#REF!</v>
      </c>
      <c r="CO158" s="846" t="e">
        <f t="shared" si="110"/>
        <v>#REF!</v>
      </c>
      <c r="CP158" s="846" t="e">
        <f t="shared" si="111"/>
        <v>#REF!</v>
      </c>
      <c r="CQ158" s="846" t="e">
        <f t="shared" si="112"/>
        <v>#REF!</v>
      </c>
      <c r="CR158" s="846" t="e">
        <f t="shared" si="113"/>
        <v>#REF!</v>
      </c>
      <c r="CS158" s="846" t="e">
        <f t="shared" si="114"/>
        <v>#REF!</v>
      </c>
      <c r="CT158" s="862" t="e">
        <f t="shared" si="199"/>
        <v>#REF!</v>
      </c>
      <c r="CU158" s="863" t="e">
        <f t="shared" si="200"/>
        <v>#REF!</v>
      </c>
      <c r="CV158" s="864">
        <f>CC158</f>
        <v>6354.18</v>
      </c>
      <c r="CW158" s="865"/>
      <c r="CX158" s="866"/>
      <c r="CY158" s="867"/>
      <c r="CZ158" s="868"/>
      <c r="DA158" s="872"/>
      <c r="DB158" s="873"/>
    </row>
    <row r="159" ht="236" customHeight="1" spans="1:105">
      <c r="A159" s="675">
        <v>482</v>
      </c>
      <c r="B159" s="676" t="s">
        <v>1151</v>
      </c>
      <c r="C159" s="677" t="s">
        <v>1527</v>
      </c>
      <c r="D159" s="677" t="s">
        <v>1680</v>
      </c>
      <c r="E159" s="677" t="s">
        <v>97</v>
      </c>
      <c r="F159" s="1452" t="s">
        <v>1152</v>
      </c>
      <c r="G159" s="677" t="s">
        <v>1575</v>
      </c>
      <c r="H159" s="679"/>
      <c r="I159" s="33" t="s">
        <v>97</v>
      </c>
      <c r="J159" s="33" t="s">
        <v>1152</v>
      </c>
      <c r="K159" s="687"/>
      <c r="L159" s="688">
        <f>L156</f>
        <v>1343017</v>
      </c>
      <c r="M159" s="688" t="e">
        <f>S159-#REF!</f>
        <v>#REF!</v>
      </c>
      <c r="N159" s="689">
        <v>1385795</v>
      </c>
      <c r="O159" s="689">
        <v>115482.916666667</v>
      </c>
      <c r="P159" s="689"/>
      <c r="Q159" s="689">
        <v>28870.7291666667</v>
      </c>
      <c r="R159" s="689">
        <v>30000</v>
      </c>
      <c r="S159" s="689">
        <v>178809.67</v>
      </c>
      <c r="T159" s="689"/>
      <c r="U159" s="689"/>
      <c r="V159" s="689"/>
      <c r="W159" s="689"/>
      <c r="X159" s="689"/>
      <c r="Y159" s="689"/>
      <c r="Z159" s="689"/>
      <c r="AA159" s="689"/>
      <c r="AB159" s="689"/>
      <c r="AC159" s="689">
        <v>2500</v>
      </c>
      <c r="AD159" s="689"/>
      <c r="AE159" s="689"/>
      <c r="AF159" s="689"/>
      <c r="AG159" s="689"/>
      <c r="AH159" s="689">
        <v>34500</v>
      </c>
      <c r="AI159" s="689"/>
      <c r="AJ159" s="689">
        <f>2500</f>
        <v>2500</v>
      </c>
      <c r="AK159" s="689"/>
      <c r="AL159" s="689">
        <f>383.33</f>
        <v>383.33</v>
      </c>
      <c r="AM159" s="689"/>
      <c r="AN159" s="689"/>
      <c r="AO159" s="689"/>
      <c r="AP159" s="689"/>
      <c r="AQ159" s="689"/>
      <c r="AR159" s="689"/>
      <c r="AS159" s="689"/>
      <c r="AT159" s="689"/>
      <c r="AU159" s="689">
        <f t="shared" ref="AU159:AU162" si="204">S159*0.03</f>
        <v>5364.2901</v>
      </c>
      <c r="AV159" s="689"/>
      <c r="AW159" s="689">
        <v>3000</v>
      </c>
      <c r="AX159" s="718">
        <f>S159*0.02</f>
        <v>3576.1934</v>
      </c>
      <c r="AY159" s="718"/>
      <c r="AZ159" s="718"/>
      <c r="BA159" s="689"/>
      <c r="BB159" s="689"/>
      <c r="BC159" s="689"/>
      <c r="BD159" s="719"/>
      <c r="BE159" s="719"/>
      <c r="BF159" s="689"/>
      <c r="BG159" s="689"/>
      <c r="BH159" s="727"/>
      <c r="BI159" s="689"/>
      <c r="BJ159" s="689"/>
      <c r="BK159" s="689"/>
      <c r="BL159" s="689"/>
      <c r="BM159" s="689"/>
      <c r="BN159" s="689"/>
      <c r="BO159" s="689">
        <v>82500</v>
      </c>
      <c r="BP159" s="689"/>
      <c r="BQ159" s="689"/>
      <c r="BR159" s="731"/>
      <c r="BS159" s="731"/>
      <c r="BT159" s="731"/>
      <c r="BU159" s="731"/>
      <c r="BV159" s="731"/>
      <c r="BW159" s="731"/>
      <c r="BX159" s="731"/>
      <c r="BY159" s="731"/>
      <c r="BZ159" s="731">
        <v>1000</v>
      </c>
      <c r="CA159" s="718">
        <f t="shared" si="149"/>
        <v>4366.1934</v>
      </c>
      <c r="CB159" s="735"/>
      <c r="CC159" s="731">
        <v>23842.69</v>
      </c>
      <c r="CD159" s="702">
        <f t="shared" si="178"/>
        <v>218309.67</v>
      </c>
      <c r="CE159" s="731">
        <f t="shared" si="181"/>
        <v>123649.3669</v>
      </c>
      <c r="CF159" s="739">
        <f t="shared" si="179"/>
        <v>94660.3031</v>
      </c>
      <c r="CG159" s="742">
        <f t="shared" si="159"/>
        <v>123649.3669</v>
      </c>
      <c r="CH159" s="743" t="e">
        <f>'[6]JACKSON AKPOJARO '!C289*12</f>
        <v>#REF!</v>
      </c>
      <c r="CI159" s="744" t="e">
        <f t="shared" si="106"/>
        <v>#REF!</v>
      </c>
      <c r="CJ159" s="745">
        <f t="shared" si="203"/>
        <v>0</v>
      </c>
      <c r="CK159" s="748" t="e">
        <f t="shared" si="107"/>
        <v>#REF!</v>
      </c>
      <c r="CL159" s="749" t="e">
        <f t="shared" si="108"/>
        <v>#REF!</v>
      </c>
      <c r="CM159" s="744"/>
      <c r="CN159" s="745" t="e">
        <f t="shared" si="109"/>
        <v>#REF!</v>
      </c>
      <c r="CO159" s="745" t="e">
        <f t="shared" si="110"/>
        <v>#REF!</v>
      </c>
      <c r="CP159" s="745" t="e">
        <f t="shared" si="111"/>
        <v>#REF!</v>
      </c>
      <c r="CQ159" s="745" t="e">
        <f t="shared" si="112"/>
        <v>#REF!</v>
      </c>
      <c r="CR159" s="745" t="e">
        <f t="shared" si="113"/>
        <v>#REF!</v>
      </c>
      <c r="CS159" s="745" t="e">
        <f t="shared" si="114"/>
        <v>#REF!</v>
      </c>
      <c r="CT159" s="754" t="e">
        <f t="shared" si="199"/>
        <v>#REF!</v>
      </c>
      <c r="CU159" s="755" t="e">
        <f t="shared" si="200"/>
        <v>#REF!</v>
      </c>
      <c r="CV159" s="756">
        <f>CC159</f>
        <v>23842.69</v>
      </c>
      <c r="CW159" s="757"/>
      <c r="CX159" s="758"/>
      <c r="CY159" s="759"/>
      <c r="CZ159" s="760"/>
      <c r="DA159" s="767"/>
    </row>
    <row r="160" ht="236" customHeight="1" spans="1:105">
      <c r="A160" s="673">
        <v>483</v>
      </c>
      <c r="B160" s="676" t="s">
        <v>1153</v>
      </c>
      <c r="C160" s="677" t="s">
        <v>1533</v>
      </c>
      <c r="D160" s="677" t="s">
        <v>1691</v>
      </c>
      <c r="E160" s="677" t="s">
        <v>165</v>
      </c>
      <c r="F160" s="677" t="s">
        <v>1154</v>
      </c>
      <c r="G160" s="677" t="s">
        <v>1683</v>
      </c>
      <c r="H160" s="679"/>
      <c r="I160" s="681" t="s">
        <v>165</v>
      </c>
      <c r="J160" s="686">
        <v>2085690684</v>
      </c>
      <c r="K160" s="687">
        <f>'[5] NON-TEACHING STAFF'!$J$132</f>
        <v>22272687972</v>
      </c>
      <c r="L160" s="688">
        <v>403057</v>
      </c>
      <c r="M160" s="688" t="e">
        <f>S160-#REF!</f>
        <v>#REF!</v>
      </c>
      <c r="N160" s="689">
        <v>403057</v>
      </c>
      <c r="O160" s="689">
        <v>33588.0833333333</v>
      </c>
      <c r="P160" s="689"/>
      <c r="Q160" s="689">
        <v>8397.02083333333</v>
      </c>
      <c r="R160" s="689">
        <v>42499.98</v>
      </c>
      <c r="S160" s="689">
        <v>89282.58</v>
      </c>
      <c r="T160" s="689"/>
      <c r="U160" s="689"/>
      <c r="V160" s="689"/>
      <c r="W160" s="689"/>
      <c r="X160" s="689"/>
      <c r="Y160" s="689"/>
      <c r="Z160" s="689"/>
      <c r="AA160" s="689"/>
      <c r="AB160" s="689"/>
      <c r="AC160" s="689">
        <v>2500</v>
      </c>
      <c r="AD160" s="689"/>
      <c r="AE160" s="689"/>
      <c r="AF160" s="689"/>
      <c r="AG160" s="689"/>
      <c r="AH160" s="689"/>
      <c r="AI160" s="689"/>
      <c r="AJ160" s="689">
        <v>2500</v>
      </c>
      <c r="AK160" s="689"/>
      <c r="AL160" s="689">
        <v>383.33</v>
      </c>
      <c r="AM160" s="689"/>
      <c r="AN160" s="689"/>
      <c r="AO160" s="689"/>
      <c r="AP160" s="689"/>
      <c r="AQ160" s="689"/>
      <c r="AR160" s="689"/>
      <c r="AS160" s="689"/>
      <c r="AT160" s="689"/>
      <c r="AU160" s="689">
        <f t="shared" si="204"/>
        <v>2678.4774</v>
      </c>
      <c r="AV160" s="689"/>
      <c r="AW160" s="689"/>
      <c r="AX160" s="718"/>
      <c r="AY160" s="718"/>
      <c r="AZ160" s="718"/>
      <c r="BA160" s="689"/>
      <c r="BB160" s="689"/>
      <c r="BC160" s="689"/>
      <c r="BD160" s="719"/>
      <c r="BE160" s="719">
        <f t="shared" si="186"/>
        <v>2678.4774</v>
      </c>
      <c r="BF160" s="689"/>
      <c r="BG160" s="689"/>
      <c r="BH160" s="727"/>
      <c r="BI160" s="689"/>
      <c r="BJ160" s="689"/>
      <c r="BK160" s="689"/>
      <c r="BL160" s="689"/>
      <c r="BM160" s="689"/>
      <c r="BN160" s="689"/>
      <c r="BO160" s="689">
        <v>50000</v>
      </c>
      <c r="BP160" s="689"/>
      <c r="BQ160" s="689"/>
      <c r="BR160" s="731"/>
      <c r="BS160" s="731"/>
      <c r="BT160" s="731"/>
      <c r="BU160" s="731"/>
      <c r="BV160" s="731"/>
      <c r="BW160" s="731"/>
      <c r="BX160" s="731"/>
      <c r="BY160" s="731"/>
      <c r="BZ160" s="731">
        <v>500</v>
      </c>
      <c r="CA160" s="718">
        <f t="shared" si="149"/>
        <v>1885.6516</v>
      </c>
      <c r="CB160" s="735"/>
      <c r="CC160" s="731">
        <v>5813.91</v>
      </c>
      <c r="CD160" s="702">
        <f t="shared" si="178"/>
        <v>94282.58</v>
      </c>
      <c r="CE160" s="731">
        <f t="shared" si="181"/>
        <v>63556.5164</v>
      </c>
      <c r="CF160" s="739">
        <f t="shared" si="179"/>
        <v>30726.0636</v>
      </c>
      <c r="CG160" s="742">
        <f t="shared" si="159"/>
        <v>63556.5164</v>
      </c>
      <c r="CH160" s="743" t="e">
        <f>'[6]JACKSON AKPOJARO '!C290*12</f>
        <v>#REF!</v>
      </c>
      <c r="CI160" s="744" t="e">
        <f t="shared" si="106"/>
        <v>#REF!</v>
      </c>
      <c r="CJ160" s="745">
        <f t="shared" si="203"/>
        <v>0</v>
      </c>
      <c r="CK160" s="748" t="e">
        <f t="shared" si="107"/>
        <v>#REF!</v>
      </c>
      <c r="CL160" s="749" t="e">
        <f t="shared" si="108"/>
        <v>#REF!</v>
      </c>
      <c r="CM160" s="744"/>
      <c r="CN160" s="745" t="e">
        <f t="shared" si="109"/>
        <v>#REF!</v>
      </c>
      <c r="CO160" s="745" t="e">
        <f t="shared" si="110"/>
        <v>#REF!</v>
      </c>
      <c r="CP160" s="745" t="e">
        <f t="shared" si="111"/>
        <v>#REF!</v>
      </c>
      <c r="CQ160" s="745" t="e">
        <f t="shared" si="112"/>
        <v>#REF!</v>
      </c>
      <c r="CR160" s="745" t="e">
        <f t="shared" si="113"/>
        <v>#REF!</v>
      </c>
      <c r="CS160" s="745" t="e">
        <f t="shared" si="114"/>
        <v>#REF!</v>
      </c>
      <c r="CT160" s="754" t="e">
        <f t="shared" si="199"/>
        <v>#REF!</v>
      </c>
      <c r="CU160" s="755" t="e">
        <f t="shared" si="200"/>
        <v>#REF!</v>
      </c>
      <c r="CV160" s="756">
        <v>498.29</v>
      </c>
      <c r="CW160" s="757"/>
      <c r="CX160" s="758"/>
      <c r="CY160" s="759"/>
      <c r="CZ160" s="760"/>
      <c r="DA160" s="767"/>
    </row>
    <row r="161" ht="236" customHeight="1" spans="1:105">
      <c r="A161" s="675">
        <v>484</v>
      </c>
      <c r="B161" s="676" t="s">
        <v>1155</v>
      </c>
      <c r="C161" s="677" t="s">
        <v>1527</v>
      </c>
      <c r="D161" s="677" t="s">
        <v>1678</v>
      </c>
      <c r="E161" s="677" t="s">
        <v>135</v>
      </c>
      <c r="F161" s="1452" t="s">
        <v>1156</v>
      </c>
      <c r="G161" s="677" t="s">
        <v>1602</v>
      </c>
      <c r="H161" s="679"/>
      <c r="I161" s="681" t="s">
        <v>135</v>
      </c>
      <c r="J161" s="686" t="s">
        <v>1156</v>
      </c>
      <c r="K161" s="695"/>
      <c r="L161" s="688" t="e">
        <f>#REF!</f>
        <v>#REF!</v>
      </c>
      <c r="M161" s="688" t="e">
        <f>S161-#REF!</f>
        <v>#REF!</v>
      </c>
      <c r="N161" s="689">
        <v>449113</v>
      </c>
      <c r="O161" s="689">
        <v>37426.0833333333</v>
      </c>
      <c r="P161" s="689"/>
      <c r="Q161" s="689">
        <v>9356.52083333333</v>
      </c>
      <c r="R161" s="689">
        <v>42499.98</v>
      </c>
      <c r="S161" s="689">
        <v>93784.83</v>
      </c>
      <c r="T161" s="689">
        <f t="shared" ref="T161:T162" si="205">S161*0.11</f>
        <v>10316.3313</v>
      </c>
      <c r="U161" s="689"/>
      <c r="V161" s="689"/>
      <c r="W161" s="689"/>
      <c r="X161" s="689"/>
      <c r="Y161" s="689"/>
      <c r="Z161" s="689"/>
      <c r="AA161" s="689"/>
      <c r="AB161" s="689"/>
      <c r="AC161" s="689">
        <v>2500</v>
      </c>
      <c r="AD161" s="689"/>
      <c r="AE161" s="689"/>
      <c r="AF161" s="689"/>
      <c r="AG161" s="689"/>
      <c r="AH161" s="689"/>
      <c r="AI161" s="689"/>
      <c r="AJ161" s="689">
        <v>2500</v>
      </c>
      <c r="AK161" s="689"/>
      <c r="AL161" s="689">
        <v>383.33</v>
      </c>
      <c r="AM161" s="689"/>
      <c r="AN161" s="689"/>
      <c r="AO161" s="689"/>
      <c r="AP161" s="689"/>
      <c r="AQ161" s="689"/>
      <c r="AR161" s="689"/>
      <c r="AS161" s="689"/>
      <c r="AT161" s="689"/>
      <c r="AU161" s="689">
        <f t="shared" si="204"/>
        <v>2813.5449</v>
      </c>
      <c r="AV161" s="689"/>
      <c r="AW161" s="689"/>
      <c r="AX161" s="718"/>
      <c r="AY161" s="718"/>
      <c r="AZ161" s="718"/>
      <c r="BA161" s="689"/>
      <c r="BB161" s="689"/>
      <c r="BC161" s="689"/>
      <c r="BD161" s="719"/>
      <c r="BE161" s="719">
        <f t="shared" si="186"/>
        <v>2813.5449</v>
      </c>
      <c r="BF161" s="689"/>
      <c r="BG161" s="689"/>
      <c r="BH161" s="727"/>
      <c r="BI161" s="689"/>
      <c r="BJ161" s="689"/>
      <c r="BK161" s="689"/>
      <c r="BL161" s="689"/>
      <c r="BM161" s="689"/>
      <c r="BN161" s="689"/>
      <c r="BO161" s="689">
        <v>0</v>
      </c>
      <c r="BP161" s="689"/>
      <c r="BQ161" s="689"/>
      <c r="BR161" s="731"/>
      <c r="BS161" s="731"/>
      <c r="BT161" s="731"/>
      <c r="BU161" s="731"/>
      <c r="BV161" s="731"/>
      <c r="BW161" s="731"/>
      <c r="BX161" s="731"/>
      <c r="BY161" s="731"/>
      <c r="BZ161" s="731">
        <v>500</v>
      </c>
      <c r="CA161" s="718">
        <f t="shared" si="149"/>
        <v>2182.023226</v>
      </c>
      <c r="CB161" s="735"/>
      <c r="CC161" s="731">
        <v>7592.14</v>
      </c>
      <c r="CD161" s="702">
        <f t="shared" si="178"/>
        <v>109101.1613</v>
      </c>
      <c r="CE161" s="731">
        <f t="shared" si="181"/>
        <v>15901.253026</v>
      </c>
      <c r="CF161" s="739">
        <f t="shared" si="179"/>
        <v>93199.908274</v>
      </c>
      <c r="CG161" s="742">
        <f t="shared" si="159"/>
        <v>15901.253026</v>
      </c>
      <c r="CH161" s="743" t="e">
        <f>'[6]JACKSON AKPOJARO '!C291*12</f>
        <v>#REF!</v>
      </c>
      <c r="CI161" s="744" t="e">
        <f t="shared" si="106"/>
        <v>#REF!</v>
      </c>
      <c r="CJ161" s="745">
        <f t="shared" si="203"/>
        <v>0</v>
      </c>
      <c r="CK161" s="748" t="e">
        <f t="shared" si="107"/>
        <v>#REF!</v>
      </c>
      <c r="CL161" s="749" t="e">
        <f t="shared" si="108"/>
        <v>#REF!</v>
      </c>
      <c r="CM161" s="744"/>
      <c r="CN161" s="745" t="e">
        <f t="shared" si="109"/>
        <v>#REF!</v>
      </c>
      <c r="CO161" s="745" t="e">
        <f t="shared" si="110"/>
        <v>#REF!</v>
      </c>
      <c r="CP161" s="745" t="e">
        <f t="shared" si="111"/>
        <v>#REF!</v>
      </c>
      <c r="CQ161" s="745" t="e">
        <f t="shared" si="112"/>
        <v>#REF!</v>
      </c>
      <c r="CR161" s="745" t="e">
        <f t="shared" si="113"/>
        <v>#REF!</v>
      </c>
      <c r="CS161" s="745" t="e">
        <f t="shared" si="114"/>
        <v>#REF!</v>
      </c>
      <c r="CT161" s="754" t="e">
        <f t="shared" si="199"/>
        <v>#REF!</v>
      </c>
      <c r="CU161" s="755" t="e">
        <f t="shared" si="200"/>
        <v>#REF!</v>
      </c>
      <c r="CV161" s="756">
        <f>CC161</f>
        <v>7592.14</v>
      </c>
      <c r="CW161" s="757"/>
      <c r="CX161" s="758"/>
      <c r="CY161" s="759"/>
      <c r="CZ161" s="760"/>
      <c r="DA161" s="767"/>
    </row>
    <row r="162" ht="236" customHeight="1" spans="1:105">
      <c r="A162" s="673">
        <v>485</v>
      </c>
      <c r="B162" s="676" t="s">
        <v>1157</v>
      </c>
      <c r="C162" s="677" t="s">
        <v>1527</v>
      </c>
      <c r="D162" s="677" t="s">
        <v>1678</v>
      </c>
      <c r="E162" s="677" t="s">
        <v>135</v>
      </c>
      <c r="F162" s="1452" t="s">
        <v>1158</v>
      </c>
      <c r="G162" s="677" t="s">
        <v>1602</v>
      </c>
      <c r="H162" s="679"/>
      <c r="I162" s="681" t="s">
        <v>915</v>
      </c>
      <c r="J162" s="686" t="s">
        <v>1692</v>
      </c>
      <c r="K162" s="695"/>
      <c r="L162" s="688" t="e">
        <f>L161</f>
        <v>#REF!</v>
      </c>
      <c r="M162" s="688" t="e">
        <f>S162-#REF!</f>
        <v>#REF!</v>
      </c>
      <c r="N162" s="689">
        <v>463445</v>
      </c>
      <c r="O162" s="689">
        <v>37426.0833333333</v>
      </c>
      <c r="P162" s="689"/>
      <c r="Q162" s="689">
        <v>9356.52083333333</v>
      </c>
      <c r="R162" s="689">
        <v>42499.98</v>
      </c>
      <c r="S162" s="689">
        <v>93784.83</v>
      </c>
      <c r="T162" s="689">
        <f t="shared" si="205"/>
        <v>10316.3313</v>
      </c>
      <c r="U162" s="689"/>
      <c r="V162" s="689"/>
      <c r="W162" s="689"/>
      <c r="X162" s="689"/>
      <c r="Y162" s="689"/>
      <c r="Z162" s="689"/>
      <c r="AA162" s="689"/>
      <c r="AB162" s="689"/>
      <c r="AC162" s="689">
        <v>2500</v>
      </c>
      <c r="AD162" s="689"/>
      <c r="AE162" s="689"/>
      <c r="AF162" s="689"/>
      <c r="AG162" s="689"/>
      <c r="AH162" s="689"/>
      <c r="AI162" s="689"/>
      <c r="AJ162" s="689">
        <v>2500</v>
      </c>
      <c r="AK162" s="689"/>
      <c r="AL162" s="689">
        <v>383.33</v>
      </c>
      <c r="AM162" s="689"/>
      <c r="AN162" s="689"/>
      <c r="AO162" s="689"/>
      <c r="AP162" s="689"/>
      <c r="AQ162" s="689"/>
      <c r="AR162" s="689"/>
      <c r="AS162" s="689"/>
      <c r="AT162" s="689"/>
      <c r="AU162" s="689">
        <f t="shared" si="204"/>
        <v>2813.5449</v>
      </c>
      <c r="AV162" s="689"/>
      <c r="AW162" s="689"/>
      <c r="AX162" s="718"/>
      <c r="AY162" s="718"/>
      <c r="AZ162" s="718"/>
      <c r="BA162" s="689"/>
      <c r="BB162" s="689"/>
      <c r="BC162" s="689"/>
      <c r="BD162" s="719"/>
      <c r="BE162" s="719">
        <f t="shared" si="186"/>
        <v>2813.5449</v>
      </c>
      <c r="BF162" s="689"/>
      <c r="BG162" s="689"/>
      <c r="BH162" s="727"/>
      <c r="BI162" s="689"/>
      <c r="BJ162" s="689"/>
      <c r="BK162" s="689"/>
      <c r="BL162" s="689"/>
      <c r="BM162" s="689"/>
      <c r="BN162" s="689"/>
      <c r="BO162" s="689">
        <v>0</v>
      </c>
      <c r="BP162" s="689"/>
      <c r="BQ162" s="689"/>
      <c r="BR162" s="731"/>
      <c r="BS162" s="731"/>
      <c r="BT162" s="731"/>
      <c r="BU162" s="731"/>
      <c r="BV162" s="731"/>
      <c r="BW162" s="731"/>
      <c r="BX162" s="731"/>
      <c r="BY162" s="731">
        <v>1000</v>
      </c>
      <c r="BZ162" s="731">
        <v>500</v>
      </c>
      <c r="CA162" s="718">
        <f t="shared" si="149"/>
        <v>2182.023226</v>
      </c>
      <c r="CB162" s="735"/>
      <c r="CC162" s="731">
        <v>7592.14</v>
      </c>
      <c r="CD162" s="702">
        <f t="shared" si="178"/>
        <v>109101.1613</v>
      </c>
      <c r="CE162" s="731">
        <f t="shared" si="181"/>
        <v>16901.253026</v>
      </c>
      <c r="CF162" s="739">
        <f t="shared" si="179"/>
        <v>92199.908274</v>
      </c>
      <c r="CG162" s="742">
        <f t="shared" si="159"/>
        <v>16901.253026</v>
      </c>
      <c r="CH162" s="743" t="e">
        <f>'[6]JACKSON AKPOJARO '!C292*12</f>
        <v>#REF!</v>
      </c>
      <c r="CI162" s="744" t="e">
        <f t="shared" si="106"/>
        <v>#REF!</v>
      </c>
      <c r="CJ162" s="745">
        <f t="shared" si="203"/>
        <v>0</v>
      </c>
      <c r="CK162" s="748" t="e">
        <f t="shared" si="107"/>
        <v>#REF!</v>
      </c>
      <c r="CL162" s="749" t="e">
        <f t="shared" si="108"/>
        <v>#REF!</v>
      </c>
      <c r="CM162" s="744"/>
      <c r="CN162" s="745" t="e">
        <f t="shared" si="109"/>
        <v>#REF!</v>
      </c>
      <c r="CO162" s="745" t="e">
        <f t="shared" si="110"/>
        <v>#REF!</v>
      </c>
      <c r="CP162" s="745" t="e">
        <f t="shared" si="111"/>
        <v>#REF!</v>
      </c>
      <c r="CQ162" s="745" t="e">
        <f t="shared" si="112"/>
        <v>#REF!</v>
      </c>
      <c r="CR162" s="745" t="e">
        <f t="shared" si="113"/>
        <v>#REF!</v>
      </c>
      <c r="CS162" s="745" t="e">
        <f t="shared" si="114"/>
        <v>#REF!</v>
      </c>
      <c r="CT162" s="754" t="e">
        <f t="shared" si="199"/>
        <v>#REF!</v>
      </c>
      <c r="CU162" s="755" t="e">
        <f t="shared" si="200"/>
        <v>#REF!</v>
      </c>
      <c r="CV162" s="756">
        <f>CC162</f>
        <v>7592.14</v>
      </c>
      <c r="CW162" s="757"/>
      <c r="CX162" s="758"/>
      <c r="CY162" s="759"/>
      <c r="CZ162" s="760"/>
      <c r="DA162" s="767"/>
    </row>
    <row r="163" ht="236" customHeight="1" spans="1:105">
      <c r="A163" s="675">
        <v>486</v>
      </c>
      <c r="B163" s="676" t="s">
        <v>1159</v>
      </c>
      <c r="C163" s="677" t="s">
        <v>1533</v>
      </c>
      <c r="D163" s="677" t="s">
        <v>1686</v>
      </c>
      <c r="E163" s="677" t="s">
        <v>135</v>
      </c>
      <c r="F163" s="1452" t="s">
        <v>1160</v>
      </c>
      <c r="G163" s="677" t="s">
        <v>1681</v>
      </c>
      <c r="H163" s="679"/>
      <c r="I163" s="681" t="s">
        <v>1693</v>
      </c>
      <c r="J163" s="686"/>
      <c r="K163" s="695"/>
      <c r="L163" s="688">
        <v>415390</v>
      </c>
      <c r="M163" s="688" t="e">
        <f>S163-#REF!</f>
        <v>#REF!</v>
      </c>
      <c r="N163" s="689">
        <v>390724</v>
      </c>
      <c r="O163" s="689">
        <v>32560.3333333333</v>
      </c>
      <c r="P163" s="689"/>
      <c r="Q163" s="689">
        <v>8140.08333333333</v>
      </c>
      <c r="R163" s="689">
        <v>42499.98</v>
      </c>
      <c r="S163" s="689">
        <v>84485.08</v>
      </c>
      <c r="T163" s="689"/>
      <c r="U163" s="689"/>
      <c r="V163" s="689"/>
      <c r="W163" s="689"/>
      <c r="X163" s="689"/>
      <c r="Y163" s="689"/>
      <c r="Z163" s="689"/>
      <c r="AA163" s="689"/>
      <c r="AB163" s="689"/>
      <c r="AC163" s="689">
        <v>2500</v>
      </c>
      <c r="AD163" s="689"/>
      <c r="AE163" s="689"/>
      <c r="AF163" s="689"/>
      <c r="AG163" s="689"/>
      <c r="AH163" s="689"/>
      <c r="AI163" s="689"/>
      <c r="AJ163" s="689">
        <f>2500</f>
        <v>2500</v>
      </c>
      <c r="AK163" s="689"/>
      <c r="AL163" s="689">
        <v>383.33</v>
      </c>
      <c r="AM163" s="689"/>
      <c r="AN163" s="689"/>
      <c r="AO163" s="689"/>
      <c r="AP163" s="689"/>
      <c r="AQ163" s="689"/>
      <c r="AR163" s="689"/>
      <c r="AS163" s="689"/>
      <c r="AT163" s="689"/>
      <c r="AU163" s="689">
        <f t="shared" ref="AU163:AU178" si="206">S163*0.03</f>
        <v>2534.5524</v>
      </c>
      <c r="AV163" s="689"/>
      <c r="AW163" s="689"/>
      <c r="AX163" s="718"/>
      <c r="AY163" s="718"/>
      <c r="AZ163" s="718"/>
      <c r="BA163" s="689"/>
      <c r="BB163" s="689"/>
      <c r="BC163" s="689"/>
      <c r="BD163" s="719"/>
      <c r="BE163" s="719">
        <f t="shared" si="186"/>
        <v>2534.5524</v>
      </c>
      <c r="BF163" s="689"/>
      <c r="BG163" s="689"/>
      <c r="BH163" s="727"/>
      <c r="BI163" s="689"/>
      <c r="BJ163" s="689"/>
      <c r="BK163" s="689"/>
      <c r="BL163" s="689">
        <v>7500</v>
      </c>
      <c r="BM163" s="689"/>
      <c r="BN163" s="689"/>
      <c r="BO163" s="689">
        <v>24401</v>
      </c>
      <c r="BP163" s="689"/>
      <c r="BQ163" s="689"/>
      <c r="BR163" s="731"/>
      <c r="BS163" s="731"/>
      <c r="BT163" s="731"/>
      <c r="BU163" s="731"/>
      <c r="BV163" s="731"/>
      <c r="BW163" s="731"/>
      <c r="BX163" s="731"/>
      <c r="BY163" s="731"/>
      <c r="BZ163" s="731">
        <v>500</v>
      </c>
      <c r="CA163" s="718">
        <f t="shared" si="149"/>
        <v>1789.7016</v>
      </c>
      <c r="CB163" s="735"/>
      <c r="CC163" s="731">
        <v>5238.21</v>
      </c>
      <c r="CD163" s="702">
        <f t="shared" si="178"/>
        <v>89485.08</v>
      </c>
      <c r="CE163" s="731">
        <f t="shared" si="181"/>
        <v>44498.0164</v>
      </c>
      <c r="CF163" s="739">
        <f t="shared" si="179"/>
        <v>44987.0636</v>
      </c>
      <c r="CG163" s="742">
        <f t="shared" si="159"/>
        <v>44498.0164</v>
      </c>
      <c r="CH163" s="743" t="e">
        <f>'[6]JACKSON AKPOJARO '!C293*12</f>
        <v>#REF!</v>
      </c>
      <c r="CI163" s="744" t="e">
        <f t="shared" ref="CI163" si="207">200000+(0.2*CH163)</f>
        <v>#REF!</v>
      </c>
      <c r="CJ163" s="745">
        <f t="shared" si="203"/>
        <v>0</v>
      </c>
      <c r="CK163" s="748" t="e">
        <f t="shared" ref="CK163" si="208">SUM(CI163:CJ163)</f>
        <v>#REF!</v>
      </c>
      <c r="CL163" s="749" t="e">
        <f t="shared" ref="CL163" si="209">+CH163-CK163</f>
        <v>#REF!</v>
      </c>
      <c r="CM163" s="744"/>
      <c r="CN163" s="745" t="e">
        <f t="shared" ref="CN163" si="210">IF((CL163&gt;0),(IF((CL163&gt;300000),(300000*7%),(CL163*7%))),(CH163*1%))</f>
        <v>#REF!</v>
      </c>
      <c r="CO163" s="745" t="e">
        <f t="shared" ref="CO163" si="211">IF((CL163-300000)&gt;0,(IF((CL163&gt;600000),(300000*11%),((CL163-300000)*11%))),(""))</f>
        <v>#REF!</v>
      </c>
      <c r="CP163" s="745" t="e">
        <f t="shared" ref="CP163" si="212">IF(((CL163-600000)&gt;0),(IF((CL163&gt;1100000),(500000*15%),((CL163-600000)*15%))),(""))</f>
        <v>#REF!</v>
      </c>
      <c r="CQ163" s="745" t="e">
        <f t="shared" ref="CQ163" si="213">IF(((CL163-(1100000))&gt;0),(IF((CL163&gt;(1600000)),((500000)*19%),((CL163-(1100000))*19%))),(""))</f>
        <v>#REF!</v>
      </c>
      <c r="CR163" s="745" t="e">
        <f t="shared" ref="CR163" si="214">IF(((CL163-(1600000))&gt;0),(IF((CL163&gt;(3200000)),((1600000)*21%),((CL163-(1600000))*21%))),(""))</f>
        <v>#REF!</v>
      </c>
      <c r="CS163" s="745" t="e">
        <f t="shared" ref="CS163" si="215">IF(((CL163-(3200000))&gt;0),(IF((CL163&gt;(3200000)),((CL163-(3200000))*24%),(0))),(""))</f>
        <v>#REF!</v>
      </c>
      <c r="CT163" s="754" t="e">
        <f t="shared" ref="CT163" si="216">1%*CH163</f>
        <v>#REF!</v>
      </c>
      <c r="CU163" s="755" t="e">
        <f t="shared" ref="CU163" si="217">MAX(CT163:CT163)</f>
        <v>#REF!</v>
      </c>
      <c r="CV163" s="756">
        <f>CC163</f>
        <v>5238.21</v>
      </c>
      <c r="CW163" s="757"/>
      <c r="CX163" s="758"/>
      <c r="CY163" s="759"/>
      <c r="CZ163" s="760"/>
      <c r="DA163" s="767"/>
    </row>
    <row r="164" ht="236" customHeight="1" spans="1:105">
      <c r="A164" s="673">
        <v>487</v>
      </c>
      <c r="B164" s="676" t="s">
        <v>1161</v>
      </c>
      <c r="C164" s="677" t="s">
        <v>1533</v>
      </c>
      <c r="D164" s="677" t="s">
        <v>1694</v>
      </c>
      <c r="E164" s="677" t="s">
        <v>135</v>
      </c>
      <c r="F164" s="1452" t="s">
        <v>1162</v>
      </c>
      <c r="G164" s="677" t="s">
        <v>1695</v>
      </c>
      <c r="H164" s="679"/>
      <c r="I164" s="681" t="s">
        <v>135</v>
      </c>
      <c r="J164" s="686" t="s">
        <v>1162</v>
      </c>
      <c r="K164" s="695"/>
      <c r="L164" s="688">
        <v>394860</v>
      </c>
      <c r="M164" s="688" t="e">
        <f>S164-#REF!</f>
        <v>#REF!</v>
      </c>
      <c r="N164" s="689">
        <v>405127</v>
      </c>
      <c r="O164" s="689">
        <v>33760.5833333333</v>
      </c>
      <c r="P164" s="689"/>
      <c r="Q164" s="689">
        <v>8440.14583333333</v>
      </c>
      <c r="R164" s="689">
        <v>42499.98</v>
      </c>
      <c r="S164" s="689">
        <v>85770.25</v>
      </c>
      <c r="T164" s="689"/>
      <c r="U164" s="689"/>
      <c r="V164" s="689"/>
      <c r="W164" s="689"/>
      <c r="X164" s="689"/>
      <c r="Y164" s="689"/>
      <c r="Z164" s="689"/>
      <c r="AA164" s="689"/>
      <c r="AB164" s="689"/>
      <c r="AC164" s="689">
        <v>2500</v>
      </c>
      <c r="AD164" s="689"/>
      <c r="AE164" s="689"/>
      <c r="AF164" s="689"/>
      <c r="AG164" s="689"/>
      <c r="AH164" s="689"/>
      <c r="AI164" s="689"/>
      <c r="AJ164" s="689">
        <v>2500</v>
      </c>
      <c r="AK164" s="689"/>
      <c r="AL164" s="689">
        <v>383.33</v>
      </c>
      <c r="AM164" s="689"/>
      <c r="AN164" s="689"/>
      <c r="AO164" s="689"/>
      <c r="AP164" s="689"/>
      <c r="AQ164" s="689"/>
      <c r="AR164" s="689"/>
      <c r="AS164" s="689"/>
      <c r="AT164" s="689"/>
      <c r="AU164" s="689">
        <f t="shared" si="206"/>
        <v>2573.1075</v>
      </c>
      <c r="AV164" s="689"/>
      <c r="AW164" s="689"/>
      <c r="AX164" s="718"/>
      <c r="AY164" s="718"/>
      <c r="AZ164" s="718"/>
      <c r="BA164" s="689"/>
      <c r="BB164" s="689"/>
      <c r="BC164" s="689"/>
      <c r="BD164" s="719"/>
      <c r="BE164" s="719">
        <f t="shared" si="186"/>
        <v>2573.1075</v>
      </c>
      <c r="BF164" s="689"/>
      <c r="BG164" s="689"/>
      <c r="BH164" s="727"/>
      <c r="BI164" s="689"/>
      <c r="BJ164" s="689"/>
      <c r="BK164" s="689"/>
      <c r="BL164" s="689"/>
      <c r="BM164" s="689"/>
      <c r="BN164" s="689"/>
      <c r="BO164" s="689">
        <v>0</v>
      </c>
      <c r="BP164" s="689"/>
      <c r="BQ164" s="689"/>
      <c r="BR164" s="731"/>
      <c r="BS164" s="731"/>
      <c r="BT164" s="731"/>
      <c r="BU164" s="731"/>
      <c r="BV164" s="731"/>
      <c r="BW164" s="731"/>
      <c r="BX164" s="731"/>
      <c r="BY164" s="731">
        <v>1000</v>
      </c>
      <c r="BZ164" s="731">
        <v>500</v>
      </c>
      <c r="CA164" s="718">
        <f t="shared" si="149"/>
        <v>1815.405</v>
      </c>
      <c r="CB164" s="735"/>
      <c r="CC164" s="731">
        <v>5392.38</v>
      </c>
      <c r="CD164" s="702">
        <f t="shared" si="178"/>
        <v>90770.25</v>
      </c>
      <c r="CE164" s="731">
        <f t="shared" si="181"/>
        <v>13854</v>
      </c>
      <c r="CF164" s="739">
        <f t="shared" si="179"/>
        <v>76916.25</v>
      </c>
      <c r="CG164" s="742">
        <f t="shared" si="159"/>
        <v>13854</v>
      </c>
      <c r="CH164" s="743" t="e">
        <f>'[6]JACKSON AKPOJARO '!C294*12</f>
        <v>#REF!</v>
      </c>
      <c r="CI164" s="744" t="e">
        <f t="shared" si="106"/>
        <v>#REF!</v>
      </c>
      <c r="CJ164" s="745">
        <f t="shared" si="203"/>
        <v>0</v>
      </c>
      <c r="CK164" s="748" t="e">
        <f t="shared" si="107"/>
        <v>#REF!</v>
      </c>
      <c r="CL164" s="749" t="e">
        <f t="shared" si="108"/>
        <v>#REF!</v>
      </c>
      <c r="CM164" s="744"/>
      <c r="CN164" s="745" t="e">
        <f t="shared" si="109"/>
        <v>#REF!</v>
      </c>
      <c r="CO164" s="745" t="e">
        <f t="shared" si="110"/>
        <v>#REF!</v>
      </c>
      <c r="CP164" s="745" t="e">
        <f t="shared" si="111"/>
        <v>#REF!</v>
      </c>
      <c r="CQ164" s="745" t="e">
        <f t="shared" si="112"/>
        <v>#REF!</v>
      </c>
      <c r="CR164" s="745" t="e">
        <f t="shared" si="113"/>
        <v>#REF!</v>
      </c>
      <c r="CS164" s="745" t="e">
        <f t="shared" si="114"/>
        <v>#REF!</v>
      </c>
      <c r="CT164" s="754" t="e">
        <f t="shared" si="199"/>
        <v>#REF!</v>
      </c>
      <c r="CU164" s="755" t="e">
        <f t="shared" si="200"/>
        <v>#REF!</v>
      </c>
      <c r="CV164" s="756">
        <v>498.29</v>
      </c>
      <c r="CW164" s="757"/>
      <c r="CX164" s="758"/>
      <c r="CY164" s="759"/>
      <c r="CZ164" s="760"/>
      <c r="DA164" s="767"/>
    </row>
    <row r="165" ht="236" customHeight="1" spans="1:105">
      <c r="A165" s="675">
        <v>488</v>
      </c>
      <c r="B165" s="676" t="s">
        <v>1163</v>
      </c>
      <c r="C165" s="677" t="s">
        <v>1533</v>
      </c>
      <c r="D165" s="677" t="s">
        <v>1696</v>
      </c>
      <c r="E165" s="677" t="s">
        <v>165</v>
      </c>
      <c r="F165" s="677">
        <v>4230189537</v>
      </c>
      <c r="G165" s="677" t="s">
        <v>1685</v>
      </c>
      <c r="H165" s="679"/>
      <c r="I165" s="681" t="s">
        <v>165</v>
      </c>
      <c r="J165" s="686">
        <v>4230189537</v>
      </c>
      <c r="K165" s="695"/>
      <c r="L165" s="688">
        <v>403057</v>
      </c>
      <c r="M165" s="688"/>
      <c r="N165" s="689">
        <v>403057</v>
      </c>
      <c r="O165" s="689">
        <v>33588.0833333333</v>
      </c>
      <c r="P165" s="689"/>
      <c r="Q165" s="689">
        <v>8397.02083333333</v>
      </c>
      <c r="R165" s="689">
        <v>42499.98</v>
      </c>
      <c r="S165" s="689">
        <v>85769.83</v>
      </c>
      <c r="T165" s="689"/>
      <c r="U165" s="689"/>
      <c r="V165" s="689"/>
      <c r="W165" s="689"/>
      <c r="X165" s="689"/>
      <c r="Y165" s="689"/>
      <c r="Z165" s="689"/>
      <c r="AA165" s="689"/>
      <c r="AB165" s="689"/>
      <c r="AC165" s="689">
        <v>2500</v>
      </c>
      <c r="AD165" s="689"/>
      <c r="AE165" s="689"/>
      <c r="AF165" s="689"/>
      <c r="AG165" s="689"/>
      <c r="AH165" s="689"/>
      <c r="AI165" s="689"/>
      <c r="AJ165" s="689">
        <f>2500</f>
        <v>2500</v>
      </c>
      <c r="AK165" s="689"/>
      <c r="AL165" s="689">
        <f>383.33</f>
        <v>383.33</v>
      </c>
      <c r="AM165" s="689"/>
      <c r="AN165" s="689"/>
      <c r="AO165" s="689"/>
      <c r="AP165" s="689"/>
      <c r="AQ165" s="689"/>
      <c r="AR165" s="689"/>
      <c r="AS165" s="689"/>
      <c r="AT165" s="689"/>
      <c r="AU165" s="689">
        <f t="shared" si="206"/>
        <v>2573.0949</v>
      </c>
      <c r="AV165" s="689"/>
      <c r="AW165" s="689"/>
      <c r="AX165" s="718"/>
      <c r="AY165" s="718"/>
      <c r="AZ165" s="718"/>
      <c r="BA165" s="689"/>
      <c r="BB165" s="689">
        <v>12500</v>
      </c>
      <c r="BC165" s="689"/>
      <c r="BD165" s="719"/>
      <c r="BE165" s="719">
        <f t="shared" si="186"/>
        <v>2573.0949</v>
      </c>
      <c r="BF165" s="689"/>
      <c r="BG165" s="689"/>
      <c r="BH165" s="727"/>
      <c r="BI165" s="689"/>
      <c r="BJ165" s="689"/>
      <c r="BK165" s="689"/>
      <c r="BL165" s="689"/>
      <c r="BM165" s="689"/>
      <c r="BN165" s="689"/>
      <c r="BO165" s="689">
        <v>0</v>
      </c>
      <c r="BP165" s="689"/>
      <c r="BQ165" s="689"/>
      <c r="BR165" s="731"/>
      <c r="BS165" s="731"/>
      <c r="BT165" s="731"/>
      <c r="BU165" s="731"/>
      <c r="BV165" s="731"/>
      <c r="BW165" s="731"/>
      <c r="BX165" s="731"/>
      <c r="BY165" s="731">
        <v>1000</v>
      </c>
      <c r="BZ165" s="731">
        <v>500</v>
      </c>
      <c r="CA165" s="718">
        <f t="shared" si="149"/>
        <v>1815.3966</v>
      </c>
      <c r="CB165" s="735"/>
      <c r="CC165" s="731">
        <v>5392.38</v>
      </c>
      <c r="CD165" s="702">
        <f t="shared" si="178"/>
        <v>90769.83</v>
      </c>
      <c r="CE165" s="731">
        <f t="shared" si="181"/>
        <v>26353.9664</v>
      </c>
      <c r="CF165" s="739">
        <f t="shared" si="179"/>
        <v>64415.8636</v>
      </c>
      <c r="CG165" s="742">
        <f t="shared" si="159"/>
        <v>26353.9664</v>
      </c>
      <c r="CH165" s="743" t="e">
        <f>'[6]JACKSON AKPOJARO '!C296*12</f>
        <v>#REF!</v>
      </c>
      <c r="CI165" s="744" t="e">
        <f t="shared" si="106"/>
        <v>#REF!</v>
      </c>
      <c r="CJ165" s="745">
        <f t="shared" si="203"/>
        <v>0</v>
      </c>
      <c r="CK165" s="748" t="e">
        <f t="shared" si="107"/>
        <v>#REF!</v>
      </c>
      <c r="CL165" s="749" t="e">
        <f t="shared" si="108"/>
        <v>#REF!</v>
      </c>
      <c r="CM165" s="744"/>
      <c r="CN165" s="745" t="e">
        <f t="shared" si="109"/>
        <v>#REF!</v>
      </c>
      <c r="CO165" s="745" t="e">
        <f t="shared" si="110"/>
        <v>#REF!</v>
      </c>
      <c r="CP165" s="745" t="e">
        <f t="shared" si="111"/>
        <v>#REF!</v>
      </c>
      <c r="CQ165" s="745" t="e">
        <f t="shared" si="112"/>
        <v>#REF!</v>
      </c>
      <c r="CR165" s="745" t="e">
        <f t="shared" si="113"/>
        <v>#REF!</v>
      </c>
      <c r="CS165" s="745" t="e">
        <f t="shared" si="114"/>
        <v>#REF!</v>
      </c>
      <c r="CT165" s="754" t="e">
        <f t="shared" si="199"/>
        <v>#REF!</v>
      </c>
      <c r="CU165" s="755" t="e">
        <f t="shared" si="200"/>
        <v>#REF!</v>
      </c>
      <c r="CV165" s="756">
        <f>CC165</f>
        <v>5392.38</v>
      </c>
      <c r="CW165" s="757"/>
      <c r="CX165" s="758"/>
      <c r="CY165" s="759"/>
      <c r="CZ165" s="760"/>
      <c r="DA165" s="767"/>
    </row>
    <row r="166" ht="236" customHeight="1" spans="1:105">
      <c r="A166" s="673">
        <v>489</v>
      </c>
      <c r="B166" s="676" t="s">
        <v>1164</v>
      </c>
      <c r="C166" s="677" t="s">
        <v>1533</v>
      </c>
      <c r="D166" s="677" t="s">
        <v>1682</v>
      </c>
      <c r="E166" s="677" t="s">
        <v>135</v>
      </c>
      <c r="F166" s="1452" t="s">
        <v>1165</v>
      </c>
      <c r="G166" s="677" t="s">
        <v>1683</v>
      </c>
      <c r="H166" s="679"/>
      <c r="I166" s="681" t="s">
        <v>135</v>
      </c>
      <c r="J166" s="686" t="s">
        <v>1165</v>
      </c>
      <c r="K166" s="687">
        <v>2243251756</v>
      </c>
      <c r="L166" s="688">
        <f>L165</f>
        <v>403057</v>
      </c>
      <c r="M166" s="688" t="e">
        <f>S166-#REF!</f>
        <v>#REF!</v>
      </c>
      <c r="N166" s="689">
        <v>403057</v>
      </c>
      <c r="O166" s="689">
        <v>33588.0833333333</v>
      </c>
      <c r="P166" s="689"/>
      <c r="Q166" s="689">
        <v>8397.02083333333</v>
      </c>
      <c r="R166" s="689">
        <v>42499.98</v>
      </c>
      <c r="S166" s="689">
        <v>89282.58</v>
      </c>
      <c r="T166" s="689"/>
      <c r="U166" s="689"/>
      <c r="V166" s="689"/>
      <c r="W166" s="689"/>
      <c r="X166" s="689"/>
      <c r="Y166" s="689"/>
      <c r="Z166" s="689"/>
      <c r="AA166" s="689"/>
      <c r="AB166" s="689"/>
      <c r="AC166" s="689">
        <v>2500</v>
      </c>
      <c r="AD166" s="689"/>
      <c r="AE166" s="689"/>
      <c r="AF166" s="689"/>
      <c r="AG166" s="689"/>
      <c r="AH166" s="689"/>
      <c r="AI166" s="689"/>
      <c r="AJ166" s="689">
        <v>2500</v>
      </c>
      <c r="AK166" s="689"/>
      <c r="AL166" s="689">
        <v>383.33</v>
      </c>
      <c r="AM166" s="689"/>
      <c r="AN166" s="689"/>
      <c r="AO166" s="689"/>
      <c r="AP166" s="689"/>
      <c r="AQ166" s="689"/>
      <c r="AR166" s="689"/>
      <c r="AS166" s="689"/>
      <c r="AT166" s="689"/>
      <c r="AU166" s="689">
        <f t="shared" si="206"/>
        <v>2678.4774</v>
      </c>
      <c r="AV166" s="689"/>
      <c r="AW166" s="689"/>
      <c r="AX166" s="718"/>
      <c r="AY166" s="718"/>
      <c r="AZ166" s="718"/>
      <c r="BA166" s="689"/>
      <c r="BB166" s="689"/>
      <c r="BC166" s="689"/>
      <c r="BD166" s="719"/>
      <c r="BE166" s="719">
        <f t="shared" si="186"/>
        <v>2678.4774</v>
      </c>
      <c r="BF166" s="689"/>
      <c r="BG166" s="689"/>
      <c r="BH166" s="727"/>
      <c r="BI166" s="689"/>
      <c r="BJ166" s="689"/>
      <c r="BK166" s="689"/>
      <c r="BL166" s="689"/>
      <c r="BM166" s="689"/>
      <c r="BN166" s="689"/>
      <c r="BO166" s="689">
        <v>0</v>
      </c>
      <c r="BP166" s="689"/>
      <c r="BQ166" s="689"/>
      <c r="BR166" s="731"/>
      <c r="BS166" s="731"/>
      <c r="BT166" s="731"/>
      <c r="BU166" s="731"/>
      <c r="BV166" s="731"/>
      <c r="BW166" s="731"/>
      <c r="BX166" s="731"/>
      <c r="BY166" s="731">
        <v>1000</v>
      </c>
      <c r="BZ166" s="731">
        <v>500</v>
      </c>
      <c r="CA166" s="718">
        <f t="shared" si="149"/>
        <v>1885.6516</v>
      </c>
      <c r="CB166" s="735"/>
      <c r="CC166" s="731">
        <v>5813.91</v>
      </c>
      <c r="CD166" s="702">
        <f t="shared" si="178"/>
        <v>94282.58</v>
      </c>
      <c r="CE166" s="731">
        <f t="shared" si="181"/>
        <v>14556.5164</v>
      </c>
      <c r="CF166" s="739">
        <f t="shared" si="179"/>
        <v>79726.0636</v>
      </c>
      <c r="CG166" s="742">
        <f t="shared" si="159"/>
        <v>14556.5164</v>
      </c>
      <c r="CH166" s="743" t="e">
        <f>'[6]JACKSON AKPOJARO '!C296*12</f>
        <v>#REF!</v>
      </c>
      <c r="CI166" s="744" t="e">
        <f t="shared" ref="CI166:CI192" si="218">200000+(0.2*CH166)</f>
        <v>#REF!</v>
      </c>
      <c r="CJ166" s="745">
        <f t="shared" si="203"/>
        <v>0</v>
      </c>
      <c r="CK166" s="748" t="e">
        <f t="shared" ref="CK166:CK192" si="219">SUM(CI166:CJ166)</f>
        <v>#REF!</v>
      </c>
      <c r="CL166" s="749" t="e">
        <f t="shared" ref="CL166:CL192" si="220">+CH166-CK166</f>
        <v>#REF!</v>
      </c>
      <c r="CM166" s="744"/>
      <c r="CN166" s="745" t="e">
        <f t="shared" ref="CN166:CN192" si="221">IF((CL166&gt;0),(IF((CL166&gt;300000),(300000*7%),(CL166*7%))),(CH166*1%))</f>
        <v>#REF!</v>
      </c>
      <c r="CO166" s="745" t="e">
        <f t="shared" ref="CO166:CO192" si="222">IF((CL166-300000)&gt;0,(IF((CL166&gt;600000),(300000*11%),((CL166-300000)*11%))),(""))</f>
        <v>#REF!</v>
      </c>
      <c r="CP166" s="745" t="e">
        <f t="shared" ref="CP166:CP192" si="223">IF(((CL166-600000)&gt;0),(IF((CL166&gt;1100000),(500000*15%),((CL166-600000)*15%))),(""))</f>
        <v>#REF!</v>
      </c>
      <c r="CQ166" s="745" t="e">
        <f t="shared" ref="CQ166:CQ192" si="224">IF(((CL166-(1100000))&gt;0),(IF((CL166&gt;(1600000)),((500000)*19%),((CL166-(1100000))*19%))),(""))</f>
        <v>#REF!</v>
      </c>
      <c r="CR166" s="745" t="e">
        <f t="shared" ref="CR166:CR192" si="225">IF(((CL166-(1600000))&gt;0),(IF((CL166&gt;(3200000)),((1600000)*21%),((CL166-(1600000))*21%))),(""))</f>
        <v>#REF!</v>
      </c>
      <c r="CS166" s="745" t="e">
        <f t="shared" ref="CS166:CS192" si="226">IF(((CL166-(3200000))&gt;0),(IF((CL166&gt;(3200000)),((CL166-(3200000))*24%),(0))),(""))</f>
        <v>#REF!</v>
      </c>
      <c r="CT166" s="754" t="e">
        <f t="shared" si="199"/>
        <v>#REF!</v>
      </c>
      <c r="CU166" s="755" t="e">
        <f t="shared" si="200"/>
        <v>#REF!</v>
      </c>
      <c r="CV166" s="756">
        <v>498.29</v>
      </c>
      <c r="CW166" s="757"/>
      <c r="CX166" s="758"/>
      <c r="CY166" s="759"/>
      <c r="CZ166" s="760"/>
      <c r="DA166" s="767"/>
    </row>
    <row r="167" ht="236" customHeight="1" spans="1:105">
      <c r="A167" s="675">
        <v>490</v>
      </c>
      <c r="B167" s="676" t="s">
        <v>1166</v>
      </c>
      <c r="C167" s="677" t="s">
        <v>1533</v>
      </c>
      <c r="D167" s="677" t="s">
        <v>1697</v>
      </c>
      <c r="E167" s="677" t="s">
        <v>113</v>
      </c>
      <c r="F167" s="1452" t="s">
        <v>1167</v>
      </c>
      <c r="G167" s="677" t="s">
        <v>1602</v>
      </c>
      <c r="H167" s="679"/>
      <c r="I167" s="681" t="s">
        <v>113</v>
      </c>
      <c r="J167" s="686">
        <v>2241156854</v>
      </c>
      <c r="K167" s="687">
        <v>2243251756</v>
      </c>
      <c r="L167" s="688">
        <v>449113</v>
      </c>
      <c r="M167" s="688" t="e">
        <f>S167-#REF!</f>
        <v>#REF!</v>
      </c>
      <c r="N167" s="689">
        <v>449113</v>
      </c>
      <c r="O167" s="689">
        <v>37426.0833333333</v>
      </c>
      <c r="P167" s="689"/>
      <c r="Q167" s="689">
        <v>9356.52083333333</v>
      </c>
      <c r="R167" s="689">
        <v>42499.98</v>
      </c>
      <c r="S167" s="689">
        <v>93794.83</v>
      </c>
      <c r="T167" s="689"/>
      <c r="U167" s="689"/>
      <c r="V167" s="689"/>
      <c r="W167" s="689"/>
      <c r="X167" s="689"/>
      <c r="Y167" s="689"/>
      <c r="Z167" s="689"/>
      <c r="AA167" s="689"/>
      <c r="AB167" s="689"/>
      <c r="AC167" s="689">
        <v>2500</v>
      </c>
      <c r="AD167" s="689"/>
      <c r="AE167" s="689"/>
      <c r="AF167" s="689"/>
      <c r="AG167" s="689"/>
      <c r="AH167" s="689"/>
      <c r="AI167" s="689"/>
      <c r="AJ167" s="689">
        <v>2500</v>
      </c>
      <c r="AK167" s="689"/>
      <c r="AL167" s="689">
        <v>383.33</v>
      </c>
      <c r="AM167" s="689"/>
      <c r="AN167" s="689"/>
      <c r="AO167" s="689"/>
      <c r="AP167" s="689"/>
      <c r="AQ167" s="689"/>
      <c r="AR167" s="689"/>
      <c r="AS167" s="689"/>
      <c r="AT167" s="689"/>
      <c r="AU167" s="689">
        <f t="shared" si="206"/>
        <v>2813.8449</v>
      </c>
      <c r="AV167" s="689"/>
      <c r="AW167" s="689"/>
      <c r="AX167" s="718"/>
      <c r="AY167" s="718"/>
      <c r="AZ167" s="718"/>
      <c r="BA167" s="689"/>
      <c r="BB167" s="689"/>
      <c r="BC167" s="689"/>
      <c r="BD167" s="719"/>
      <c r="BE167" s="719">
        <f t="shared" si="186"/>
        <v>2813.8449</v>
      </c>
      <c r="BF167" s="689"/>
      <c r="BG167" s="689"/>
      <c r="BH167" s="727"/>
      <c r="BI167" s="689"/>
      <c r="BJ167" s="689"/>
      <c r="BK167" s="689"/>
      <c r="BL167" s="689"/>
      <c r="BM167" s="689"/>
      <c r="BN167" s="689"/>
      <c r="BO167" s="689">
        <v>0</v>
      </c>
      <c r="BP167" s="689"/>
      <c r="BQ167" s="689"/>
      <c r="BR167" s="731"/>
      <c r="BS167" s="731"/>
      <c r="BT167" s="731"/>
      <c r="BU167" s="731"/>
      <c r="BV167" s="731"/>
      <c r="BW167" s="731"/>
      <c r="BX167" s="731"/>
      <c r="BY167" s="731"/>
      <c r="BZ167" s="731">
        <v>500</v>
      </c>
      <c r="CA167" s="718">
        <f t="shared" si="149"/>
        <v>1975.8966</v>
      </c>
      <c r="CB167" s="735"/>
      <c r="CC167" s="731">
        <v>6355.38</v>
      </c>
      <c r="CD167" s="702">
        <f t="shared" si="178"/>
        <v>98794.83</v>
      </c>
      <c r="CE167" s="731">
        <f t="shared" si="181"/>
        <v>14458.9664</v>
      </c>
      <c r="CF167" s="739">
        <f t="shared" si="179"/>
        <v>84335.8636</v>
      </c>
      <c r="CG167" s="742">
        <f t="shared" si="159"/>
        <v>14458.9664</v>
      </c>
      <c r="CH167" s="743" t="e">
        <f>'[6]JACKSON AKPOJARO '!C297*12</f>
        <v>#REF!</v>
      </c>
      <c r="CI167" s="744" t="e">
        <f t="shared" si="218"/>
        <v>#REF!</v>
      </c>
      <c r="CJ167" s="745">
        <f t="shared" si="203"/>
        <v>0</v>
      </c>
      <c r="CK167" s="748" t="e">
        <f t="shared" si="219"/>
        <v>#REF!</v>
      </c>
      <c r="CL167" s="749" t="e">
        <f t="shared" si="220"/>
        <v>#REF!</v>
      </c>
      <c r="CM167" s="744"/>
      <c r="CN167" s="745" t="e">
        <f t="shared" si="221"/>
        <v>#REF!</v>
      </c>
      <c r="CO167" s="745" t="e">
        <f t="shared" si="222"/>
        <v>#REF!</v>
      </c>
      <c r="CP167" s="745" t="e">
        <f t="shared" si="223"/>
        <v>#REF!</v>
      </c>
      <c r="CQ167" s="745" t="e">
        <f t="shared" si="224"/>
        <v>#REF!</v>
      </c>
      <c r="CR167" s="745" t="e">
        <f t="shared" si="225"/>
        <v>#REF!</v>
      </c>
      <c r="CS167" s="745" t="e">
        <f t="shared" si="226"/>
        <v>#REF!</v>
      </c>
      <c r="CT167" s="754" t="e">
        <f t="shared" si="199"/>
        <v>#REF!</v>
      </c>
      <c r="CU167" s="755" t="e">
        <f t="shared" si="200"/>
        <v>#REF!</v>
      </c>
      <c r="CV167" s="756">
        <f>CC167</f>
        <v>6355.38</v>
      </c>
      <c r="CW167" s="757"/>
      <c r="CX167" s="758"/>
      <c r="CY167" s="759"/>
      <c r="CZ167" s="760"/>
      <c r="DA167" s="767"/>
    </row>
    <row r="168" s="660" customFormat="1" ht="197.25" customHeight="1" spans="1:106">
      <c r="A168" s="673">
        <v>491</v>
      </c>
      <c r="B168" s="826" t="s">
        <v>1168</v>
      </c>
      <c r="C168" s="827" t="s">
        <v>1533</v>
      </c>
      <c r="D168" s="827" t="s">
        <v>1698</v>
      </c>
      <c r="E168" s="827" t="s">
        <v>135</v>
      </c>
      <c r="F168" s="1455" t="s">
        <v>1169</v>
      </c>
      <c r="G168" s="827" t="s">
        <v>1683</v>
      </c>
      <c r="H168" s="828"/>
      <c r="I168" s="833" t="s">
        <v>135</v>
      </c>
      <c r="J168" s="834" t="s">
        <v>1699</v>
      </c>
      <c r="K168" s="835">
        <v>2243251757</v>
      </c>
      <c r="L168" s="836">
        <f>L166</f>
        <v>403057</v>
      </c>
      <c r="M168" s="836" t="e">
        <f>S168-#REF!</f>
        <v>#REF!</v>
      </c>
      <c r="N168" s="837">
        <v>403057</v>
      </c>
      <c r="O168" s="837">
        <v>33588.0833333333</v>
      </c>
      <c r="P168" s="837"/>
      <c r="Q168" s="837">
        <v>8397.02083333333</v>
      </c>
      <c r="R168" s="837">
        <v>42499.98</v>
      </c>
      <c r="S168" s="689">
        <v>89282.58</v>
      </c>
      <c r="T168" s="689"/>
      <c r="U168" s="689"/>
      <c r="V168" s="689"/>
      <c r="W168" s="689"/>
      <c r="X168" s="689"/>
      <c r="Y168" s="689"/>
      <c r="Z168" s="689"/>
      <c r="AA168" s="689"/>
      <c r="AB168" s="689"/>
      <c r="AC168" s="689">
        <v>2500</v>
      </c>
      <c r="AD168" s="689"/>
      <c r="AE168" s="689"/>
      <c r="AF168" s="689"/>
      <c r="AG168" s="689"/>
      <c r="AH168" s="689"/>
      <c r="AI168" s="689"/>
      <c r="AJ168" s="689">
        <v>2500</v>
      </c>
      <c r="AK168" s="689"/>
      <c r="AL168" s="689">
        <v>383.33</v>
      </c>
      <c r="AM168" s="689"/>
      <c r="AN168" s="689"/>
      <c r="AO168" s="689"/>
      <c r="AP168" s="689"/>
      <c r="AQ168" s="689"/>
      <c r="AR168" s="689"/>
      <c r="AS168" s="689"/>
      <c r="AT168" s="689"/>
      <c r="AU168" s="689">
        <f t="shared" si="206"/>
        <v>2678.4774</v>
      </c>
      <c r="AV168" s="689"/>
      <c r="AW168" s="689"/>
      <c r="AX168" s="718"/>
      <c r="AY168" s="718"/>
      <c r="AZ168" s="718"/>
      <c r="BA168" s="689"/>
      <c r="BB168" s="689">
        <v>25000</v>
      </c>
      <c r="BC168" s="689"/>
      <c r="BD168" s="719"/>
      <c r="BE168" s="719">
        <f t="shared" si="186"/>
        <v>2678.4774</v>
      </c>
      <c r="BF168" s="689"/>
      <c r="BG168" s="689"/>
      <c r="BH168" s="727"/>
      <c r="BI168" s="689"/>
      <c r="BJ168" s="689"/>
      <c r="BK168" s="689"/>
      <c r="BL168" s="689"/>
      <c r="BM168" s="689"/>
      <c r="BN168" s="689"/>
      <c r="BO168" s="689">
        <v>20833.3333333333</v>
      </c>
      <c r="BP168" s="689"/>
      <c r="BQ168" s="689"/>
      <c r="BR168" s="731"/>
      <c r="BS168" s="731"/>
      <c r="BT168" s="731">
        <v>33900</v>
      </c>
      <c r="BU168" s="731"/>
      <c r="BV168" s="731"/>
      <c r="BW168" s="731"/>
      <c r="BX168" s="731"/>
      <c r="BY168" s="731"/>
      <c r="BZ168" s="731">
        <v>500</v>
      </c>
      <c r="CA168" s="718">
        <f t="shared" si="149"/>
        <v>1885.6516</v>
      </c>
      <c r="CB168" s="735"/>
      <c r="CC168" s="731">
        <v>5813.91</v>
      </c>
      <c r="CD168" s="702">
        <f t="shared" si="178"/>
        <v>94282.58</v>
      </c>
      <c r="CE168" s="731">
        <f t="shared" si="181"/>
        <v>93289.8497333333</v>
      </c>
      <c r="CF168" s="739">
        <f t="shared" si="179"/>
        <v>992.730266666709</v>
      </c>
      <c r="CG168" s="843">
        <f t="shared" si="159"/>
        <v>93289.8497333333</v>
      </c>
      <c r="CH168" s="844" t="e">
        <f>'[6]JACKSON AKPOJARO '!C298*12</f>
        <v>#REF!</v>
      </c>
      <c r="CI168" s="845" t="e">
        <f t="shared" si="218"/>
        <v>#REF!</v>
      </c>
      <c r="CJ168" s="846">
        <f t="shared" si="203"/>
        <v>0</v>
      </c>
      <c r="CK168" s="849" t="e">
        <f t="shared" si="219"/>
        <v>#REF!</v>
      </c>
      <c r="CL168" s="850" t="e">
        <f t="shared" si="220"/>
        <v>#REF!</v>
      </c>
      <c r="CM168" s="845"/>
      <c r="CN168" s="846" t="e">
        <f t="shared" si="221"/>
        <v>#REF!</v>
      </c>
      <c r="CO168" s="846" t="e">
        <f t="shared" si="222"/>
        <v>#REF!</v>
      </c>
      <c r="CP168" s="846" t="e">
        <f t="shared" si="223"/>
        <v>#REF!</v>
      </c>
      <c r="CQ168" s="846" t="e">
        <f t="shared" si="224"/>
        <v>#REF!</v>
      </c>
      <c r="CR168" s="846" t="e">
        <f t="shared" si="225"/>
        <v>#REF!</v>
      </c>
      <c r="CS168" s="846" t="e">
        <f t="shared" si="226"/>
        <v>#REF!</v>
      </c>
      <c r="CT168" s="862" t="e">
        <f t="shared" si="199"/>
        <v>#REF!</v>
      </c>
      <c r="CU168" s="863" t="e">
        <f t="shared" si="200"/>
        <v>#REF!</v>
      </c>
      <c r="CV168" s="864">
        <v>498.29</v>
      </c>
      <c r="CW168" s="865"/>
      <c r="CX168" s="866"/>
      <c r="CY168" s="867"/>
      <c r="CZ168" s="868"/>
      <c r="DA168" s="872"/>
      <c r="DB168" s="873"/>
    </row>
    <row r="169" ht="236" customHeight="1" spans="1:105">
      <c r="A169" s="675">
        <v>492</v>
      </c>
      <c r="B169" s="676" t="s">
        <v>1170</v>
      </c>
      <c r="C169" s="677" t="s">
        <v>1533</v>
      </c>
      <c r="D169" s="677" t="s">
        <v>1700</v>
      </c>
      <c r="E169" s="677" t="s">
        <v>165</v>
      </c>
      <c r="F169" s="677" t="s">
        <v>1171</v>
      </c>
      <c r="G169" s="677" t="s">
        <v>1683</v>
      </c>
      <c r="H169" s="679"/>
      <c r="I169" s="681" t="s">
        <v>165</v>
      </c>
      <c r="J169" s="686">
        <v>2264830913</v>
      </c>
      <c r="K169" s="687">
        <f>'[5] NON-TEACHING STAFF'!$J$145</f>
        <v>22242366027</v>
      </c>
      <c r="L169" s="688">
        <f>L168</f>
        <v>403057</v>
      </c>
      <c r="M169" s="688" t="e">
        <f>S169-#REF!</f>
        <v>#REF!</v>
      </c>
      <c r="N169" s="689">
        <v>403057</v>
      </c>
      <c r="O169" s="689">
        <v>33588.0833333333</v>
      </c>
      <c r="P169" s="689"/>
      <c r="Q169" s="689">
        <v>8397.02083333333</v>
      </c>
      <c r="R169" s="689">
        <v>42499.98</v>
      </c>
      <c r="S169" s="689">
        <v>89282.58</v>
      </c>
      <c r="T169" s="689"/>
      <c r="U169" s="689"/>
      <c r="V169" s="689"/>
      <c r="W169" s="689"/>
      <c r="X169" s="689"/>
      <c r="Y169" s="689"/>
      <c r="Z169" s="689"/>
      <c r="AA169" s="689"/>
      <c r="AB169" s="689"/>
      <c r="AC169" s="689">
        <v>2500</v>
      </c>
      <c r="AD169" s="689"/>
      <c r="AE169" s="689"/>
      <c r="AF169" s="689"/>
      <c r="AG169" s="689"/>
      <c r="AH169" s="689"/>
      <c r="AI169" s="689"/>
      <c r="AJ169" s="689">
        <v>2500</v>
      </c>
      <c r="AK169" s="689"/>
      <c r="AL169" s="689">
        <v>383.33</v>
      </c>
      <c r="AM169" s="689"/>
      <c r="AN169" s="689"/>
      <c r="AO169" s="689"/>
      <c r="AP169" s="689"/>
      <c r="AQ169" s="689"/>
      <c r="AR169" s="689"/>
      <c r="AS169" s="689"/>
      <c r="AT169" s="689"/>
      <c r="AU169" s="689">
        <f t="shared" si="206"/>
        <v>2678.4774</v>
      </c>
      <c r="AV169" s="689"/>
      <c r="AW169" s="689"/>
      <c r="AX169" s="718"/>
      <c r="AY169" s="718"/>
      <c r="AZ169" s="718"/>
      <c r="BA169" s="689"/>
      <c r="BB169" s="689"/>
      <c r="BC169" s="689"/>
      <c r="BD169" s="719"/>
      <c r="BE169" s="719">
        <f t="shared" si="186"/>
        <v>2678.4774</v>
      </c>
      <c r="BF169" s="689"/>
      <c r="BG169" s="689"/>
      <c r="BH169" s="727"/>
      <c r="BI169" s="689"/>
      <c r="BJ169" s="689"/>
      <c r="BK169" s="689"/>
      <c r="BL169" s="689"/>
      <c r="BM169" s="689"/>
      <c r="BN169" s="689"/>
      <c r="BO169" s="689">
        <v>0</v>
      </c>
      <c r="BP169" s="689"/>
      <c r="BQ169" s="689"/>
      <c r="BR169" s="731"/>
      <c r="BS169" s="731"/>
      <c r="BT169" s="731"/>
      <c r="BU169" s="731"/>
      <c r="BV169" s="731"/>
      <c r="BW169" s="731"/>
      <c r="BX169" s="731"/>
      <c r="BY169" s="731"/>
      <c r="BZ169" s="731">
        <v>500</v>
      </c>
      <c r="CA169" s="718">
        <f t="shared" si="149"/>
        <v>1885.6516</v>
      </c>
      <c r="CB169" s="735"/>
      <c r="CC169" s="731">
        <v>5813.91</v>
      </c>
      <c r="CD169" s="702">
        <f t="shared" si="178"/>
        <v>94282.58</v>
      </c>
      <c r="CE169" s="731">
        <f t="shared" si="181"/>
        <v>13556.5164</v>
      </c>
      <c r="CF169" s="739">
        <f t="shared" si="179"/>
        <v>80726.0636</v>
      </c>
      <c r="CG169" s="742">
        <f t="shared" si="159"/>
        <v>13556.5164</v>
      </c>
      <c r="CH169" s="743" t="e">
        <f>'[6]JACKSON AKPOJARO '!C299*12</f>
        <v>#REF!</v>
      </c>
      <c r="CI169" s="744" t="e">
        <f t="shared" si="218"/>
        <v>#REF!</v>
      </c>
      <c r="CJ169" s="745">
        <f t="shared" si="203"/>
        <v>0</v>
      </c>
      <c r="CK169" s="748" t="e">
        <f t="shared" si="219"/>
        <v>#REF!</v>
      </c>
      <c r="CL169" s="749" t="e">
        <f t="shared" si="220"/>
        <v>#REF!</v>
      </c>
      <c r="CM169" s="744"/>
      <c r="CN169" s="745" t="e">
        <f t="shared" si="221"/>
        <v>#REF!</v>
      </c>
      <c r="CO169" s="745" t="e">
        <f t="shared" si="222"/>
        <v>#REF!</v>
      </c>
      <c r="CP169" s="745" t="e">
        <f t="shared" si="223"/>
        <v>#REF!</v>
      </c>
      <c r="CQ169" s="745" t="e">
        <f t="shared" si="224"/>
        <v>#REF!</v>
      </c>
      <c r="CR169" s="745" t="e">
        <f t="shared" si="225"/>
        <v>#REF!</v>
      </c>
      <c r="CS169" s="745" t="e">
        <f t="shared" si="226"/>
        <v>#REF!</v>
      </c>
      <c r="CT169" s="754" t="e">
        <f t="shared" si="199"/>
        <v>#REF!</v>
      </c>
      <c r="CU169" s="755" t="e">
        <f t="shared" si="200"/>
        <v>#REF!</v>
      </c>
      <c r="CV169" s="756">
        <v>498.29</v>
      </c>
      <c r="CW169" s="757"/>
      <c r="CX169" s="758"/>
      <c r="CY169" s="759"/>
      <c r="CZ169" s="760"/>
      <c r="DA169" s="767"/>
    </row>
    <row r="170" ht="236" customHeight="1" spans="1:105">
      <c r="A170" s="673">
        <v>493</v>
      </c>
      <c r="B170" s="676" t="s">
        <v>1172</v>
      </c>
      <c r="C170" s="677" t="s">
        <v>1533</v>
      </c>
      <c r="D170" s="677" t="s">
        <v>1700</v>
      </c>
      <c r="E170" s="677" t="s">
        <v>135</v>
      </c>
      <c r="F170" s="1452" t="s">
        <v>1173</v>
      </c>
      <c r="G170" s="677" t="s">
        <v>1683</v>
      </c>
      <c r="H170" s="679"/>
      <c r="I170" s="681" t="s">
        <v>135</v>
      </c>
      <c r="J170" s="686" t="s">
        <v>1173</v>
      </c>
      <c r="K170" s="687">
        <f>'[5] NON-TEACHING STAFF'!$J$146</f>
        <v>22520264380</v>
      </c>
      <c r="L170" s="688">
        <f>L169</f>
        <v>403057</v>
      </c>
      <c r="M170" s="688" t="e">
        <f>S170-#REF!</f>
        <v>#REF!</v>
      </c>
      <c r="N170" s="689">
        <v>403057</v>
      </c>
      <c r="O170" s="689">
        <v>33588.0833333333</v>
      </c>
      <c r="P170" s="689"/>
      <c r="Q170" s="689">
        <v>8397.02083333333</v>
      </c>
      <c r="R170" s="689">
        <v>42499.98</v>
      </c>
      <c r="S170" s="689">
        <v>89282.58</v>
      </c>
      <c r="T170" s="689"/>
      <c r="U170" s="689"/>
      <c r="V170" s="689"/>
      <c r="W170" s="689"/>
      <c r="X170" s="689"/>
      <c r="Y170" s="689"/>
      <c r="Z170" s="689"/>
      <c r="AA170" s="689"/>
      <c r="AB170" s="689"/>
      <c r="AC170" s="689">
        <v>2500</v>
      </c>
      <c r="AD170" s="689"/>
      <c r="AE170" s="689"/>
      <c r="AF170" s="689"/>
      <c r="AG170" s="689"/>
      <c r="AH170" s="689"/>
      <c r="AI170" s="689"/>
      <c r="AJ170" s="689">
        <v>2500</v>
      </c>
      <c r="AK170" s="689"/>
      <c r="AL170" s="689">
        <v>383.33</v>
      </c>
      <c r="AM170" s="689"/>
      <c r="AN170" s="689"/>
      <c r="AO170" s="689"/>
      <c r="AP170" s="689"/>
      <c r="AQ170" s="689"/>
      <c r="AR170" s="689"/>
      <c r="AS170" s="689"/>
      <c r="AT170" s="689"/>
      <c r="AU170" s="689">
        <f t="shared" si="206"/>
        <v>2678.4774</v>
      </c>
      <c r="AV170" s="689"/>
      <c r="AW170" s="689"/>
      <c r="AX170" s="718"/>
      <c r="AY170" s="718"/>
      <c r="AZ170" s="718"/>
      <c r="BA170" s="689"/>
      <c r="BB170" s="689"/>
      <c r="BC170" s="689"/>
      <c r="BD170" s="719"/>
      <c r="BE170" s="719">
        <f t="shared" si="186"/>
        <v>2678.4774</v>
      </c>
      <c r="BF170" s="689"/>
      <c r="BG170" s="689"/>
      <c r="BH170" s="727"/>
      <c r="BI170" s="689"/>
      <c r="BJ170" s="689"/>
      <c r="BK170" s="689"/>
      <c r="BL170" s="689"/>
      <c r="BM170" s="689"/>
      <c r="BN170" s="689"/>
      <c r="BO170" s="689">
        <v>0</v>
      </c>
      <c r="BP170" s="689"/>
      <c r="BQ170" s="689"/>
      <c r="BR170" s="731"/>
      <c r="BS170" s="731"/>
      <c r="BT170" s="731"/>
      <c r="BU170" s="731"/>
      <c r="BV170" s="731"/>
      <c r="BW170" s="731"/>
      <c r="BX170" s="731"/>
      <c r="BY170" s="731">
        <v>1000</v>
      </c>
      <c r="BZ170" s="731">
        <v>500</v>
      </c>
      <c r="CA170" s="718">
        <f t="shared" si="149"/>
        <v>1885.6516</v>
      </c>
      <c r="CB170" s="735"/>
      <c r="CC170" s="731">
        <v>5813.91</v>
      </c>
      <c r="CD170" s="702">
        <f t="shared" si="178"/>
        <v>94282.58</v>
      </c>
      <c r="CE170" s="731">
        <f t="shared" si="181"/>
        <v>14556.5164</v>
      </c>
      <c r="CF170" s="739">
        <f t="shared" si="179"/>
        <v>79726.0636</v>
      </c>
      <c r="CG170" s="742">
        <f t="shared" si="159"/>
        <v>14556.5164</v>
      </c>
      <c r="CH170" s="743" t="e">
        <f>'[6]JACKSON AKPOJARO '!C300*12</f>
        <v>#REF!</v>
      </c>
      <c r="CI170" s="744" t="e">
        <f t="shared" si="218"/>
        <v>#REF!</v>
      </c>
      <c r="CJ170" s="745">
        <f t="shared" si="203"/>
        <v>0</v>
      </c>
      <c r="CK170" s="748" t="e">
        <f t="shared" si="219"/>
        <v>#REF!</v>
      </c>
      <c r="CL170" s="749" t="e">
        <f t="shared" si="220"/>
        <v>#REF!</v>
      </c>
      <c r="CM170" s="744"/>
      <c r="CN170" s="745" t="e">
        <f t="shared" si="221"/>
        <v>#REF!</v>
      </c>
      <c r="CO170" s="745" t="e">
        <f t="shared" si="222"/>
        <v>#REF!</v>
      </c>
      <c r="CP170" s="745" t="e">
        <f t="shared" si="223"/>
        <v>#REF!</v>
      </c>
      <c r="CQ170" s="745" t="e">
        <f t="shared" si="224"/>
        <v>#REF!</v>
      </c>
      <c r="CR170" s="745" t="e">
        <f t="shared" si="225"/>
        <v>#REF!</v>
      </c>
      <c r="CS170" s="745" t="e">
        <f t="shared" si="226"/>
        <v>#REF!</v>
      </c>
      <c r="CT170" s="754" t="e">
        <f t="shared" si="199"/>
        <v>#REF!</v>
      </c>
      <c r="CU170" s="755" t="e">
        <f t="shared" si="200"/>
        <v>#REF!</v>
      </c>
      <c r="CV170" s="756">
        <v>498.29</v>
      </c>
      <c r="CW170" s="757"/>
      <c r="CX170" s="758"/>
      <c r="CY170" s="759"/>
      <c r="CZ170" s="760"/>
      <c r="DA170" s="767"/>
    </row>
    <row r="171" ht="236" customHeight="1" spans="1:105">
      <c r="A171" s="675">
        <v>494</v>
      </c>
      <c r="B171" s="676" t="s">
        <v>1174</v>
      </c>
      <c r="C171" s="677" t="s">
        <v>1533</v>
      </c>
      <c r="D171" s="677" t="s">
        <v>1701</v>
      </c>
      <c r="E171" s="677" t="s">
        <v>135</v>
      </c>
      <c r="F171" s="677" t="s">
        <v>1175</v>
      </c>
      <c r="G171" s="677" t="s">
        <v>1683</v>
      </c>
      <c r="H171" s="679"/>
      <c r="I171" s="681" t="s">
        <v>135</v>
      </c>
      <c r="J171" s="686" t="s">
        <v>1175</v>
      </c>
      <c r="K171" s="687">
        <f>'[5] NON-TEACHING STAFF'!$J$147</f>
        <v>22541365987</v>
      </c>
      <c r="L171" s="688">
        <v>405127</v>
      </c>
      <c r="M171" s="688" t="e">
        <f>S171-#REF!</f>
        <v>#REF!</v>
      </c>
      <c r="N171" s="689">
        <v>405127</v>
      </c>
      <c r="O171" s="689">
        <v>33760.5833333333</v>
      </c>
      <c r="P171" s="689"/>
      <c r="Q171" s="689">
        <v>8440.14583333333</v>
      </c>
      <c r="R171" s="689">
        <v>42499.98</v>
      </c>
      <c r="S171" s="689">
        <v>89282.58</v>
      </c>
      <c r="T171" s="689"/>
      <c r="U171" s="689"/>
      <c r="V171" s="689"/>
      <c r="W171" s="689"/>
      <c r="X171" s="689"/>
      <c r="Y171" s="689"/>
      <c r="Z171" s="689"/>
      <c r="AA171" s="689"/>
      <c r="AB171" s="689"/>
      <c r="AC171" s="689">
        <v>2500</v>
      </c>
      <c r="AD171" s="689"/>
      <c r="AE171" s="689"/>
      <c r="AF171" s="689"/>
      <c r="AG171" s="689"/>
      <c r="AH171" s="689"/>
      <c r="AI171" s="689"/>
      <c r="AJ171" s="689">
        <v>2500</v>
      </c>
      <c r="AK171" s="689"/>
      <c r="AL171" s="689">
        <v>383.33</v>
      </c>
      <c r="AM171" s="689"/>
      <c r="AN171" s="689"/>
      <c r="AO171" s="689"/>
      <c r="AP171" s="689"/>
      <c r="AQ171" s="689"/>
      <c r="AR171" s="689"/>
      <c r="AS171" s="689"/>
      <c r="AT171" s="689"/>
      <c r="AU171" s="689">
        <f t="shared" si="206"/>
        <v>2678.4774</v>
      </c>
      <c r="AV171" s="689"/>
      <c r="AW171" s="689"/>
      <c r="AX171" s="718"/>
      <c r="AY171" s="718"/>
      <c r="AZ171" s="718"/>
      <c r="BA171" s="689"/>
      <c r="BB171" s="689"/>
      <c r="BC171" s="689"/>
      <c r="BD171" s="719"/>
      <c r="BE171" s="719">
        <f t="shared" si="186"/>
        <v>2678.4774</v>
      </c>
      <c r="BF171" s="689"/>
      <c r="BG171" s="689"/>
      <c r="BH171" s="727"/>
      <c r="BI171" s="689"/>
      <c r="BJ171" s="689"/>
      <c r="BK171" s="689"/>
      <c r="BL171" s="689"/>
      <c r="BM171" s="689"/>
      <c r="BN171" s="689"/>
      <c r="BO171" s="689">
        <v>0</v>
      </c>
      <c r="BP171" s="689"/>
      <c r="BQ171" s="689"/>
      <c r="BR171" s="731"/>
      <c r="BS171" s="731"/>
      <c r="BT171" s="731"/>
      <c r="BU171" s="731"/>
      <c r="BV171" s="731"/>
      <c r="BW171" s="731"/>
      <c r="BX171" s="731"/>
      <c r="BY171" s="731">
        <v>1000</v>
      </c>
      <c r="BZ171" s="731">
        <v>500</v>
      </c>
      <c r="CA171" s="718">
        <f t="shared" si="149"/>
        <v>1885.6516</v>
      </c>
      <c r="CB171" s="735"/>
      <c r="CC171" s="731">
        <v>5813.91</v>
      </c>
      <c r="CD171" s="702">
        <f t="shared" si="178"/>
        <v>94282.58</v>
      </c>
      <c r="CE171" s="731">
        <f t="shared" si="181"/>
        <v>14556.5164</v>
      </c>
      <c r="CF171" s="739">
        <f t="shared" si="179"/>
        <v>79726.0636</v>
      </c>
      <c r="CG171" s="742">
        <f t="shared" si="159"/>
        <v>14556.5164</v>
      </c>
      <c r="CH171" s="743" t="e">
        <f>'[6]JACKSON AKPOJARO '!C301*12</f>
        <v>#REF!</v>
      </c>
      <c r="CI171" s="744" t="e">
        <f t="shared" si="218"/>
        <v>#REF!</v>
      </c>
      <c r="CJ171" s="745">
        <f t="shared" si="203"/>
        <v>0</v>
      </c>
      <c r="CK171" s="748" t="e">
        <f t="shared" si="219"/>
        <v>#REF!</v>
      </c>
      <c r="CL171" s="749" t="e">
        <f t="shared" si="220"/>
        <v>#REF!</v>
      </c>
      <c r="CM171" s="744"/>
      <c r="CN171" s="745" t="e">
        <f t="shared" si="221"/>
        <v>#REF!</v>
      </c>
      <c r="CO171" s="745" t="e">
        <f t="shared" si="222"/>
        <v>#REF!</v>
      </c>
      <c r="CP171" s="745" t="e">
        <f t="shared" si="223"/>
        <v>#REF!</v>
      </c>
      <c r="CQ171" s="745" t="e">
        <f t="shared" si="224"/>
        <v>#REF!</v>
      </c>
      <c r="CR171" s="745" t="e">
        <f t="shared" si="225"/>
        <v>#REF!</v>
      </c>
      <c r="CS171" s="745" t="e">
        <f t="shared" si="226"/>
        <v>#REF!</v>
      </c>
      <c r="CT171" s="754" t="e">
        <f t="shared" si="199"/>
        <v>#REF!</v>
      </c>
      <c r="CU171" s="755" t="e">
        <f t="shared" si="200"/>
        <v>#REF!</v>
      </c>
      <c r="CV171" s="756">
        <v>498.29</v>
      </c>
      <c r="CW171" s="757"/>
      <c r="CX171" s="758"/>
      <c r="CY171" s="759"/>
      <c r="CZ171" s="760"/>
      <c r="DA171" s="767"/>
    </row>
    <row r="172" ht="236" customHeight="1" spans="1:105">
      <c r="A172" s="673">
        <v>495</v>
      </c>
      <c r="B172" s="676" t="s">
        <v>1176</v>
      </c>
      <c r="C172" s="677" t="s">
        <v>1533</v>
      </c>
      <c r="D172" s="677" t="s">
        <v>1702</v>
      </c>
      <c r="E172" s="677" t="s">
        <v>93</v>
      </c>
      <c r="F172" s="677" t="s">
        <v>1177</v>
      </c>
      <c r="G172" s="677" t="s">
        <v>1604</v>
      </c>
      <c r="H172" s="679"/>
      <c r="I172" s="681" t="s">
        <v>93</v>
      </c>
      <c r="J172" s="686" t="s">
        <v>1177</v>
      </c>
      <c r="K172" s="687"/>
      <c r="L172" s="688">
        <v>384594</v>
      </c>
      <c r="M172" s="688" t="e">
        <f>S172-#REF!</f>
        <v>#REF!</v>
      </c>
      <c r="N172" s="689">
        <v>394860</v>
      </c>
      <c r="O172" s="689">
        <v>32905</v>
      </c>
      <c r="P172" s="689"/>
      <c r="Q172" s="689">
        <v>8226.25</v>
      </c>
      <c r="R172" s="689">
        <v>42499.98</v>
      </c>
      <c r="S172" s="689">
        <v>84700.71</v>
      </c>
      <c r="T172" s="689"/>
      <c r="U172" s="689"/>
      <c r="V172" s="689"/>
      <c r="W172" s="689"/>
      <c r="X172" s="689"/>
      <c r="Y172" s="689"/>
      <c r="Z172" s="689"/>
      <c r="AA172" s="689"/>
      <c r="AB172" s="689"/>
      <c r="AC172" s="689">
        <v>2500</v>
      </c>
      <c r="AD172" s="689"/>
      <c r="AE172" s="689"/>
      <c r="AF172" s="689"/>
      <c r="AG172" s="689"/>
      <c r="AH172" s="689"/>
      <c r="AI172" s="689"/>
      <c r="AJ172" s="689">
        <v>2500</v>
      </c>
      <c r="AK172" s="689"/>
      <c r="AL172" s="689">
        <v>383.33</v>
      </c>
      <c r="AM172" s="689"/>
      <c r="AN172" s="689"/>
      <c r="AO172" s="689"/>
      <c r="AP172" s="689"/>
      <c r="AQ172" s="689"/>
      <c r="AR172" s="689"/>
      <c r="AS172" s="689"/>
      <c r="AT172" s="689"/>
      <c r="AU172" s="689">
        <f t="shared" si="206"/>
        <v>2541.0213</v>
      </c>
      <c r="AV172" s="689"/>
      <c r="AW172" s="689"/>
      <c r="AX172" s="718"/>
      <c r="AY172" s="718"/>
      <c r="AZ172" s="718"/>
      <c r="BA172" s="689"/>
      <c r="BB172" s="689"/>
      <c r="BC172" s="689"/>
      <c r="BD172" s="719"/>
      <c r="BE172" s="719">
        <f t="shared" si="186"/>
        <v>2541.0213</v>
      </c>
      <c r="BF172" s="689"/>
      <c r="BG172" s="689"/>
      <c r="BH172" s="727"/>
      <c r="BI172" s="689"/>
      <c r="BJ172" s="689"/>
      <c r="BK172" s="689"/>
      <c r="BL172" s="689"/>
      <c r="BM172" s="689"/>
      <c r="BN172" s="689"/>
      <c r="BO172" s="689">
        <v>0</v>
      </c>
      <c r="BP172" s="689"/>
      <c r="BQ172" s="689"/>
      <c r="BR172" s="731"/>
      <c r="BS172" s="731"/>
      <c r="BT172" s="731"/>
      <c r="BU172" s="731"/>
      <c r="BV172" s="731"/>
      <c r="BW172" s="731"/>
      <c r="BX172" s="731"/>
      <c r="BY172" s="731"/>
      <c r="BZ172" s="731">
        <v>500</v>
      </c>
      <c r="CA172" s="718">
        <f t="shared" si="149"/>
        <v>1794.0142</v>
      </c>
      <c r="CB172" s="735"/>
      <c r="CC172" s="731">
        <v>5264.09</v>
      </c>
      <c r="CD172" s="702">
        <f t="shared" si="178"/>
        <v>89700.71</v>
      </c>
      <c r="CE172" s="731">
        <f t="shared" si="181"/>
        <v>12640.1468</v>
      </c>
      <c r="CF172" s="739">
        <f t="shared" si="179"/>
        <v>77060.5632</v>
      </c>
      <c r="CG172" s="742">
        <f t="shared" si="159"/>
        <v>12640.1468</v>
      </c>
      <c r="CH172" s="743" t="e">
        <f>'[6]JACKSON AKPOJARO '!C302*12</f>
        <v>#REF!</v>
      </c>
      <c r="CI172" s="744" t="e">
        <f t="shared" ref="CI172" si="227">200000+(0.2*CH172)</f>
        <v>#REF!</v>
      </c>
      <c r="CJ172" s="745">
        <f t="shared" si="203"/>
        <v>0</v>
      </c>
      <c r="CK172" s="748" t="e">
        <f t="shared" ref="CK172" si="228">SUM(CI172:CJ172)</f>
        <v>#REF!</v>
      </c>
      <c r="CL172" s="749" t="e">
        <f t="shared" ref="CL172" si="229">+CH172-CK172</f>
        <v>#REF!</v>
      </c>
      <c r="CM172" s="744"/>
      <c r="CN172" s="745" t="e">
        <f t="shared" ref="CN172" si="230">IF((CL172&gt;0),(IF((CL172&gt;300000),(300000*7%),(CL172*7%))),(CH172*1%))</f>
        <v>#REF!</v>
      </c>
      <c r="CO172" s="745" t="e">
        <f t="shared" ref="CO172" si="231">IF((CL172-300000)&gt;0,(IF((CL172&gt;600000),(300000*11%),((CL172-300000)*11%))),(""))</f>
        <v>#REF!</v>
      </c>
      <c r="CP172" s="745" t="e">
        <f t="shared" ref="CP172" si="232">IF(((CL172-600000)&gt;0),(IF((CL172&gt;1100000),(500000*15%),((CL172-600000)*15%))),(""))</f>
        <v>#REF!</v>
      </c>
      <c r="CQ172" s="745" t="e">
        <f t="shared" ref="CQ172" si="233">IF(((CL172-(1100000))&gt;0),(IF((CL172&gt;(1600000)),((500000)*19%),((CL172-(1100000))*19%))),(""))</f>
        <v>#REF!</v>
      </c>
      <c r="CR172" s="745" t="e">
        <f t="shared" ref="CR172" si="234">IF(((CL172-(1600000))&gt;0),(IF((CL172&gt;(3200000)),((1600000)*21%),((CL172-(1600000))*21%))),(""))</f>
        <v>#REF!</v>
      </c>
      <c r="CS172" s="745" t="e">
        <f t="shared" ref="CS172" si="235">IF(((CL172-(3200000))&gt;0),(IF((CL172&gt;(3200000)),((CL172-(3200000))*24%),(0))),(""))</f>
        <v>#REF!</v>
      </c>
      <c r="CT172" s="754" t="e">
        <f t="shared" si="199"/>
        <v>#REF!</v>
      </c>
      <c r="CU172" s="755" t="e">
        <f t="shared" si="200"/>
        <v>#REF!</v>
      </c>
      <c r="CV172" s="756"/>
      <c r="CW172" s="757"/>
      <c r="CX172" s="758"/>
      <c r="CY172" s="759"/>
      <c r="CZ172" s="760"/>
      <c r="DA172" s="767"/>
    </row>
    <row r="173" ht="236" customHeight="1" spans="1:105">
      <c r="A173" s="675">
        <v>496</v>
      </c>
      <c r="B173" s="676" t="s">
        <v>1178</v>
      </c>
      <c r="C173" s="677" t="s">
        <v>1533</v>
      </c>
      <c r="D173" s="677" t="s">
        <v>1601</v>
      </c>
      <c r="E173" s="677" t="s">
        <v>915</v>
      </c>
      <c r="F173" s="677" t="s">
        <v>1179</v>
      </c>
      <c r="G173" s="677" t="s">
        <v>1604</v>
      </c>
      <c r="H173" s="679"/>
      <c r="I173" s="681" t="s">
        <v>915</v>
      </c>
      <c r="J173" s="686" t="s">
        <v>1179</v>
      </c>
      <c r="K173" s="687"/>
      <c r="L173" s="688">
        <v>384594</v>
      </c>
      <c r="M173" s="688" t="e">
        <f>S173-#REF!</f>
        <v>#REF!</v>
      </c>
      <c r="N173" s="689">
        <v>394860</v>
      </c>
      <c r="O173" s="689">
        <v>32905</v>
      </c>
      <c r="P173" s="689"/>
      <c r="Q173" s="689">
        <v>8226.25</v>
      </c>
      <c r="R173" s="689">
        <v>42499.98</v>
      </c>
      <c r="S173" s="689">
        <v>84700.71</v>
      </c>
      <c r="T173" s="689"/>
      <c r="U173" s="689"/>
      <c r="V173" s="689"/>
      <c r="W173" s="689"/>
      <c r="X173" s="689"/>
      <c r="Y173" s="689"/>
      <c r="Z173" s="689"/>
      <c r="AA173" s="689"/>
      <c r="AB173" s="689"/>
      <c r="AC173" s="689">
        <v>2500</v>
      </c>
      <c r="AD173" s="689"/>
      <c r="AE173" s="689"/>
      <c r="AF173" s="689"/>
      <c r="AG173" s="689"/>
      <c r="AH173" s="689"/>
      <c r="AI173" s="689"/>
      <c r="AJ173" s="689">
        <v>2500</v>
      </c>
      <c r="AK173" s="689"/>
      <c r="AL173" s="689">
        <v>383.33</v>
      </c>
      <c r="AM173" s="689"/>
      <c r="AN173" s="689"/>
      <c r="AO173" s="689"/>
      <c r="AP173" s="689"/>
      <c r="AQ173" s="689"/>
      <c r="AR173" s="689"/>
      <c r="AS173" s="689"/>
      <c r="AT173" s="689"/>
      <c r="AU173" s="689">
        <f t="shared" si="206"/>
        <v>2541.0213</v>
      </c>
      <c r="AV173" s="689"/>
      <c r="AW173" s="689"/>
      <c r="AX173" s="718"/>
      <c r="AY173" s="718"/>
      <c r="AZ173" s="718"/>
      <c r="BA173" s="689"/>
      <c r="BB173" s="689"/>
      <c r="BC173" s="689"/>
      <c r="BD173" s="719"/>
      <c r="BE173" s="719">
        <f t="shared" si="186"/>
        <v>2541.0213</v>
      </c>
      <c r="BF173" s="689"/>
      <c r="BG173" s="689"/>
      <c r="BH173" s="727"/>
      <c r="BI173" s="689"/>
      <c r="BJ173" s="689"/>
      <c r="BK173" s="689"/>
      <c r="BL173" s="689"/>
      <c r="BM173" s="689"/>
      <c r="BN173" s="689"/>
      <c r="BO173" s="689">
        <v>10000</v>
      </c>
      <c r="BP173" s="689"/>
      <c r="BQ173" s="689"/>
      <c r="BR173" s="731"/>
      <c r="BS173" s="731"/>
      <c r="BT173" s="731"/>
      <c r="BU173" s="731"/>
      <c r="BV173" s="731"/>
      <c r="BW173" s="731"/>
      <c r="BX173" s="731"/>
      <c r="BY173" s="731"/>
      <c r="BZ173" s="731">
        <v>500</v>
      </c>
      <c r="CA173" s="718">
        <f t="shared" si="149"/>
        <v>1794.0142</v>
      </c>
      <c r="CB173" s="735"/>
      <c r="CC173" s="731">
        <v>5264.09</v>
      </c>
      <c r="CD173" s="702">
        <f t="shared" si="178"/>
        <v>89700.71</v>
      </c>
      <c r="CE173" s="731">
        <f t="shared" si="181"/>
        <v>22640.1468</v>
      </c>
      <c r="CF173" s="739">
        <f t="shared" si="179"/>
        <v>67060.5632</v>
      </c>
      <c r="CG173" s="742">
        <f t="shared" si="159"/>
        <v>22640.1468</v>
      </c>
      <c r="CH173" s="743" t="e">
        <f>'[6]JACKSON AKPOJARO '!C302*12</f>
        <v>#REF!</v>
      </c>
      <c r="CI173" s="744" t="e">
        <f t="shared" ref="CI173" si="236">200000+(0.2*CH173)</f>
        <v>#REF!</v>
      </c>
      <c r="CJ173" s="745">
        <f t="shared" si="203"/>
        <v>0</v>
      </c>
      <c r="CK173" s="748" t="e">
        <f t="shared" ref="CK173" si="237">SUM(CI173:CJ173)</f>
        <v>#REF!</v>
      </c>
      <c r="CL173" s="749" t="e">
        <f t="shared" ref="CL173" si="238">+CH173-CK173</f>
        <v>#REF!</v>
      </c>
      <c r="CM173" s="744"/>
      <c r="CN173" s="745" t="e">
        <f t="shared" ref="CN173" si="239">IF((CL173&gt;0),(IF((CL173&gt;300000),(300000*7%),(CL173*7%))),(CH173*1%))</f>
        <v>#REF!</v>
      </c>
      <c r="CO173" s="745" t="e">
        <f t="shared" ref="CO173" si="240">IF((CL173-300000)&gt;0,(IF((CL173&gt;600000),(300000*11%),((CL173-300000)*11%))),(""))</f>
        <v>#REF!</v>
      </c>
      <c r="CP173" s="745" t="e">
        <f t="shared" ref="CP173" si="241">IF(((CL173-600000)&gt;0),(IF((CL173&gt;1100000),(500000*15%),((CL173-600000)*15%))),(""))</f>
        <v>#REF!</v>
      </c>
      <c r="CQ173" s="745" t="e">
        <f t="shared" ref="CQ173" si="242">IF(((CL173-(1100000))&gt;0),(IF((CL173&gt;(1600000)),((500000)*19%),((CL173-(1100000))*19%))),(""))</f>
        <v>#REF!</v>
      </c>
      <c r="CR173" s="745" t="e">
        <f t="shared" ref="CR173" si="243">IF(((CL173-(1600000))&gt;0),(IF((CL173&gt;(3200000)),((1600000)*21%),((CL173-(1600000))*21%))),(""))</f>
        <v>#REF!</v>
      </c>
      <c r="CS173" s="745" t="e">
        <f t="shared" ref="CS173" si="244">IF(((CL173-(3200000))&gt;0),(IF((CL173&gt;(3200000)),((CL173-(3200000))*24%),(0))),(""))</f>
        <v>#REF!</v>
      </c>
      <c r="CT173" s="754" t="e">
        <f t="shared" si="199"/>
        <v>#REF!</v>
      </c>
      <c r="CU173" s="755" t="e">
        <f t="shared" si="200"/>
        <v>#REF!</v>
      </c>
      <c r="CV173" s="756"/>
      <c r="CW173" s="757"/>
      <c r="CX173" s="758"/>
      <c r="CY173" s="759"/>
      <c r="CZ173" s="760"/>
      <c r="DA173" s="767"/>
    </row>
    <row r="174" ht="236" customHeight="1" spans="1:105">
      <c r="A174" s="673">
        <v>497</v>
      </c>
      <c r="B174" s="676" t="s">
        <v>1180</v>
      </c>
      <c r="C174" s="677" t="s">
        <v>1533</v>
      </c>
      <c r="D174" s="677" t="s">
        <v>1702</v>
      </c>
      <c r="E174" s="677" t="s">
        <v>934</v>
      </c>
      <c r="F174" s="677">
        <v>7043413482</v>
      </c>
      <c r="G174" s="677" t="s">
        <v>1604</v>
      </c>
      <c r="H174" s="679"/>
      <c r="I174" s="681" t="s">
        <v>934</v>
      </c>
      <c r="J174" s="686">
        <v>7043413482</v>
      </c>
      <c r="K174" s="687"/>
      <c r="L174" s="688"/>
      <c r="M174" s="688"/>
      <c r="N174" s="689">
        <v>394860</v>
      </c>
      <c r="O174" s="689">
        <v>32905</v>
      </c>
      <c r="P174" s="689"/>
      <c r="Q174" s="689">
        <v>8226.25</v>
      </c>
      <c r="R174" s="689">
        <v>42499.98</v>
      </c>
      <c r="S174" s="689">
        <v>84700.75</v>
      </c>
      <c r="T174" s="689"/>
      <c r="U174" s="689"/>
      <c r="V174" s="689"/>
      <c r="W174" s="689"/>
      <c r="X174" s="689"/>
      <c r="Y174" s="689"/>
      <c r="Z174" s="689"/>
      <c r="AA174" s="689"/>
      <c r="AB174" s="689"/>
      <c r="AC174" s="689">
        <v>2500</v>
      </c>
      <c r="AD174" s="689"/>
      <c r="AE174" s="689"/>
      <c r="AF174" s="689"/>
      <c r="AG174" s="689"/>
      <c r="AH174" s="689"/>
      <c r="AI174" s="689"/>
      <c r="AJ174" s="689">
        <v>2500</v>
      </c>
      <c r="AK174" s="689"/>
      <c r="AL174" s="689">
        <v>383.33</v>
      </c>
      <c r="AM174" s="689"/>
      <c r="AN174" s="689"/>
      <c r="AO174" s="689"/>
      <c r="AP174" s="689"/>
      <c r="AQ174" s="689"/>
      <c r="AR174" s="689"/>
      <c r="AS174" s="689"/>
      <c r="AT174" s="689"/>
      <c r="AU174" s="689">
        <f t="shared" si="206"/>
        <v>2541.0225</v>
      </c>
      <c r="AV174" s="689"/>
      <c r="AW174" s="689"/>
      <c r="AX174" s="718"/>
      <c r="AY174" s="718"/>
      <c r="AZ174" s="718"/>
      <c r="BA174" s="689"/>
      <c r="BB174" s="689">
        <v>20833.33</v>
      </c>
      <c r="BC174" s="689"/>
      <c r="BD174" s="719"/>
      <c r="BE174" s="719">
        <f t="shared" si="186"/>
        <v>2541.0225</v>
      </c>
      <c r="BF174" s="689"/>
      <c r="BG174" s="689"/>
      <c r="BH174" s="727"/>
      <c r="BI174" s="689"/>
      <c r="BJ174" s="689"/>
      <c r="BK174" s="689"/>
      <c r="BL174" s="689"/>
      <c r="BM174" s="689"/>
      <c r="BN174" s="689"/>
      <c r="BO174" s="689">
        <v>0</v>
      </c>
      <c r="BP174" s="689"/>
      <c r="BQ174" s="689"/>
      <c r="BR174" s="731"/>
      <c r="BS174" s="731"/>
      <c r="BT174" s="731"/>
      <c r="BU174" s="731"/>
      <c r="BV174" s="731"/>
      <c r="BW174" s="731"/>
      <c r="BX174" s="731"/>
      <c r="BY174" s="731"/>
      <c r="BZ174" s="731">
        <v>500</v>
      </c>
      <c r="CA174" s="718">
        <f t="shared" si="149"/>
        <v>1794.015</v>
      </c>
      <c r="CB174" s="735"/>
      <c r="CC174" s="731">
        <v>5264.09</v>
      </c>
      <c r="CD174" s="702">
        <f t="shared" si="178"/>
        <v>89700.75</v>
      </c>
      <c r="CE174" s="731">
        <f t="shared" si="181"/>
        <v>33473.48</v>
      </c>
      <c r="CF174" s="739">
        <f t="shared" si="179"/>
        <v>56227.27</v>
      </c>
      <c r="CG174" s="742">
        <f t="shared" si="159"/>
        <v>33473.48</v>
      </c>
      <c r="CH174" s="743" t="e">
        <f>'[6]JACKSON AKPOJARO '!C303*12</f>
        <v>#REF!</v>
      </c>
      <c r="CI174" s="744" t="e">
        <f t="shared" ref="CI174" si="245">200000+(0.2*CH174)</f>
        <v>#REF!</v>
      </c>
      <c r="CJ174" s="745">
        <f t="shared" si="203"/>
        <v>0</v>
      </c>
      <c r="CK174" s="748" t="e">
        <f t="shared" ref="CK174" si="246">SUM(CI174:CJ174)</f>
        <v>#REF!</v>
      </c>
      <c r="CL174" s="749" t="e">
        <f t="shared" ref="CL174" si="247">+CH174-CK174</f>
        <v>#REF!</v>
      </c>
      <c r="CM174" s="744"/>
      <c r="CN174" s="745" t="e">
        <f t="shared" ref="CN174" si="248">IF((CL174&gt;0),(IF((CL174&gt;300000),(300000*7%),(CL174*7%))),(CH174*1%))</f>
        <v>#REF!</v>
      </c>
      <c r="CO174" s="745" t="e">
        <f t="shared" ref="CO174" si="249">IF((CL174-300000)&gt;0,(IF((CL174&gt;600000),(300000*11%),((CL174-300000)*11%))),(""))</f>
        <v>#REF!</v>
      </c>
      <c r="CP174" s="745" t="e">
        <f t="shared" ref="CP174" si="250">IF(((CL174-600000)&gt;0),(IF((CL174&gt;1100000),(500000*15%),((CL174-600000)*15%))),(""))</f>
        <v>#REF!</v>
      </c>
      <c r="CQ174" s="745" t="e">
        <f t="shared" ref="CQ174" si="251">IF(((CL174-(1100000))&gt;0),(IF((CL174&gt;(1600000)),((500000)*19%),((CL174-(1100000))*19%))),(""))</f>
        <v>#REF!</v>
      </c>
      <c r="CR174" s="745" t="e">
        <f t="shared" ref="CR174" si="252">IF(((CL174-(1600000))&gt;0),(IF((CL174&gt;(3200000)),((1600000)*21%),((CL174-(1600000))*21%))),(""))</f>
        <v>#REF!</v>
      </c>
      <c r="CS174" s="745" t="e">
        <f t="shared" ref="CS174" si="253">IF(((CL174-(3200000))&gt;0),(IF((CL174&gt;(3200000)),((CL174-(3200000))*24%),(0))),(""))</f>
        <v>#REF!</v>
      </c>
      <c r="CT174" s="754"/>
      <c r="CU174" s="755"/>
      <c r="CV174" s="756"/>
      <c r="CW174" s="757"/>
      <c r="CX174" s="758"/>
      <c r="CY174" s="759"/>
      <c r="CZ174" s="760"/>
      <c r="DA174" s="767"/>
    </row>
    <row r="175" s="657" customFormat="1" ht="236" customHeight="1" spans="1:107">
      <c r="A175" s="675">
        <v>498</v>
      </c>
      <c r="B175" s="676" t="s">
        <v>1181</v>
      </c>
      <c r="C175" s="677" t="s">
        <v>1533</v>
      </c>
      <c r="D175" s="677" t="s">
        <v>1702</v>
      </c>
      <c r="E175" s="677" t="s">
        <v>113</v>
      </c>
      <c r="F175" s="677">
        <v>2069867640</v>
      </c>
      <c r="G175" s="677" t="s">
        <v>1703</v>
      </c>
      <c r="H175" s="679"/>
      <c r="I175" s="681" t="s">
        <v>113</v>
      </c>
      <c r="J175" s="686">
        <v>2069867640</v>
      </c>
      <c r="K175" s="687"/>
      <c r="L175" s="688">
        <v>384595</v>
      </c>
      <c r="M175" s="688" t="e">
        <f>S175-#REF!</f>
        <v>#REF!</v>
      </c>
      <c r="N175" s="689">
        <v>415394</v>
      </c>
      <c r="O175" s="689">
        <v>34616.165</v>
      </c>
      <c r="P175" s="689"/>
      <c r="Q175" s="689">
        <v>8654.04125</v>
      </c>
      <c r="R175" s="689">
        <v>42499.98</v>
      </c>
      <c r="S175" s="689">
        <v>86839.67</v>
      </c>
      <c r="T175" s="689"/>
      <c r="U175" s="689"/>
      <c r="V175" s="689"/>
      <c r="W175" s="689"/>
      <c r="X175" s="689"/>
      <c r="Y175" s="689"/>
      <c r="Z175" s="689"/>
      <c r="AA175" s="689"/>
      <c r="AB175" s="689"/>
      <c r="AC175" s="689">
        <v>2500</v>
      </c>
      <c r="AD175" s="689"/>
      <c r="AE175" s="689"/>
      <c r="AF175" s="689"/>
      <c r="AG175" s="689"/>
      <c r="AH175" s="689"/>
      <c r="AI175" s="689"/>
      <c r="AJ175" s="689">
        <v>2500</v>
      </c>
      <c r="AK175" s="689"/>
      <c r="AL175" s="689">
        <v>383.33</v>
      </c>
      <c r="AM175" s="689"/>
      <c r="AN175" s="689"/>
      <c r="AO175" s="689"/>
      <c r="AP175" s="689"/>
      <c r="AQ175" s="689"/>
      <c r="AR175" s="689"/>
      <c r="AS175" s="689"/>
      <c r="AT175" s="689"/>
      <c r="AU175" s="689">
        <f t="shared" si="206"/>
        <v>2605.1901</v>
      </c>
      <c r="AV175" s="689"/>
      <c r="AW175" s="689"/>
      <c r="AX175" s="718"/>
      <c r="AY175" s="718"/>
      <c r="AZ175" s="718"/>
      <c r="BA175" s="689"/>
      <c r="BB175" s="689"/>
      <c r="BC175" s="689"/>
      <c r="BD175" s="719"/>
      <c r="BE175" s="719">
        <f t="shared" si="186"/>
        <v>2605.1901</v>
      </c>
      <c r="BF175" s="689"/>
      <c r="BG175" s="689"/>
      <c r="BH175" s="727"/>
      <c r="BI175" s="689"/>
      <c r="BJ175" s="689"/>
      <c r="BK175" s="689"/>
      <c r="BL175" s="689"/>
      <c r="BM175" s="689"/>
      <c r="BN175" s="689"/>
      <c r="BO175" s="689">
        <v>0</v>
      </c>
      <c r="BP175" s="689"/>
      <c r="BQ175" s="689"/>
      <c r="BR175" s="731"/>
      <c r="BS175" s="731"/>
      <c r="BT175" s="731"/>
      <c r="BU175" s="731"/>
      <c r="BV175" s="731"/>
      <c r="BW175" s="731"/>
      <c r="BX175" s="731"/>
      <c r="BY175" s="731"/>
      <c r="BZ175" s="731">
        <f>500*2</f>
        <v>1000</v>
      </c>
      <c r="CA175" s="718">
        <f t="shared" si="149"/>
        <v>1836.7934</v>
      </c>
      <c r="CB175" s="735"/>
      <c r="CC175" s="731">
        <v>5520.76</v>
      </c>
      <c r="CD175" s="702">
        <f t="shared" si="178"/>
        <v>91839.67</v>
      </c>
      <c r="CE175" s="731">
        <f t="shared" si="181"/>
        <v>13567.9336</v>
      </c>
      <c r="CF175" s="739">
        <f t="shared" si="179"/>
        <v>78271.7364</v>
      </c>
      <c r="CG175" s="742">
        <f t="shared" si="159"/>
        <v>13567.9336</v>
      </c>
      <c r="CH175" s="743" t="e">
        <f>'[6]JACKSON AKPOJARO '!C303*12</f>
        <v>#REF!</v>
      </c>
      <c r="CI175" s="744" t="e">
        <f t="shared" ref="CI175" si="254">200000+(0.2*CH175)</f>
        <v>#REF!</v>
      </c>
      <c r="CJ175" s="745">
        <f t="shared" si="203"/>
        <v>0</v>
      </c>
      <c r="CK175" s="748" t="e">
        <f t="shared" ref="CK175" si="255">SUM(CI175:CJ175)</f>
        <v>#REF!</v>
      </c>
      <c r="CL175" s="749" t="e">
        <f t="shared" ref="CL175" si="256">+CH175-CK175</f>
        <v>#REF!</v>
      </c>
      <c r="CM175" s="744"/>
      <c r="CN175" s="745" t="e">
        <f t="shared" ref="CN175" si="257">IF((CL175&gt;0),(IF((CL175&gt;300000),(300000*7%),(CL175*7%))),(CH175*1%))</f>
        <v>#REF!</v>
      </c>
      <c r="CO175" s="745" t="e">
        <f t="shared" ref="CO175" si="258">IF((CL175-300000)&gt;0,(IF((CL175&gt;600000),(300000*11%),((CL175-300000)*11%))),(""))</f>
        <v>#REF!</v>
      </c>
      <c r="CP175" s="745" t="e">
        <f t="shared" ref="CP175" si="259">IF(((CL175-600000)&gt;0),(IF((CL175&gt;1100000),(500000*15%),((CL175-600000)*15%))),(""))</f>
        <v>#REF!</v>
      </c>
      <c r="CQ175" s="745" t="e">
        <f t="shared" ref="CQ175" si="260">IF(((CL175-(1100000))&gt;0),(IF((CL175&gt;(1600000)),((500000)*19%),((CL175-(1100000))*19%))),(""))</f>
        <v>#REF!</v>
      </c>
      <c r="CR175" s="745" t="e">
        <f t="shared" ref="CR175" si="261">IF(((CL175-(1600000))&gt;0),(IF((CL175&gt;(3200000)),((1600000)*21%),((CL175-(1600000))*21%))),(""))</f>
        <v>#REF!</v>
      </c>
      <c r="CS175" s="745" t="e">
        <f t="shared" ref="CS175" si="262">IF(((CL175-(3200000))&gt;0),(IF((CL175&gt;(3200000)),((CL175-(3200000))*24%),(0))),(""))</f>
        <v>#REF!</v>
      </c>
      <c r="CT175" s="754" t="e">
        <f>1%*CH175</f>
        <v>#REF!</v>
      </c>
      <c r="CU175" s="755" t="e">
        <f>MAX(CT175:CT175)</f>
        <v>#REF!</v>
      </c>
      <c r="CV175" s="756"/>
      <c r="CW175" s="757"/>
      <c r="CX175" s="758"/>
      <c r="CY175" s="759"/>
      <c r="CZ175" s="760"/>
      <c r="DA175" s="767"/>
      <c r="DB175" s="670"/>
      <c r="DC175" s="666"/>
    </row>
    <row r="176" ht="236" customHeight="1" spans="1:105">
      <c r="A176" s="673">
        <v>499</v>
      </c>
      <c r="B176" s="676" t="s">
        <v>1182</v>
      </c>
      <c r="C176" s="677" t="s">
        <v>1533</v>
      </c>
      <c r="D176" s="677" t="s">
        <v>1702</v>
      </c>
      <c r="E176" s="677" t="s">
        <v>259</v>
      </c>
      <c r="F176" s="677">
        <v>6172463059</v>
      </c>
      <c r="G176" s="677" t="s">
        <v>1695</v>
      </c>
      <c r="H176" s="679"/>
      <c r="I176" s="33" t="s">
        <v>259</v>
      </c>
      <c r="J176" s="480">
        <v>6172463059</v>
      </c>
      <c r="K176" s="687"/>
      <c r="L176" s="688">
        <v>384595</v>
      </c>
      <c r="M176" s="688" t="e">
        <f>S176-#REF!</f>
        <v>#REF!</v>
      </c>
      <c r="N176" s="689">
        <v>405127</v>
      </c>
      <c r="O176" s="689">
        <v>33760.585</v>
      </c>
      <c r="P176" s="689"/>
      <c r="Q176" s="689">
        <v>8440.14625</v>
      </c>
      <c r="R176" s="689">
        <v>42499.98</v>
      </c>
      <c r="S176" s="689">
        <v>85770.25</v>
      </c>
      <c r="T176" s="689"/>
      <c r="U176" s="689"/>
      <c r="V176" s="689"/>
      <c r="W176" s="689"/>
      <c r="X176" s="689"/>
      <c r="Y176" s="689"/>
      <c r="Z176" s="689"/>
      <c r="AA176" s="689"/>
      <c r="AB176" s="689"/>
      <c r="AC176" s="689">
        <v>2500</v>
      </c>
      <c r="AD176" s="689"/>
      <c r="AE176" s="689"/>
      <c r="AF176" s="689"/>
      <c r="AG176" s="689"/>
      <c r="AH176" s="689"/>
      <c r="AI176" s="689"/>
      <c r="AJ176" s="689">
        <v>2500</v>
      </c>
      <c r="AK176" s="689"/>
      <c r="AL176" s="689">
        <v>383.33</v>
      </c>
      <c r="AM176" s="689"/>
      <c r="AN176" s="689"/>
      <c r="AO176" s="689"/>
      <c r="AP176" s="689"/>
      <c r="AQ176" s="689"/>
      <c r="AR176" s="689"/>
      <c r="AS176" s="689"/>
      <c r="AT176" s="689"/>
      <c r="AU176" s="689">
        <f t="shared" si="206"/>
        <v>2573.1075</v>
      </c>
      <c r="AV176" s="689"/>
      <c r="AW176" s="689"/>
      <c r="AX176" s="718"/>
      <c r="AY176" s="718"/>
      <c r="AZ176" s="718"/>
      <c r="BA176" s="689"/>
      <c r="BB176" s="689"/>
      <c r="BC176" s="689"/>
      <c r="BD176" s="719"/>
      <c r="BE176" s="719">
        <f t="shared" si="186"/>
        <v>2573.1075</v>
      </c>
      <c r="BF176" s="689"/>
      <c r="BG176" s="689"/>
      <c r="BH176" s="727"/>
      <c r="BI176" s="689"/>
      <c r="BJ176" s="689"/>
      <c r="BK176" s="689"/>
      <c r="BL176" s="689"/>
      <c r="BM176" s="689"/>
      <c r="BN176" s="689"/>
      <c r="BO176" s="689">
        <v>0</v>
      </c>
      <c r="BP176" s="689"/>
      <c r="BQ176" s="689"/>
      <c r="BR176" s="731"/>
      <c r="BS176" s="731"/>
      <c r="BT176" s="731"/>
      <c r="BU176" s="731"/>
      <c r="BV176" s="731"/>
      <c r="BW176" s="731"/>
      <c r="BX176" s="731"/>
      <c r="BY176" s="731"/>
      <c r="BZ176" s="731">
        <v>500</v>
      </c>
      <c r="CA176" s="718">
        <f t="shared" si="149"/>
        <v>1815.405</v>
      </c>
      <c r="CB176" s="735"/>
      <c r="CC176" s="731">
        <v>5392.43</v>
      </c>
      <c r="CD176" s="702">
        <f t="shared" si="178"/>
        <v>90770.25</v>
      </c>
      <c r="CE176" s="731">
        <f t="shared" si="181"/>
        <v>12854.05</v>
      </c>
      <c r="CF176" s="739">
        <f t="shared" si="179"/>
        <v>77916.2</v>
      </c>
      <c r="CG176" s="742">
        <f t="shared" si="159"/>
        <v>12854.05</v>
      </c>
      <c r="CH176" s="743" t="e">
        <f>'[6]JACKSON AKPOJARO '!C303*12</f>
        <v>#REF!</v>
      </c>
      <c r="CI176" s="744" t="e">
        <f t="shared" ref="CI176" si="263">200000+(0.2*CH176)</f>
        <v>#REF!</v>
      </c>
      <c r="CJ176" s="745">
        <f t="shared" si="203"/>
        <v>0</v>
      </c>
      <c r="CK176" s="748" t="e">
        <f t="shared" ref="CK176" si="264">SUM(CI176:CJ176)</f>
        <v>#REF!</v>
      </c>
      <c r="CL176" s="749" t="e">
        <f t="shared" ref="CL176" si="265">+CH176-CK176</f>
        <v>#REF!</v>
      </c>
      <c r="CM176" s="744"/>
      <c r="CN176" s="745" t="e">
        <f t="shared" ref="CN176" si="266">IF((CL176&gt;0),(IF((CL176&gt;300000),(300000*7%),(CL176*7%))),(CH176*1%))</f>
        <v>#REF!</v>
      </c>
      <c r="CO176" s="745" t="e">
        <f t="shared" ref="CO176" si="267">IF((CL176-300000)&gt;0,(IF((CL176&gt;600000),(300000*11%),((CL176-300000)*11%))),(""))</f>
        <v>#REF!</v>
      </c>
      <c r="CP176" s="745" t="e">
        <f t="shared" ref="CP176" si="268">IF(((CL176-600000)&gt;0),(IF((CL176&gt;1100000),(500000*15%),((CL176-600000)*15%))),(""))</f>
        <v>#REF!</v>
      </c>
      <c r="CQ176" s="745" t="e">
        <f t="shared" ref="CQ176" si="269">IF(((CL176-(1100000))&gt;0),(IF((CL176&gt;(1600000)),((500000)*19%),((CL176-(1100000))*19%))),(""))</f>
        <v>#REF!</v>
      </c>
      <c r="CR176" s="745" t="e">
        <f t="shared" ref="CR176" si="270">IF(((CL176-(1600000))&gt;0),(IF((CL176&gt;(3200000)),((1600000)*21%),((CL176-(1600000))*21%))),(""))</f>
        <v>#REF!</v>
      </c>
      <c r="CS176" s="745" t="e">
        <f t="shared" ref="CS176" si="271">IF(((CL176-(3200000))&gt;0),(IF((CL176&gt;(3200000)),((CL176-(3200000))*24%),(0))),(""))</f>
        <v>#REF!</v>
      </c>
      <c r="CT176" s="754" t="e">
        <f>1%*CH176</f>
        <v>#REF!</v>
      </c>
      <c r="CU176" s="755" t="e">
        <f>MAX(CT176:CT176)</f>
        <v>#REF!</v>
      </c>
      <c r="CV176" s="756"/>
      <c r="CW176" s="757"/>
      <c r="CX176" s="758"/>
      <c r="CY176" s="759"/>
      <c r="CZ176" s="760"/>
      <c r="DA176" s="767"/>
    </row>
    <row r="177" ht="236" customHeight="1" spans="1:105">
      <c r="A177" s="675">
        <v>500</v>
      </c>
      <c r="B177" s="676" t="s">
        <v>1183</v>
      </c>
      <c r="C177" s="677" t="s">
        <v>1533</v>
      </c>
      <c r="D177" s="677" t="s">
        <v>1704</v>
      </c>
      <c r="E177" s="677" t="s">
        <v>135</v>
      </c>
      <c r="F177" s="677" t="s">
        <v>1184</v>
      </c>
      <c r="G177" s="677" t="s">
        <v>1604</v>
      </c>
      <c r="H177" s="679"/>
      <c r="I177" s="681" t="s">
        <v>135</v>
      </c>
      <c r="J177" s="686" t="s">
        <v>1184</v>
      </c>
      <c r="K177" s="687"/>
      <c r="L177" s="688"/>
      <c r="M177" s="688"/>
      <c r="N177" s="689">
        <v>394860</v>
      </c>
      <c r="O177" s="689">
        <v>32905</v>
      </c>
      <c r="P177" s="689"/>
      <c r="Q177" s="689">
        <v>8226.25</v>
      </c>
      <c r="R177" s="689">
        <v>42499.98</v>
      </c>
      <c r="S177" s="689">
        <v>84700.75</v>
      </c>
      <c r="T177" s="689"/>
      <c r="U177" s="689"/>
      <c r="V177" s="689"/>
      <c r="W177" s="689"/>
      <c r="X177" s="689"/>
      <c r="Y177" s="689"/>
      <c r="Z177" s="689"/>
      <c r="AA177" s="689"/>
      <c r="AB177" s="689"/>
      <c r="AC177" s="689">
        <v>2500</v>
      </c>
      <c r="AD177" s="689"/>
      <c r="AE177" s="689"/>
      <c r="AF177" s="689"/>
      <c r="AG177" s="689"/>
      <c r="AH177" s="689"/>
      <c r="AI177" s="689"/>
      <c r="AJ177" s="689">
        <v>2500</v>
      </c>
      <c r="AK177" s="689"/>
      <c r="AL177" s="689"/>
      <c r="AM177" s="689"/>
      <c r="AN177" s="689"/>
      <c r="AO177" s="689"/>
      <c r="AP177" s="689"/>
      <c r="AQ177" s="689"/>
      <c r="AR177" s="689"/>
      <c r="AS177" s="689"/>
      <c r="AT177" s="689"/>
      <c r="AU177" s="689">
        <f t="shared" si="206"/>
        <v>2541.0225</v>
      </c>
      <c r="AV177" s="689"/>
      <c r="AW177" s="689"/>
      <c r="AX177" s="718"/>
      <c r="AY177" s="718"/>
      <c r="AZ177" s="718"/>
      <c r="BA177" s="689"/>
      <c r="BB177" s="689"/>
      <c r="BC177" s="689"/>
      <c r="BD177" s="719"/>
      <c r="BE177" s="719">
        <f t="shared" si="186"/>
        <v>2541.0225</v>
      </c>
      <c r="BF177" s="689"/>
      <c r="BG177" s="689"/>
      <c r="BH177" s="727"/>
      <c r="BI177" s="689"/>
      <c r="BJ177" s="689"/>
      <c r="BK177" s="689"/>
      <c r="BL177" s="689"/>
      <c r="BM177" s="689"/>
      <c r="BN177" s="689"/>
      <c r="BO177" s="689">
        <v>0</v>
      </c>
      <c r="BP177" s="689"/>
      <c r="BQ177" s="689"/>
      <c r="BR177" s="731"/>
      <c r="BS177" s="731"/>
      <c r="BT177" s="731"/>
      <c r="BU177" s="731"/>
      <c r="BV177" s="731"/>
      <c r="BW177" s="731"/>
      <c r="BX177" s="731"/>
      <c r="BY177" s="731">
        <v>1000</v>
      </c>
      <c r="BZ177" s="731">
        <v>500</v>
      </c>
      <c r="CA177" s="718">
        <f t="shared" si="149"/>
        <v>1794.015</v>
      </c>
      <c r="CB177" s="735"/>
      <c r="CC177" s="731">
        <v>5264.09</v>
      </c>
      <c r="CD177" s="702">
        <f t="shared" si="178"/>
        <v>89700.75</v>
      </c>
      <c r="CE177" s="731">
        <f t="shared" si="181"/>
        <v>13640.15</v>
      </c>
      <c r="CF177" s="739">
        <f t="shared" si="179"/>
        <v>76060.6</v>
      </c>
      <c r="CG177" s="742">
        <f t="shared" si="159"/>
        <v>13640.15</v>
      </c>
      <c r="CH177" s="743"/>
      <c r="CI177" s="744"/>
      <c r="CJ177" s="745"/>
      <c r="CK177" s="748"/>
      <c r="CL177" s="749"/>
      <c r="CM177" s="744"/>
      <c r="CN177" s="745"/>
      <c r="CO177" s="745"/>
      <c r="CP177" s="745"/>
      <c r="CQ177" s="745"/>
      <c r="CR177" s="745"/>
      <c r="CS177" s="745"/>
      <c r="CT177" s="754"/>
      <c r="CU177" s="755"/>
      <c r="CV177" s="756"/>
      <c r="CW177" s="757"/>
      <c r="CX177" s="758"/>
      <c r="CY177" s="759"/>
      <c r="CZ177" s="760"/>
      <c r="DA177" s="767"/>
    </row>
    <row r="178" ht="236" customHeight="1" spans="1:106">
      <c r="A178" s="673">
        <v>501</v>
      </c>
      <c r="B178" s="676" t="s">
        <v>1185</v>
      </c>
      <c r="C178" s="677" t="s">
        <v>1533</v>
      </c>
      <c r="D178" s="677" t="s">
        <v>1702</v>
      </c>
      <c r="E178" s="677" t="s">
        <v>915</v>
      </c>
      <c r="F178" s="677" t="s">
        <v>1186</v>
      </c>
      <c r="G178" s="677" t="s">
        <v>1705</v>
      </c>
      <c r="H178" s="679"/>
      <c r="I178" s="681" t="s">
        <v>915</v>
      </c>
      <c r="J178" s="686" t="s">
        <v>1186</v>
      </c>
      <c r="K178" s="687"/>
      <c r="L178" s="688"/>
      <c r="M178" s="688"/>
      <c r="N178" s="689">
        <v>425661</v>
      </c>
      <c r="O178" s="689">
        <v>65810</v>
      </c>
      <c r="P178" s="689"/>
      <c r="Q178" s="689">
        <v>16452.5</v>
      </c>
      <c r="R178" s="689">
        <v>52073</v>
      </c>
      <c r="S178" s="689">
        <v>86923.17</v>
      </c>
      <c r="T178" s="689"/>
      <c r="U178" s="689"/>
      <c r="V178" s="689"/>
      <c r="W178" s="689"/>
      <c r="X178" s="689"/>
      <c r="Y178" s="689"/>
      <c r="Z178" s="689"/>
      <c r="AA178" s="689"/>
      <c r="AB178" s="689"/>
      <c r="AC178" s="689">
        <v>2500</v>
      </c>
      <c r="AD178" s="689"/>
      <c r="AE178" s="689"/>
      <c r="AF178" s="689"/>
      <c r="AG178" s="689"/>
      <c r="AH178" s="689"/>
      <c r="AI178" s="689"/>
      <c r="AJ178" s="689">
        <v>2500</v>
      </c>
      <c r="AK178" s="689"/>
      <c r="AL178" s="689"/>
      <c r="AM178" s="689"/>
      <c r="AN178" s="689"/>
      <c r="AO178" s="689"/>
      <c r="AP178" s="689"/>
      <c r="AQ178" s="689"/>
      <c r="AR178" s="689"/>
      <c r="AS178" s="689"/>
      <c r="AT178" s="689"/>
      <c r="AU178" s="689">
        <f t="shared" si="206"/>
        <v>2607.6951</v>
      </c>
      <c r="AV178" s="689"/>
      <c r="AW178" s="689"/>
      <c r="AX178" s="718"/>
      <c r="AY178" s="718"/>
      <c r="AZ178" s="718"/>
      <c r="BA178" s="689"/>
      <c r="BB178" s="689"/>
      <c r="BC178" s="689"/>
      <c r="BD178" s="719"/>
      <c r="BE178" s="719">
        <f t="shared" si="186"/>
        <v>2607.6951</v>
      </c>
      <c r="BF178" s="689"/>
      <c r="BG178" s="689"/>
      <c r="BH178" s="727"/>
      <c r="BI178" s="689"/>
      <c r="BJ178" s="689"/>
      <c r="BK178" s="689"/>
      <c r="BL178" s="689"/>
      <c r="BM178" s="689"/>
      <c r="BN178" s="689"/>
      <c r="BO178" s="689">
        <v>0</v>
      </c>
      <c r="BP178" s="689"/>
      <c r="BQ178" s="689"/>
      <c r="BR178" s="731"/>
      <c r="BS178" s="731"/>
      <c r="BT178" s="731"/>
      <c r="BU178" s="731"/>
      <c r="BV178" s="731"/>
      <c r="BW178" s="731"/>
      <c r="BX178" s="731"/>
      <c r="BY178" s="731">
        <v>1000</v>
      </c>
      <c r="BZ178" s="731">
        <v>500</v>
      </c>
      <c r="CA178" s="718">
        <f t="shared" ref="CA178" si="272">CD178*0.02</f>
        <v>1838.4634</v>
      </c>
      <c r="CB178" s="735"/>
      <c r="CC178" s="731">
        <v>5530.7804</v>
      </c>
      <c r="CD178" s="702">
        <f t="shared" si="178"/>
        <v>91923.17</v>
      </c>
      <c r="CE178" s="731">
        <f t="shared" si="181"/>
        <v>14084.634</v>
      </c>
      <c r="CF178" s="739">
        <f t="shared" si="179"/>
        <v>77838.536</v>
      </c>
      <c r="CG178" s="742">
        <f t="shared" ref="CG178" si="273">CD178-CF178</f>
        <v>14084.634</v>
      </c>
      <c r="CH178" s="743" t="e">
        <f>'[6]JACKSON AKPOJARO '!C304*12</f>
        <v>#REF!</v>
      </c>
      <c r="CI178" s="744" t="e">
        <f t="shared" ref="CI178" si="274">200000+(0.2*CH178)</f>
        <v>#REF!</v>
      </c>
      <c r="CJ178" s="745">
        <f>CB178*12</f>
        <v>0</v>
      </c>
      <c r="CK178" s="748" t="e">
        <f t="shared" ref="CK178" si="275">SUM(CI178:CJ178)</f>
        <v>#REF!</v>
      </c>
      <c r="CL178" s="749" t="e">
        <f t="shared" ref="CL178" si="276">+CH178-CK178</f>
        <v>#REF!</v>
      </c>
      <c r="CM178" s="744"/>
      <c r="CN178" s="745" t="e">
        <f t="shared" ref="CN178" si="277">IF((CL178&gt;0),(IF((CL178&gt;300000),(300000*7%),(CL178*7%))),(CH178*1%))</f>
        <v>#REF!</v>
      </c>
      <c r="CO178" s="745" t="e">
        <f t="shared" ref="CO178" si="278">IF((CL178-300000)&gt;0,(IF((CL178&gt;600000),(300000*11%),((CL178-300000)*11%))),(""))</f>
        <v>#REF!</v>
      </c>
      <c r="CP178" s="745" t="e">
        <f t="shared" ref="CP178" si="279">IF(((CL178-600000)&gt;0),(IF((CL178&gt;1100000),(500000*15%),((CL178-600000)*15%))),(""))</f>
        <v>#REF!</v>
      </c>
      <c r="CQ178" s="745" t="e">
        <f t="shared" ref="CQ178" si="280">IF(((CL178-(1100000))&gt;0),(IF((CL178&gt;(1600000)),((500000)*19%),((CL178-(1100000))*19%))),(""))</f>
        <v>#REF!</v>
      </c>
      <c r="CR178" s="745" t="e">
        <f t="shared" ref="CR178" si="281">IF(((CL178-(1600000))&gt;0),(IF((CL178&gt;(3200000)),((1600000)*21%),((CL178-(1600000))*21%))),(""))</f>
        <v>#REF!</v>
      </c>
      <c r="CS178" s="745" t="e">
        <f t="shared" ref="CS178" si="282">IF(((CL178-(3200000))&gt;0),(IF((CL178&gt;(3200000)),((CL178-(3200000))*24%),(0))),(""))</f>
        <v>#REF!</v>
      </c>
      <c r="CT178" s="754"/>
      <c r="CU178" s="755"/>
      <c r="CV178" s="756"/>
      <c r="CW178" s="757"/>
      <c r="CX178" s="758"/>
      <c r="CY178" s="759"/>
      <c r="CZ178" s="760"/>
      <c r="DA178" s="767"/>
      <c r="DB178" s="670" t="s">
        <v>1706</v>
      </c>
    </row>
    <row r="179" ht="236" customHeight="1" spans="1:105">
      <c r="A179" s="675">
        <v>502</v>
      </c>
      <c r="B179" s="676" t="s">
        <v>1187</v>
      </c>
      <c r="C179" s="677" t="s">
        <v>1527</v>
      </c>
      <c r="D179" s="677" t="s">
        <v>1684</v>
      </c>
      <c r="E179" s="677" t="s">
        <v>259</v>
      </c>
      <c r="F179" s="677">
        <v>6239730414</v>
      </c>
      <c r="G179" s="677" t="s">
        <v>1617</v>
      </c>
      <c r="H179" s="679"/>
      <c r="I179" s="33" t="s">
        <v>259</v>
      </c>
      <c r="J179" s="33">
        <v>6239730414</v>
      </c>
      <c r="K179" s="687"/>
      <c r="L179" s="688"/>
      <c r="M179" s="688"/>
      <c r="N179" s="689">
        <v>415390</v>
      </c>
      <c r="O179" s="689">
        <v>34615.8333333333</v>
      </c>
      <c r="P179" s="689"/>
      <c r="Q179" s="689">
        <v>8653.95833333333</v>
      </c>
      <c r="R179" s="689">
        <v>42499.98</v>
      </c>
      <c r="S179" s="689">
        <v>87054.5</v>
      </c>
      <c r="T179" s="689"/>
      <c r="U179" s="689"/>
      <c r="V179" s="689"/>
      <c r="W179" s="689"/>
      <c r="X179" s="689"/>
      <c r="Y179" s="689"/>
      <c r="Z179" s="689"/>
      <c r="AA179" s="689"/>
      <c r="AB179" s="689"/>
      <c r="AC179" s="689">
        <v>2500</v>
      </c>
      <c r="AD179" s="689"/>
      <c r="AE179" s="689"/>
      <c r="AF179" s="689"/>
      <c r="AG179" s="689"/>
      <c r="AH179" s="689"/>
      <c r="AI179" s="689"/>
      <c r="AJ179" s="689">
        <f>2500</f>
        <v>2500</v>
      </c>
      <c r="AK179" s="689"/>
      <c r="AL179" s="689">
        <v>385.33</v>
      </c>
      <c r="AM179" s="689"/>
      <c r="AN179" s="689"/>
      <c r="AO179" s="689"/>
      <c r="AP179" s="689"/>
      <c r="AQ179" s="689"/>
      <c r="AR179" s="689"/>
      <c r="AS179" s="689"/>
      <c r="AT179" s="689"/>
      <c r="AU179" s="689">
        <f t="shared" ref="AU179:AU185" si="283">S179*0.03</f>
        <v>2611.635</v>
      </c>
      <c r="AV179" s="689"/>
      <c r="AW179" s="689"/>
      <c r="AX179" s="718"/>
      <c r="AY179" s="718"/>
      <c r="AZ179" s="718"/>
      <c r="BA179" s="689"/>
      <c r="BB179" s="689"/>
      <c r="BC179" s="689"/>
      <c r="BD179" s="719"/>
      <c r="BE179" s="719">
        <f t="shared" si="186"/>
        <v>2611.635</v>
      </c>
      <c r="BF179" s="689"/>
      <c r="BG179" s="689"/>
      <c r="BH179" s="727"/>
      <c r="BI179" s="689"/>
      <c r="BJ179" s="689"/>
      <c r="BK179" s="689"/>
      <c r="BL179" s="689"/>
      <c r="BM179" s="689"/>
      <c r="BN179" s="689"/>
      <c r="BO179" s="689">
        <v>0</v>
      </c>
      <c r="BP179" s="689"/>
      <c r="BQ179" s="689"/>
      <c r="BR179" s="731"/>
      <c r="BS179" s="731"/>
      <c r="BT179" s="731"/>
      <c r="BU179" s="731"/>
      <c r="BV179" s="731"/>
      <c r="BW179" s="731"/>
      <c r="BX179" s="731"/>
      <c r="BY179" s="731">
        <v>1000</v>
      </c>
      <c r="BZ179" s="731">
        <f>500</f>
        <v>500</v>
      </c>
      <c r="CA179" s="718">
        <f t="shared" si="149"/>
        <v>1841.09</v>
      </c>
      <c r="CB179" s="735"/>
      <c r="CC179" s="731">
        <v>5546.54</v>
      </c>
      <c r="CD179" s="702">
        <f t="shared" si="178"/>
        <v>92054.5</v>
      </c>
      <c r="CE179" s="731">
        <f t="shared" si="181"/>
        <v>14110.9</v>
      </c>
      <c r="CF179" s="739">
        <f t="shared" si="179"/>
        <v>77943.6</v>
      </c>
      <c r="CG179" s="742">
        <f t="shared" si="159"/>
        <v>14110.9</v>
      </c>
      <c r="CH179" s="743" t="e">
        <f>'[6]JACKSON AKPOJARO '!C306*12</f>
        <v>#REF!</v>
      </c>
      <c r="CI179" s="744" t="e">
        <f t="shared" ref="CI179" si="284">200000+(0.2*CH179)</f>
        <v>#REF!</v>
      </c>
      <c r="CJ179" s="745">
        <f>CB179*12</f>
        <v>0</v>
      </c>
      <c r="CK179" s="748" t="e">
        <f t="shared" ref="CK179" si="285">SUM(CI179:CJ179)</f>
        <v>#REF!</v>
      </c>
      <c r="CL179" s="749" t="e">
        <f t="shared" ref="CL179" si="286">+CH179-CK179</f>
        <v>#REF!</v>
      </c>
      <c r="CM179" s="744"/>
      <c r="CN179" s="745" t="e">
        <f t="shared" ref="CN179" si="287">IF((CL179&gt;0),(IF((CL179&gt;300000),(300000*7%),(CL179*7%))),(CH179*1%))</f>
        <v>#REF!</v>
      </c>
      <c r="CO179" s="745" t="e">
        <f t="shared" ref="CO179" si="288">IF((CL179-300000)&gt;0,(IF((CL179&gt;600000),(300000*11%),((CL179-300000)*11%))),(""))</f>
        <v>#REF!</v>
      </c>
      <c r="CP179" s="745" t="e">
        <f t="shared" ref="CP179" si="289">IF(((CL179-600000)&gt;0),(IF((CL179&gt;1100000),(500000*15%),((CL179-600000)*15%))),(""))</f>
        <v>#REF!</v>
      </c>
      <c r="CQ179" s="745" t="e">
        <f t="shared" ref="CQ179" si="290">IF(((CL179-(1100000))&gt;0),(IF((CL179&gt;(1600000)),((500000)*19%),((CL179-(1100000))*19%))),(""))</f>
        <v>#REF!</v>
      </c>
      <c r="CR179" s="745" t="e">
        <f t="shared" ref="CR179" si="291">IF(((CL179-(1600000))&gt;0),(IF((CL179&gt;(3200000)),((1600000)*21%),((CL179-(1600000))*21%))),(""))</f>
        <v>#REF!</v>
      </c>
      <c r="CS179" s="745" t="e">
        <f t="shared" ref="CS179" si="292">IF(((CL179-(3200000))&gt;0),(IF((CL179&gt;(3200000)),((CL179-(3200000))*24%),(0))),(""))</f>
        <v>#REF!</v>
      </c>
      <c r="CT179" s="754"/>
      <c r="CU179" s="755"/>
      <c r="CV179" s="756"/>
      <c r="CW179" s="757"/>
      <c r="CX179" s="758"/>
      <c r="CY179" s="759"/>
      <c r="CZ179" s="760"/>
      <c r="DA179" s="767"/>
    </row>
    <row r="180" ht="236" customHeight="1" spans="1:105">
      <c r="A180" s="673">
        <v>503</v>
      </c>
      <c r="B180" s="676" t="s">
        <v>1188</v>
      </c>
      <c r="C180" s="677" t="s">
        <v>1527</v>
      </c>
      <c r="D180" s="677" t="s">
        <v>1684</v>
      </c>
      <c r="E180" s="677" t="s">
        <v>915</v>
      </c>
      <c r="F180" s="677" t="s">
        <v>1189</v>
      </c>
      <c r="G180" s="677" t="s">
        <v>1617</v>
      </c>
      <c r="H180" s="679"/>
      <c r="I180" s="681" t="s">
        <v>915</v>
      </c>
      <c r="J180" s="686" t="s">
        <v>1189</v>
      </c>
      <c r="K180" s="687"/>
      <c r="L180" s="688"/>
      <c r="M180" s="688"/>
      <c r="N180" s="689">
        <v>415390</v>
      </c>
      <c r="O180" s="689">
        <v>34615.8333333333</v>
      </c>
      <c r="P180" s="689"/>
      <c r="Q180" s="689">
        <v>8653.95833333333</v>
      </c>
      <c r="R180" s="689">
        <v>42499.98</v>
      </c>
      <c r="S180" s="689">
        <v>87054.5</v>
      </c>
      <c r="T180" s="689"/>
      <c r="U180" s="689"/>
      <c r="V180" s="689"/>
      <c r="W180" s="689"/>
      <c r="X180" s="689"/>
      <c r="Y180" s="689"/>
      <c r="Z180" s="689"/>
      <c r="AA180" s="689"/>
      <c r="AB180" s="689"/>
      <c r="AC180" s="689">
        <v>2500</v>
      </c>
      <c r="AD180" s="689"/>
      <c r="AE180" s="689"/>
      <c r="AF180" s="689"/>
      <c r="AG180" s="689"/>
      <c r="AH180" s="689"/>
      <c r="AI180" s="689"/>
      <c r="AJ180" s="689">
        <f>2500</f>
        <v>2500</v>
      </c>
      <c r="AK180" s="689"/>
      <c r="AL180" s="689">
        <v>386.33</v>
      </c>
      <c r="AM180" s="689"/>
      <c r="AN180" s="689"/>
      <c r="AO180" s="689"/>
      <c r="AP180" s="689"/>
      <c r="AQ180" s="689"/>
      <c r="AR180" s="689"/>
      <c r="AS180" s="689"/>
      <c r="AT180" s="689"/>
      <c r="AU180" s="689">
        <f t="shared" si="283"/>
        <v>2611.635</v>
      </c>
      <c r="AV180" s="689"/>
      <c r="AW180" s="689"/>
      <c r="AX180" s="718"/>
      <c r="AY180" s="718"/>
      <c r="AZ180" s="718"/>
      <c r="BA180" s="689"/>
      <c r="BB180" s="689"/>
      <c r="BC180" s="689"/>
      <c r="BD180" s="719"/>
      <c r="BE180" s="719">
        <f t="shared" si="186"/>
        <v>2611.635</v>
      </c>
      <c r="BF180" s="689"/>
      <c r="BG180" s="689"/>
      <c r="BH180" s="727"/>
      <c r="BI180" s="689"/>
      <c r="BJ180" s="689"/>
      <c r="BK180" s="689"/>
      <c r="BL180" s="689"/>
      <c r="BM180" s="689"/>
      <c r="BN180" s="689"/>
      <c r="BO180" s="689">
        <v>0</v>
      </c>
      <c r="BP180" s="689"/>
      <c r="BQ180" s="689"/>
      <c r="BR180" s="731"/>
      <c r="BS180" s="731"/>
      <c r="BT180" s="731"/>
      <c r="BU180" s="731"/>
      <c r="BV180" s="731"/>
      <c r="BW180" s="731"/>
      <c r="BX180" s="731"/>
      <c r="BY180" s="731">
        <v>1000</v>
      </c>
      <c r="BZ180" s="731">
        <f>500</f>
        <v>500</v>
      </c>
      <c r="CA180" s="718">
        <f t="shared" si="149"/>
        <v>1841.09</v>
      </c>
      <c r="CB180" s="735"/>
      <c r="CC180" s="731">
        <v>5546.54</v>
      </c>
      <c r="CD180" s="702">
        <f t="shared" si="178"/>
        <v>92054.5</v>
      </c>
      <c r="CE180" s="731">
        <f t="shared" si="181"/>
        <v>14110.9</v>
      </c>
      <c r="CF180" s="739">
        <f t="shared" si="179"/>
        <v>77943.6</v>
      </c>
      <c r="CG180" s="742">
        <f t="shared" si="159"/>
        <v>14110.9</v>
      </c>
      <c r="CH180" s="743"/>
      <c r="CI180" s="744"/>
      <c r="CJ180" s="745"/>
      <c r="CK180" s="748"/>
      <c r="CL180" s="749"/>
      <c r="CM180" s="744"/>
      <c r="CN180" s="745"/>
      <c r="CO180" s="745"/>
      <c r="CP180" s="745"/>
      <c r="CQ180" s="745"/>
      <c r="CR180" s="745"/>
      <c r="CS180" s="745"/>
      <c r="CT180" s="754"/>
      <c r="CU180" s="755"/>
      <c r="CV180" s="756"/>
      <c r="CW180" s="757"/>
      <c r="CX180" s="758"/>
      <c r="CY180" s="759"/>
      <c r="CZ180" s="760"/>
      <c r="DA180" s="767"/>
    </row>
    <row r="181" ht="236" customHeight="1" spans="1:105">
      <c r="A181" s="675">
        <v>504</v>
      </c>
      <c r="B181" s="676" t="s">
        <v>1190</v>
      </c>
      <c r="C181" s="677" t="s">
        <v>1527</v>
      </c>
      <c r="D181" s="677" t="s">
        <v>1684</v>
      </c>
      <c r="E181" s="677" t="s">
        <v>915</v>
      </c>
      <c r="F181" s="677" t="s">
        <v>1191</v>
      </c>
      <c r="G181" s="677" t="s">
        <v>1685</v>
      </c>
      <c r="H181" s="679"/>
      <c r="I181" s="681" t="s">
        <v>915</v>
      </c>
      <c r="J181" s="686" t="s">
        <v>1191</v>
      </c>
      <c r="K181" s="687"/>
      <c r="L181" s="688"/>
      <c r="M181" s="688"/>
      <c r="N181" s="689">
        <v>403057</v>
      </c>
      <c r="O181" s="689">
        <v>33588.0833333333</v>
      </c>
      <c r="P181" s="689"/>
      <c r="Q181" s="689">
        <v>8397.02083333333</v>
      </c>
      <c r="R181" s="689">
        <v>42499.98</v>
      </c>
      <c r="S181" s="689">
        <v>85769.77</v>
      </c>
      <c r="T181" s="689"/>
      <c r="U181" s="689"/>
      <c r="V181" s="689"/>
      <c r="W181" s="689"/>
      <c r="X181" s="689"/>
      <c r="Y181" s="689"/>
      <c r="Z181" s="689"/>
      <c r="AA181" s="689"/>
      <c r="AB181" s="689"/>
      <c r="AC181" s="689">
        <v>2500</v>
      </c>
      <c r="AD181" s="689"/>
      <c r="AE181" s="689"/>
      <c r="AF181" s="689"/>
      <c r="AG181" s="689"/>
      <c r="AH181" s="689"/>
      <c r="AI181" s="689"/>
      <c r="AJ181" s="689">
        <v>2500</v>
      </c>
      <c r="AK181" s="689"/>
      <c r="AL181" s="689">
        <v>387.33</v>
      </c>
      <c r="AM181" s="689"/>
      <c r="AN181" s="689"/>
      <c r="AO181" s="689"/>
      <c r="AP181" s="689"/>
      <c r="AQ181" s="689"/>
      <c r="AR181" s="689"/>
      <c r="AS181" s="689"/>
      <c r="AT181" s="689"/>
      <c r="AU181" s="689">
        <f t="shared" si="283"/>
        <v>2573.0931</v>
      </c>
      <c r="AV181" s="689"/>
      <c r="AW181" s="689"/>
      <c r="AX181" s="718"/>
      <c r="AY181" s="718"/>
      <c r="AZ181" s="718"/>
      <c r="BA181" s="689"/>
      <c r="BB181" s="689"/>
      <c r="BC181" s="689"/>
      <c r="BD181" s="719"/>
      <c r="BE181" s="719">
        <f t="shared" si="186"/>
        <v>2573.0931</v>
      </c>
      <c r="BF181" s="689"/>
      <c r="BG181" s="689"/>
      <c r="BH181" s="727"/>
      <c r="BI181" s="689"/>
      <c r="BJ181" s="689"/>
      <c r="BK181" s="689"/>
      <c r="BL181" s="689"/>
      <c r="BM181" s="689"/>
      <c r="BN181" s="689"/>
      <c r="BO181" s="689">
        <v>0</v>
      </c>
      <c r="BP181" s="689"/>
      <c r="BQ181" s="689"/>
      <c r="BR181" s="731"/>
      <c r="BS181" s="731"/>
      <c r="BT181" s="731"/>
      <c r="BU181" s="731"/>
      <c r="BV181" s="731"/>
      <c r="BW181" s="731"/>
      <c r="BX181" s="731"/>
      <c r="BY181" s="731"/>
      <c r="BZ181" s="731">
        <v>500</v>
      </c>
      <c r="CA181" s="718">
        <f t="shared" si="149"/>
        <v>1815.3954</v>
      </c>
      <c r="CB181" s="735"/>
      <c r="CC181" s="731">
        <v>5392.37</v>
      </c>
      <c r="CD181" s="702">
        <f t="shared" si="178"/>
        <v>90769.77</v>
      </c>
      <c r="CE181" s="731">
        <f t="shared" si="181"/>
        <v>12853.9516</v>
      </c>
      <c r="CF181" s="739">
        <f t="shared" si="179"/>
        <v>77915.8184</v>
      </c>
      <c r="CG181" s="742">
        <f t="shared" si="159"/>
        <v>12853.9516</v>
      </c>
      <c r="CH181" s="743" t="e">
        <f>'[6]JACKSON AKPOJARO '!C308*12</f>
        <v>#REF!</v>
      </c>
      <c r="CI181" s="744" t="e">
        <f t="shared" ref="CI181" si="293">200000+(0.2*CH181)</f>
        <v>#REF!</v>
      </c>
      <c r="CJ181" s="745">
        <f t="shared" ref="CJ181:CJ211" si="294">CB181*12</f>
        <v>0</v>
      </c>
      <c r="CK181" s="748" t="e">
        <f t="shared" ref="CK181" si="295">SUM(CI181:CJ181)</f>
        <v>#REF!</v>
      </c>
      <c r="CL181" s="749" t="e">
        <f t="shared" ref="CL181" si="296">+CH181-CK181</f>
        <v>#REF!</v>
      </c>
      <c r="CM181" s="744"/>
      <c r="CN181" s="745" t="e">
        <f t="shared" ref="CN181" si="297">IF((CL181&gt;0),(IF((CL181&gt;300000),(300000*7%),(CL181*7%))),(CH181*1%))</f>
        <v>#REF!</v>
      </c>
      <c r="CO181" s="745" t="e">
        <f t="shared" ref="CO181" si="298">IF((CL181-300000)&gt;0,(IF((CL181&gt;600000),(300000*11%),((CL181-300000)*11%))),(""))</f>
        <v>#REF!</v>
      </c>
      <c r="CP181" s="745" t="e">
        <f t="shared" ref="CP181" si="299">IF(((CL181-600000)&gt;0),(IF((CL181&gt;1100000),(500000*15%),((CL181-600000)*15%))),(""))</f>
        <v>#REF!</v>
      </c>
      <c r="CQ181" s="745" t="e">
        <f t="shared" ref="CQ181" si="300">IF(((CL181-(1100000))&gt;0),(IF((CL181&gt;(1600000)),((500000)*19%),((CL181-(1100000))*19%))),(""))</f>
        <v>#REF!</v>
      </c>
      <c r="CR181" s="745" t="e">
        <f t="shared" ref="CR181" si="301">IF(((CL181-(1600000))&gt;0),(IF((CL181&gt;(3200000)),((1600000)*21%),((CL181-(1600000))*21%))),(""))</f>
        <v>#REF!</v>
      </c>
      <c r="CS181" s="745" t="e">
        <f t="shared" ref="CS181" si="302">IF(((CL181-(3200000))&gt;0),(IF((CL181&gt;(3200000)),((CL181-(3200000))*24%),(0))),(""))</f>
        <v>#REF!</v>
      </c>
      <c r="CT181" s="754"/>
      <c r="CU181" s="755"/>
      <c r="CV181" s="756"/>
      <c r="CW181" s="757"/>
      <c r="CX181" s="758"/>
      <c r="CY181" s="759"/>
      <c r="CZ181" s="760"/>
      <c r="DA181" s="767"/>
    </row>
    <row r="182" ht="236" customHeight="1" spans="1:107">
      <c r="A182" s="673">
        <v>505</v>
      </c>
      <c r="B182" s="676" t="s">
        <v>1192</v>
      </c>
      <c r="C182" s="677" t="s">
        <v>1533</v>
      </c>
      <c r="D182" s="677" t="s">
        <v>1601</v>
      </c>
      <c r="E182" s="677" t="s">
        <v>313</v>
      </c>
      <c r="F182" s="677">
        <v>6491976014</v>
      </c>
      <c r="G182" s="677" t="s">
        <v>1707</v>
      </c>
      <c r="H182" s="679"/>
      <c r="I182" s="33" t="s">
        <v>313</v>
      </c>
      <c r="J182" s="33">
        <v>6491976014</v>
      </c>
      <c r="K182" s="687"/>
      <c r="L182" s="688">
        <v>374326</v>
      </c>
      <c r="M182" s="688" t="e">
        <f>S182-#REF!</f>
        <v>#REF!</v>
      </c>
      <c r="N182" s="689">
        <v>390724</v>
      </c>
      <c r="O182" s="689">
        <v>32560.3333333333</v>
      </c>
      <c r="P182" s="689"/>
      <c r="Q182" s="689">
        <v>8140.08333333333</v>
      </c>
      <c r="R182" s="689">
        <v>41861.33</v>
      </c>
      <c r="S182" s="689">
        <v>83631.25</v>
      </c>
      <c r="T182" s="689"/>
      <c r="U182" s="689"/>
      <c r="V182" s="689"/>
      <c r="W182" s="689"/>
      <c r="X182" s="689"/>
      <c r="Y182" s="689"/>
      <c r="Z182" s="689"/>
      <c r="AA182" s="689"/>
      <c r="AB182" s="689"/>
      <c r="AC182" s="689">
        <v>2500</v>
      </c>
      <c r="AD182" s="689"/>
      <c r="AE182" s="689"/>
      <c r="AF182" s="689"/>
      <c r="AG182" s="689"/>
      <c r="AH182" s="689"/>
      <c r="AI182" s="689"/>
      <c r="AJ182" s="689">
        <f>2500</f>
        <v>2500</v>
      </c>
      <c r="AK182" s="689"/>
      <c r="AL182" s="689">
        <v>383.33</v>
      </c>
      <c r="AM182" s="689"/>
      <c r="AN182" s="689"/>
      <c r="AO182" s="689"/>
      <c r="AP182" s="689"/>
      <c r="AQ182" s="689"/>
      <c r="AR182" s="689"/>
      <c r="AS182" s="689"/>
      <c r="AT182" s="689"/>
      <c r="AU182" s="689">
        <f t="shared" si="283"/>
        <v>2508.9375</v>
      </c>
      <c r="AV182" s="689"/>
      <c r="AW182" s="689"/>
      <c r="AX182" s="718"/>
      <c r="AY182" s="718"/>
      <c r="AZ182" s="718"/>
      <c r="BA182" s="689"/>
      <c r="BB182" s="689"/>
      <c r="BC182" s="689"/>
      <c r="BD182" s="719"/>
      <c r="BE182" s="719">
        <f t="shared" si="186"/>
        <v>2508.9375</v>
      </c>
      <c r="BF182" s="689"/>
      <c r="BG182" s="689"/>
      <c r="BH182" s="727"/>
      <c r="BI182" s="689"/>
      <c r="BJ182" s="689"/>
      <c r="BK182" s="689"/>
      <c r="BL182" s="689"/>
      <c r="BM182" s="689"/>
      <c r="BN182" s="689"/>
      <c r="BO182" s="689">
        <v>0</v>
      </c>
      <c r="BP182" s="689"/>
      <c r="BQ182" s="689"/>
      <c r="BR182" s="731"/>
      <c r="BS182" s="731"/>
      <c r="BT182" s="731"/>
      <c r="BU182" s="731"/>
      <c r="BV182" s="731"/>
      <c r="BW182" s="731"/>
      <c r="BX182" s="731"/>
      <c r="BY182" s="731">
        <v>1000</v>
      </c>
      <c r="BZ182" s="731">
        <v>500</v>
      </c>
      <c r="CA182" s="718">
        <f t="shared" si="149"/>
        <v>1772.625</v>
      </c>
      <c r="CB182" s="735"/>
      <c r="CC182" s="731">
        <v>5135.75</v>
      </c>
      <c r="CD182" s="702">
        <f t="shared" si="178"/>
        <v>88631.25</v>
      </c>
      <c r="CE182" s="731">
        <f t="shared" si="181"/>
        <v>13426.25</v>
      </c>
      <c r="CF182" s="739">
        <f t="shared" si="179"/>
        <v>75205</v>
      </c>
      <c r="CG182" s="742">
        <f t="shared" si="159"/>
        <v>13426.25</v>
      </c>
      <c r="CH182" s="743" t="e">
        <f>'[6]JACKSON AKPOJARO '!C303*12</f>
        <v>#REF!</v>
      </c>
      <c r="CI182" s="744" t="e">
        <f t="shared" ref="CI182" si="303">200000+(0.2*CH182)</f>
        <v>#REF!</v>
      </c>
      <c r="CJ182" s="745">
        <f t="shared" si="294"/>
        <v>0</v>
      </c>
      <c r="CK182" s="748" t="e">
        <f t="shared" ref="CK182" si="304">SUM(CI182:CJ182)</f>
        <v>#REF!</v>
      </c>
      <c r="CL182" s="749" t="e">
        <f t="shared" ref="CL182" si="305">+CH182-CK182</f>
        <v>#REF!</v>
      </c>
      <c r="CM182" s="744"/>
      <c r="CN182" s="745" t="e">
        <f t="shared" ref="CN182" si="306">IF((CL182&gt;0),(IF((CL182&gt;300000),(300000*7%),(CL182*7%))),(CH182*1%))</f>
        <v>#REF!</v>
      </c>
      <c r="CO182" s="745" t="e">
        <f t="shared" ref="CO182" si="307">IF((CL182-300000)&gt;0,(IF((CL182&gt;600000),(300000*11%),((CL182-300000)*11%))),(""))</f>
        <v>#REF!</v>
      </c>
      <c r="CP182" s="745" t="e">
        <f t="shared" ref="CP182" si="308">IF(((CL182-600000)&gt;0),(IF((CL182&gt;1100000),(500000*15%),((CL182-600000)*15%))),(""))</f>
        <v>#REF!</v>
      </c>
      <c r="CQ182" s="745" t="e">
        <f t="shared" ref="CQ182" si="309">IF(((CL182-(1100000))&gt;0),(IF((CL182&gt;(1600000)),((500000)*19%),((CL182-(1100000))*19%))),(""))</f>
        <v>#REF!</v>
      </c>
      <c r="CR182" s="745" t="e">
        <f t="shared" ref="CR182" si="310">IF(((CL182-(1600000))&gt;0),(IF((CL182&gt;(3200000)),((1600000)*21%),((CL182-(1600000))*21%))),(""))</f>
        <v>#REF!</v>
      </c>
      <c r="CS182" s="745" t="e">
        <f t="shared" ref="CS182" si="311">IF(((CL182-(3200000))&gt;0),(IF((CL182&gt;(3200000)),((CL182-(3200000))*24%),(0))),(""))</f>
        <v>#REF!</v>
      </c>
      <c r="CT182" s="754" t="e">
        <f t="shared" ref="CT182:CT211" si="312">1%*CH182</f>
        <v>#REF!</v>
      </c>
      <c r="CU182" s="755" t="e">
        <f t="shared" ref="CU182:CU211" si="313">MAX(CT182:CT182)</f>
        <v>#REF!</v>
      </c>
      <c r="CV182" s="756"/>
      <c r="CW182" s="757"/>
      <c r="CX182" s="758"/>
      <c r="CY182" s="759"/>
      <c r="CZ182" s="760"/>
      <c r="DA182" s="767"/>
      <c r="DB182" s="770"/>
      <c r="DC182" s="771"/>
    </row>
    <row r="183" ht="250" customHeight="1" spans="1:105">
      <c r="A183" s="675">
        <v>506</v>
      </c>
      <c r="B183" s="676" t="s">
        <v>1193</v>
      </c>
      <c r="C183" s="677" t="s">
        <v>1533</v>
      </c>
      <c r="D183" s="677" t="s">
        <v>1708</v>
      </c>
      <c r="E183" s="677" t="s">
        <v>165</v>
      </c>
      <c r="F183" s="677">
        <v>2116988676</v>
      </c>
      <c r="G183" s="677" t="s">
        <v>1683</v>
      </c>
      <c r="H183" s="679"/>
      <c r="I183" s="681" t="s">
        <v>165</v>
      </c>
      <c r="J183" s="686">
        <v>2116988676</v>
      </c>
      <c r="K183" s="687">
        <f>'[5] NON-TEACHING STAFF'!$J$148</f>
        <v>22418913446</v>
      </c>
      <c r="L183" s="688">
        <f>L170</f>
        <v>403057</v>
      </c>
      <c r="M183" s="688" t="e">
        <f>S183-#REF!</f>
        <v>#REF!</v>
      </c>
      <c r="N183" s="689">
        <v>415390</v>
      </c>
      <c r="O183" s="689">
        <v>33588.08</v>
      </c>
      <c r="P183" s="689"/>
      <c r="Q183" s="689">
        <v>8397.02</v>
      </c>
      <c r="R183" s="689">
        <v>42499.98</v>
      </c>
      <c r="S183" s="689">
        <v>89252.58</v>
      </c>
      <c r="T183" s="689"/>
      <c r="U183" s="689"/>
      <c r="V183" s="689"/>
      <c r="W183" s="689"/>
      <c r="X183" s="689"/>
      <c r="Y183" s="689"/>
      <c r="Z183" s="689"/>
      <c r="AA183" s="689"/>
      <c r="AB183" s="689"/>
      <c r="AC183" s="689">
        <v>2500</v>
      </c>
      <c r="AD183" s="689"/>
      <c r="AE183" s="689"/>
      <c r="AF183" s="689"/>
      <c r="AG183" s="689"/>
      <c r="AH183" s="689"/>
      <c r="AI183" s="689"/>
      <c r="AJ183" s="689">
        <v>2500</v>
      </c>
      <c r="AK183" s="689"/>
      <c r="AL183" s="689">
        <v>383.33</v>
      </c>
      <c r="AM183" s="689"/>
      <c r="AN183" s="689"/>
      <c r="AO183" s="689"/>
      <c r="AP183" s="689"/>
      <c r="AQ183" s="689"/>
      <c r="AR183" s="689"/>
      <c r="AS183" s="689"/>
      <c r="AT183" s="689"/>
      <c r="AU183" s="689">
        <f t="shared" si="283"/>
        <v>2677.5774</v>
      </c>
      <c r="AV183" s="689"/>
      <c r="AW183" s="689"/>
      <c r="AX183" s="718"/>
      <c r="AY183" s="718"/>
      <c r="AZ183" s="718"/>
      <c r="BA183" s="689"/>
      <c r="BB183" s="689"/>
      <c r="BC183" s="689"/>
      <c r="BD183" s="719"/>
      <c r="BE183" s="719">
        <f t="shared" si="186"/>
        <v>2677.5774</v>
      </c>
      <c r="BF183" s="689"/>
      <c r="BG183" s="689"/>
      <c r="BH183" s="727"/>
      <c r="BI183" s="689"/>
      <c r="BJ183" s="689"/>
      <c r="BK183" s="689"/>
      <c r="BL183" s="689"/>
      <c r="BM183" s="689"/>
      <c r="BN183" s="689"/>
      <c r="BO183" s="689">
        <v>0</v>
      </c>
      <c r="BP183" s="689"/>
      <c r="BQ183" s="689"/>
      <c r="BR183" s="731"/>
      <c r="BS183" s="731"/>
      <c r="BT183" s="731"/>
      <c r="BU183" s="731"/>
      <c r="BV183" s="731"/>
      <c r="BW183" s="731"/>
      <c r="BX183" s="731"/>
      <c r="BY183" s="731">
        <v>1000</v>
      </c>
      <c r="BZ183" s="731">
        <v>500</v>
      </c>
      <c r="CA183" s="718">
        <f t="shared" si="149"/>
        <v>1885.0516</v>
      </c>
      <c r="CB183" s="735"/>
      <c r="CC183" s="731">
        <v>5135.75</v>
      </c>
      <c r="CD183" s="702">
        <f t="shared" si="178"/>
        <v>94252.58</v>
      </c>
      <c r="CE183" s="731">
        <f t="shared" si="181"/>
        <v>13875.9564</v>
      </c>
      <c r="CF183" s="739">
        <f t="shared" si="179"/>
        <v>80376.6236</v>
      </c>
      <c r="CG183" s="742">
        <f t="shared" si="159"/>
        <v>13875.9564</v>
      </c>
      <c r="CH183" s="743" t="e">
        <f>'[6]JACKSON AKPOJARO '!C302*12</f>
        <v>#REF!</v>
      </c>
      <c r="CI183" s="744" t="e">
        <f t="shared" si="218"/>
        <v>#REF!</v>
      </c>
      <c r="CJ183" s="745">
        <f t="shared" si="294"/>
        <v>0</v>
      </c>
      <c r="CK183" s="748" t="e">
        <f t="shared" si="219"/>
        <v>#REF!</v>
      </c>
      <c r="CL183" s="749" t="e">
        <f t="shared" si="220"/>
        <v>#REF!</v>
      </c>
      <c r="CM183" s="744"/>
      <c r="CN183" s="745" t="e">
        <f t="shared" si="221"/>
        <v>#REF!</v>
      </c>
      <c r="CO183" s="745" t="e">
        <f t="shared" si="222"/>
        <v>#REF!</v>
      </c>
      <c r="CP183" s="745" t="e">
        <f t="shared" si="223"/>
        <v>#REF!</v>
      </c>
      <c r="CQ183" s="745" t="e">
        <f t="shared" si="224"/>
        <v>#REF!</v>
      </c>
      <c r="CR183" s="745" t="e">
        <f t="shared" si="225"/>
        <v>#REF!</v>
      </c>
      <c r="CS183" s="745" t="e">
        <f t="shared" si="226"/>
        <v>#REF!</v>
      </c>
      <c r="CT183" s="754" t="e">
        <f t="shared" si="312"/>
        <v>#REF!</v>
      </c>
      <c r="CU183" s="755" t="e">
        <f t="shared" si="313"/>
        <v>#REF!</v>
      </c>
      <c r="CV183" s="756">
        <v>498.29</v>
      </c>
      <c r="CW183" s="757"/>
      <c r="CX183" s="758"/>
      <c r="CY183" s="759"/>
      <c r="CZ183" s="760"/>
      <c r="DA183" s="767"/>
    </row>
    <row r="184" ht="236" customHeight="1" spans="1:105">
      <c r="A184" s="673">
        <v>507</v>
      </c>
      <c r="B184" s="676" t="s">
        <v>1194</v>
      </c>
      <c r="C184" s="677" t="s">
        <v>1533</v>
      </c>
      <c r="D184" s="677" t="s">
        <v>1708</v>
      </c>
      <c r="E184" s="677" t="s">
        <v>165</v>
      </c>
      <c r="F184" s="677" t="s">
        <v>1195</v>
      </c>
      <c r="G184" s="677" t="s">
        <v>1683</v>
      </c>
      <c r="H184" s="679"/>
      <c r="I184" s="681" t="s">
        <v>165</v>
      </c>
      <c r="J184" s="686">
        <v>2117027718</v>
      </c>
      <c r="K184" s="687">
        <f>'[5] NON-TEACHING STAFF'!$J$149</f>
        <v>22417705686</v>
      </c>
      <c r="L184" s="688">
        <f>L183</f>
        <v>403057</v>
      </c>
      <c r="M184" s="688" t="e">
        <f>S184-#REF!</f>
        <v>#REF!</v>
      </c>
      <c r="N184" s="689">
        <v>415390</v>
      </c>
      <c r="O184" s="689">
        <v>33588.08</v>
      </c>
      <c r="P184" s="689"/>
      <c r="Q184" s="689">
        <v>8397.02</v>
      </c>
      <c r="R184" s="689">
        <v>42499.98</v>
      </c>
      <c r="S184" s="689">
        <v>89252.58</v>
      </c>
      <c r="T184" s="689"/>
      <c r="U184" s="689"/>
      <c r="V184" s="689"/>
      <c r="W184" s="689"/>
      <c r="X184" s="689"/>
      <c r="Y184" s="689"/>
      <c r="Z184" s="689"/>
      <c r="AA184" s="689"/>
      <c r="AB184" s="689"/>
      <c r="AC184" s="689">
        <v>2500</v>
      </c>
      <c r="AD184" s="689"/>
      <c r="AE184" s="689"/>
      <c r="AF184" s="689"/>
      <c r="AG184" s="689"/>
      <c r="AH184" s="689"/>
      <c r="AI184" s="689"/>
      <c r="AJ184" s="689">
        <v>2500</v>
      </c>
      <c r="AK184" s="689"/>
      <c r="AL184" s="689">
        <v>383.33</v>
      </c>
      <c r="AM184" s="689"/>
      <c r="AN184" s="689"/>
      <c r="AO184" s="689"/>
      <c r="AP184" s="689"/>
      <c r="AQ184" s="689"/>
      <c r="AR184" s="689"/>
      <c r="AS184" s="689"/>
      <c r="AT184" s="689"/>
      <c r="AU184" s="689">
        <f t="shared" si="283"/>
        <v>2677.5774</v>
      </c>
      <c r="AV184" s="689"/>
      <c r="AW184" s="689"/>
      <c r="AX184" s="718"/>
      <c r="AY184" s="718"/>
      <c r="AZ184" s="718"/>
      <c r="BA184" s="689"/>
      <c r="BB184" s="689"/>
      <c r="BC184" s="689"/>
      <c r="BD184" s="719"/>
      <c r="BE184" s="719">
        <f t="shared" si="186"/>
        <v>2677.5774</v>
      </c>
      <c r="BF184" s="689"/>
      <c r="BG184" s="689"/>
      <c r="BH184" s="727"/>
      <c r="BI184" s="689"/>
      <c r="BJ184" s="689"/>
      <c r="BK184" s="689"/>
      <c r="BL184" s="689"/>
      <c r="BM184" s="689"/>
      <c r="BN184" s="689"/>
      <c r="BO184" s="689">
        <v>5000</v>
      </c>
      <c r="BP184" s="689"/>
      <c r="BQ184" s="689"/>
      <c r="BR184" s="731"/>
      <c r="BS184" s="731"/>
      <c r="BT184" s="731"/>
      <c r="BU184" s="731"/>
      <c r="BV184" s="731"/>
      <c r="BW184" s="731"/>
      <c r="BX184" s="731"/>
      <c r="BY184" s="731">
        <v>1000</v>
      </c>
      <c r="BZ184" s="731">
        <v>500</v>
      </c>
      <c r="CA184" s="718">
        <f t="shared" si="149"/>
        <v>1885.0516</v>
      </c>
      <c r="CB184" s="735"/>
      <c r="CC184" s="731">
        <v>5810.31</v>
      </c>
      <c r="CD184" s="702">
        <f t="shared" si="178"/>
        <v>94252.58</v>
      </c>
      <c r="CE184" s="731">
        <f t="shared" si="181"/>
        <v>19550.5164</v>
      </c>
      <c r="CF184" s="739">
        <f t="shared" si="179"/>
        <v>74702.0636</v>
      </c>
      <c r="CG184" s="742">
        <f t="shared" si="159"/>
        <v>19550.5164</v>
      </c>
      <c r="CH184" s="743" t="e">
        <f>'[6]JACKSON AKPOJARO '!C303*12</f>
        <v>#REF!</v>
      </c>
      <c r="CI184" s="744" t="e">
        <f t="shared" si="218"/>
        <v>#REF!</v>
      </c>
      <c r="CJ184" s="745">
        <f t="shared" si="294"/>
        <v>0</v>
      </c>
      <c r="CK184" s="748" t="e">
        <f t="shared" si="219"/>
        <v>#REF!</v>
      </c>
      <c r="CL184" s="749" t="e">
        <f t="shared" si="220"/>
        <v>#REF!</v>
      </c>
      <c r="CM184" s="744"/>
      <c r="CN184" s="745" t="e">
        <f t="shared" si="221"/>
        <v>#REF!</v>
      </c>
      <c r="CO184" s="745" t="e">
        <f t="shared" si="222"/>
        <v>#REF!</v>
      </c>
      <c r="CP184" s="745" t="e">
        <f t="shared" si="223"/>
        <v>#REF!</v>
      </c>
      <c r="CQ184" s="745" t="e">
        <f t="shared" si="224"/>
        <v>#REF!</v>
      </c>
      <c r="CR184" s="745" t="e">
        <f t="shared" si="225"/>
        <v>#REF!</v>
      </c>
      <c r="CS184" s="745" t="e">
        <f t="shared" si="226"/>
        <v>#REF!</v>
      </c>
      <c r="CT184" s="754" t="e">
        <f t="shared" si="312"/>
        <v>#REF!</v>
      </c>
      <c r="CU184" s="755" t="e">
        <f t="shared" si="313"/>
        <v>#REF!</v>
      </c>
      <c r="CV184" s="756">
        <v>498.29</v>
      </c>
      <c r="CW184" s="757"/>
      <c r="CX184" s="758"/>
      <c r="CY184" s="759"/>
      <c r="CZ184" s="760"/>
      <c r="DA184" s="767"/>
    </row>
    <row r="185" ht="236" customHeight="1" spans="1:105">
      <c r="A185" s="675">
        <v>508</v>
      </c>
      <c r="B185" s="676" t="s">
        <v>1196</v>
      </c>
      <c r="C185" s="677" t="s">
        <v>1533</v>
      </c>
      <c r="D185" s="677" t="s">
        <v>1708</v>
      </c>
      <c r="E185" s="677" t="s">
        <v>135</v>
      </c>
      <c r="F185" s="677" t="s">
        <v>1197</v>
      </c>
      <c r="G185" s="677" t="s">
        <v>1683</v>
      </c>
      <c r="H185" s="679"/>
      <c r="I185" s="681" t="s">
        <v>135</v>
      </c>
      <c r="J185" s="686" t="s">
        <v>1197</v>
      </c>
      <c r="K185" s="687">
        <f>'[5] NON-TEACHING STAFF'!$J$150</f>
        <v>22514777793</v>
      </c>
      <c r="L185" s="688">
        <f>L184</f>
        <v>403057</v>
      </c>
      <c r="M185" s="688" t="e">
        <f>S185-#REF!</f>
        <v>#REF!</v>
      </c>
      <c r="N185" s="689">
        <v>415390</v>
      </c>
      <c r="O185" s="689">
        <v>33588.08</v>
      </c>
      <c r="P185" s="689"/>
      <c r="Q185" s="689">
        <v>8397.02</v>
      </c>
      <c r="R185" s="689">
        <v>42499.98</v>
      </c>
      <c r="S185" s="689">
        <v>89252.58</v>
      </c>
      <c r="T185" s="689"/>
      <c r="U185" s="689"/>
      <c r="V185" s="689"/>
      <c r="W185" s="689"/>
      <c r="X185" s="689"/>
      <c r="Y185" s="689"/>
      <c r="Z185" s="689"/>
      <c r="AA185" s="689"/>
      <c r="AB185" s="689"/>
      <c r="AC185" s="689">
        <v>2500</v>
      </c>
      <c r="AD185" s="689"/>
      <c r="AE185" s="689"/>
      <c r="AF185" s="689"/>
      <c r="AG185" s="689"/>
      <c r="AH185" s="689"/>
      <c r="AI185" s="689"/>
      <c r="AJ185" s="689">
        <v>2500</v>
      </c>
      <c r="AK185" s="689"/>
      <c r="AL185" s="689">
        <v>383.33</v>
      </c>
      <c r="AM185" s="689"/>
      <c r="AN185" s="689"/>
      <c r="AO185" s="689"/>
      <c r="AP185" s="689"/>
      <c r="AQ185" s="689"/>
      <c r="AR185" s="689"/>
      <c r="AS185" s="689"/>
      <c r="AT185" s="689"/>
      <c r="AU185" s="689">
        <f t="shared" si="283"/>
        <v>2677.5774</v>
      </c>
      <c r="AV185" s="689"/>
      <c r="AW185" s="689"/>
      <c r="AX185" s="718"/>
      <c r="AY185" s="718"/>
      <c r="AZ185" s="718"/>
      <c r="BA185" s="689"/>
      <c r="BB185" s="689"/>
      <c r="BC185" s="689"/>
      <c r="BD185" s="719"/>
      <c r="BE185" s="719">
        <f t="shared" si="186"/>
        <v>2677.5774</v>
      </c>
      <c r="BF185" s="689"/>
      <c r="BG185" s="689"/>
      <c r="BH185" s="727"/>
      <c r="BI185" s="689"/>
      <c r="BJ185" s="689"/>
      <c r="BK185" s="689"/>
      <c r="BL185" s="689"/>
      <c r="BM185" s="689"/>
      <c r="BN185" s="689"/>
      <c r="BO185" s="689">
        <v>5000</v>
      </c>
      <c r="BP185" s="689"/>
      <c r="BQ185" s="689"/>
      <c r="BR185" s="731"/>
      <c r="BS185" s="731"/>
      <c r="BT185" s="731"/>
      <c r="BU185" s="731"/>
      <c r="BV185" s="731"/>
      <c r="BW185" s="731"/>
      <c r="BX185" s="731"/>
      <c r="BY185" s="731">
        <v>1000</v>
      </c>
      <c r="BZ185" s="731">
        <v>500</v>
      </c>
      <c r="CA185" s="718">
        <f t="shared" si="149"/>
        <v>1885.0516</v>
      </c>
      <c r="CB185" s="735"/>
      <c r="CC185" s="731">
        <v>5810.31</v>
      </c>
      <c r="CD185" s="702">
        <f t="shared" si="178"/>
        <v>94252.58</v>
      </c>
      <c r="CE185" s="731">
        <f t="shared" si="181"/>
        <v>19550.5164</v>
      </c>
      <c r="CF185" s="739">
        <f t="shared" si="179"/>
        <v>74702.0636</v>
      </c>
      <c r="CG185" s="742">
        <f t="shared" si="159"/>
        <v>19550.5164</v>
      </c>
      <c r="CH185" s="743" t="e">
        <f>'[6]JACKSON AKPOJARO '!C304*12</f>
        <v>#REF!</v>
      </c>
      <c r="CI185" s="744" t="e">
        <f t="shared" si="218"/>
        <v>#REF!</v>
      </c>
      <c r="CJ185" s="745">
        <f t="shared" si="294"/>
        <v>0</v>
      </c>
      <c r="CK185" s="748" t="e">
        <f t="shared" si="219"/>
        <v>#REF!</v>
      </c>
      <c r="CL185" s="749" t="e">
        <f t="shared" si="220"/>
        <v>#REF!</v>
      </c>
      <c r="CM185" s="744"/>
      <c r="CN185" s="745" t="e">
        <f t="shared" si="221"/>
        <v>#REF!</v>
      </c>
      <c r="CO185" s="745" t="e">
        <f t="shared" si="222"/>
        <v>#REF!</v>
      </c>
      <c r="CP185" s="745" t="e">
        <f t="shared" si="223"/>
        <v>#REF!</v>
      </c>
      <c r="CQ185" s="745" t="e">
        <f t="shared" si="224"/>
        <v>#REF!</v>
      </c>
      <c r="CR185" s="745" t="e">
        <f t="shared" si="225"/>
        <v>#REF!</v>
      </c>
      <c r="CS185" s="745" t="e">
        <f t="shared" si="226"/>
        <v>#REF!</v>
      </c>
      <c r="CT185" s="754" t="e">
        <f t="shared" si="312"/>
        <v>#REF!</v>
      </c>
      <c r="CU185" s="755" t="e">
        <f t="shared" si="313"/>
        <v>#REF!</v>
      </c>
      <c r="CV185" s="756">
        <v>498.29</v>
      </c>
      <c r="CW185" s="757"/>
      <c r="CX185" s="758"/>
      <c r="CY185" s="759"/>
      <c r="CZ185" s="760"/>
      <c r="DA185" s="767"/>
    </row>
    <row r="186" ht="236" customHeight="1" spans="1:105">
      <c r="A186" s="673">
        <v>509</v>
      </c>
      <c r="B186" s="676" t="s">
        <v>1198</v>
      </c>
      <c r="C186" s="677" t="s">
        <v>1533</v>
      </c>
      <c r="D186" s="677" t="s">
        <v>1601</v>
      </c>
      <c r="E186" s="677" t="s">
        <v>135</v>
      </c>
      <c r="F186" s="677" t="s">
        <v>1199</v>
      </c>
      <c r="G186" s="677" t="s">
        <v>1683</v>
      </c>
      <c r="H186" s="679"/>
      <c r="I186" s="681" t="s">
        <v>135</v>
      </c>
      <c r="J186" s="686" t="s">
        <v>1199</v>
      </c>
      <c r="K186" s="687" t="str">
        <f>'[5] NON-TEACHING STAFF'!$J$151</f>
        <v>22524055948</v>
      </c>
      <c r="L186" s="688">
        <f t="shared" ref="L186:L211" si="314">L185</f>
        <v>403057</v>
      </c>
      <c r="M186" s="688" t="e">
        <f>S186-#REF!</f>
        <v>#REF!</v>
      </c>
      <c r="N186" s="689">
        <v>403057</v>
      </c>
      <c r="O186" s="689">
        <v>33588.0833333333</v>
      </c>
      <c r="P186" s="689"/>
      <c r="Q186" s="689">
        <v>8397.02083333333</v>
      </c>
      <c r="R186" s="689">
        <v>42499.98</v>
      </c>
      <c r="S186" s="689">
        <v>89252.58</v>
      </c>
      <c r="T186" s="689"/>
      <c r="U186" s="689"/>
      <c r="V186" s="689"/>
      <c r="W186" s="689"/>
      <c r="X186" s="689"/>
      <c r="Y186" s="689"/>
      <c r="Z186" s="689"/>
      <c r="AA186" s="689"/>
      <c r="AB186" s="689"/>
      <c r="AC186" s="689">
        <v>2500</v>
      </c>
      <c r="AD186" s="689"/>
      <c r="AE186" s="689"/>
      <c r="AF186" s="689"/>
      <c r="AG186" s="689"/>
      <c r="AH186" s="689"/>
      <c r="AI186" s="689"/>
      <c r="AJ186" s="689">
        <v>2500</v>
      </c>
      <c r="AK186" s="689"/>
      <c r="AL186" s="689">
        <v>383.33</v>
      </c>
      <c r="AM186" s="689"/>
      <c r="AN186" s="689"/>
      <c r="AO186" s="689"/>
      <c r="AP186" s="689"/>
      <c r="AQ186" s="689"/>
      <c r="AR186" s="689"/>
      <c r="AS186" s="689"/>
      <c r="AT186" s="689"/>
      <c r="AU186" s="689">
        <f t="shared" ref="AU186:AU196" si="315">S186*0.03</f>
        <v>2677.5774</v>
      </c>
      <c r="AV186" s="689"/>
      <c r="AW186" s="689"/>
      <c r="AX186" s="718"/>
      <c r="AY186" s="718"/>
      <c r="AZ186" s="718"/>
      <c r="BA186" s="689"/>
      <c r="BB186" s="689"/>
      <c r="BC186" s="689"/>
      <c r="BD186" s="719"/>
      <c r="BE186" s="719">
        <f t="shared" si="186"/>
        <v>2677.5774</v>
      </c>
      <c r="BF186" s="689"/>
      <c r="BG186" s="689"/>
      <c r="BH186" s="727"/>
      <c r="BI186" s="689"/>
      <c r="BJ186" s="689"/>
      <c r="BK186" s="689"/>
      <c r="BL186" s="689"/>
      <c r="BM186" s="689"/>
      <c r="BN186" s="689"/>
      <c r="BO186" s="689">
        <v>0</v>
      </c>
      <c r="BP186" s="689"/>
      <c r="BQ186" s="689"/>
      <c r="BR186" s="731"/>
      <c r="BS186" s="731"/>
      <c r="BT186" s="731"/>
      <c r="BU186" s="731"/>
      <c r="BV186" s="731"/>
      <c r="BW186" s="731"/>
      <c r="BX186" s="731"/>
      <c r="BY186" s="731">
        <v>1000</v>
      </c>
      <c r="BZ186" s="731">
        <v>500</v>
      </c>
      <c r="CA186" s="718">
        <f t="shared" si="149"/>
        <v>1885.0516</v>
      </c>
      <c r="CB186" s="735"/>
      <c r="CC186" s="731">
        <v>5810.31</v>
      </c>
      <c r="CD186" s="702">
        <f t="shared" si="178"/>
        <v>94252.58</v>
      </c>
      <c r="CE186" s="731">
        <f t="shared" si="181"/>
        <v>14550.5164</v>
      </c>
      <c r="CF186" s="739">
        <f t="shared" si="179"/>
        <v>79702.0636</v>
      </c>
      <c r="CG186" s="742">
        <f t="shared" si="159"/>
        <v>14550.5164</v>
      </c>
      <c r="CH186" s="743" t="e">
        <f>'[6]JACKSON AKPOJARO '!C305*12</f>
        <v>#REF!</v>
      </c>
      <c r="CI186" s="744" t="e">
        <f t="shared" si="218"/>
        <v>#REF!</v>
      </c>
      <c r="CJ186" s="745">
        <f t="shared" si="294"/>
        <v>0</v>
      </c>
      <c r="CK186" s="748" t="e">
        <f t="shared" si="219"/>
        <v>#REF!</v>
      </c>
      <c r="CL186" s="749" t="e">
        <f t="shared" si="220"/>
        <v>#REF!</v>
      </c>
      <c r="CM186" s="744"/>
      <c r="CN186" s="745" t="e">
        <f t="shared" si="221"/>
        <v>#REF!</v>
      </c>
      <c r="CO186" s="745" t="e">
        <f t="shared" si="222"/>
        <v>#REF!</v>
      </c>
      <c r="CP186" s="745" t="e">
        <f t="shared" si="223"/>
        <v>#REF!</v>
      </c>
      <c r="CQ186" s="745" t="e">
        <f t="shared" si="224"/>
        <v>#REF!</v>
      </c>
      <c r="CR186" s="745" t="e">
        <f t="shared" si="225"/>
        <v>#REF!</v>
      </c>
      <c r="CS186" s="745" t="e">
        <f t="shared" si="226"/>
        <v>#REF!</v>
      </c>
      <c r="CT186" s="754" t="e">
        <f t="shared" si="312"/>
        <v>#REF!</v>
      </c>
      <c r="CU186" s="755" t="e">
        <f t="shared" si="313"/>
        <v>#REF!</v>
      </c>
      <c r="CV186" s="756">
        <v>498.29</v>
      </c>
      <c r="CW186" s="757"/>
      <c r="CX186" s="758"/>
      <c r="CY186" s="759"/>
      <c r="CZ186" s="760"/>
      <c r="DA186" s="767"/>
    </row>
    <row r="187" ht="236" customHeight="1" spans="1:105">
      <c r="A187" s="675">
        <v>510</v>
      </c>
      <c r="B187" s="676" t="s">
        <v>1200</v>
      </c>
      <c r="C187" s="677" t="s">
        <v>1533</v>
      </c>
      <c r="D187" s="677" t="s">
        <v>1601</v>
      </c>
      <c r="E187" s="677" t="s">
        <v>135</v>
      </c>
      <c r="F187" s="677" t="s">
        <v>1201</v>
      </c>
      <c r="G187" s="677" t="s">
        <v>1683</v>
      </c>
      <c r="H187" s="679"/>
      <c r="I187" s="681" t="s">
        <v>135</v>
      </c>
      <c r="J187" s="686" t="s">
        <v>1201</v>
      </c>
      <c r="K187" s="687">
        <f>'[5] NON-TEACHING STAFF'!$J$155</f>
        <v>22210523384</v>
      </c>
      <c r="L187" s="688">
        <v>405127</v>
      </c>
      <c r="M187" s="688" t="e">
        <f>S187-#REF!</f>
        <v>#REF!</v>
      </c>
      <c r="N187" s="689">
        <v>415394</v>
      </c>
      <c r="O187" s="689">
        <v>33760.58</v>
      </c>
      <c r="P187" s="689"/>
      <c r="Q187" s="689">
        <v>8440.145</v>
      </c>
      <c r="R187" s="689">
        <v>42499.98</v>
      </c>
      <c r="S187" s="689">
        <f t="shared" si="140"/>
        <v>84700.705</v>
      </c>
      <c r="T187" s="689"/>
      <c r="U187" s="689"/>
      <c r="V187" s="689"/>
      <c r="W187" s="689"/>
      <c r="X187" s="689"/>
      <c r="Y187" s="689"/>
      <c r="Z187" s="689"/>
      <c r="AA187" s="689"/>
      <c r="AB187" s="689">
        <v>12500</v>
      </c>
      <c r="AC187" s="689">
        <v>2500</v>
      </c>
      <c r="AD187" s="689"/>
      <c r="AE187" s="689"/>
      <c r="AF187" s="689"/>
      <c r="AG187" s="689"/>
      <c r="AH187" s="689"/>
      <c r="AI187" s="689"/>
      <c r="AJ187" s="689">
        <v>2500</v>
      </c>
      <c r="AK187" s="689"/>
      <c r="AL187" s="689">
        <v>383.33</v>
      </c>
      <c r="AM187" s="689"/>
      <c r="AN187" s="689"/>
      <c r="AO187" s="689"/>
      <c r="AP187" s="689"/>
      <c r="AQ187" s="689"/>
      <c r="AR187" s="689"/>
      <c r="AS187" s="689"/>
      <c r="AT187" s="689"/>
      <c r="AU187" s="689">
        <f t="shared" si="315"/>
        <v>2541.02115</v>
      </c>
      <c r="AV187" s="689"/>
      <c r="AW187" s="689"/>
      <c r="AX187" s="718"/>
      <c r="AY187" s="718"/>
      <c r="AZ187" s="718"/>
      <c r="BA187" s="689"/>
      <c r="BB187" s="689"/>
      <c r="BC187" s="689"/>
      <c r="BD187" s="719"/>
      <c r="BE187" s="719">
        <f t="shared" si="186"/>
        <v>2541.02115</v>
      </c>
      <c r="BF187" s="689"/>
      <c r="BG187" s="689"/>
      <c r="BH187" s="727"/>
      <c r="BI187" s="689"/>
      <c r="BJ187" s="689"/>
      <c r="BK187" s="689"/>
      <c r="BL187" s="689">
        <f>'[8]TEACHING STAFF'!$AU$129</f>
        <v>0</v>
      </c>
      <c r="BM187" s="689"/>
      <c r="BN187" s="689"/>
      <c r="BO187" s="689">
        <v>15000</v>
      </c>
      <c r="BP187" s="689"/>
      <c r="BQ187" s="689"/>
      <c r="BR187" s="731"/>
      <c r="BS187" s="731"/>
      <c r="BT187" s="731"/>
      <c r="BU187" s="731"/>
      <c r="BV187" s="731"/>
      <c r="BW187" s="731"/>
      <c r="BX187" s="731"/>
      <c r="BY187" s="731"/>
      <c r="BZ187" s="731">
        <v>500</v>
      </c>
      <c r="CA187" s="718">
        <f t="shared" si="149"/>
        <v>2044.0141</v>
      </c>
      <c r="CB187" s="735"/>
      <c r="CC187" s="731">
        <v>6764.08</v>
      </c>
      <c r="CD187" s="702">
        <f t="shared" si="178"/>
        <v>102200.705</v>
      </c>
      <c r="CE187" s="731">
        <f t="shared" si="181"/>
        <v>29390.1364</v>
      </c>
      <c r="CF187" s="739">
        <f t="shared" si="179"/>
        <v>72810.5686</v>
      </c>
      <c r="CG187" s="742">
        <f t="shared" si="159"/>
        <v>29390.1364</v>
      </c>
      <c r="CH187" s="743" t="e">
        <f>'[6]JACKSON AKPOJARO '!C307*12</f>
        <v>#REF!</v>
      </c>
      <c r="CI187" s="744" t="e">
        <f t="shared" si="218"/>
        <v>#REF!</v>
      </c>
      <c r="CJ187" s="745">
        <f t="shared" si="294"/>
        <v>0</v>
      </c>
      <c r="CK187" s="748" t="e">
        <f t="shared" si="219"/>
        <v>#REF!</v>
      </c>
      <c r="CL187" s="749" t="e">
        <f t="shared" si="220"/>
        <v>#REF!</v>
      </c>
      <c r="CM187" s="744"/>
      <c r="CN187" s="745" t="e">
        <f t="shared" si="221"/>
        <v>#REF!</v>
      </c>
      <c r="CO187" s="745" t="e">
        <f t="shared" si="222"/>
        <v>#REF!</v>
      </c>
      <c r="CP187" s="745" t="e">
        <f t="shared" si="223"/>
        <v>#REF!</v>
      </c>
      <c r="CQ187" s="745" t="e">
        <f t="shared" si="224"/>
        <v>#REF!</v>
      </c>
      <c r="CR187" s="745" t="e">
        <f t="shared" si="225"/>
        <v>#REF!</v>
      </c>
      <c r="CS187" s="745" t="e">
        <f t="shared" si="226"/>
        <v>#REF!</v>
      </c>
      <c r="CT187" s="754" t="e">
        <f t="shared" si="312"/>
        <v>#REF!</v>
      </c>
      <c r="CU187" s="755" t="e">
        <f t="shared" si="313"/>
        <v>#REF!</v>
      </c>
      <c r="CV187" s="756">
        <v>498.29</v>
      </c>
      <c r="CW187" s="757"/>
      <c r="CX187" s="758"/>
      <c r="CY187" s="759"/>
      <c r="CZ187" s="760"/>
      <c r="DA187" s="767"/>
    </row>
    <row r="188" ht="236" customHeight="1" spans="1:105">
      <c r="A188" s="673">
        <v>511</v>
      </c>
      <c r="B188" s="676" t="s">
        <v>1202</v>
      </c>
      <c r="C188" s="677" t="s">
        <v>1533</v>
      </c>
      <c r="D188" s="677" t="s">
        <v>1708</v>
      </c>
      <c r="E188" s="677" t="s">
        <v>135</v>
      </c>
      <c r="F188" s="677" t="s">
        <v>1203</v>
      </c>
      <c r="G188" s="677" t="s">
        <v>1683</v>
      </c>
      <c r="H188" s="679"/>
      <c r="I188" s="681" t="s">
        <v>135</v>
      </c>
      <c r="J188" s="686" t="s">
        <v>1203</v>
      </c>
      <c r="K188" s="687">
        <f>'[5] NON-TEACHING STAFF'!$J$154</f>
        <v>22514778150</v>
      </c>
      <c r="L188" s="688">
        <v>403057</v>
      </c>
      <c r="M188" s="688" t="e">
        <f>S188-#REF!</f>
        <v>#REF!</v>
      </c>
      <c r="N188" s="689">
        <v>403057</v>
      </c>
      <c r="O188" s="689">
        <v>33588.0833333333</v>
      </c>
      <c r="P188" s="689"/>
      <c r="Q188" s="689">
        <v>8397.02083333333</v>
      </c>
      <c r="R188" s="689">
        <v>42499.98</v>
      </c>
      <c r="S188" s="689">
        <v>84700.71</v>
      </c>
      <c r="T188" s="689"/>
      <c r="U188" s="689"/>
      <c r="V188" s="689"/>
      <c r="W188" s="689"/>
      <c r="X188" s="689"/>
      <c r="Y188" s="689"/>
      <c r="Z188" s="689"/>
      <c r="AA188" s="689"/>
      <c r="AB188" s="689"/>
      <c r="AC188" s="689">
        <v>2500</v>
      </c>
      <c r="AD188" s="689"/>
      <c r="AE188" s="689"/>
      <c r="AF188" s="689"/>
      <c r="AG188" s="689"/>
      <c r="AH188" s="689"/>
      <c r="AI188" s="689"/>
      <c r="AJ188" s="689">
        <v>2500</v>
      </c>
      <c r="AK188" s="689"/>
      <c r="AL188" s="689">
        <v>383.33</v>
      </c>
      <c r="AM188" s="689"/>
      <c r="AN188" s="689"/>
      <c r="AO188" s="689"/>
      <c r="AP188" s="689"/>
      <c r="AQ188" s="689"/>
      <c r="AR188" s="689"/>
      <c r="AS188" s="689"/>
      <c r="AT188" s="689"/>
      <c r="AU188" s="689">
        <f t="shared" si="315"/>
        <v>2541.0213</v>
      </c>
      <c r="AV188" s="689"/>
      <c r="AW188" s="689"/>
      <c r="AX188" s="718"/>
      <c r="AY188" s="718"/>
      <c r="AZ188" s="718"/>
      <c r="BA188" s="689"/>
      <c r="BB188" s="689"/>
      <c r="BC188" s="689"/>
      <c r="BD188" s="719"/>
      <c r="BE188" s="719">
        <f t="shared" si="186"/>
        <v>2541.0213</v>
      </c>
      <c r="BF188" s="689"/>
      <c r="BG188" s="689"/>
      <c r="BH188" s="727"/>
      <c r="BI188" s="689"/>
      <c r="BJ188" s="689"/>
      <c r="BK188" s="689"/>
      <c r="BL188" s="689"/>
      <c r="BM188" s="689"/>
      <c r="BN188" s="689"/>
      <c r="BO188" s="689">
        <v>5000</v>
      </c>
      <c r="BP188" s="689"/>
      <c r="BQ188" s="689"/>
      <c r="BR188" s="731"/>
      <c r="BS188" s="731"/>
      <c r="BT188" s="731"/>
      <c r="BU188" s="731"/>
      <c r="BV188" s="731"/>
      <c r="BW188" s="731"/>
      <c r="BX188" s="731"/>
      <c r="BY188" s="731">
        <v>1000</v>
      </c>
      <c r="BZ188" s="731">
        <v>500</v>
      </c>
      <c r="CA188" s="718">
        <f t="shared" si="149"/>
        <v>1794.0142</v>
      </c>
      <c r="CB188" s="735"/>
      <c r="CC188" s="731">
        <v>5264.09</v>
      </c>
      <c r="CD188" s="702">
        <f t="shared" si="178"/>
        <v>89700.71</v>
      </c>
      <c r="CE188" s="731">
        <f t="shared" si="181"/>
        <v>18640.1468</v>
      </c>
      <c r="CF188" s="739">
        <f t="shared" si="179"/>
        <v>71060.5632</v>
      </c>
      <c r="CG188" s="742">
        <f t="shared" si="159"/>
        <v>18640.1468</v>
      </c>
      <c r="CH188" s="743" t="e">
        <f>'[6]JACKSON AKPOJARO '!C308*12</f>
        <v>#REF!</v>
      </c>
      <c r="CI188" s="744" t="e">
        <f t="shared" si="218"/>
        <v>#REF!</v>
      </c>
      <c r="CJ188" s="745">
        <f t="shared" si="294"/>
        <v>0</v>
      </c>
      <c r="CK188" s="748" t="e">
        <f t="shared" si="219"/>
        <v>#REF!</v>
      </c>
      <c r="CL188" s="749" t="e">
        <f t="shared" si="220"/>
        <v>#REF!</v>
      </c>
      <c r="CM188" s="744"/>
      <c r="CN188" s="745" t="e">
        <f t="shared" si="221"/>
        <v>#REF!</v>
      </c>
      <c r="CO188" s="745" t="e">
        <f t="shared" si="222"/>
        <v>#REF!</v>
      </c>
      <c r="CP188" s="745" t="e">
        <f t="shared" si="223"/>
        <v>#REF!</v>
      </c>
      <c r="CQ188" s="745" t="e">
        <f t="shared" si="224"/>
        <v>#REF!</v>
      </c>
      <c r="CR188" s="745" t="e">
        <f t="shared" si="225"/>
        <v>#REF!</v>
      </c>
      <c r="CS188" s="745" t="e">
        <f t="shared" si="226"/>
        <v>#REF!</v>
      </c>
      <c r="CT188" s="754" t="e">
        <f t="shared" si="312"/>
        <v>#REF!</v>
      </c>
      <c r="CU188" s="755" t="e">
        <f t="shared" si="313"/>
        <v>#REF!</v>
      </c>
      <c r="CV188" s="756">
        <v>498.29</v>
      </c>
      <c r="CW188" s="757"/>
      <c r="CX188" s="758"/>
      <c r="CY188" s="759"/>
      <c r="CZ188" s="760"/>
      <c r="DA188" s="767"/>
    </row>
    <row r="189" ht="236" customHeight="1" spans="1:105">
      <c r="A189" s="675">
        <v>512</v>
      </c>
      <c r="B189" s="676" t="s">
        <v>1204</v>
      </c>
      <c r="C189" s="677" t="s">
        <v>1533</v>
      </c>
      <c r="D189" s="677" t="s">
        <v>1708</v>
      </c>
      <c r="E189" s="677" t="s">
        <v>259</v>
      </c>
      <c r="F189" s="677">
        <v>6236048594</v>
      </c>
      <c r="G189" s="677" t="s">
        <v>1683</v>
      </c>
      <c r="H189" s="679"/>
      <c r="I189" s="33" t="s">
        <v>259</v>
      </c>
      <c r="J189" s="33">
        <v>6236048594</v>
      </c>
      <c r="K189" s="687">
        <f>'[5] NON-TEACHING STAFF'!$J$155</f>
        <v>22210523384</v>
      </c>
      <c r="L189" s="688">
        <f t="shared" si="314"/>
        <v>403057</v>
      </c>
      <c r="M189" s="688" t="e">
        <f>S189-#REF!</f>
        <v>#REF!</v>
      </c>
      <c r="N189" s="689">
        <v>403057</v>
      </c>
      <c r="O189" s="689">
        <v>33588.0833333333</v>
      </c>
      <c r="P189" s="689"/>
      <c r="Q189" s="689">
        <v>8397.02083333333</v>
      </c>
      <c r="R189" s="689">
        <v>42499.98</v>
      </c>
      <c r="S189" s="689">
        <v>84700.71</v>
      </c>
      <c r="T189" s="689"/>
      <c r="U189" s="689"/>
      <c r="V189" s="689"/>
      <c r="W189" s="689"/>
      <c r="X189" s="689"/>
      <c r="Y189" s="689"/>
      <c r="Z189" s="689"/>
      <c r="AA189" s="689"/>
      <c r="AB189" s="689"/>
      <c r="AC189" s="689">
        <v>2500</v>
      </c>
      <c r="AD189" s="689"/>
      <c r="AE189" s="689"/>
      <c r="AF189" s="689"/>
      <c r="AG189" s="689"/>
      <c r="AH189" s="689"/>
      <c r="AI189" s="689"/>
      <c r="AJ189" s="689">
        <v>2500</v>
      </c>
      <c r="AK189" s="689"/>
      <c r="AL189" s="689">
        <v>383.33</v>
      </c>
      <c r="AM189" s="689"/>
      <c r="AN189" s="689"/>
      <c r="AO189" s="689"/>
      <c r="AP189" s="689"/>
      <c r="AQ189" s="689"/>
      <c r="AR189" s="689"/>
      <c r="AS189" s="689"/>
      <c r="AT189" s="689"/>
      <c r="AU189" s="689">
        <f t="shared" si="315"/>
        <v>2541.0213</v>
      </c>
      <c r="AV189" s="689"/>
      <c r="AW189" s="689"/>
      <c r="AX189" s="718"/>
      <c r="AY189" s="718"/>
      <c r="AZ189" s="718"/>
      <c r="BA189" s="689"/>
      <c r="BB189" s="689"/>
      <c r="BC189" s="689"/>
      <c r="BD189" s="719"/>
      <c r="BE189" s="719">
        <f t="shared" si="186"/>
        <v>2541.0213</v>
      </c>
      <c r="BF189" s="689"/>
      <c r="BG189" s="689"/>
      <c r="BH189" s="727"/>
      <c r="BI189" s="689"/>
      <c r="BJ189" s="689"/>
      <c r="BK189" s="689"/>
      <c r="BL189" s="689"/>
      <c r="BM189" s="689"/>
      <c r="BN189" s="689"/>
      <c r="BO189" s="689">
        <v>0</v>
      </c>
      <c r="BP189" s="689"/>
      <c r="BQ189" s="689"/>
      <c r="BR189" s="731"/>
      <c r="BS189" s="731"/>
      <c r="BT189" s="731"/>
      <c r="BU189" s="731"/>
      <c r="BV189" s="731"/>
      <c r="BW189" s="731"/>
      <c r="BX189" s="731"/>
      <c r="BY189" s="731">
        <v>1000</v>
      </c>
      <c r="BZ189" s="731">
        <v>500</v>
      </c>
      <c r="CA189" s="718">
        <f t="shared" si="149"/>
        <v>1794.0142</v>
      </c>
      <c r="CB189" s="735"/>
      <c r="CC189" s="731">
        <v>5264.09</v>
      </c>
      <c r="CD189" s="702">
        <f t="shared" si="178"/>
        <v>89700.71</v>
      </c>
      <c r="CE189" s="731">
        <f t="shared" si="181"/>
        <v>13640.1468</v>
      </c>
      <c r="CF189" s="739">
        <f t="shared" si="179"/>
        <v>76060.5632</v>
      </c>
      <c r="CG189" s="742">
        <f t="shared" si="159"/>
        <v>13640.1468</v>
      </c>
      <c r="CH189" s="743" t="e">
        <f>'[6]JACKSON AKPOJARO '!C309*12</f>
        <v>#REF!</v>
      </c>
      <c r="CI189" s="744" t="e">
        <f t="shared" si="218"/>
        <v>#REF!</v>
      </c>
      <c r="CJ189" s="745">
        <f t="shared" si="294"/>
        <v>0</v>
      </c>
      <c r="CK189" s="748" t="e">
        <f t="shared" si="219"/>
        <v>#REF!</v>
      </c>
      <c r="CL189" s="749" t="e">
        <f t="shared" si="220"/>
        <v>#REF!</v>
      </c>
      <c r="CM189" s="744"/>
      <c r="CN189" s="745" t="e">
        <f t="shared" si="221"/>
        <v>#REF!</v>
      </c>
      <c r="CO189" s="745" t="e">
        <f t="shared" si="222"/>
        <v>#REF!</v>
      </c>
      <c r="CP189" s="745" t="e">
        <f t="shared" si="223"/>
        <v>#REF!</v>
      </c>
      <c r="CQ189" s="745" t="e">
        <f t="shared" si="224"/>
        <v>#REF!</v>
      </c>
      <c r="CR189" s="745" t="e">
        <f t="shared" si="225"/>
        <v>#REF!</v>
      </c>
      <c r="CS189" s="745" t="e">
        <f t="shared" si="226"/>
        <v>#REF!</v>
      </c>
      <c r="CT189" s="754" t="e">
        <f t="shared" si="312"/>
        <v>#REF!</v>
      </c>
      <c r="CU189" s="755" t="e">
        <f t="shared" si="313"/>
        <v>#REF!</v>
      </c>
      <c r="CV189" s="756">
        <v>498.29</v>
      </c>
      <c r="CW189" s="757"/>
      <c r="CX189" s="758"/>
      <c r="CY189" s="759"/>
      <c r="CZ189" s="760"/>
      <c r="DA189" s="767"/>
    </row>
    <row r="190" s="658" customFormat="1" ht="236" customHeight="1" spans="1:107">
      <c r="A190" s="673">
        <v>513</v>
      </c>
      <c r="B190" s="676" t="s">
        <v>1205</v>
      </c>
      <c r="C190" s="677" t="s">
        <v>1533</v>
      </c>
      <c r="D190" s="677" t="s">
        <v>1708</v>
      </c>
      <c r="E190" s="677" t="s">
        <v>135</v>
      </c>
      <c r="F190" s="677" t="s">
        <v>1206</v>
      </c>
      <c r="G190" s="677" t="s">
        <v>1683</v>
      </c>
      <c r="H190" s="679"/>
      <c r="I190" s="681" t="s">
        <v>135</v>
      </c>
      <c r="J190" s="686" t="s">
        <v>1709</v>
      </c>
      <c r="K190" s="687">
        <f>'[5] NON-TEACHING STAFF'!$J$156</f>
        <v>22406477367</v>
      </c>
      <c r="L190" s="688">
        <f t="shared" si="314"/>
        <v>403057</v>
      </c>
      <c r="M190" s="688" t="e">
        <f>S190-#REF!</f>
        <v>#REF!</v>
      </c>
      <c r="N190" s="689">
        <v>403057</v>
      </c>
      <c r="O190" s="689">
        <v>33588.0833333333</v>
      </c>
      <c r="P190" s="689"/>
      <c r="Q190" s="689">
        <v>8397.02083333333</v>
      </c>
      <c r="R190" s="689">
        <v>42499.98</v>
      </c>
      <c r="S190" s="689">
        <v>89282.58</v>
      </c>
      <c r="T190" s="689"/>
      <c r="U190" s="689"/>
      <c r="V190" s="689"/>
      <c r="W190" s="689"/>
      <c r="X190" s="689"/>
      <c r="Y190" s="689"/>
      <c r="Z190" s="689"/>
      <c r="AA190" s="689"/>
      <c r="AB190" s="689"/>
      <c r="AC190" s="689">
        <v>2500</v>
      </c>
      <c r="AD190" s="689"/>
      <c r="AE190" s="689"/>
      <c r="AF190" s="689"/>
      <c r="AG190" s="689"/>
      <c r="AH190" s="689"/>
      <c r="AI190" s="689"/>
      <c r="AJ190" s="689">
        <v>2500</v>
      </c>
      <c r="AK190" s="689"/>
      <c r="AL190" s="689">
        <v>383.33</v>
      </c>
      <c r="AM190" s="689"/>
      <c r="AN190" s="689"/>
      <c r="AO190" s="689"/>
      <c r="AP190" s="689"/>
      <c r="AQ190" s="689"/>
      <c r="AR190" s="689"/>
      <c r="AS190" s="689"/>
      <c r="AT190" s="689"/>
      <c r="AU190" s="689">
        <f t="shared" si="315"/>
        <v>2678.4774</v>
      </c>
      <c r="AV190" s="689"/>
      <c r="AW190" s="689"/>
      <c r="AX190" s="718"/>
      <c r="AY190" s="718"/>
      <c r="AZ190" s="718"/>
      <c r="BA190" s="689"/>
      <c r="BB190" s="689">
        <v>27777.8</v>
      </c>
      <c r="BC190" s="689"/>
      <c r="BD190" s="719"/>
      <c r="BE190" s="719">
        <f t="shared" si="186"/>
        <v>2678.4774</v>
      </c>
      <c r="BF190" s="689"/>
      <c r="BG190" s="689"/>
      <c r="BH190" s="727"/>
      <c r="BI190" s="689"/>
      <c r="BJ190" s="689"/>
      <c r="BK190" s="689"/>
      <c r="BL190" s="689"/>
      <c r="BM190" s="689"/>
      <c r="BN190" s="689"/>
      <c r="BO190" s="689">
        <v>0</v>
      </c>
      <c r="BP190" s="689"/>
      <c r="BQ190" s="689"/>
      <c r="BR190" s="731"/>
      <c r="BS190" s="731"/>
      <c r="BT190" s="731"/>
      <c r="BU190" s="731"/>
      <c r="BV190" s="731"/>
      <c r="BW190" s="731"/>
      <c r="BX190" s="731"/>
      <c r="BY190" s="731">
        <v>1000</v>
      </c>
      <c r="BZ190" s="731">
        <v>500</v>
      </c>
      <c r="CA190" s="718">
        <f t="shared" si="149"/>
        <v>1885.6516</v>
      </c>
      <c r="CB190" s="735"/>
      <c r="CC190" s="731">
        <v>5813.91</v>
      </c>
      <c r="CD190" s="702">
        <f t="shared" si="178"/>
        <v>94282.58</v>
      </c>
      <c r="CE190" s="731">
        <f t="shared" si="181"/>
        <v>42334.3164</v>
      </c>
      <c r="CF190" s="739">
        <f t="shared" si="179"/>
        <v>51948.2636</v>
      </c>
      <c r="CG190" s="742">
        <f t="shared" si="159"/>
        <v>42334.3164</v>
      </c>
      <c r="CH190" s="743" t="e">
        <f>'[6]JACKSON AKPOJARO '!C310*12</f>
        <v>#REF!</v>
      </c>
      <c r="CI190" s="744" t="e">
        <f t="shared" si="218"/>
        <v>#REF!</v>
      </c>
      <c r="CJ190" s="745">
        <f t="shared" si="294"/>
        <v>0</v>
      </c>
      <c r="CK190" s="748" t="e">
        <f t="shared" si="219"/>
        <v>#REF!</v>
      </c>
      <c r="CL190" s="749" t="e">
        <f t="shared" si="220"/>
        <v>#REF!</v>
      </c>
      <c r="CM190" s="744"/>
      <c r="CN190" s="745" t="e">
        <f t="shared" si="221"/>
        <v>#REF!</v>
      </c>
      <c r="CO190" s="745" t="e">
        <f t="shared" si="222"/>
        <v>#REF!</v>
      </c>
      <c r="CP190" s="745" t="e">
        <f t="shared" si="223"/>
        <v>#REF!</v>
      </c>
      <c r="CQ190" s="745" t="e">
        <f t="shared" si="224"/>
        <v>#REF!</v>
      </c>
      <c r="CR190" s="745" t="e">
        <f t="shared" si="225"/>
        <v>#REF!</v>
      </c>
      <c r="CS190" s="745" t="e">
        <f t="shared" si="226"/>
        <v>#REF!</v>
      </c>
      <c r="CT190" s="754" t="e">
        <f t="shared" si="312"/>
        <v>#REF!</v>
      </c>
      <c r="CU190" s="755" t="e">
        <f t="shared" si="313"/>
        <v>#REF!</v>
      </c>
      <c r="CV190" s="756">
        <v>498.29</v>
      </c>
      <c r="CW190" s="757"/>
      <c r="CX190" s="758"/>
      <c r="CY190" s="759"/>
      <c r="CZ190" s="760"/>
      <c r="DA190" s="767"/>
      <c r="DB190" s="670"/>
      <c r="DC190" s="666"/>
    </row>
    <row r="191" ht="236" customHeight="1" spans="1:105">
      <c r="A191" s="675">
        <v>514</v>
      </c>
      <c r="B191" s="676" t="s">
        <v>1207</v>
      </c>
      <c r="C191" s="677" t="s">
        <v>1533</v>
      </c>
      <c r="D191" s="677" t="s">
        <v>1708</v>
      </c>
      <c r="E191" s="677" t="s">
        <v>422</v>
      </c>
      <c r="F191" s="677">
        <v>3031963246</v>
      </c>
      <c r="G191" s="677" t="s">
        <v>1683</v>
      </c>
      <c r="H191" s="679"/>
      <c r="I191" s="681" t="s">
        <v>422</v>
      </c>
      <c r="J191" s="686">
        <v>3031963246</v>
      </c>
      <c r="K191" s="838" t="str">
        <f>'[5] NON-TEACHING STAFF'!$J$157</f>
        <v>22423583515</v>
      </c>
      <c r="L191" s="688">
        <f t="shared" si="314"/>
        <v>403057</v>
      </c>
      <c r="M191" s="688" t="e">
        <f>S191-#REF!</f>
        <v>#REF!</v>
      </c>
      <c r="N191" s="689">
        <v>403057</v>
      </c>
      <c r="O191" s="689">
        <v>33588.0833333333</v>
      </c>
      <c r="P191" s="689"/>
      <c r="Q191" s="689">
        <v>8397.02083333333</v>
      </c>
      <c r="R191" s="689">
        <v>42499.98</v>
      </c>
      <c r="S191" s="689">
        <v>89282.58</v>
      </c>
      <c r="T191" s="689"/>
      <c r="U191" s="689"/>
      <c r="V191" s="689"/>
      <c r="W191" s="689"/>
      <c r="X191" s="689"/>
      <c r="Y191" s="689"/>
      <c r="Z191" s="689"/>
      <c r="AA191" s="689"/>
      <c r="AB191" s="689"/>
      <c r="AC191" s="689">
        <v>2500</v>
      </c>
      <c r="AD191" s="689"/>
      <c r="AE191" s="689"/>
      <c r="AF191" s="689"/>
      <c r="AG191" s="689" t="s">
        <v>1710</v>
      </c>
      <c r="AH191" s="689"/>
      <c r="AI191" s="689"/>
      <c r="AJ191" s="689">
        <v>2500</v>
      </c>
      <c r="AK191" s="689"/>
      <c r="AL191" s="689">
        <v>383.33</v>
      </c>
      <c r="AM191" s="689"/>
      <c r="AN191" s="689"/>
      <c r="AO191" s="689"/>
      <c r="AP191" s="689"/>
      <c r="AQ191" s="689"/>
      <c r="AR191" s="689"/>
      <c r="AS191" s="689"/>
      <c r="AT191" s="689"/>
      <c r="AU191" s="689">
        <f t="shared" si="315"/>
        <v>2678.4774</v>
      </c>
      <c r="AV191" s="689"/>
      <c r="AW191" s="689"/>
      <c r="AX191" s="718"/>
      <c r="AY191" s="718"/>
      <c r="AZ191" s="718"/>
      <c r="BA191" s="689">
        <v>11818.182</v>
      </c>
      <c r="BB191" s="689"/>
      <c r="BC191" s="689"/>
      <c r="BD191" s="719"/>
      <c r="BE191" s="719">
        <f t="shared" si="186"/>
        <v>2678.4774</v>
      </c>
      <c r="BF191" s="689"/>
      <c r="BG191" s="689"/>
      <c r="BH191" s="727"/>
      <c r="BI191" s="689"/>
      <c r="BJ191" s="689"/>
      <c r="BK191" s="689"/>
      <c r="BL191" s="689"/>
      <c r="BM191" s="689"/>
      <c r="BN191" s="689"/>
      <c r="BO191" s="689">
        <v>10000</v>
      </c>
      <c r="BP191" s="689"/>
      <c r="BQ191" s="689"/>
      <c r="BR191" s="731"/>
      <c r="BS191" s="731"/>
      <c r="BT191" s="731"/>
      <c r="BU191" s="731"/>
      <c r="BV191" s="731"/>
      <c r="BW191" s="731"/>
      <c r="BX191" s="731"/>
      <c r="BY191" s="731">
        <v>1000</v>
      </c>
      <c r="BZ191" s="731">
        <v>500</v>
      </c>
      <c r="CA191" s="718">
        <f t="shared" si="149"/>
        <v>1885.6516</v>
      </c>
      <c r="CB191" s="735"/>
      <c r="CC191" s="731">
        <v>5813.91</v>
      </c>
      <c r="CD191" s="702">
        <f>S191+AC191+AJ191</f>
        <v>94282.58</v>
      </c>
      <c r="CE191" s="731">
        <f t="shared" si="181"/>
        <v>36374.6984</v>
      </c>
      <c r="CF191" s="739">
        <f t="shared" si="179"/>
        <v>57907.8816</v>
      </c>
      <c r="CG191" s="742">
        <f t="shared" si="159"/>
        <v>36374.6984</v>
      </c>
      <c r="CH191" s="743" t="e">
        <f>'[6]JACKSON AKPOJARO '!C311*12</f>
        <v>#REF!</v>
      </c>
      <c r="CI191" s="744" t="e">
        <f t="shared" si="218"/>
        <v>#REF!</v>
      </c>
      <c r="CJ191" s="745">
        <f t="shared" si="294"/>
        <v>0</v>
      </c>
      <c r="CK191" s="748" t="e">
        <f t="shared" si="219"/>
        <v>#REF!</v>
      </c>
      <c r="CL191" s="749" t="e">
        <f t="shared" si="220"/>
        <v>#REF!</v>
      </c>
      <c r="CM191" s="744"/>
      <c r="CN191" s="745" t="e">
        <f t="shared" si="221"/>
        <v>#REF!</v>
      </c>
      <c r="CO191" s="745" t="e">
        <f t="shared" si="222"/>
        <v>#REF!</v>
      </c>
      <c r="CP191" s="745" t="e">
        <f t="shared" si="223"/>
        <v>#REF!</v>
      </c>
      <c r="CQ191" s="745" t="e">
        <f t="shared" si="224"/>
        <v>#REF!</v>
      </c>
      <c r="CR191" s="745" t="e">
        <f t="shared" si="225"/>
        <v>#REF!</v>
      </c>
      <c r="CS191" s="745" t="e">
        <f t="shared" si="226"/>
        <v>#REF!</v>
      </c>
      <c r="CT191" s="754" t="e">
        <f t="shared" si="312"/>
        <v>#REF!</v>
      </c>
      <c r="CU191" s="755" t="e">
        <f t="shared" si="313"/>
        <v>#REF!</v>
      </c>
      <c r="CV191" s="756">
        <v>498.29</v>
      </c>
      <c r="CW191" s="757"/>
      <c r="CX191" s="758"/>
      <c r="CY191" s="759"/>
      <c r="CZ191" s="760"/>
      <c r="DA191" s="767"/>
    </row>
    <row r="192" ht="236" customHeight="1" spans="1:105">
      <c r="A192" s="673">
        <v>515</v>
      </c>
      <c r="B192" s="676" t="s">
        <v>1208</v>
      </c>
      <c r="C192" s="677" t="s">
        <v>1533</v>
      </c>
      <c r="D192" s="677" t="s">
        <v>1708</v>
      </c>
      <c r="E192" s="677" t="s">
        <v>135</v>
      </c>
      <c r="F192" s="677" t="s">
        <v>1209</v>
      </c>
      <c r="G192" s="677" t="s">
        <v>1683</v>
      </c>
      <c r="H192" s="679"/>
      <c r="I192" s="681" t="s">
        <v>135</v>
      </c>
      <c r="J192" s="686" t="s">
        <v>1209</v>
      </c>
      <c r="K192" s="785" t="str">
        <f>'[5] NON-TEACHING STAFF'!$J$158</f>
        <v>22528634662</v>
      </c>
      <c r="L192" s="688">
        <f t="shared" si="314"/>
        <v>403057</v>
      </c>
      <c r="M192" s="688" t="e">
        <f>S192-#REF!</f>
        <v>#REF!</v>
      </c>
      <c r="N192" s="689">
        <v>415390</v>
      </c>
      <c r="O192" s="689">
        <v>33588.08</v>
      </c>
      <c r="P192" s="689"/>
      <c r="Q192" s="689">
        <v>8397.02</v>
      </c>
      <c r="R192" s="689">
        <v>42499.98</v>
      </c>
      <c r="S192" s="689">
        <v>89282.58</v>
      </c>
      <c r="T192" s="689"/>
      <c r="U192" s="689"/>
      <c r="V192" s="689"/>
      <c r="W192" s="689"/>
      <c r="X192" s="689"/>
      <c r="Y192" s="689"/>
      <c r="Z192" s="689"/>
      <c r="AA192" s="689"/>
      <c r="AB192" s="689"/>
      <c r="AC192" s="689">
        <v>2500</v>
      </c>
      <c r="AD192" s="689"/>
      <c r="AE192" s="689"/>
      <c r="AF192" s="689"/>
      <c r="AG192" s="689"/>
      <c r="AH192" s="689"/>
      <c r="AI192" s="689"/>
      <c r="AJ192" s="689">
        <v>2500</v>
      </c>
      <c r="AK192" s="689"/>
      <c r="AL192" s="689">
        <v>383.33</v>
      </c>
      <c r="AM192" s="689"/>
      <c r="AN192" s="689"/>
      <c r="AO192" s="689"/>
      <c r="AP192" s="689"/>
      <c r="AQ192" s="689"/>
      <c r="AR192" s="689"/>
      <c r="AS192" s="689"/>
      <c r="AT192" s="689"/>
      <c r="AU192" s="689">
        <f t="shared" si="315"/>
        <v>2678.4774</v>
      </c>
      <c r="AV192" s="689"/>
      <c r="AW192" s="689"/>
      <c r="AX192" s="718"/>
      <c r="AY192" s="718"/>
      <c r="AZ192" s="718"/>
      <c r="BA192" s="689"/>
      <c r="BB192" s="689"/>
      <c r="BC192" s="689"/>
      <c r="BD192" s="719"/>
      <c r="BE192" s="719">
        <f t="shared" si="186"/>
        <v>2678.4774</v>
      </c>
      <c r="BF192" s="689"/>
      <c r="BG192" s="689"/>
      <c r="BH192" s="727"/>
      <c r="BI192" s="689"/>
      <c r="BJ192" s="689"/>
      <c r="BK192" s="689"/>
      <c r="BL192" s="689"/>
      <c r="BM192" s="689"/>
      <c r="BN192" s="689"/>
      <c r="BO192" s="689">
        <v>0</v>
      </c>
      <c r="BP192" s="689"/>
      <c r="BQ192" s="689"/>
      <c r="BR192" s="731"/>
      <c r="BS192" s="731"/>
      <c r="BT192" s="731"/>
      <c r="BU192" s="731"/>
      <c r="BV192" s="731"/>
      <c r="BW192" s="731"/>
      <c r="BX192" s="731"/>
      <c r="BY192" s="731">
        <v>1000</v>
      </c>
      <c r="BZ192" s="731">
        <v>500</v>
      </c>
      <c r="CA192" s="718">
        <f t="shared" si="149"/>
        <v>1885.6516</v>
      </c>
      <c r="CB192" s="735"/>
      <c r="CC192" s="731">
        <v>5813.91</v>
      </c>
      <c r="CD192" s="702">
        <f t="shared" si="178"/>
        <v>94282.58</v>
      </c>
      <c r="CE192" s="731">
        <f t="shared" si="181"/>
        <v>14556.5164</v>
      </c>
      <c r="CF192" s="739">
        <f t="shared" si="179"/>
        <v>79726.0636</v>
      </c>
      <c r="CG192" s="742">
        <f t="shared" si="159"/>
        <v>14556.5164</v>
      </c>
      <c r="CH192" s="743" t="e">
        <f>'[6]JACKSON AKPOJARO '!C312*12</f>
        <v>#REF!</v>
      </c>
      <c r="CI192" s="744" t="e">
        <f t="shared" si="218"/>
        <v>#REF!</v>
      </c>
      <c r="CJ192" s="745">
        <f t="shared" si="294"/>
        <v>0</v>
      </c>
      <c r="CK192" s="748" t="e">
        <f t="shared" si="219"/>
        <v>#REF!</v>
      </c>
      <c r="CL192" s="749" t="e">
        <f t="shared" si="220"/>
        <v>#REF!</v>
      </c>
      <c r="CM192" s="744"/>
      <c r="CN192" s="745" t="e">
        <f t="shared" si="221"/>
        <v>#REF!</v>
      </c>
      <c r="CO192" s="745" t="e">
        <f t="shared" si="222"/>
        <v>#REF!</v>
      </c>
      <c r="CP192" s="745" t="e">
        <f t="shared" si="223"/>
        <v>#REF!</v>
      </c>
      <c r="CQ192" s="745" t="e">
        <f t="shared" si="224"/>
        <v>#REF!</v>
      </c>
      <c r="CR192" s="745" t="e">
        <f t="shared" si="225"/>
        <v>#REF!</v>
      </c>
      <c r="CS192" s="745" t="e">
        <f t="shared" si="226"/>
        <v>#REF!</v>
      </c>
      <c r="CT192" s="754" t="e">
        <f t="shared" si="312"/>
        <v>#REF!</v>
      </c>
      <c r="CU192" s="755" t="e">
        <f t="shared" si="313"/>
        <v>#REF!</v>
      </c>
      <c r="CV192" s="756">
        <v>498.29</v>
      </c>
      <c r="CW192" s="757"/>
      <c r="CX192" s="758"/>
      <c r="CY192" s="759"/>
      <c r="CZ192" s="760"/>
      <c r="DA192" s="767"/>
    </row>
    <row r="193" ht="236" customHeight="1" spans="1:105">
      <c r="A193" s="675">
        <v>516</v>
      </c>
      <c r="B193" s="676" t="s">
        <v>1210</v>
      </c>
      <c r="C193" s="677" t="s">
        <v>1533</v>
      </c>
      <c r="D193" s="677" t="s">
        <v>1708</v>
      </c>
      <c r="E193" s="677" t="s">
        <v>135</v>
      </c>
      <c r="F193" s="677" t="s">
        <v>1211</v>
      </c>
      <c r="G193" s="677" t="s">
        <v>1683</v>
      </c>
      <c r="H193" s="679"/>
      <c r="I193" s="681" t="s">
        <v>135</v>
      </c>
      <c r="J193" s="686" t="s">
        <v>1211</v>
      </c>
      <c r="K193" s="1456" t="s">
        <v>1711</v>
      </c>
      <c r="L193" s="688">
        <f t="shared" si="314"/>
        <v>403057</v>
      </c>
      <c r="M193" s="688" t="e">
        <f>S193-#REF!</f>
        <v>#REF!</v>
      </c>
      <c r="N193" s="689">
        <v>415390</v>
      </c>
      <c r="O193" s="689">
        <v>33588.08</v>
      </c>
      <c r="P193" s="689"/>
      <c r="Q193" s="689">
        <v>8397.02</v>
      </c>
      <c r="R193" s="689">
        <v>42499.98</v>
      </c>
      <c r="S193" s="689">
        <v>89282.58</v>
      </c>
      <c r="T193" s="689"/>
      <c r="U193" s="689"/>
      <c r="V193" s="689"/>
      <c r="W193" s="689"/>
      <c r="X193" s="689"/>
      <c r="Y193" s="689"/>
      <c r="Z193" s="689"/>
      <c r="AA193" s="689"/>
      <c r="AB193" s="689"/>
      <c r="AC193" s="689">
        <v>2500</v>
      </c>
      <c r="AD193" s="689"/>
      <c r="AE193" s="689"/>
      <c r="AF193" s="689"/>
      <c r="AG193" s="689"/>
      <c r="AH193" s="689"/>
      <c r="AI193" s="689"/>
      <c r="AJ193" s="689">
        <v>2500</v>
      </c>
      <c r="AK193" s="689"/>
      <c r="AL193" s="689">
        <v>383.33</v>
      </c>
      <c r="AM193" s="689"/>
      <c r="AN193" s="689"/>
      <c r="AO193" s="689"/>
      <c r="AP193" s="689"/>
      <c r="AQ193" s="689"/>
      <c r="AR193" s="689"/>
      <c r="AS193" s="689"/>
      <c r="AT193" s="689"/>
      <c r="AU193" s="689">
        <f t="shared" si="315"/>
        <v>2678.4774</v>
      </c>
      <c r="AV193" s="689"/>
      <c r="AW193" s="689"/>
      <c r="AX193" s="718"/>
      <c r="AY193" s="718"/>
      <c r="AZ193" s="718"/>
      <c r="BA193" s="689"/>
      <c r="BB193" s="689"/>
      <c r="BC193" s="689"/>
      <c r="BD193" s="719"/>
      <c r="BE193" s="719">
        <f t="shared" si="186"/>
        <v>2678.4774</v>
      </c>
      <c r="BF193" s="689"/>
      <c r="BG193" s="689"/>
      <c r="BH193" s="727"/>
      <c r="BI193" s="689"/>
      <c r="BJ193" s="689"/>
      <c r="BK193" s="689"/>
      <c r="BL193" s="689"/>
      <c r="BM193" s="689"/>
      <c r="BN193" s="689"/>
      <c r="BO193" s="689">
        <v>0</v>
      </c>
      <c r="BP193" s="689"/>
      <c r="BQ193" s="689"/>
      <c r="BR193" s="731"/>
      <c r="BS193" s="731"/>
      <c r="BT193" s="731"/>
      <c r="BU193" s="731"/>
      <c r="BV193" s="731"/>
      <c r="BW193" s="731"/>
      <c r="BX193" s="731"/>
      <c r="BY193" s="731">
        <v>1000</v>
      </c>
      <c r="BZ193" s="731">
        <v>500</v>
      </c>
      <c r="CA193" s="718">
        <f t="shared" si="149"/>
        <v>1885.6516</v>
      </c>
      <c r="CB193" s="735"/>
      <c r="CC193" s="731">
        <v>5813.91</v>
      </c>
      <c r="CD193" s="702">
        <f t="shared" si="178"/>
        <v>94282.58</v>
      </c>
      <c r="CE193" s="731">
        <f t="shared" si="181"/>
        <v>14556.5164</v>
      </c>
      <c r="CF193" s="739">
        <f t="shared" si="179"/>
        <v>79726.0636</v>
      </c>
      <c r="CG193" s="742">
        <f t="shared" si="159"/>
        <v>14556.5164</v>
      </c>
      <c r="CH193" s="743" t="e">
        <f>'[6]JACKSON AKPOJARO '!C313*12</f>
        <v>#REF!</v>
      </c>
      <c r="CI193" s="744" t="e">
        <f t="shared" ref="CI193:CI200" si="316">200000+(0.2*CH193)</f>
        <v>#REF!</v>
      </c>
      <c r="CJ193" s="745">
        <f t="shared" si="294"/>
        <v>0</v>
      </c>
      <c r="CK193" s="748" t="e">
        <f t="shared" ref="CK193:CK200" si="317">SUM(CI193:CJ193)</f>
        <v>#REF!</v>
      </c>
      <c r="CL193" s="749" t="e">
        <f t="shared" ref="CL193:CL200" si="318">+CH193-CK193</f>
        <v>#REF!</v>
      </c>
      <c r="CM193" s="744"/>
      <c r="CN193" s="745" t="e">
        <f t="shared" ref="CN193:CN200" si="319">IF((CL193&gt;0),(IF((CL193&gt;300000),(300000*7%),(CL193*7%))),(CH193*1%))</f>
        <v>#REF!</v>
      </c>
      <c r="CO193" s="745" t="e">
        <f t="shared" ref="CO193:CO200" si="320">IF((CL193-300000)&gt;0,(IF((CL193&gt;600000),(300000*11%),((CL193-300000)*11%))),(""))</f>
        <v>#REF!</v>
      </c>
      <c r="CP193" s="745" t="e">
        <f t="shared" ref="CP193:CP200" si="321">IF(((CL193-600000)&gt;0),(IF((CL193&gt;1100000),(500000*15%),((CL193-600000)*15%))),(""))</f>
        <v>#REF!</v>
      </c>
      <c r="CQ193" s="745" t="e">
        <f t="shared" ref="CQ193:CQ200" si="322">IF(((CL193-(1100000))&gt;0),(IF((CL193&gt;(1600000)),((500000)*19%),((CL193-(1100000))*19%))),(""))</f>
        <v>#REF!</v>
      </c>
      <c r="CR193" s="745" t="e">
        <f t="shared" ref="CR193:CR200" si="323">IF(((CL193-(1600000))&gt;0),(IF((CL193&gt;(3200000)),((1600000)*21%),((CL193-(1600000))*21%))),(""))</f>
        <v>#REF!</v>
      </c>
      <c r="CS193" s="745" t="e">
        <f t="shared" ref="CS193:CS200" si="324">IF(((CL193-(3200000))&gt;0),(IF((CL193&gt;(3200000)),((CL193-(3200000))*24%),(0))),(""))</f>
        <v>#REF!</v>
      </c>
      <c r="CT193" s="754" t="e">
        <f t="shared" si="312"/>
        <v>#REF!</v>
      </c>
      <c r="CU193" s="755" t="e">
        <f t="shared" si="313"/>
        <v>#REF!</v>
      </c>
      <c r="CV193" s="756">
        <v>498.29</v>
      </c>
      <c r="CW193" s="757"/>
      <c r="CX193" s="758"/>
      <c r="CY193" s="759"/>
      <c r="CZ193" s="760"/>
      <c r="DA193" s="767"/>
    </row>
    <row r="194" ht="236" customHeight="1" spans="1:105">
      <c r="A194" s="673">
        <v>517</v>
      </c>
      <c r="B194" s="676" t="s">
        <v>1212</v>
      </c>
      <c r="C194" s="677" t="s">
        <v>1533</v>
      </c>
      <c r="D194" s="677" t="s">
        <v>1708</v>
      </c>
      <c r="E194" s="677" t="s">
        <v>165</v>
      </c>
      <c r="F194" s="677" t="s">
        <v>1213</v>
      </c>
      <c r="G194" s="677" t="s">
        <v>1683</v>
      </c>
      <c r="H194" s="679"/>
      <c r="I194" s="681" t="s">
        <v>165</v>
      </c>
      <c r="J194" s="686">
        <v>2116718341</v>
      </c>
      <c r="K194" s="785" t="str">
        <f>'[5] NON-TEACHING STAFF'!$J$158</f>
        <v>22528634662</v>
      </c>
      <c r="L194" s="688">
        <f t="shared" si="314"/>
        <v>403057</v>
      </c>
      <c r="M194" s="688" t="e">
        <f>S194-#REF!</f>
        <v>#REF!</v>
      </c>
      <c r="N194" s="689">
        <v>403057</v>
      </c>
      <c r="O194" s="689">
        <v>33588.0833333333</v>
      </c>
      <c r="P194" s="689"/>
      <c r="Q194" s="689">
        <v>8397.02083333333</v>
      </c>
      <c r="R194" s="689">
        <v>42499.98</v>
      </c>
      <c r="S194" s="689">
        <v>89282.58</v>
      </c>
      <c r="T194" s="689"/>
      <c r="U194" s="689"/>
      <c r="V194" s="689"/>
      <c r="W194" s="689"/>
      <c r="X194" s="689"/>
      <c r="Y194" s="689"/>
      <c r="Z194" s="689"/>
      <c r="AA194" s="689"/>
      <c r="AB194" s="689"/>
      <c r="AC194" s="689">
        <v>2500</v>
      </c>
      <c r="AD194" s="689"/>
      <c r="AE194" s="689"/>
      <c r="AF194" s="689"/>
      <c r="AG194" s="689"/>
      <c r="AH194" s="689"/>
      <c r="AI194" s="689"/>
      <c r="AJ194" s="689">
        <v>2500</v>
      </c>
      <c r="AK194" s="689"/>
      <c r="AL194" s="689">
        <v>383.33</v>
      </c>
      <c r="AM194" s="689"/>
      <c r="AN194" s="689"/>
      <c r="AO194" s="689"/>
      <c r="AP194" s="689"/>
      <c r="AQ194" s="689"/>
      <c r="AR194" s="689"/>
      <c r="AS194" s="689"/>
      <c r="AT194" s="689"/>
      <c r="AU194" s="689">
        <f t="shared" si="315"/>
        <v>2678.4774</v>
      </c>
      <c r="AV194" s="689"/>
      <c r="AW194" s="689"/>
      <c r="AX194" s="718"/>
      <c r="AY194" s="718"/>
      <c r="AZ194" s="718"/>
      <c r="BA194" s="689"/>
      <c r="BB194" s="689"/>
      <c r="BC194" s="689"/>
      <c r="BD194" s="719"/>
      <c r="BE194" s="719">
        <f t="shared" si="186"/>
        <v>2678.4774</v>
      </c>
      <c r="BF194" s="689"/>
      <c r="BG194" s="689"/>
      <c r="BH194" s="727"/>
      <c r="BI194" s="689"/>
      <c r="BJ194" s="689"/>
      <c r="BK194" s="689"/>
      <c r="BL194" s="689"/>
      <c r="BM194" s="689"/>
      <c r="BN194" s="689"/>
      <c r="BO194" s="689">
        <v>10000</v>
      </c>
      <c r="BP194" s="689"/>
      <c r="BQ194" s="689"/>
      <c r="BR194" s="731"/>
      <c r="BS194" s="731"/>
      <c r="BT194" s="731"/>
      <c r="BU194" s="731"/>
      <c r="BV194" s="731"/>
      <c r="BW194" s="731"/>
      <c r="BX194" s="731"/>
      <c r="BY194" s="731">
        <v>1000</v>
      </c>
      <c r="BZ194" s="731">
        <v>500</v>
      </c>
      <c r="CA194" s="718">
        <f t="shared" si="149"/>
        <v>1885.6516</v>
      </c>
      <c r="CB194" s="735"/>
      <c r="CC194" s="731">
        <v>5813.91</v>
      </c>
      <c r="CD194" s="702">
        <f t="shared" si="178"/>
        <v>94282.58</v>
      </c>
      <c r="CE194" s="731">
        <f t="shared" si="181"/>
        <v>24556.5164</v>
      </c>
      <c r="CF194" s="739">
        <f t="shared" si="179"/>
        <v>69726.0636</v>
      </c>
      <c r="CG194" s="742">
        <f t="shared" si="159"/>
        <v>24556.5164</v>
      </c>
      <c r="CH194" s="743" t="e">
        <f>'[6]JACKSON AKPOJARO '!C314*12</f>
        <v>#REF!</v>
      </c>
      <c r="CI194" s="744" t="e">
        <f t="shared" si="316"/>
        <v>#REF!</v>
      </c>
      <c r="CJ194" s="745">
        <f t="shared" si="294"/>
        <v>0</v>
      </c>
      <c r="CK194" s="748" t="e">
        <f t="shared" si="317"/>
        <v>#REF!</v>
      </c>
      <c r="CL194" s="749" t="e">
        <f t="shared" si="318"/>
        <v>#REF!</v>
      </c>
      <c r="CM194" s="744"/>
      <c r="CN194" s="745" t="e">
        <f t="shared" si="319"/>
        <v>#REF!</v>
      </c>
      <c r="CO194" s="745" t="e">
        <f t="shared" si="320"/>
        <v>#REF!</v>
      </c>
      <c r="CP194" s="745" t="e">
        <f t="shared" si="321"/>
        <v>#REF!</v>
      </c>
      <c r="CQ194" s="745" t="e">
        <f t="shared" si="322"/>
        <v>#REF!</v>
      </c>
      <c r="CR194" s="745" t="e">
        <f t="shared" si="323"/>
        <v>#REF!</v>
      </c>
      <c r="CS194" s="745" t="e">
        <f t="shared" si="324"/>
        <v>#REF!</v>
      </c>
      <c r="CT194" s="754" t="e">
        <f t="shared" si="312"/>
        <v>#REF!</v>
      </c>
      <c r="CU194" s="755" t="e">
        <f t="shared" si="313"/>
        <v>#REF!</v>
      </c>
      <c r="CV194" s="756">
        <v>498.29</v>
      </c>
      <c r="CW194" s="757"/>
      <c r="CX194" s="758"/>
      <c r="CY194" s="759"/>
      <c r="CZ194" s="760"/>
      <c r="DA194" s="767"/>
    </row>
    <row r="195" ht="236" customHeight="1" spans="1:105">
      <c r="A195" s="675">
        <v>518</v>
      </c>
      <c r="B195" s="676" t="s">
        <v>1214</v>
      </c>
      <c r="C195" s="677" t="s">
        <v>1533</v>
      </c>
      <c r="D195" s="677" t="s">
        <v>1708</v>
      </c>
      <c r="E195" s="677" t="s">
        <v>135</v>
      </c>
      <c r="F195" s="677" t="s">
        <v>1215</v>
      </c>
      <c r="G195" s="677" t="s">
        <v>1683</v>
      </c>
      <c r="H195" s="679"/>
      <c r="I195" s="681" t="s">
        <v>135</v>
      </c>
      <c r="J195" s="686" t="s">
        <v>1215</v>
      </c>
      <c r="K195" s="1456" t="s">
        <v>1712</v>
      </c>
      <c r="L195" s="688">
        <f t="shared" si="314"/>
        <v>403057</v>
      </c>
      <c r="M195" s="688" t="e">
        <f>S195-#REF!</f>
        <v>#REF!</v>
      </c>
      <c r="N195" s="689">
        <v>415390</v>
      </c>
      <c r="O195" s="689">
        <v>33588.08</v>
      </c>
      <c r="P195" s="689"/>
      <c r="Q195" s="689">
        <v>8397.02</v>
      </c>
      <c r="R195" s="689">
        <v>42499.98</v>
      </c>
      <c r="S195" s="689">
        <v>89282.58</v>
      </c>
      <c r="T195" s="689"/>
      <c r="U195" s="689"/>
      <c r="V195" s="689"/>
      <c r="W195" s="689"/>
      <c r="X195" s="689"/>
      <c r="Y195" s="689"/>
      <c r="Z195" s="689"/>
      <c r="AA195" s="689"/>
      <c r="AB195" s="689"/>
      <c r="AC195" s="689">
        <v>2500</v>
      </c>
      <c r="AD195" s="689"/>
      <c r="AE195" s="689"/>
      <c r="AF195" s="689"/>
      <c r="AG195" s="689"/>
      <c r="AH195" s="689"/>
      <c r="AI195" s="689"/>
      <c r="AJ195" s="689">
        <v>2500</v>
      </c>
      <c r="AK195" s="689"/>
      <c r="AL195" s="689">
        <v>383.33</v>
      </c>
      <c r="AM195" s="689"/>
      <c r="AN195" s="689"/>
      <c r="AO195" s="689"/>
      <c r="AP195" s="689"/>
      <c r="AQ195" s="689"/>
      <c r="AR195" s="689"/>
      <c r="AS195" s="689"/>
      <c r="AT195" s="689"/>
      <c r="AU195" s="689">
        <f t="shared" si="315"/>
        <v>2678.4774</v>
      </c>
      <c r="AV195" s="689"/>
      <c r="AW195" s="689"/>
      <c r="AX195" s="718"/>
      <c r="AY195" s="718"/>
      <c r="AZ195" s="718"/>
      <c r="BA195" s="689"/>
      <c r="BB195" s="689"/>
      <c r="BC195" s="689"/>
      <c r="BD195" s="719"/>
      <c r="BE195" s="719">
        <f t="shared" si="186"/>
        <v>2678.4774</v>
      </c>
      <c r="BF195" s="689"/>
      <c r="BG195" s="689"/>
      <c r="BH195" s="727"/>
      <c r="BI195" s="689"/>
      <c r="BJ195" s="689"/>
      <c r="BK195" s="689"/>
      <c r="BL195" s="689"/>
      <c r="BM195" s="689"/>
      <c r="BN195" s="689"/>
      <c r="BO195" s="689">
        <v>0</v>
      </c>
      <c r="BP195" s="689"/>
      <c r="BQ195" s="689"/>
      <c r="BR195" s="731"/>
      <c r="BS195" s="731"/>
      <c r="BT195" s="731"/>
      <c r="BU195" s="731"/>
      <c r="BV195" s="731"/>
      <c r="BW195" s="731"/>
      <c r="BX195" s="731"/>
      <c r="BY195" s="731">
        <v>1000</v>
      </c>
      <c r="BZ195" s="731">
        <v>500</v>
      </c>
      <c r="CA195" s="718">
        <f t="shared" ref="CA195:CA256" si="325">CD195*0.02</f>
        <v>1885.6516</v>
      </c>
      <c r="CB195" s="735"/>
      <c r="CC195" s="731">
        <v>5813.91</v>
      </c>
      <c r="CD195" s="702">
        <f t="shared" si="178"/>
        <v>94282.58</v>
      </c>
      <c r="CE195" s="731">
        <f t="shared" si="181"/>
        <v>14556.5164</v>
      </c>
      <c r="CF195" s="739">
        <f t="shared" si="179"/>
        <v>79726.0636</v>
      </c>
      <c r="CG195" s="742">
        <f t="shared" si="159"/>
        <v>14556.5164</v>
      </c>
      <c r="CH195" s="743" t="e">
        <f>'[6]JACKSON AKPOJARO '!C315*12</f>
        <v>#REF!</v>
      </c>
      <c r="CI195" s="744" t="e">
        <f t="shared" si="316"/>
        <v>#REF!</v>
      </c>
      <c r="CJ195" s="745">
        <f t="shared" si="294"/>
        <v>0</v>
      </c>
      <c r="CK195" s="748" t="e">
        <f t="shared" si="317"/>
        <v>#REF!</v>
      </c>
      <c r="CL195" s="749" t="e">
        <f t="shared" si="318"/>
        <v>#REF!</v>
      </c>
      <c r="CM195" s="744"/>
      <c r="CN195" s="745" t="e">
        <f t="shared" si="319"/>
        <v>#REF!</v>
      </c>
      <c r="CO195" s="745" t="e">
        <f t="shared" si="320"/>
        <v>#REF!</v>
      </c>
      <c r="CP195" s="745" t="e">
        <f t="shared" si="321"/>
        <v>#REF!</v>
      </c>
      <c r="CQ195" s="745" t="e">
        <f t="shared" si="322"/>
        <v>#REF!</v>
      </c>
      <c r="CR195" s="745" t="e">
        <f t="shared" si="323"/>
        <v>#REF!</v>
      </c>
      <c r="CS195" s="745" t="e">
        <f t="shared" si="324"/>
        <v>#REF!</v>
      </c>
      <c r="CT195" s="754" t="e">
        <f t="shared" si="312"/>
        <v>#REF!</v>
      </c>
      <c r="CU195" s="755" t="e">
        <f t="shared" si="313"/>
        <v>#REF!</v>
      </c>
      <c r="CV195" s="756">
        <v>498.29</v>
      </c>
      <c r="CW195" s="757"/>
      <c r="CX195" s="758"/>
      <c r="CY195" s="759"/>
      <c r="CZ195" s="760"/>
      <c r="DA195" s="767"/>
    </row>
    <row r="196" ht="236" customHeight="1" spans="1:105">
      <c r="A196" s="673">
        <v>519</v>
      </c>
      <c r="B196" s="676" t="s">
        <v>1216</v>
      </c>
      <c r="C196" s="677" t="s">
        <v>1533</v>
      </c>
      <c r="D196" s="677" t="s">
        <v>1708</v>
      </c>
      <c r="E196" s="677" t="s">
        <v>165</v>
      </c>
      <c r="F196" s="677">
        <v>2210969917</v>
      </c>
      <c r="G196" s="677" t="s">
        <v>1683</v>
      </c>
      <c r="H196" s="679"/>
      <c r="I196" s="681" t="s">
        <v>165</v>
      </c>
      <c r="J196" s="686">
        <v>2210969917</v>
      </c>
      <c r="K196" s="785">
        <f>'[5] NON-TEACHING STAFF'!$J$162</f>
        <v>2245737037</v>
      </c>
      <c r="L196" s="688">
        <f t="shared" si="314"/>
        <v>403057</v>
      </c>
      <c r="M196" s="688" t="e">
        <f>S196-#REF!</f>
        <v>#REF!</v>
      </c>
      <c r="N196" s="689">
        <v>415390</v>
      </c>
      <c r="O196" s="689">
        <v>33588.08</v>
      </c>
      <c r="P196" s="689"/>
      <c r="Q196" s="689">
        <v>8397.02</v>
      </c>
      <c r="R196" s="689">
        <v>42499.98</v>
      </c>
      <c r="S196" s="689">
        <v>89282.58</v>
      </c>
      <c r="T196" s="689"/>
      <c r="U196" s="689"/>
      <c r="V196" s="689"/>
      <c r="W196" s="689"/>
      <c r="X196" s="689"/>
      <c r="Y196" s="689"/>
      <c r="Z196" s="689"/>
      <c r="AA196" s="689"/>
      <c r="AB196" s="689"/>
      <c r="AC196" s="689">
        <v>2500</v>
      </c>
      <c r="AD196" s="689"/>
      <c r="AE196" s="689"/>
      <c r="AF196" s="689"/>
      <c r="AG196" s="689"/>
      <c r="AH196" s="689"/>
      <c r="AI196" s="689"/>
      <c r="AJ196" s="689">
        <v>2500</v>
      </c>
      <c r="AK196" s="689">
        <v>2500</v>
      </c>
      <c r="AL196" s="689">
        <v>2500</v>
      </c>
      <c r="AM196" s="689">
        <v>2500</v>
      </c>
      <c r="AN196" s="689">
        <v>2500</v>
      </c>
      <c r="AO196" s="689">
        <v>2500</v>
      </c>
      <c r="AP196" s="689">
        <v>2500</v>
      </c>
      <c r="AQ196" s="689">
        <v>2500</v>
      </c>
      <c r="AR196" s="689"/>
      <c r="AS196" s="689"/>
      <c r="AT196" s="689"/>
      <c r="AU196" s="689">
        <f t="shared" si="315"/>
        <v>2678.4774</v>
      </c>
      <c r="AV196" s="689"/>
      <c r="AW196" s="689"/>
      <c r="AX196" s="718"/>
      <c r="AY196" s="718"/>
      <c r="AZ196" s="718"/>
      <c r="BA196" s="689"/>
      <c r="BB196" s="689"/>
      <c r="BC196" s="689"/>
      <c r="BD196" s="719"/>
      <c r="BE196" s="719">
        <f t="shared" si="186"/>
        <v>2678.4774</v>
      </c>
      <c r="BF196" s="689"/>
      <c r="BG196" s="689"/>
      <c r="BH196" s="727"/>
      <c r="BI196" s="689"/>
      <c r="BJ196" s="689"/>
      <c r="BK196" s="689"/>
      <c r="BL196" s="689"/>
      <c r="BM196" s="689"/>
      <c r="BN196" s="689"/>
      <c r="BO196" s="689">
        <v>0</v>
      </c>
      <c r="BP196" s="689"/>
      <c r="BQ196" s="689"/>
      <c r="BR196" s="731"/>
      <c r="BS196" s="731"/>
      <c r="BT196" s="731"/>
      <c r="BU196" s="731"/>
      <c r="BV196" s="731"/>
      <c r="BW196" s="731"/>
      <c r="BX196" s="731"/>
      <c r="BY196" s="731">
        <v>1000</v>
      </c>
      <c r="BZ196" s="731">
        <v>500</v>
      </c>
      <c r="CA196" s="718">
        <f t="shared" si="325"/>
        <v>1885.6516</v>
      </c>
      <c r="CB196" s="735"/>
      <c r="CC196" s="731">
        <v>5813.91</v>
      </c>
      <c r="CD196" s="702">
        <f t="shared" si="178"/>
        <v>94282.58</v>
      </c>
      <c r="CE196" s="731">
        <f t="shared" si="181"/>
        <v>14556.5164</v>
      </c>
      <c r="CF196" s="739">
        <f t="shared" si="179"/>
        <v>79726.0636</v>
      </c>
      <c r="CG196" s="742">
        <f t="shared" ref="CG196:CG258" si="326">CD196-CF196</f>
        <v>14556.5164</v>
      </c>
      <c r="CH196" s="743" t="e">
        <f>'[6]JACKSON AKPOJARO '!C316*12</f>
        <v>#REF!</v>
      </c>
      <c r="CI196" s="744" t="e">
        <f t="shared" si="316"/>
        <v>#REF!</v>
      </c>
      <c r="CJ196" s="745">
        <f t="shared" si="294"/>
        <v>0</v>
      </c>
      <c r="CK196" s="748" t="e">
        <f t="shared" si="317"/>
        <v>#REF!</v>
      </c>
      <c r="CL196" s="749" t="e">
        <f t="shared" si="318"/>
        <v>#REF!</v>
      </c>
      <c r="CM196" s="744"/>
      <c r="CN196" s="745" t="e">
        <f t="shared" si="319"/>
        <v>#REF!</v>
      </c>
      <c r="CO196" s="745" t="e">
        <f t="shared" si="320"/>
        <v>#REF!</v>
      </c>
      <c r="CP196" s="745" t="e">
        <f t="shared" si="321"/>
        <v>#REF!</v>
      </c>
      <c r="CQ196" s="745" t="e">
        <f t="shared" si="322"/>
        <v>#REF!</v>
      </c>
      <c r="CR196" s="745" t="e">
        <f t="shared" si="323"/>
        <v>#REF!</v>
      </c>
      <c r="CS196" s="745" t="e">
        <f t="shared" si="324"/>
        <v>#REF!</v>
      </c>
      <c r="CT196" s="754" t="e">
        <f t="shared" si="312"/>
        <v>#REF!</v>
      </c>
      <c r="CU196" s="755" t="e">
        <f t="shared" si="313"/>
        <v>#REF!</v>
      </c>
      <c r="CV196" s="756">
        <v>498.29</v>
      </c>
      <c r="CW196" s="757"/>
      <c r="CX196" s="758"/>
      <c r="CY196" s="759"/>
      <c r="CZ196" s="760"/>
      <c r="DA196" s="767"/>
    </row>
    <row r="197" ht="236" customHeight="1" spans="1:105">
      <c r="A197" s="675">
        <v>520</v>
      </c>
      <c r="B197" s="676" t="s">
        <v>1217</v>
      </c>
      <c r="C197" s="677" t="s">
        <v>1533</v>
      </c>
      <c r="D197" s="677" t="s">
        <v>1708</v>
      </c>
      <c r="E197" s="677" t="s">
        <v>135</v>
      </c>
      <c r="F197" s="1452" t="s">
        <v>1218</v>
      </c>
      <c r="G197" s="677" t="s">
        <v>1683</v>
      </c>
      <c r="H197" s="679"/>
      <c r="I197" s="33" t="s">
        <v>93</v>
      </c>
      <c r="J197" s="33">
        <v>3061891561</v>
      </c>
      <c r="K197" s="785" t="str">
        <f>'[5] NON-TEACHING STAFF'!$J$158</f>
        <v>22528634662</v>
      </c>
      <c r="L197" s="688">
        <f t="shared" si="314"/>
        <v>403057</v>
      </c>
      <c r="M197" s="688" t="e">
        <f>S197-#REF!</f>
        <v>#REF!</v>
      </c>
      <c r="N197" s="689">
        <v>415390</v>
      </c>
      <c r="O197" s="689">
        <v>33588.08</v>
      </c>
      <c r="P197" s="689"/>
      <c r="Q197" s="689">
        <v>8397.02</v>
      </c>
      <c r="R197" s="689">
        <v>42499.98</v>
      </c>
      <c r="S197" s="689">
        <v>89282.58</v>
      </c>
      <c r="T197" s="689"/>
      <c r="U197" s="689"/>
      <c r="V197" s="689"/>
      <c r="W197" s="689"/>
      <c r="X197" s="689"/>
      <c r="Y197" s="689"/>
      <c r="Z197" s="689"/>
      <c r="AA197" s="689"/>
      <c r="AB197" s="689"/>
      <c r="AC197" s="689">
        <v>2500</v>
      </c>
      <c r="AD197" s="689"/>
      <c r="AE197" s="689"/>
      <c r="AF197" s="689"/>
      <c r="AG197" s="689"/>
      <c r="AH197" s="689"/>
      <c r="AI197" s="689"/>
      <c r="AJ197" s="689">
        <v>2500</v>
      </c>
      <c r="AK197" s="689"/>
      <c r="AL197" s="689">
        <f>383.33*2</f>
        <v>766.66</v>
      </c>
      <c r="AM197" s="689"/>
      <c r="AN197" s="689"/>
      <c r="AO197" s="689"/>
      <c r="AP197" s="689"/>
      <c r="AQ197" s="689"/>
      <c r="AR197" s="689"/>
      <c r="AS197" s="689"/>
      <c r="AT197" s="689"/>
      <c r="AU197" s="689">
        <f t="shared" ref="AU197:AU206" si="327">S197*0.03</f>
        <v>2678.4774</v>
      </c>
      <c r="AV197" s="689"/>
      <c r="AW197" s="689"/>
      <c r="AX197" s="718"/>
      <c r="AY197" s="718"/>
      <c r="AZ197" s="718"/>
      <c r="BA197" s="689"/>
      <c r="BB197" s="689"/>
      <c r="BC197" s="689"/>
      <c r="BD197" s="719"/>
      <c r="BE197" s="719">
        <f t="shared" si="186"/>
        <v>2678.4774</v>
      </c>
      <c r="BF197" s="689"/>
      <c r="BG197" s="689"/>
      <c r="BH197" s="727"/>
      <c r="BI197" s="689"/>
      <c r="BJ197" s="689"/>
      <c r="BK197" s="689"/>
      <c r="BL197" s="689"/>
      <c r="BM197" s="689"/>
      <c r="BN197" s="689"/>
      <c r="BO197" s="689">
        <v>0</v>
      </c>
      <c r="BP197" s="689"/>
      <c r="BQ197" s="689"/>
      <c r="BR197" s="731"/>
      <c r="BS197" s="731"/>
      <c r="BT197" s="731"/>
      <c r="BU197" s="731"/>
      <c r="BV197" s="731"/>
      <c r="BW197" s="731"/>
      <c r="BX197" s="731"/>
      <c r="BY197" s="731">
        <v>1000</v>
      </c>
      <c r="BZ197" s="731">
        <v>500</v>
      </c>
      <c r="CA197" s="718">
        <f t="shared" si="325"/>
        <v>1885.6516</v>
      </c>
      <c r="CB197" s="735"/>
      <c r="CC197" s="731">
        <v>5813.91</v>
      </c>
      <c r="CD197" s="702">
        <f t="shared" si="178"/>
        <v>94282.58</v>
      </c>
      <c r="CE197" s="731">
        <f t="shared" si="181"/>
        <v>14556.5164</v>
      </c>
      <c r="CF197" s="739">
        <f t="shared" si="179"/>
        <v>79726.0636</v>
      </c>
      <c r="CG197" s="742">
        <f t="shared" si="326"/>
        <v>14556.5164</v>
      </c>
      <c r="CH197" s="743" t="e">
        <f>'[6]JACKSON AKPOJARO '!C317*12</f>
        <v>#REF!</v>
      </c>
      <c r="CI197" s="744" t="e">
        <f t="shared" si="316"/>
        <v>#REF!</v>
      </c>
      <c r="CJ197" s="745">
        <f t="shared" si="294"/>
        <v>0</v>
      </c>
      <c r="CK197" s="748" t="e">
        <f t="shared" si="317"/>
        <v>#REF!</v>
      </c>
      <c r="CL197" s="749" t="e">
        <f t="shared" si="318"/>
        <v>#REF!</v>
      </c>
      <c r="CM197" s="744"/>
      <c r="CN197" s="745" t="e">
        <f t="shared" si="319"/>
        <v>#REF!</v>
      </c>
      <c r="CO197" s="745" t="e">
        <f t="shared" si="320"/>
        <v>#REF!</v>
      </c>
      <c r="CP197" s="745" t="e">
        <f t="shared" si="321"/>
        <v>#REF!</v>
      </c>
      <c r="CQ197" s="745" t="e">
        <f t="shared" si="322"/>
        <v>#REF!</v>
      </c>
      <c r="CR197" s="745" t="e">
        <f t="shared" si="323"/>
        <v>#REF!</v>
      </c>
      <c r="CS197" s="745" t="e">
        <f t="shared" si="324"/>
        <v>#REF!</v>
      </c>
      <c r="CT197" s="754" t="e">
        <f t="shared" si="312"/>
        <v>#REF!</v>
      </c>
      <c r="CU197" s="755" t="e">
        <f t="shared" si="313"/>
        <v>#REF!</v>
      </c>
      <c r="CV197" s="756">
        <v>498.29</v>
      </c>
      <c r="CW197" s="757"/>
      <c r="CX197" s="758"/>
      <c r="CY197" s="759"/>
      <c r="CZ197" s="760"/>
      <c r="DA197" s="767"/>
    </row>
    <row r="198" ht="236" customHeight="1" spans="1:105">
      <c r="A198" s="673">
        <v>521</v>
      </c>
      <c r="B198" s="676" t="s">
        <v>1219</v>
      </c>
      <c r="C198" s="677" t="s">
        <v>1533</v>
      </c>
      <c r="D198" s="677" t="s">
        <v>1708</v>
      </c>
      <c r="E198" s="677" t="s">
        <v>135</v>
      </c>
      <c r="F198" s="1452" t="s">
        <v>1220</v>
      </c>
      <c r="G198" s="677" t="s">
        <v>1683</v>
      </c>
      <c r="H198" s="679"/>
      <c r="I198" s="33" t="s">
        <v>1713</v>
      </c>
      <c r="J198" s="33">
        <v>3043538222</v>
      </c>
      <c r="K198" s="1456" t="s">
        <v>1714</v>
      </c>
      <c r="L198" s="688">
        <f t="shared" si="314"/>
        <v>403057</v>
      </c>
      <c r="M198" s="688" t="e">
        <f>S198-#REF!</f>
        <v>#REF!</v>
      </c>
      <c r="N198" s="689">
        <v>403057</v>
      </c>
      <c r="O198" s="689">
        <v>33588.0833333333</v>
      </c>
      <c r="P198" s="689"/>
      <c r="Q198" s="689">
        <v>8397.02083333333</v>
      </c>
      <c r="R198" s="689">
        <v>42499.98</v>
      </c>
      <c r="S198" s="689">
        <v>89282.58</v>
      </c>
      <c r="T198" s="689"/>
      <c r="U198" s="689"/>
      <c r="V198" s="689"/>
      <c r="W198" s="689"/>
      <c r="X198" s="689"/>
      <c r="Y198" s="689"/>
      <c r="Z198" s="689"/>
      <c r="AA198" s="689"/>
      <c r="AB198" s="689"/>
      <c r="AC198" s="689">
        <v>2500</v>
      </c>
      <c r="AD198" s="689"/>
      <c r="AE198" s="689"/>
      <c r="AF198" s="689"/>
      <c r="AG198" s="689"/>
      <c r="AH198" s="689"/>
      <c r="AI198" s="689"/>
      <c r="AJ198" s="689">
        <v>2500</v>
      </c>
      <c r="AK198" s="689"/>
      <c r="AL198" s="689">
        <v>383.33</v>
      </c>
      <c r="AM198" s="689"/>
      <c r="AN198" s="689"/>
      <c r="AO198" s="689"/>
      <c r="AP198" s="689"/>
      <c r="AQ198" s="689"/>
      <c r="AR198" s="689"/>
      <c r="AS198" s="689"/>
      <c r="AT198" s="689"/>
      <c r="AU198" s="689">
        <f t="shared" si="327"/>
        <v>2678.4774</v>
      </c>
      <c r="AV198" s="689"/>
      <c r="AW198" s="689"/>
      <c r="AX198" s="718"/>
      <c r="AY198" s="718"/>
      <c r="AZ198" s="718"/>
      <c r="BA198" s="689"/>
      <c r="BB198" s="689"/>
      <c r="BC198" s="689"/>
      <c r="BD198" s="719"/>
      <c r="BE198" s="719">
        <f t="shared" ref="BE198:BE253" si="328">S198*0.03</f>
        <v>2678.4774</v>
      </c>
      <c r="BF198" s="689"/>
      <c r="BG198" s="689">
        <v>44000</v>
      </c>
      <c r="BH198" s="727"/>
      <c r="BI198" s="689"/>
      <c r="BJ198" s="689"/>
      <c r="BK198" s="689"/>
      <c r="BL198" s="689"/>
      <c r="BM198" s="689"/>
      <c r="BN198" s="689"/>
      <c r="BO198" s="689">
        <v>0</v>
      </c>
      <c r="BP198" s="689"/>
      <c r="BQ198" s="689"/>
      <c r="BR198" s="731"/>
      <c r="BS198" s="731"/>
      <c r="BT198" s="731"/>
      <c r="BU198" s="731"/>
      <c r="BV198" s="731"/>
      <c r="BW198" s="731"/>
      <c r="BX198" s="731"/>
      <c r="BY198" s="731">
        <v>1000</v>
      </c>
      <c r="BZ198" s="731">
        <v>500</v>
      </c>
      <c r="CA198" s="718">
        <f t="shared" si="325"/>
        <v>1885.6516</v>
      </c>
      <c r="CB198" s="735"/>
      <c r="CC198" s="731">
        <v>5813.91</v>
      </c>
      <c r="CD198" s="702">
        <f t="shared" ref="CD198:CD261" si="329">AR198+AJ198+AH198+AG198+AE198+AF198+AD198+AC198+AB198+AA198+Z198+Y198+X198+W198+V198+U198+U198+T198+S198</f>
        <v>94282.58</v>
      </c>
      <c r="CE198" s="731">
        <f t="shared" si="181"/>
        <v>58556.5164</v>
      </c>
      <c r="CF198" s="739">
        <f t="shared" ref="CF198:CF261" si="330">CD198-CE198</f>
        <v>35726.0636</v>
      </c>
      <c r="CG198" s="742">
        <f t="shared" si="326"/>
        <v>58556.5164</v>
      </c>
      <c r="CH198" s="743" t="e">
        <f>'[6]JACKSON AKPOJARO '!C318*12</f>
        <v>#REF!</v>
      </c>
      <c r="CI198" s="744" t="e">
        <f t="shared" si="316"/>
        <v>#REF!</v>
      </c>
      <c r="CJ198" s="745">
        <f t="shared" si="294"/>
        <v>0</v>
      </c>
      <c r="CK198" s="748" t="e">
        <f t="shared" si="317"/>
        <v>#REF!</v>
      </c>
      <c r="CL198" s="749" t="e">
        <f t="shared" si="318"/>
        <v>#REF!</v>
      </c>
      <c r="CM198" s="744"/>
      <c r="CN198" s="745" t="e">
        <f t="shared" si="319"/>
        <v>#REF!</v>
      </c>
      <c r="CO198" s="745" t="e">
        <f t="shared" si="320"/>
        <v>#REF!</v>
      </c>
      <c r="CP198" s="745" t="e">
        <f t="shared" si="321"/>
        <v>#REF!</v>
      </c>
      <c r="CQ198" s="745" t="e">
        <f t="shared" si="322"/>
        <v>#REF!</v>
      </c>
      <c r="CR198" s="745" t="e">
        <f t="shared" si="323"/>
        <v>#REF!</v>
      </c>
      <c r="CS198" s="745" t="e">
        <f t="shared" si="324"/>
        <v>#REF!</v>
      </c>
      <c r="CT198" s="754" t="e">
        <f t="shared" si="312"/>
        <v>#REF!</v>
      </c>
      <c r="CU198" s="755" t="e">
        <f t="shared" si="313"/>
        <v>#REF!</v>
      </c>
      <c r="CV198" s="756">
        <v>498.29</v>
      </c>
      <c r="CW198" s="757"/>
      <c r="CX198" s="758"/>
      <c r="CY198" s="759"/>
      <c r="CZ198" s="760"/>
      <c r="DA198" s="767"/>
    </row>
    <row r="199" ht="236" customHeight="1" spans="1:105">
      <c r="A199" s="675">
        <v>522</v>
      </c>
      <c r="B199" s="676" t="s">
        <v>1221</v>
      </c>
      <c r="C199" s="677" t="s">
        <v>1533</v>
      </c>
      <c r="D199" s="677" t="s">
        <v>1708</v>
      </c>
      <c r="E199" s="677" t="s">
        <v>135</v>
      </c>
      <c r="F199" s="1452" t="s">
        <v>1222</v>
      </c>
      <c r="G199" s="677" t="s">
        <v>1683</v>
      </c>
      <c r="H199" s="679"/>
      <c r="I199" s="681" t="s">
        <v>135</v>
      </c>
      <c r="J199" s="686" t="s">
        <v>1222</v>
      </c>
      <c r="K199" s="1456" t="s">
        <v>1715</v>
      </c>
      <c r="L199" s="688">
        <f t="shared" si="314"/>
        <v>403057</v>
      </c>
      <c r="M199" s="688" t="e">
        <f>S199-#REF!</f>
        <v>#REF!</v>
      </c>
      <c r="N199" s="689">
        <v>415390</v>
      </c>
      <c r="O199" s="689">
        <v>33588.0833333333</v>
      </c>
      <c r="P199" s="689"/>
      <c r="Q199" s="689">
        <v>8397.02083333333</v>
      </c>
      <c r="R199" s="689">
        <v>42499.98</v>
      </c>
      <c r="S199" s="689">
        <v>89282.58</v>
      </c>
      <c r="T199" s="689"/>
      <c r="U199" s="689"/>
      <c r="V199" s="689"/>
      <c r="W199" s="689"/>
      <c r="X199" s="689"/>
      <c r="Y199" s="689"/>
      <c r="Z199" s="689"/>
      <c r="AA199" s="689"/>
      <c r="AB199" s="689"/>
      <c r="AC199" s="689">
        <v>2500</v>
      </c>
      <c r="AD199" s="689"/>
      <c r="AE199" s="689"/>
      <c r="AF199" s="689"/>
      <c r="AG199" s="689"/>
      <c r="AH199" s="689"/>
      <c r="AI199" s="689"/>
      <c r="AJ199" s="689">
        <v>2500</v>
      </c>
      <c r="AK199" s="689"/>
      <c r="AL199" s="689">
        <v>383.33</v>
      </c>
      <c r="AM199" s="689"/>
      <c r="AN199" s="689"/>
      <c r="AO199" s="689"/>
      <c r="AP199" s="689"/>
      <c r="AQ199" s="689"/>
      <c r="AR199" s="689"/>
      <c r="AS199" s="689"/>
      <c r="AT199" s="689"/>
      <c r="AU199" s="689">
        <f t="shared" si="327"/>
        <v>2678.4774</v>
      </c>
      <c r="AV199" s="689"/>
      <c r="AW199" s="689"/>
      <c r="AX199" s="718"/>
      <c r="AY199" s="718"/>
      <c r="AZ199" s="718"/>
      <c r="BA199" s="689"/>
      <c r="BB199" s="689"/>
      <c r="BC199" s="689"/>
      <c r="BD199" s="719"/>
      <c r="BE199" s="719">
        <f t="shared" si="328"/>
        <v>2678.4774</v>
      </c>
      <c r="BF199" s="689"/>
      <c r="BG199" s="689"/>
      <c r="BH199" s="727"/>
      <c r="BI199" s="689"/>
      <c r="BJ199" s="689"/>
      <c r="BK199" s="689"/>
      <c r="BL199" s="689"/>
      <c r="BM199" s="689"/>
      <c r="BN199" s="689"/>
      <c r="BO199" s="689">
        <v>40000</v>
      </c>
      <c r="BP199" s="689"/>
      <c r="BQ199" s="689"/>
      <c r="BR199" s="731"/>
      <c r="BS199" s="731"/>
      <c r="BT199" s="731"/>
      <c r="BU199" s="731"/>
      <c r="BV199" s="731"/>
      <c r="BW199" s="731"/>
      <c r="BX199" s="731"/>
      <c r="BY199" s="731">
        <v>1000</v>
      </c>
      <c r="BZ199" s="731">
        <v>500</v>
      </c>
      <c r="CA199" s="718">
        <f t="shared" si="325"/>
        <v>1885.6516</v>
      </c>
      <c r="CB199" s="735"/>
      <c r="CC199" s="731">
        <v>5813.91</v>
      </c>
      <c r="CD199" s="702">
        <f t="shared" si="329"/>
        <v>94282.58</v>
      </c>
      <c r="CE199" s="731">
        <f t="shared" ref="CE199:CE262" si="331">SUM(AU199:CC199)+AT199</f>
        <v>54556.5164</v>
      </c>
      <c r="CF199" s="739">
        <f t="shared" si="330"/>
        <v>39726.0636</v>
      </c>
      <c r="CG199" s="742">
        <f t="shared" si="326"/>
        <v>54556.5164</v>
      </c>
      <c r="CH199" s="743" t="e">
        <f>'[6]JACKSON AKPOJARO '!C319*12</f>
        <v>#REF!</v>
      </c>
      <c r="CI199" s="744" t="e">
        <f t="shared" si="316"/>
        <v>#REF!</v>
      </c>
      <c r="CJ199" s="745">
        <f t="shared" si="294"/>
        <v>0</v>
      </c>
      <c r="CK199" s="748" t="e">
        <f t="shared" si="317"/>
        <v>#REF!</v>
      </c>
      <c r="CL199" s="749" t="e">
        <f t="shared" si="318"/>
        <v>#REF!</v>
      </c>
      <c r="CM199" s="744"/>
      <c r="CN199" s="745" t="e">
        <f t="shared" si="319"/>
        <v>#REF!</v>
      </c>
      <c r="CO199" s="745" t="e">
        <f t="shared" si="320"/>
        <v>#REF!</v>
      </c>
      <c r="CP199" s="745" t="e">
        <f t="shared" si="321"/>
        <v>#REF!</v>
      </c>
      <c r="CQ199" s="745" t="e">
        <f t="shared" si="322"/>
        <v>#REF!</v>
      </c>
      <c r="CR199" s="745" t="e">
        <f t="shared" si="323"/>
        <v>#REF!</v>
      </c>
      <c r="CS199" s="745" t="e">
        <f t="shared" si="324"/>
        <v>#REF!</v>
      </c>
      <c r="CT199" s="754" t="e">
        <f t="shared" si="312"/>
        <v>#REF!</v>
      </c>
      <c r="CU199" s="755" t="e">
        <f t="shared" si="313"/>
        <v>#REF!</v>
      </c>
      <c r="CV199" s="756">
        <v>498.29</v>
      </c>
      <c r="CW199" s="757"/>
      <c r="CX199" s="758"/>
      <c r="CY199" s="759"/>
      <c r="CZ199" s="760"/>
      <c r="DA199" s="767"/>
    </row>
    <row r="200" ht="236" customHeight="1" spans="1:105">
      <c r="A200" s="673">
        <v>523</v>
      </c>
      <c r="B200" s="676" t="s">
        <v>1223</v>
      </c>
      <c r="C200" s="677" t="s">
        <v>1533</v>
      </c>
      <c r="D200" s="677" t="s">
        <v>1708</v>
      </c>
      <c r="E200" s="677" t="s">
        <v>135</v>
      </c>
      <c r="F200" s="1452" t="s">
        <v>1224</v>
      </c>
      <c r="G200" s="677" t="s">
        <v>1683</v>
      </c>
      <c r="H200" s="679"/>
      <c r="I200" s="681" t="s">
        <v>135</v>
      </c>
      <c r="J200" s="686" t="s">
        <v>1224</v>
      </c>
      <c r="K200" s="1456" t="s">
        <v>1716</v>
      </c>
      <c r="L200" s="688">
        <f t="shared" si="314"/>
        <v>403057</v>
      </c>
      <c r="M200" s="688" t="e">
        <f>S200-#REF!</f>
        <v>#REF!</v>
      </c>
      <c r="N200" s="689">
        <v>415390</v>
      </c>
      <c r="O200" s="689">
        <v>33588.08</v>
      </c>
      <c r="P200" s="689"/>
      <c r="Q200" s="689">
        <v>8397.02</v>
      </c>
      <c r="R200" s="689">
        <v>42499.98</v>
      </c>
      <c r="S200" s="689">
        <v>89282.58</v>
      </c>
      <c r="T200" s="689"/>
      <c r="U200" s="689"/>
      <c r="V200" s="689"/>
      <c r="W200" s="689"/>
      <c r="X200" s="689"/>
      <c r="Y200" s="689"/>
      <c r="Z200" s="689"/>
      <c r="AA200" s="689"/>
      <c r="AB200" s="689"/>
      <c r="AC200" s="689">
        <v>2500</v>
      </c>
      <c r="AD200" s="689"/>
      <c r="AE200" s="689"/>
      <c r="AF200" s="689"/>
      <c r="AG200" s="689"/>
      <c r="AH200" s="689"/>
      <c r="AI200" s="689"/>
      <c r="AJ200" s="689">
        <v>2500</v>
      </c>
      <c r="AK200" s="689"/>
      <c r="AL200" s="689">
        <v>383.33</v>
      </c>
      <c r="AM200" s="689"/>
      <c r="AN200" s="689"/>
      <c r="AO200" s="689"/>
      <c r="AP200" s="689"/>
      <c r="AQ200" s="689"/>
      <c r="AR200" s="689"/>
      <c r="AS200" s="689"/>
      <c r="AT200" s="689"/>
      <c r="AU200" s="689">
        <f t="shared" si="327"/>
        <v>2678.4774</v>
      </c>
      <c r="AV200" s="689"/>
      <c r="AW200" s="689"/>
      <c r="AX200" s="718"/>
      <c r="AY200" s="718"/>
      <c r="AZ200" s="718"/>
      <c r="BA200" s="689"/>
      <c r="BB200" s="689"/>
      <c r="BC200" s="689"/>
      <c r="BD200" s="719"/>
      <c r="BE200" s="719">
        <f t="shared" si="328"/>
        <v>2678.4774</v>
      </c>
      <c r="BF200" s="689"/>
      <c r="BG200" s="689"/>
      <c r="BH200" s="727"/>
      <c r="BI200" s="689"/>
      <c r="BJ200" s="689"/>
      <c r="BK200" s="689"/>
      <c r="BL200" s="689"/>
      <c r="BM200" s="689"/>
      <c r="BN200" s="689"/>
      <c r="BO200" s="689">
        <v>0</v>
      </c>
      <c r="BP200" s="689"/>
      <c r="BQ200" s="689"/>
      <c r="BR200" s="731"/>
      <c r="BS200" s="731"/>
      <c r="BT200" s="731"/>
      <c r="BU200" s="731"/>
      <c r="BV200" s="731"/>
      <c r="BW200" s="731"/>
      <c r="BX200" s="731"/>
      <c r="BY200" s="731">
        <v>1000</v>
      </c>
      <c r="BZ200" s="731">
        <v>500</v>
      </c>
      <c r="CA200" s="718">
        <f t="shared" si="325"/>
        <v>1885.6516</v>
      </c>
      <c r="CB200" s="735"/>
      <c r="CC200" s="731">
        <v>5813.91</v>
      </c>
      <c r="CD200" s="702">
        <f t="shared" si="329"/>
        <v>94282.58</v>
      </c>
      <c r="CE200" s="731">
        <f t="shared" si="331"/>
        <v>14556.5164</v>
      </c>
      <c r="CF200" s="739">
        <f t="shared" si="330"/>
        <v>79726.0636</v>
      </c>
      <c r="CG200" s="742">
        <f t="shared" si="326"/>
        <v>14556.5164</v>
      </c>
      <c r="CH200" s="743" t="e">
        <f>'[6]JACKSON AKPOJARO '!C320*12</f>
        <v>#REF!</v>
      </c>
      <c r="CI200" s="744" t="e">
        <f t="shared" si="316"/>
        <v>#REF!</v>
      </c>
      <c r="CJ200" s="745">
        <f t="shared" si="294"/>
        <v>0</v>
      </c>
      <c r="CK200" s="748" t="e">
        <f t="shared" si="317"/>
        <v>#REF!</v>
      </c>
      <c r="CL200" s="749" t="e">
        <f t="shared" si="318"/>
        <v>#REF!</v>
      </c>
      <c r="CM200" s="744"/>
      <c r="CN200" s="745" t="e">
        <f t="shared" si="319"/>
        <v>#REF!</v>
      </c>
      <c r="CO200" s="745" t="e">
        <f t="shared" si="320"/>
        <v>#REF!</v>
      </c>
      <c r="CP200" s="745" t="e">
        <f t="shared" si="321"/>
        <v>#REF!</v>
      </c>
      <c r="CQ200" s="745" t="e">
        <f t="shared" si="322"/>
        <v>#REF!</v>
      </c>
      <c r="CR200" s="745" t="e">
        <f t="shared" si="323"/>
        <v>#REF!</v>
      </c>
      <c r="CS200" s="745" t="e">
        <f t="shared" si="324"/>
        <v>#REF!</v>
      </c>
      <c r="CT200" s="754" t="e">
        <f t="shared" si="312"/>
        <v>#REF!</v>
      </c>
      <c r="CU200" s="755" t="e">
        <f t="shared" si="313"/>
        <v>#REF!</v>
      </c>
      <c r="CV200" s="756">
        <v>498.29</v>
      </c>
      <c r="CW200" s="757"/>
      <c r="CX200" s="758"/>
      <c r="CY200" s="759"/>
      <c r="CZ200" s="760"/>
      <c r="DA200" s="767"/>
    </row>
    <row r="201" ht="236" customHeight="1" spans="1:105">
      <c r="A201" s="675">
        <v>524</v>
      </c>
      <c r="B201" s="676" t="s">
        <v>1225</v>
      </c>
      <c r="C201" s="677" t="s">
        <v>1533</v>
      </c>
      <c r="D201" s="677" t="s">
        <v>1708</v>
      </c>
      <c r="E201" s="677" t="s">
        <v>135</v>
      </c>
      <c r="F201" s="1452" t="s">
        <v>1226</v>
      </c>
      <c r="G201" s="677" t="s">
        <v>1683</v>
      </c>
      <c r="H201" s="679"/>
      <c r="I201" s="681" t="s">
        <v>135</v>
      </c>
      <c r="J201" s="686" t="s">
        <v>1226</v>
      </c>
      <c r="K201" s="1456" t="s">
        <v>1717</v>
      </c>
      <c r="L201" s="688">
        <f t="shared" si="314"/>
        <v>403057</v>
      </c>
      <c r="M201" s="688" t="e">
        <f>S201-#REF!</f>
        <v>#REF!</v>
      </c>
      <c r="N201" s="689">
        <v>415390</v>
      </c>
      <c r="O201" s="689">
        <v>33588.08</v>
      </c>
      <c r="P201" s="689"/>
      <c r="Q201" s="689">
        <v>8397.02</v>
      </c>
      <c r="R201" s="689">
        <v>42499.98</v>
      </c>
      <c r="S201" s="689">
        <v>89282.58</v>
      </c>
      <c r="T201" s="689"/>
      <c r="U201" s="689"/>
      <c r="V201" s="689"/>
      <c r="W201" s="689"/>
      <c r="X201" s="689"/>
      <c r="Y201" s="689"/>
      <c r="Z201" s="689"/>
      <c r="AA201" s="689"/>
      <c r="AB201" s="689"/>
      <c r="AC201" s="689">
        <v>2500</v>
      </c>
      <c r="AD201" s="689"/>
      <c r="AE201" s="689"/>
      <c r="AF201" s="689"/>
      <c r="AG201" s="689"/>
      <c r="AH201" s="689"/>
      <c r="AI201" s="689"/>
      <c r="AJ201" s="689">
        <v>2500</v>
      </c>
      <c r="AK201" s="689"/>
      <c r="AL201" s="689">
        <v>383.33</v>
      </c>
      <c r="AM201" s="689"/>
      <c r="AN201" s="689"/>
      <c r="AO201" s="689"/>
      <c r="AP201" s="689"/>
      <c r="AQ201" s="689"/>
      <c r="AR201" s="689"/>
      <c r="AS201" s="689"/>
      <c r="AT201" s="689"/>
      <c r="AU201" s="689">
        <f t="shared" si="327"/>
        <v>2678.4774</v>
      </c>
      <c r="AV201" s="689"/>
      <c r="AW201" s="689"/>
      <c r="AX201" s="718"/>
      <c r="AY201" s="718"/>
      <c r="AZ201" s="718"/>
      <c r="BA201" s="689"/>
      <c r="BB201" s="689"/>
      <c r="BC201" s="689"/>
      <c r="BD201" s="719"/>
      <c r="BE201" s="719">
        <f t="shared" si="328"/>
        <v>2678.4774</v>
      </c>
      <c r="BF201" s="689"/>
      <c r="BG201" s="689"/>
      <c r="BH201" s="727"/>
      <c r="BI201" s="689"/>
      <c r="BJ201" s="689"/>
      <c r="BK201" s="689"/>
      <c r="BL201" s="689"/>
      <c r="BM201" s="689"/>
      <c r="BN201" s="689"/>
      <c r="BO201" s="689">
        <v>15000</v>
      </c>
      <c r="BP201" s="689"/>
      <c r="BQ201" s="689"/>
      <c r="BR201" s="731"/>
      <c r="BS201" s="731"/>
      <c r="BT201" s="731"/>
      <c r="BU201" s="731"/>
      <c r="BV201" s="731"/>
      <c r="BW201" s="731"/>
      <c r="BX201" s="731"/>
      <c r="BY201" s="731">
        <v>1000</v>
      </c>
      <c r="BZ201" s="731">
        <v>500</v>
      </c>
      <c r="CA201" s="718">
        <f t="shared" si="325"/>
        <v>1885.6516</v>
      </c>
      <c r="CB201" s="735"/>
      <c r="CC201" s="731">
        <v>5813.91</v>
      </c>
      <c r="CD201" s="702">
        <f t="shared" si="329"/>
        <v>94282.58</v>
      </c>
      <c r="CE201" s="731">
        <f t="shared" si="331"/>
        <v>29556.5164</v>
      </c>
      <c r="CF201" s="739">
        <f t="shared" si="330"/>
        <v>64726.0636</v>
      </c>
      <c r="CG201" s="742">
        <f t="shared" si="326"/>
        <v>29556.5164</v>
      </c>
      <c r="CH201" s="743" t="e">
        <f>'[6]JACKSON AKPOJARO '!C321*12</f>
        <v>#REF!</v>
      </c>
      <c r="CI201" s="744" t="e">
        <f t="shared" ref="CI201:CI215" si="332">200000+(0.2*CH201)</f>
        <v>#REF!</v>
      </c>
      <c r="CJ201" s="745">
        <f t="shared" si="294"/>
        <v>0</v>
      </c>
      <c r="CK201" s="748" t="e">
        <f t="shared" ref="CK201:CK215" si="333">SUM(CI201:CJ201)</f>
        <v>#REF!</v>
      </c>
      <c r="CL201" s="749" t="e">
        <f t="shared" ref="CL201:CL215" si="334">+CH201-CK201</f>
        <v>#REF!</v>
      </c>
      <c r="CM201" s="744"/>
      <c r="CN201" s="745" t="e">
        <f t="shared" ref="CN201:CN215" si="335">IF((CL201&gt;0),(IF((CL201&gt;300000),(300000*7%),(CL201*7%))),(CH201*1%))</f>
        <v>#REF!</v>
      </c>
      <c r="CO201" s="745" t="e">
        <f t="shared" ref="CO201:CO215" si="336">IF((CL201-300000)&gt;0,(IF((CL201&gt;600000),(300000*11%),((CL201-300000)*11%))),(""))</f>
        <v>#REF!</v>
      </c>
      <c r="CP201" s="745" t="e">
        <f t="shared" ref="CP201:CP215" si="337">IF(((CL201-600000)&gt;0),(IF((CL201&gt;1100000),(500000*15%),((CL201-600000)*15%))),(""))</f>
        <v>#REF!</v>
      </c>
      <c r="CQ201" s="745" t="e">
        <f t="shared" ref="CQ201:CQ215" si="338">IF(((CL201-(1100000))&gt;0),(IF((CL201&gt;(1600000)),((500000)*19%),((CL201-(1100000))*19%))),(""))</f>
        <v>#REF!</v>
      </c>
      <c r="CR201" s="745" t="e">
        <f t="shared" ref="CR201:CR215" si="339">IF(((CL201-(1600000))&gt;0),(IF((CL201&gt;(3200000)),((1600000)*21%),((CL201-(1600000))*21%))),(""))</f>
        <v>#REF!</v>
      </c>
      <c r="CS201" s="745" t="e">
        <f t="shared" ref="CS201:CS215" si="340">IF(((CL201-(3200000))&gt;0),(IF((CL201&gt;(3200000)),((CL201-(3200000))*24%),(0))),(""))</f>
        <v>#REF!</v>
      </c>
      <c r="CT201" s="754" t="e">
        <f t="shared" si="312"/>
        <v>#REF!</v>
      </c>
      <c r="CU201" s="755" t="e">
        <f t="shared" si="313"/>
        <v>#REF!</v>
      </c>
      <c r="CV201" s="756">
        <v>498.29</v>
      </c>
      <c r="CW201" s="757"/>
      <c r="CX201" s="758"/>
      <c r="CY201" s="759"/>
      <c r="CZ201" s="760"/>
      <c r="DA201" s="767"/>
    </row>
    <row r="202" ht="236" customHeight="1" spans="1:105">
      <c r="A202" s="673">
        <v>525</v>
      </c>
      <c r="B202" s="676" t="s">
        <v>1227</v>
      </c>
      <c r="C202" s="677" t="s">
        <v>1533</v>
      </c>
      <c r="D202" s="677" t="s">
        <v>1708</v>
      </c>
      <c r="E202" s="677" t="s">
        <v>135</v>
      </c>
      <c r="F202" s="1452" t="s">
        <v>1228</v>
      </c>
      <c r="G202" s="677" t="s">
        <v>1683</v>
      </c>
      <c r="H202" s="679"/>
      <c r="I202" s="681" t="s">
        <v>135</v>
      </c>
      <c r="J202" s="686" t="s">
        <v>1228</v>
      </c>
      <c r="K202" s="1456" t="str">
        <f>'[5] NON-TEACHING STAFF'!$J$168</f>
        <v>22452731277</v>
      </c>
      <c r="L202" s="688">
        <f t="shared" si="314"/>
        <v>403057</v>
      </c>
      <c r="M202" s="688" t="e">
        <f>S202-#REF!</f>
        <v>#REF!</v>
      </c>
      <c r="N202" s="689">
        <v>403057</v>
      </c>
      <c r="O202" s="689">
        <v>33588.0833333333</v>
      </c>
      <c r="P202" s="689"/>
      <c r="Q202" s="689">
        <v>8397.02083333333</v>
      </c>
      <c r="R202" s="689">
        <v>42499.98</v>
      </c>
      <c r="S202" s="689">
        <v>89282.58</v>
      </c>
      <c r="T202" s="689"/>
      <c r="U202" s="689"/>
      <c r="V202" s="689"/>
      <c r="W202" s="689"/>
      <c r="X202" s="689"/>
      <c r="Y202" s="689"/>
      <c r="Z202" s="689"/>
      <c r="AA202" s="689"/>
      <c r="AB202" s="689"/>
      <c r="AC202" s="689">
        <v>2500</v>
      </c>
      <c r="AD202" s="689"/>
      <c r="AE202" s="689"/>
      <c r="AF202" s="689"/>
      <c r="AG202" s="689"/>
      <c r="AH202" s="689"/>
      <c r="AI202" s="689"/>
      <c r="AJ202" s="689">
        <v>2500</v>
      </c>
      <c r="AK202" s="689"/>
      <c r="AL202" s="689">
        <v>383.33</v>
      </c>
      <c r="AM202" s="689"/>
      <c r="AN202" s="689"/>
      <c r="AO202" s="689"/>
      <c r="AP202" s="689"/>
      <c r="AQ202" s="689"/>
      <c r="AR202" s="689"/>
      <c r="AS202" s="689"/>
      <c r="AT202" s="689"/>
      <c r="AU202" s="689">
        <f t="shared" si="327"/>
        <v>2678.4774</v>
      </c>
      <c r="AV202" s="689"/>
      <c r="AW202" s="689"/>
      <c r="AX202" s="718"/>
      <c r="AY202" s="718"/>
      <c r="AZ202" s="718"/>
      <c r="BA202" s="689"/>
      <c r="BB202" s="689"/>
      <c r="BC202" s="689"/>
      <c r="BD202" s="719"/>
      <c r="BE202" s="719">
        <f t="shared" si="328"/>
        <v>2678.4774</v>
      </c>
      <c r="BF202" s="689"/>
      <c r="BG202" s="689"/>
      <c r="BH202" s="727"/>
      <c r="BI202" s="689"/>
      <c r="BJ202" s="689"/>
      <c r="BK202" s="689"/>
      <c r="BL202" s="689"/>
      <c r="BM202" s="689"/>
      <c r="BN202" s="689"/>
      <c r="BO202" s="689">
        <v>0</v>
      </c>
      <c r="BP202" s="689"/>
      <c r="BQ202" s="689"/>
      <c r="BR202" s="731"/>
      <c r="BS202" s="731"/>
      <c r="BT202" s="731"/>
      <c r="BU202" s="731"/>
      <c r="BV202" s="731"/>
      <c r="BW202" s="731"/>
      <c r="BX202" s="731"/>
      <c r="BY202" s="731">
        <v>1000</v>
      </c>
      <c r="BZ202" s="731">
        <v>500</v>
      </c>
      <c r="CA202" s="718">
        <f t="shared" si="325"/>
        <v>1885.6516</v>
      </c>
      <c r="CB202" s="735"/>
      <c r="CC202" s="731">
        <v>5813.91</v>
      </c>
      <c r="CD202" s="702">
        <f t="shared" si="329"/>
        <v>94282.58</v>
      </c>
      <c r="CE202" s="731">
        <f t="shared" si="331"/>
        <v>14556.5164</v>
      </c>
      <c r="CF202" s="739">
        <f t="shared" si="330"/>
        <v>79726.0636</v>
      </c>
      <c r="CG202" s="742">
        <f t="shared" si="326"/>
        <v>14556.5164</v>
      </c>
      <c r="CH202" s="743" t="e">
        <f>'[6]JACKSON AKPOJARO '!C322*12</f>
        <v>#REF!</v>
      </c>
      <c r="CI202" s="744" t="e">
        <f t="shared" si="332"/>
        <v>#REF!</v>
      </c>
      <c r="CJ202" s="745">
        <f t="shared" si="294"/>
        <v>0</v>
      </c>
      <c r="CK202" s="748" t="e">
        <f t="shared" si="333"/>
        <v>#REF!</v>
      </c>
      <c r="CL202" s="749" t="e">
        <f t="shared" si="334"/>
        <v>#REF!</v>
      </c>
      <c r="CM202" s="744"/>
      <c r="CN202" s="745" t="e">
        <f t="shared" si="335"/>
        <v>#REF!</v>
      </c>
      <c r="CO202" s="745" t="e">
        <f t="shared" si="336"/>
        <v>#REF!</v>
      </c>
      <c r="CP202" s="745" t="e">
        <f t="shared" si="337"/>
        <v>#REF!</v>
      </c>
      <c r="CQ202" s="745" t="e">
        <f t="shared" si="338"/>
        <v>#REF!</v>
      </c>
      <c r="CR202" s="745" t="e">
        <f t="shared" si="339"/>
        <v>#REF!</v>
      </c>
      <c r="CS202" s="745" t="e">
        <f t="shared" si="340"/>
        <v>#REF!</v>
      </c>
      <c r="CT202" s="754" t="e">
        <f t="shared" si="312"/>
        <v>#REF!</v>
      </c>
      <c r="CU202" s="755" t="e">
        <f t="shared" si="313"/>
        <v>#REF!</v>
      </c>
      <c r="CV202" s="756">
        <v>498.29</v>
      </c>
      <c r="CW202" s="757"/>
      <c r="CX202" s="758"/>
      <c r="CY202" s="759"/>
      <c r="CZ202" s="760"/>
      <c r="DA202" s="767"/>
    </row>
    <row r="203" ht="236" customHeight="1" spans="1:105">
      <c r="A203" s="675">
        <v>526</v>
      </c>
      <c r="B203" s="676" t="s">
        <v>1229</v>
      </c>
      <c r="C203" s="677" t="s">
        <v>1533</v>
      </c>
      <c r="D203" s="677" t="s">
        <v>1682</v>
      </c>
      <c r="E203" s="677" t="s">
        <v>165</v>
      </c>
      <c r="F203" s="1452" t="s">
        <v>1230</v>
      </c>
      <c r="G203" s="677" t="s">
        <v>1683</v>
      </c>
      <c r="H203" s="679"/>
      <c r="I203" s="681" t="s">
        <v>165</v>
      </c>
      <c r="J203" s="686">
        <v>1007301305</v>
      </c>
      <c r="K203" s="1456" t="s">
        <v>1718</v>
      </c>
      <c r="L203" s="688">
        <f t="shared" si="314"/>
        <v>403057</v>
      </c>
      <c r="M203" s="688" t="e">
        <f>S203-#REF!</f>
        <v>#REF!</v>
      </c>
      <c r="N203" s="689">
        <v>403057</v>
      </c>
      <c r="O203" s="689">
        <v>33588.0833333333</v>
      </c>
      <c r="P203" s="689"/>
      <c r="Q203" s="689">
        <v>8397.02083333333</v>
      </c>
      <c r="R203" s="689">
        <v>42499.98</v>
      </c>
      <c r="S203" s="689">
        <v>89282.58</v>
      </c>
      <c r="T203" s="689"/>
      <c r="U203" s="689"/>
      <c r="V203" s="689"/>
      <c r="W203" s="689"/>
      <c r="X203" s="689"/>
      <c r="Y203" s="689"/>
      <c r="Z203" s="689"/>
      <c r="AA203" s="689"/>
      <c r="AB203" s="689"/>
      <c r="AC203" s="689">
        <v>2500</v>
      </c>
      <c r="AD203" s="689"/>
      <c r="AE203" s="689"/>
      <c r="AF203" s="689"/>
      <c r="AG203" s="689"/>
      <c r="AH203" s="689"/>
      <c r="AI203" s="689"/>
      <c r="AJ203" s="689">
        <v>2500</v>
      </c>
      <c r="AK203" s="689"/>
      <c r="AL203" s="689">
        <v>383.33</v>
      </c>
      <c r="AM203" s="689"/>
      <c r="AN203" s="689"/>
      <c r="AO203" s="689"/>
      <c r="AP203" s="689"/>
      <c r="AQ203" s="689"/>
      <c r="AR203" s="689"/>
      <c r="AS203" s="689"/>
      <c r="AT203" s="689"/>
      <c r="AU203" s="689">
        <f t="shared" si="327"/>
        <v>2678.4774</v>
      </c>
      <c r="AV203" s="689"/>
      <c r="AW203" s="689"/>
      <c r="AX203" s="718"/>
      <c r="AY203" s="718"/>
      <c r="AZ203" s="718"/>
      <c r="BA203" s="689"/>
      <c r="BB203" s="689"/>
      <c r="BC203" s="689"/>
      <c r="BD203" s="719"/>
      <c r="BE203" s="719">
        <f t="shared" si="328"/>
        <v>2678.4774</v>
      </c>
      <c r="BF203" s="689"/>
      <c r="BG203" s="689"/>
      <c r="BH203" s="727"/>
      <c r="BI203" s="689"/>
      <c r="BJ203" s="689"/>
      <c r="BK203" s="689"/>
      <c r="BL203" s="689"/>
      <c r="BM203" s="689"/>
      <c r="BN203" s="689"/>
      <c r="BO203" s="689">
        <v>22833</v>
      </c>
      <c r="BP203" s="689"/>
      <c r="BQ203" s="689"/>
      <c r="BR203" s="731"/>
      <c r="BS203" s="731"/>
      <c r="BT203" s="731"/>
      <c r="BU203" s="731"/>
      <c r="BV203" s="731"/>
      <c r="BW203" s="731"/>
      <c r="BX203" s="731"/>
      <c r="BY203" s="731"/>
      <c r="BZ203" s="731">
        <v>500</v>
      </c>
      <c r="CA203" s="718">
        <f t="shared" si="325"/>
        <v>1885.6516</v>
      </c>
      <c r="CB203" s="735"/>
      <c r="CC203" s="731">
        <v>5813.91</v>
      </c>
      <c r="CD203" s="702">
        <f t="shared" si="329"/>
        <v>94282.58</v>
      </c>
      <c r="CE203" s="731">
        <f t="shared" si="331"/>
        <v>36389.5164</v>
      </c>
      <c r="CF203" s="739">
        <f t="shared" si="330"/>
        <v>57893.0636</v>
      </c>
      <c r="CG203" s="742">
        <f t="shared" si="326"/>
        <v>36389.5164</v>
      </c>
      <c r="CH203" s="743" t="e">
        <f>'[6]JACKSON AKPOJARO '!C323*12</f>
        <v>#REF!</v>
      </c>
      <c r="CI203" s="744" t="e">
        <f t="shared" si="332"/>
        <v>#REF!</v>
      </c>
      <c r="CJ203" s="745">
        <f t="shared" si="294"/>
        <v>0</v>
      </c>
      <c r="CK203" s="748" t="e">
        <f t="shared" si="333"/>
        <v>#REF!</v>
      </c>
      <c r="CL203" s="749" t="e">
        <f t="shared" si="334"/>
        <v>#REF!</v>
      </c>
      <c r="CM203" s="744"/>
      <c r="CN203" s="745" t="e">
        <f t="shared" si="335"/>
        <v>#REF!</v>
      </c>
      <c r="CO203" s="745" t="e">
        <f t="shared" si="336"/>
        <v>#REF!</v>
      </c>
      <c r="CP203" s="745" t="e">
        <f t="shared" si="337"/>
        <v>#REF!</v>
      </c>
      <c r="CQ203" s="745" t="e">
        <f t="shared" si="338"/>
        <v>#REF!</v>
      </c>
      <c r="CR203" s="745" t="e">
        <f t="shared" si="339"/>
        <v>#REF!</v>
      </c>
      <c r="CS203" s="745" t="e">
        <f t="shared" si="340"/>
        <v>#REF!</v>
      </c>
      <c r="CT203" s="754" t="e">
        <f t="shared" si="312"/>
        <v>#REF!</v>
      </c>
      <c r="CU203" s="755" t="e">
        <f t="shared" si="313"/>
        <v>#REF!</v>
      </c>
      <c r="CV203" s="756">
        <v>498.29</v>
      </c>
      <c r="CW203" s="757"/>
      <c r="CX203" s="758"/>
      <c r="CY203" s="759"/>
      <c r="CZ203" s="760"/>
      <c r="DA203" s="767"/>
    </row>
    <row r="204" ht="236" customHeight="1" spans="1:105">
      <c r="A204" s="673">
        <v>527</v>
      </c>
      <c r="B204" s="676" t="s">
        <v>1231</v>
      </c>
      <c r="C204" s="677" t="s">
        <v>1533</v>
      </c>
      <c r="D204" s="677" t="s">
        <v>1691</v>
      </c>
      <c r="E204" s="677" t="s">
        <v>165</v>
      </c>
      <c r="F204" s="677">
        <v>2116983705</v>
      </c>
      <c r="G204" s="677" t="s">
        <v>1683</v>
      </c>
      <c r="H204" s="679"/>
      <c r="I204" s="681" t="s">
        <v>165</v>
      </c>
      <c r="J204" s="686">
        <v>2116983705</v>
      </c>
      <c r="K204" s="785">
        <v>22452731277</v>
      </c>
      <c r="L204" s="688">
        <f t="shared" si="314"/>
        <v>403057</v>
      </c>
      <c r="M204" s="688" t="e">
        <f>S204-#REF!</f>
        <v>#REF!</v>
      </c>
      <c r="N204" s="689">
        <v>415390</v>
      </c>
      <c r="O204" s="689">
        <v>33588.08</v>
      </c>
      <c r="P204" s="689"/>
      <c r="Q204" s="689">
        <v>8397.02</v>
      </c>
      <c r="R204" s="689">
        <v>42499.98</v>
      </c>
      <c r="S204" s="689">
        <v>89282.58</v>
      </c>
      <c r="T204" s="689"/>
      <c r="U204" s="689"/>
      <c r="V204" s="689"/>
      <c r="W204" s="689"/>
      <c r="X204" s="689"/>
      <c r="Y204" s="689"/>
      <c r="Z204" s="689"/>
      <c r="AA204" s="689"/>
      <c r="AB204" s="689"/>
      <c r="AC204" s="689">
        <v>2500</v>
      </c>
      <c r="AD204" s="689"/>
      <c r="AE204" s="689"/>
      <c r="AF204" s="689"/>
      <c r="AG204" s="689"/>
      <c r="AH204" s="689"/>
      <c r="AI204" s="689"/>
      <c r="AJ204" s="689">
        <v>2500</v>
      </c>
      <c r="AK204" s="689"/>
      <c r="AL204" s="689">
        <v>383.33</v>
      </c>
      <c r="AM204" s="689"/>
      <c r="AN204" s="689"/>
      <c r="AO204" s="689"/>
      <c r="AP204" s="689"/>
      <c r="AQ204" s="689"/>
      <c r="AR204" s="689"/>
      <c r="AS204" s="689"/>
      <c r="AT204" s="689"/>
      <c r="AU204" s="689">
        <f t="shared" si="327"/>
        <v>2678.4774</v>
      </c>
      <c r="AV204" s="689"/>
      <c r="AW204" s="689"/>
      <c r="AX204" s="718"/>
      <c r="AY204" s="718"/>
      <c r="AZ204" s="718"/>
      <c r="BA204" s="689"/>
      <c r="BB204" s="689"/>
      <c r="BC204" s="689"/>
      <c r="BD204" s="719"/>
      <c r="BE204" s="719">
        <f t="shared" si="328"/>
        <v>2678.4774</v>
      </c>
      <c r="BF204" s="689"/>
      <c r="BG204" s="689"/>
      <c r="BH204" s="727"/>
      <c r="BI204" s="689"/>
      <c r="BJ204" s="689"/>
      <c r="BK204" s="689"/>
      <c r="BL204" s="689"/>
      <c r="BM204" s="689"/>
      <c r="BN204" s="689"/>
      <c r="BO204" s="689">
        <v>0</v>
      </c>
      <c r="BP204" s="689"/>
      <c r="BQ204" s="689"/>
      <c r="BR204" s="731"/>
      <c r="BS204" s="731"/>
      <c r="BT204" s="731"/>
      <c r="BU204" s="731"/>
      <c r="BV204" s="731"/>
      <c r="BW204" s="731"/>
      <c r="BX204" s="731"/>
      <c r="BY204" s="731"/>
      <c r="BZ204" s="731">
        <v>500</v>
      </c>
      <c r="CA204" s="718">
        <f t="shared" si="325"/>
        <v>1885.6516</v>
      </c>
      <c r="CB204" s="735"/>
      <c r="CC204" s="731">
        <v>5813.91</v>
      </c>
      <c r="CD204" s="702">
        <f t="shared" si="329"/>
        <v>94282.58</v>
      </c>
      <c r="CE204" s="731">
        <f t="shared" si="331"/>
        <v>13556.5164</v>
      </c>
      <c r="CF204" s="739">
        <f t="shared" si="330"/>
        <v>80726.0636</v>
      </c>
      <c r="CG204" s="742">
        <f t="shared" si="326"/>
        <v>13556.5164</v>
      </c>
      <c r="CH204" s="743" t="e">
        <f>'[6]JACKSON AKPOJARO '!C324*12</f>
        <v>#REF!</v>
      </c>
      <c r="CI204" s="744" t="e">
        <f t="shared" si="332"/>
        <v>#REF!</v>
      </c>
      <c r="CJ204" s="745">
        <f t="shared" si="294"/>
        <v>0</v>
      </c>
      <c r="CK204" s="748" t="e">
        <f t="shared" si="333"/>
        <v>#REF!</v>
      </c>
      <c r="CL204" s="749" t="e">
        <f t="shared" si="334"/>
        <v>#REF!</v>
      </c>
      <c r="CM204" s="744"/>
      <c r="CN204" s="745" t="e">
        <f t="shared" si="335"/>
        <v>#REF!</v>
      </c>
      <c r="CO204" s="745" t="e">
        <f t="shared" si="336"/>
        <v>#REF!</v>
      </c>
      <c r="CP204" s="745" t="e">
        <f t="shared" si="337"/>
        <v>#REF!</v>
      </c>
      <c r="CQ204" s="745" t="e">
        <f t="shared" si="338"/>
        <v>#REF!</v>
      </c>
      <c r="CR204" s="745" t="e">
        <f t="shared" si="339"/>
        <v>#REF!</v>
      </c>
      <c r="CS204" s="745" t="e">
        <f t="shared" si="340"/>
        <v>#REF!</v>
      </c>
      <c r="CT204" s="754" t="e">
        <f t="shared" si="312"/>
        <v>#REF!</v>
      </c>
      <c r="CU204" s="755" t="e">
        <f t="shared" si="313"/>
        <v>#REF!</v>
      </c>
      <c r="CV204" s="756">
        <v>498.29</v>
      </c>
      <c r="CW204" s="757"/>
      <c r="CX204" s="758"/>
      <c r="CY204" s="759"/>
      <c r="CZ204" s="760"/>
      <c r="DA204" s="767"/>
    </row>
    <row r="205" ht="236" customHeight="1" spans="1:105">
      <c r="A205" s="675">
        <v>528</v>
      </c>
      <c r="B205" s="676" t="s">
        <v>1232</v>
      </c>
      <c r="C205" s="677" t="s">
        <v>1533</v>
      </c>
      <c r="D205" s="677" t="s">
        <v>1682</v>
      </c>
      <c r="E205" s="677" t="s">
        <v>113</v>
      </c>
      <c r="F205" s="677">
        <v>2137066771</v>
      </c>
      <c r="G205" s="677" t="s">
        <v>1683</v>
      </c>
      <c r="H205" s="679"/>
      <c r="I205" s="681" t="s">
        <v>113</v>
      </c>
      <c r="J205" s="686">
        <v>2137066771</v>
      </c>
      <c r="K205" s="1456" t="s">
        <v>1719</v>
      </c>
      <c r="L205" s="688">
        <f t="shared" si="314"/>
        <v>403057</v>
      </c>
      <c r="M205" s="688" t="e">
        <f>S205-#REF!</f>
        <v>#REF!</v>
      </c>
      <c r="N205" s="689">
        <v>415390</v>
      </c>
      <c r="O205" s="689">
        <v>33588.08</v>
      </c>
      <c r="P205" s="689"/>
      <c r="Q205" s="689">
        <v>8397.02</v>
      </c>
      <c r="R205" s="689">
        <v>42499.98</v>
      </c>
      <c r="S205" s="689">
        <v>89282.58</v>
      </c>
      <c r="T205" s="689"/>
      <c r="U205" s="689"/>
      <c r="V205" s="689"/>
      <c r="W205" s="689"/>
      <c r="X205" s="689"/>
      <c r="Y205" s="689"/>
      <c r="Z205" s="689"/>
      <c r="AA205" s="689"/>
      <c r="AB205" s="689"/>
      <c r="AC205" s="689">
        <v>2500</v>
      </c>
      <c r="AD205" s="689"/>
      <c r="AE205" s="689"/>
      <c r="AF205" s="689"/>
      <c r="AG205" s="689"/>
      <c r="AH205" s="689"/>
      <c r="AI205" s="689"/>
      <c r="AJ205" s="689">
        <v>2500</v>
      </c>
      <c r="AK205" s="689"/>
      <c r="AL205" s="689">
        <v>383.33</v>
      </c>
      <c r="AM205" s="689"/>
      <c r="AN205" s="689"/>
      <c r="AO205" s="689"/>
      <c r="AP205" s="689"/>
      <c r="AQ205" s="689"/>
      <c r="AR205" s="689"/>
      <c r="AS205" s="689"/>
      <c r="AT205" s="689"/>
      <c r="AU205" s="689">
        <f t="shared" si="327"/>
        <v>2678.4774</v>
      </c>
      <c r="AV205" s="689"/>
      <c r="AW205" s="689"/>
      <c r="AX205" s="718"/>
      <c r="AY205" s="718"/>
      <c r="AZ205" s="718"/>
      <c r="BA205" s="689"/>
      <c r="BB205" s="689"/>
      <c r="BC205" s="689"/>
      <c r="BD205" s="689"/>
      <c r="BE205" s="689">
        <f t="shared" si="328"/>
        <v>2678.4774</v>
      </c>
      <c r="BF205" s="689"/>
      <c r="BG205" s="689"/>
      <c r="BH205" s="689"/>
      <c r="BI205" s="689"/>
      <c r="BJ205" s="689"/>
      <c r="BK205" s="689"/>
      <c r="BL205" s="689"/>
      <c r="BM205" s="689"/>
      <c r="BN205" s="689"/>
      <c r="BO205" s="689">
        <v>0</v>
      </c>
      <c r="BP205" s="689"/>
      <c r="BQ205" s="689"/>
      <c r="BR205" s="731"/>
      <c r="BS205" s="731"/>
      <c r="BT205" s="731"/>
      <c r="BU205" s="731"/>
      <c r="BV205" s="731"/>
      <c r="BW205" s="731"/>
      <c r="BX205" s="731"/>
      <c r="BY205" s="731"/>
      <c r="BZ205" s="731">
        <v>500</v>
      </c>
      <c r="CA205" s="718">
        <f t="shared" si="325"/>
        <v>1885.6516</v>
      </c>
      <c r="CB205" s="735"/>
      <c r="CC205" s="731">
        <v>5813.91</v>
      </c>
      <c r="CD205" s="702">
        <f t="shared" si="329"/>
        <v>94282.58</v>
      </c>
      <c r="CE205" s="731">
        <f t="shared" si="331"/>
        <v>13556.5164</v>
      </c>
      <c r="CF205" s="739">
        <f t="shared" si="330"/>
        <v>80726.0636</v>
      </c>
      <c r="CG205" s="742">
        <f t="shared" si="326"/>
        <v>13556.5164</v>
      </c>
      <c r="CH205" s="743" t="e">
        <f>'[6]JACKSON AKPOJARO '!C325*12</f>
        <v>#REF!</v>
      </c>
      <c r="CI205" s="744" t="e">
        <f t="shared" si="332"/>
        <v>#REF!</v>
      </c>
      <c r="CJ205" s="745">
        <f t="shared" si="294"/>
        <v>0</v>
      </c>
      <c r="CK205" s="748" t="e">
        <f t="shared" si="333"/>
        <v>#REF!</v>
      </c>
      <c r="CL205" s="749" t="e">
        <f t="shared" si="334"/>
        <v>#REF!</v>
      </c>
      <c r="CM205" s="744"/>
      <c r="CN205" s="745" t="e">
        <f t="shared" si="335"/>
        <v>#REF!</v>
      </c>
      <c r="CO205" s="745" t="e">
        <f t="shared" si="336"/>
        <v>#REF!</v>
      </c>
      <c r="CP205" s="745" t="e">
        <f t="shared" si="337"/>
        <v>#REF!</v>
      </c>
      <c r="CQ205" s="745" t="e">
        <f t="shared" si="338"/>
        <v>#REF!</v>
      </c>
      <c r="CR205" s="745" t="e">
        <f t="shared" si="339"/>
        <v>#REF!</v>
      </c>
      <c r="CS205" s="745" t="e">
        <f t="shared" si="340"/>
        <v>#REF!</v>
      </c>
      <c r="CT205" s="754" t="e">
        <f t="shared" si="312"/>
        <v>#REF!</v>
      </c>
      <c r="CU205" s="755" t="e">
        <f t="shared" si="313"/>
        <v>#REF!</v>
      </c>
      <c r="CV205" s="756">
        <v>498.29</v>
      </c>
      <c r="CW205" s="757"/>
      <c r="CX205" s="758"/>
      <c r="CY205" s="759"/>
      <c r="CZ205" s="760"/>
      <c r="DA205" s="767"/>
    </row>
    <row r="206" ht="236" customHeight="1" spans="1:105">
      <c r="A206" s="673">
        <v>529</v>
      </c>
      <c r="B206" s="676" t="s">
        <v>1233</v>
      </c>
      <c r="C206" s="677" t="s">
        <v>1533</v>
      </c>
      <c r="D206" s="677" t="s">
        <v>1691</v>
      </c>
      <c r="E206" s="677" t="s">
        <v>135</v>
      </c>
      <c r="F206" s="1452" t="s">
        <v>1234</v>
      </c>
      <c r="G206" s="677" t="s">
        <v>1683</v>
      </c>
      <c r="H206" s="679"/>
      <c r="I206" s="681" t="s">
        <v>915</v>
      </c>
      <c r="J206" s="686" t="s">
        <v>1234</v>
      </c>
      <c r="K206" s="1456" t="s">
        <v>1720</v>
      </c>
      <c r="L206" s="688">
        <f t="shared" si="314"/>
        <v>403057</v>
      </c>
      <c r="M206" s="688" t="e">
        <f>S206-#REF!</f>
        <v>#REF!</v>
      </c>
      <c r="N206" s="689">
        <v>403057</v>
      </c>
      <c r="O206" s="689">
        <v>33588.0833333333</v>
      </c>
      <c r="P206" s="689"/>
      <c r="Q206" s="689">
        <v>8397.02083333333</v>
      </c>
      <c r="R206" s="689">
        <v>42499.98</v>
      </c>
      <c r="S206" s="689">
        <v>89282.58</v>
      </c>
      <c r="T206" s="689"/>
      <c r="U206" s="689"/>
      <c r="V206" s="689"/>
      <c r="W206" s="689"/>
      <c r="X206" s="689"/>
      <c r="Y206" s="689"/>
      <c r="Z206" s="689"/>
      <c r="AA206" s="689"/>
      <c r="AB206" s="689"/>
      <c r="AC206" s="689">
        <v>2500</v>
      </c>
      <c r="AD206" s="689"/>
      <c r="AE206" s="689"/>
      <c r="AF206" s="689"/>
      <c r="AG206" s="689"/>
      <c r="AH206" s="689"/>
      <c r="AI206" s="689"/>
      <c r="AJ206" s="689">
        <v>2500</v>
      </c>
      <c r="AK206" s="689"/>
      <c r="AL206" s="689">
        <v>383.33</v>
      </c>
      <c r="AM206" s="689"/>
      <c r="AN206" s="689"/>
      <c r="AO206" s="689"/>
      <c r="AP206" s="689"/>
      <c r="AQ206" s="689"/>
      <c r="AR206" s="689"/>
      <c r="AS206" s="689"/>
      <c r="AT206" s="689"/>
      <c r="AU206" s="689">
        <f t="shared" si="327"/>
        <v>2678.4774</v>
      </c>
      <c r="AV206" s="689"/>
      <c r="AW206" s="689"/>
      <c r="AX206" s="718"/>
      <c r="AY206" s="718"/>
      <c r="AZ206" s="718"/>
      <c r="BA206" s="689"/>
      <c r="BB206" s="689"/>
      <c r="BC206" s="689"/>
      <c r="BD206" s="719"/>
      <c r="BE206" s="719">
        <f t="shared" si="328"/>
        <v>2678.4774</v>
      </c>
      <c r="BF206" s="689"/>
      <c r="BG206" s="689"/>
      <c r="BH206" s="727"/>
      <c r="BI206" s="689"/>
      <c r="BJ206" s="689"/>
      <c r="BK206" s="689"/>
      <c r="BL206" s="689"/>
      <c r="BM206" s="689"/>
      <c r="BN206" s="689"/>
      <c r="BO206" s="689">
        <v>0</v>
      </c>
      <c r="BP206" s="689"/>
      <c r="BQ206" s="689"/>
      <c r="BR206" s="731"/>
      <c r="BS206" s="731"/>
      <c r="BT206" s="731"/>
      <c r="BU206" s="731"/>
      <c r="BV206" s="731"/>
      <c r="BW206" s="731"/>
      <c r="BX206" s="731"/>
      <c r="BY206" s="731"/>
      <c r="BZ206" s="731">
        <v>500</v>
      </c>
      <c r="CA206" s="718">
        <v>1789.70168333333</v>
      </c>
      <c r="CB206" s="735"/>
      <c r="CC206" s="731">
        <v>5238.21</v>
      </c>
      <c r="CD206" s="702">
        <f t="shared" si="329"/>
        <v>94282.58</v>
      </c>
      <c r="CE206" s="731">
        <f t="shared" si="331"/>
        <v>12884.8664833333</v>
      </c>
      <c r="CF206" s="739">
        <f t="shared" si="330"/>
        <v>81397.7135166667</v>
      </c>
      <c r="CG206" s="742">
        <f t="shared" si="326"/>
        <v>12884.8664833333</v>
      </c>
      <c r="CH206" s="743" t="e">
        <f>'[6]JACKSON AKPOJARO '!C326*12</f>
        <v>#REF!</v>
      </c>
      <c r="CI206" s="744" t="e">
        <f t="shared" si="332"/>
        <v>#REF!</v>
      </c>
      <c r="CJ206" s="745">
        <f t="shared" si="294"/>
        <v>0</v>
      </c>
      <c r="CK206" s="748" t="e">
        <f t="shared" si="333"/>
        <v>#REF!</v>
      </c>
      <c r="CL206" s="749" t="e">
        <f t="shared" si="334"/>
        <v>#REF!</v>
      </c>
      <c r="CM206" s="744"/>
      <c r="CN206" s="745" t="e">
        <f t="shared" si="335"/>
        <v>#REF!</v>
      </c>
      <c r="CO206" s="745" t="e">
        <f t="shared" si="336"/>
        <v>#REF!</v>
      </c>
      <c r="CP206" s="745" t="e">
        <f t="shared" si="337"/>
        <v>#REF!</v>
      </c>
      <c r="CQ206" s="745" t="e">
        <f t="shared" si="338"/>
        <v>#REF!</v>
      </c>
      <c r="CR206" s="745" t="e">
        <f t="shared" si="339"/>
        <v>#REF!</v>
      </c>
      <c r="CS206" s="745" t="e">
        <f t="shared" si="340"/>
        <v>#REF!</v>
      </c>
      <c r="CT206" s="754" t="e">
        <f t="shared" si="312"/>
        <v>#REF!</v>
      </c>
      <c r="CU206" s="755" t="e">
        <f t="shared" si="313"/>
        <v>#REF!</v>
      </c>
      <c r="CV206" s="756">
        <v>498.29</v>
      </c>
      <c r="CW206" s="757"/>
      <c r="CX206" s="758"/>
      <c r="CY206" s="759"/>
      <c r="CZ206" s="760"/>
      <c r="DA206" s="767"/>
    </row>
    <row r="207" ht="236" customHeight="1" spans="1:105">
      <c r="A207" s="675">
        <v>530</v>
      </c>
      <c r="B207" s="676" t="s">
        <v>1235</v>
      </c>
      <c r="C207" s="677" t="s">
        <v>1533</v>
      </c>
      <c r="D207" s="677" t="s">
        <v>1708</v>
      </c>
      <c r="E207" s="677" t="s">
        <v>135</v>
      </c>
      <c r="F207" s="677" t="s">
        <v>1236</v>
      </c>
      <c r="G207" s="677" t="s">
        <v>1683</v>
      </c>
      <c r="H207" s="679"/>
      <c r="I207" s="681" t="s">
        <v>135</v>
      </c>
      <c r="J207" s="686" t="s">
        <v>1236</v>
      </c>
      <c r="K207" s="687">
        <f>'[5] NON-TEACHING STAFF'!$J$173</f>
        <v>22514100492</v>
      </c>
      <c r="L207" s="688">
        <f t="shared" si="314"/>
        <v>403057</v>
      </c>
      <c r="M207" s="688" t="e">
        <f>S207-#REF!</f>
        <v>#REF!</v>
      </c>
      <c r="N207" s="689">
        <v>403057</v>
      </c>
      <c r="O207" s="689">
        <v>33588.0833333333</v>
      </c>
      <c r="P207" s="689"/>
      <c r="Q207" s="689">
        <v>8397.02083333333</v>
      </c>
      <c r="R207" s="689">
        <v>42499.98</v>
      </c>
      <c r="S207" s="689">
        <v>89282.58</v>
      </c>
      <c r="T207" s="689"/>
      <c r="U207" s="689"/>
      <c r="V207" s="689"/>
      <c r="W207" s="689"/>
      <c r="X207" s="689"/>
      <c r="Y207" s="689"/>
      <c r="Z207" s="689"/>
      <c r="AA207" s="689"/>
      <c r="AB207" s="689"/>
      <c r="AC207" s="689">
        <v>2500</v>
      </c>
      <c r="AD207" s="689"/>
      <c r="AE207" s="689"/>
      <c r="AF207" s="689"/>
      <c r="AG207" s="689"/>
      <c r="AH207" s="689"/>
      <c r="AI207" s="689"/>
      <c r="AJ207" s="689">
        <v>2500</v>
      </c>
      <c r="AK207" s="689"/>
      <c r="AL207" s="689">
        <v>383.33</v>
      </c>
      <c r="AM207" s="689"/>
      <c r="AN207" s="689"/>
      <c r="AO207" s="689"/>
      <c r="AP207" s="689"/>
      <c r="AQ207" s="689"/>
      <c r="AR207" s="689"/>
      <c r="AS207" s="689"/>
      <c r="AT207" s="689"/>
      <c r="AU207" s="689">
        <f t="shared" ref="AU207:AU214" si="341">S207*0.03</f>
        <v>2678.4774</v>
      </c>
      <c r="AV207" s="689"/>
      <c r="AW207" s="689"/>
      <c r="AX207" s="718"/>
      <c r="AY207" s="718"/>
      <c r="AZ207" s="718"/>
      <c r="BA207" s="689"/>
      <c r="BB207" s="689"/>
      <c r="BC207" s="689"/>
      <c r="BD207" s="719"/>
      <c r="BE207" s="719">
        <f t="shared" si="328"/>
        <v>2678.4774</v>
      </c>
      <c r="BF207" s="689"/>
      <c r="BG207" s="689"/>
      <c r="BH207" s="727"/>
      <c r="BI207" s="689"/>
      <c r="BJ207" s="689"/>
      <c r="BK207" s="689"/>
      <c r="BL207" s="689"/>
      <c r="BM207" s="689"/>
      <c r="BN207" s="689"/>
      <c r="BO207" s="689">
        <v>0</v>
      </c>
      <c r="BP207" s="689"/>
      <c r="BQ207" s="689"/>
      <c r="BR207" s="731"/>
      <c r="BS207" s="731"/>
      <c r="BT207" s="731"/>
      <c r="BU207" s="731"/>
      <c r="BV207" s="731"/>
      <c r="BW207" s="731"/>
      <c r="BX207" s="731"/>
      <c r="BY207" s="731">
        <v>1000</v>
      </c>
      <c r="BZ207" s="731">
        <v>500</v>
      </c>
      <c r="CA207" s="718">
        <f t="shared" si="325"/>
        <v>1885.6516</v>
      </c>
      <c r="CB207" s="735"/>
      <c r="CC207" s="731">
        <v>5238.21</v>
      </c>
      <c r="CD207" s="702">
        <f t="shared" si="329"/>
        <v>94282.58</v>
      </c>
      <c r="CE207" s="731">
        <f t="shared" si="331"/>
        <v>13980.8164</v>
      </c>
      <c r="CF207" s="739">
        <f t="shared" si="330"/>
        <v>80301.7636</v>
      </c>
      <c r="CG207" s="742">
        <f t="shared" si="326"/>
        <v>13980.8164</v>
      </c>
      <c r="CH207" s="743" t="e">
        <f>'[6]JACKSON AKPOJARO '!C327*12</f>
        <v>#REF!</v>
      </c>
      <c r="CI207" s="744" t="e">
        <f t="shared" si="332"/>
        <v>#REF!</v>
      </c>
      <c r="CJ207" s="745">
        <f t="shared" si="294"/>
        <v>0</v>
      </c>
      <c r="CK207" s="748" t="e">
        <f t="shared" si="333"/>
        <v>#REF!</v>
      </c>
      <c r="CL207" s="749" t="e">
        <f t="shared" si="334"/>
        <v>#REF!</v>
      </c>
      <c r="CM207" s="744"/>
      <c r="CN207" s="745" t="e">
        <f t="shared" si="335"/>
        <v>#REF!</v>
      </c>
      <c r="CO207" s="745" t="e">
        <f t="shared" si="336"/>
        <v>#REF!</v>
      </c>
      <c r="CP207" s="745" t="e">
        <f t="shared" si="337"/>
        <v>#REF!</v>
      </c>
      <c r="CQ207" s="745" t="e">
        <f t="shared" si="338"/>
        <v>#REF!</v>
      </c>
      <c r="CR207" s="745" t="e">
        <f t="shared" si="339"/>
        <v>#REF!</v>
      </c>
      <c r="CS207" s="745" t="e">
        <f t="shared" si="340"/>
        <v>#REF!</v>
      </c>
      <c r="CT207" s="754" t="e">
        <f t="shared" si="312"/>
        <v>#REF!</v>
      </c>
      <c r="CU207" s="755" t="e">
        <f t="shared" si="313"/>
        <v>#REF!</v>
      </c>
      <c r="CV207" s="756">
        <v>498.29</v>
      </c>
      <c r="CW207" s="757"/>
      <c r="CX207" s="758"/>
      <c r="CY207" s="759"/>
      <c r="CZ207" s="760"/>
      <c r="DA207" s="767"/>
    </row>
    <row r="208" ht="236" customHeight="1" spans="1:105">
      <c r="A208" s="673">
        <v>531</v>
      </c>
      <c r="B208" s="676" t="s">
        <v>1237</v>
      </c>
      <c r="C208" s="677" t="s">
        <v>1533</v>
      </c>
      <c r="D208" s="677" t="s">
        <v>1708</v>
      </c>
      <c r="E208" s="677" t="s">
        <v>135</v>
      </c>
      <c r="F208" s="677" t="s">
        <v>1238</v>
      </c>
      <c r="G208" s="677" t="s">
        <v>1683</v>
      </c>
      <c r="H208" s="679"/>
      <c r="I208" s="681" t="s">
        <v>135</v>
      </c>
      <c r="J208" s="686" t="s">
        <v>1238</v>
      </c>
      <c r="K208" s="687" t="str">
        <f>'[5] NON-TEACHING STAFF'!$J$174</f>
        <v>22510242350</v>
      </c>
      <c r="L208" s="688">
        <f t="shared" si="314"/>
        <v>403057</v>
      </c>
      <c r="M208" s="688" t="e">
        <f>S208-#REF!</f>
        <v>#REF!</v>
      </c>
      <c r="N208" s="689">
        <v>403057</v>
      </c>
      <c r="O208" s="689">
        <v>33588.0833333333</v>
      </c>
      <c r="P208" s="689"/>
      <c r="Q208" s="689">
        <v>8397.02083333333</v>
      </c>
      <c r="R208" s="689">
        <v>42499.98</v>
      </c>
      <c r="S208" s="689">
        <v>89282.58</v>
      </c>
      <c r="T208" s="689"/>
      <c r="U208" s="689"/>
      <c r="V208" s="689"/>
      <c r="W208" s="689"/>
      <c r="X208" s="689"/>
      <c r="Y208" s="689"/>
      <c r="Z208" s="689"/>
      <c r="AA208" s="689"/>
      <c r="AB208" s="689"/>
      <c r="AC208" s="689">
        <v>2500</v>
      </c>
      <c r="AD208" s="689"/>
      <c r="AE208" s="689"/>
      <c r="AF208" s="689"/>
      <c r="AG208" s="689"/>
      <c r="AH208" s="689"/>
      <c r="AI208" s="689"/>
      <c r="AJ208" s="689">
        <v>2500</v>
      </c>
      <c r="AK208" s="689"/>
      <c r="AL208" s="689">
        <v>383.33</v>
      </c>
      <c r="AM208" s="689"/>
      <c r="AN208" s="689"/>
      <c r="AO208" s="689"/>
      <c r="AP208" s="689"/>
      <c r="AQ208" s="689"/>
      <c r="AR208" s="689"/>
      <c r="AS208" s="689"/>
      <c r="AT208" s="689"/>
      <c r="AU208" s="689">
        <f t="shared" si="341"/>
        <v>2678.4774</v>
      </c>
      <c r="AV208" s="689"/>
      <c r="AW208" s="689"/>
      <c r="AX208" s="718"/>
      <c r="AY208" s="718"/>
      <c r="AZ208" s="718"/>
      <c r="BA208" s="689"/>
      <c r="BB208" s="689"/>
      <c r="BC208" s="689"/>
      <c r="BD208" s="719"/>
      <c r="BE208" s="719">
        <f t="shared" si="328"/>
        <v>2678.4774</v>
      </c>
      <c r="BF208" s="689"/>
      <c r="BG208" s="689"/>
      <c r="BH208" s="727"/>
      <c r="BI208" s="689"/>
      <c r="BJ208" s="689"/>
      <c r="BK208" s="689"/>
      <c r="BL208" s="689"/>
      <c r="BM208" s="689"/>
      <c r="BN208" s="689"/>
      <c r="BO208" s="689">
        <v>18333.3333333333</v>
      </c>
      <c r="BP208" s="689"/>
      <c r="BQ208" s="689"/>
      <c r="BR208" s="731"/>
      <c r="BS208" s="731"/>
      <c r="BT208" s="731"/>
      <c r="BU208" s="731"/>
      <c r="BV208" s="731"/>
      <c r="BW208" s="731"/>
      <c r="BX208" s="731"/>
      <c r="BY208" s="731">
        <v>1000</v>
      </c>
      <c r="BZ208" s="731">
        <v>500</v>
      </c>
      <c r="CA208" s="718">
        <f t="shared" si="325"/>
        <v>1885.6516</v>
      </c>
      <c r="CB208" s="735"/>
      <c r="CC208" s="731">
        <v>5813.91</v>
      </c>
      <c r="CD208" s="702">
        <f t="shared" si="329"/>
        <v>94282.58</v>
      </c>
      <c r="CE208" s="731">
        <f t="shared" si="331"/>
        <v>32889.8497333333</v>
      </c>
      <c r="CF208" s="739">
        <f t="shared" si="330"/>
        <v>61392.7302666667</v>
      </c>
      <c r="CG208" s="742">
        <f t="shared" si="326"/>
        <v>32889.8497333333</v>
      </c>
      <c r="CH208" s="743" t="e">
        <f>'[6]JACKSON AKPOJARO '!C328*12</f>
        <v>#REF!</v>
      </c>
      <c r="CI208" s="744" t="e">
        <f t="shared" si="332"/>
        <v>#REF!</v>
      </c>
      <c r="CJ208" s="745">
        <f t="shared" si="294"/>
        <v>0</v>
      </c>
      <c r="CK208" s="748" t="e">
        <f t="shared" si="333"/>
        <v>#REF!</v>
      </c>
      <c r="CL208" s="749" t="e">
        <f t="shared" si="334"/>
        <v>#REF!</v>
      </c>
      <c r="CM208" s="744"/>
      <c r="CN208" s="745" t="e">
        <f t="shared" si="335"/>
        <v>#REF!</v>
      </c>
      <c r="CO208" s="745" t="e">
        <f t="shared" si="336"/>
        <v>#REF!</v>
      </c>
      <c r="CP208" s="745" t="e">
        <f t="shared" si="337"/>
        <v>#REF!</v>
      </c>
      <c r="CQ208" s="745" t="e">
        <f t="shared" si="338"/>
        <v>#REF!</v>
      </c>
      <c r="CR208" s="745" t="e">
        <f t="shared" si="339"/>
        <v>#REF!</v>
      </c>
      <c r="CS208" s="745" t="e">
        <f t="shared" si="340"/>
        <v>#REF!</v>
      </c>
      <c r="CT208" s="754" t="e">
        <f t="shared" si="312"/>
        <v>#REF!</v>
      </c>
      <c r="CU208" s="755" t="e">
        <f t="shared" si="313"/>
        <v>#REF!</v>
      </c>
      <c r="CV208" s="756">
        <v>498.29</v>
      </c>
      <c r="CW208" s="757"/>
      <c r="CX208" s="758"/>
      <c r="CY208" s="759"/>
      <c r="CZ208" s="760"/>
      <c r="DA208" s="767"/>
    </row>
    <row r="209" s="657" customFormat="1" ht="236" customHeight="1" spans="1:108">
      <c r="A209" s="675">
        <v>532</v>
      </c>
      <c r="B209" s="774" t="s">
        <v>1239</v>
      </c>
      <c r="C209" s="775" t="s">
        <v>1533</v>
      </c>
      <c r="D209" s="775" t="s">
        <v>1601</v>
      </c>
      <c r="E209" s="775" t="s">
        <v>165</v>
      </c>
      <c r="F209" s="775" t="s">
        <v>1240</v>
      </c>
      <c r="G209" s="775" t="s">
        <v>1683</v>
      </c>
      <c r="H209" s="776"/>
      <c r="I209" s="778" t="s">
        <v>165</v>
      </c>
      <c r="J209" s="779">
        <v>2116988573</v>
      </c>
      <c r="K209" s="784">
        <f>'[5] NON-TEACHING STAFF'!$J$175</f>
        <v>22418912856</v>
      </c>
      <c r="L209" s="781">
        <f t="shared" si="314"/>
        <v>403057</v>
      </c>
      <c r="M209" s="781" t="e">
        <f>S209-#REF!</f>
        <v>#REF!</v>
      </c>
      <c r="N209" s="782">
        <v>415390</v>
      </c>
      <c r="O209" s="782">
        <v>33588.08</v>
      </c>
      <c r="P209" s="782"/>
      <c r="Q209" s="782">
        <v>8397.02</v>
      </c>
      <c r="R209" s="782">
        <v>42499.98</v>
      </c>
      <c r="S209" s="782">
        <v>89282.58</v>
      </c>
      <c r="T209" s="782"/>
      <c r="U209" s="689"/>
      <c r="V209" s="689"/>
      <c r="W209" s="689"/>
      <c r="X209" s="689"/>
      <c r="Y209" s="689"/>
      <c r="Z209" s="689"/>
      <c r="AA209" s="689"/>
      <c r="AB209" s="689"/>
      <c r="AC209" s="689">
        <v>2500</v>
      </c>
      <c r="AD209" s="689"/>
      <c r="AE209" s="689"/>
      <c r="AF209" s="689"/>
      <c r="AG209" s="689"/>
      <c r="AH209" s="689"/>
      <c r="AI209" s="689"/>
      <c r="AJ209" s="689">
        <v>2500</v>
      </c>
      <c r="AK209" s="689"/>
      <c r="AL209" s="689">
        <v>383.33</v>
      </c>
      <c r="AM209" s="689"/>
      <c r="AN209" s="689"/>
      <c r="AO209" s="689"/>
      <c r="AP209" s="689"/>
      <c r="AQ209" s="689"/>
      <c r="AR209" s="689"/>
      <c r="AS209" s="689"/>
      <c r="AT209" s="689"/>
      <c r="AU209" s="689">
        <f t="shared" si="341"/>
        <v>2678.4774</v>
      </c>
      <c r="AV209" s="782"/>
      <c r="AW209" s="782"/>
      <c r="AX209" s="788"/>
      <c r="AY209" s="788"/>
      <c r="AZ209" s="788"/>
      <c r="BA209" s="782"/>
      <c r="BB209" s="782"/>
      <c r="BC209" s="782"/>
      <c r="BD209" s="789"/>
      <c r="BE209" s="789">
        <f t="shared" si="328"/>
        <v>2678.4774</v>
      </c>
      <c r="BF209" s="782"/>
      <c r="BG209" s="782"/>
      <c r="BH209" s="791"/>
      <c r="BI209" s="689"/>
      <c r="BJ209" s="782"/>
      <c r="BK209" s="689"/>
      <c r="BL209" s="689"/>
      <c r="BM209" s="689"/>
      <c r="BN209" s="782"/>
      <c r="BO209" s="689">
        <v>32222.2222222222</v>
      </c>
      <c r="BP209" s="782"/>
      <c r="BQ209" s="782"/>
      <c r="BR209" s="792"/>
      <c r="BS209" s="731"/>
      <c r="BT209" s="731"/>
      <c r="BU209" s="792"/>
      <c r="BV209" s="731"/>
      <c r="BW209" s="731"/>
      <c r="BX209" s="731"/>
      <c r="BY209" s="792">
        <v>1000</v>
      </c>
      <c r="BZ209" s="792">
        <v>500</v>
      </c>
      <c r="CA209" s="788">
        <v>1885.65</v>
      </c>
      <c r="CB209" s="788">
        <f t="shared" ref="CB209" si="342">CE209*0.02</f>
        <v>935.5748</v>
      </c>
      <c r="CC209" s="792">
        <v>5813.91</v>
      </c>
      <c r="CD209" s="702">
        <f t="shared" si="329"/>
        <v>94282.58</v>
      </c>
      <c r="CE209" s="792">
        <v>46778.74</v>
      </c>
      <c r="CF209" s="796">
        <f t="shared" si="330"/>
        <v>47503.84</v>
      </c>
      <c r="CG209" s="797">
        <f t="shared" si="326"/>
        <v>46778.74</v>
      </c>
      <c r="CH209" s="798" t="e">
        <f>'[6]JACKSON AKPOJARO '!C329*12</f>
        <v>#REF!</v>
      </c>
      <c r="CI209" s="799" t="e">
        <f t="shared" si="332"/>
        <v>#REF!</v>
      </c>
      <c r="CJ209" s="800">
        <f t="shared" si="294"/>
        <v>11226.8976</v>
      </c>
      <c r="CK209" s="802" t="e">
        <f t="shared" si="333"/>
        <v>#REF!</v>
      </c>
      <c r="CL209" s="803" t="e">
        <f t="shared" si="334"/>
        <v>#REF!</v>
      </c>
      <c r="CM209" s="799"/>
      <c r="CN209" s="800" t="e">
        <f t="shared" si="335"/>
        <v>#REF!</v>
      </c>
      <c r="CO209" s="800" t="e">
        <f t="shared" si="336"/>
        <v>#REF!</v>
      </c>
      <c r="CP209" s="800" t="e">
        <f t="shared" si="337"/>
        <v>#REF!</v>
      </c>
      <c r="CQ209" s="800" t="e">
        <f t="shared" si="338"/>
        <v>#REF!</v>
      </c>
      <c r="CR209" s="800" t="e">
        <f t="shared" si="339"/>
        <v>#REF!</v>
      </c>
      <c r="CS209" s="800" t="e">
        <f t="shared" si="340"/>
        <v>#REF!</v>
      </c>
      <c r="CT209" s="806" t="e">
        <f t="shared" si="312"/>
        <v>#REF!</v>
      </c>
      <c r="CU209" s="807" t="e">
        <f t="shared" si="313"/>
        <v>#REF!</v>
      </c>
      <c r="CV209" s="808">
        <v>498.29</v>
      </c>
      <c r="CW209" s="809"/>
      <c r="CX209" s="810"/>
      <c r="CY209" s="811"/>
      <c r="CZ209" s="812"/>
      <c r="DA209" s="815"/>
      <c r="DB209" s="920"/>
      <c r="DC209" s="921"/>
      <c r="DD209" s="922"/>
    </row>
    <row r="210" ht="236" customHeight="1" spans="1:105">
      <c r="A210" s="673">
        <v>533</v>
      </c>
      <c r="B210" s="676" t="s">
        <v>1241</v>
      </c>
      <c r="C210" s="677" t="s">
        <v>1533</v>
      </c>
      <c r="D210" s="677" t="s">
        <v>1601</v>
      </c>
      <c r="E210" s="677" t="s">
        <v>135</v>
      </c>
      <c r="F210" s="1452" t="s">
        <v>1242</v>
      </c>
      <c r="G210" s="677" t="s">
        <v>1683</v>
      </c>
      <c r="H210" s="679"/>
      <c r="I210" s="681" t="s">
        <v>135</v>
      </c>
      <c r="J210" s="686" t="s">
        <v>1721</v>
      </c>
      <c r="K210" s="687">
        <f>'[5] NON-TEACHING STAFF'!$J$176</f>
        <v>22500697313</v>
      </c>
      <c r="L210" s="688">
        <f t="shared" si="314"/>
        <v>403057</v>
      </c>
      <c r="M210" s="688" t="e">
        <f>S210-#REF!</f>
        <v>#REF!</v>
      </c>
      <c r="N210" s="689">
        <v>403057</v>
      </c>
      <c r="O210" s="689">
        <v>33588.0833333333</v>
      </c>
      <c r="P210" s="689"/>
      <c r="Q210" s="689">
        <v>8397.02083333333</v>
      </c>
      <c r="R210" s="689">
        <v>42499.98</v>
      </c>
      <c r="S210" s="689">
        <v>89282.58</v>
      </c>
      <c r="T210" s="689"/>
      <c r="U210" s="689"/>
      <c r="V210" s="689"/>
      <c r="W210" s="689"/>
      <c r="X210" s="689"/>
      <c r="Y210" s="689"/>
      <c r="Z210" s="689"/>
      <c r="AA210" s="689"/>
      <c r="AB210" s="689">
        <v>12500</v>
      </c>
      <c r="AC210" s="689">
        <v>2500</v>
      </c>
      <c r="AD210" s="689"/>
      <c r="AE210" s="689"/>
      <c r="AF210" s="689"/>
      <c r="AG210" s="689"/>
      <c r="AH210" s="689"/>
      <c r="AI210" s="689"/>
      <c r="AJ210" s="689">
        <v>2500</v>
      </c>
      <c r="AK210" s="689"/>
      <c r="AL210" s="689">
        <v>383.33</v>
      </c>
      <c r="AM210" s="689"/>
      <c r="AN210" s="689"/>
      <c r="AO210" s="689"/>
      <c r="AP210" s="689"/>
      <c r="AQ210" s="689"/>
      <c r="AR210" s="689"/>
      <c r="AS210" s="689"/>
      <c r="AT210" s="689"/>
      <c r="AU210" s="689">
        <f t="shared" si="341"/>
        <v>2678.4774</v>
      </c>
      <c r="AV210" s="689"/>
      <c r="AW210" s="689"/>
      <c r="AX210" s="718"/>
      <c r="AY210" s="718"/>
      <c r="AZ210" s="718"/>
      <c r="BA210" s="689"/>
      <c r="BB210" s="689"/>
      <c r="BC210" s="689"/>
      <c r="BD210" s="719"/>
      <c r="BE210" s="719">
        <f t="shared" si="328"/>
        <v>2678.4774</v>
      </c>
      <c r="BF210" s="689"/>
      <c r="BG210" s="689"/>
      <c r="BH210" s="727"/>
      <c r="BI210" s="689"/>
      <c r="BJ210" s="689"/>
      <c r="BK210" s="689"/>
      <c r="BL210" s="689"/>
      <c r="BM210" s="689"/>
      <c r="BN210" s="689"/>
      <c r="BO210" s="689">
        <v>10000</v>
      </c>
      <c r="BP210" s="689"/>
      <c r="BQ210" s="689"/>
      <c r="BR210" s="731"/>
      <c r="BS210" s="731"/>
      <c r="BT210" s="731"/>
      <c r="BU210" s="731"/>
      <c r="BV210" s="731"/>
      <c r="BW210" s="731"/>
      <c r="BX210" s="731"/>
      <c r="BY210" s="731">
        <v>1000</v>
      </c>
      <c r="BZ210" s="731">
        <v>500</v>
      </c>
      <c r="CA210" s="718">
        <f t="shared" si="325"/>
        <v>2135.6516</v>
      </c>
      <c r="CB210" s="735"/>
      <c r="CC210" s="731">
        <v>7313.91</v>
      </c>
      <c r="CD210" s="702">
        <f t="shared" si="329"/>
        <v>106782.58</v>
      </c>
      <c r="CE210" s="731">
        <f t="shared" si="331"/>
        <v>26306.5164</v>
      </c>
      <c r="CF210" s="739">
        <f t="shared" si="330"/>
        <v>80476.0636</v>
      </c>
      <c r="CG210" s="742">
        <f t="shared" si="326"/>
        <v>26306.5164</v>
      </c>
      <c r="CH210" s="743" t="e">
        <f>'[6]JACKSON AKPOJARO '!C330*12</f>
        <v>#REF!</v>
      </c>
      <c r="CI210" s="744" t="e">
        <f t="shared" si="332"/>
        <v>#REF!</v>
      </c>
      <c r="CJ210" s="745">
        <f t="shared" si="294"/>
        <v>0</v>
      </c>
      <c r="CK210" s="748" t="e">
        <f t="shared" si="333"/>
        <v>#REF!</v>
      </c>
      <c r="CL210" s="749" t="e">
        <f t="shared" si="334"/>
        <v>#REF!</v>
      </c>
      <c r="CM210" s="744"/>
      <c r="CN210" s="745" t="e">
        <f t="shared" si="335"/>
        <v>#REF!</v>
      </c>
      <c r="CO210" s="745" t="e">
        <f t="shared" si="336"/>
        <v>#REF!</v>
      </c>
      <c r="CP210" s="745" t="e">
        <f t="shared" si="337"/>
        <v>#REF!</v>
      </c>
      <c r="CQ210" s="745" t="e">
        <f t="shared" si="338"/>
        <v>#REF!</v>
      </c>
      <c r="CR210" s="745" t="e">
        <f t="shared" si="339"/>
        <v>#REF!</v>
      </c>
      <c r="CS210" s="745" t="e">
        <f t="shared" si="340"/>
        <v>#REF!</v>
      </c>
      <c r="CT210" s="754" t="e">
        <f t="shared" si="312"/>
        <v>#REF!</v>
      </c>
      <c r="CU210" s="755" t="e">
        <f t="shared" si="313"/>
        <v>#REF!</v>
      </c>
      <c r="CV210" s="756">
        <v>498.29</v>
      </c>
      <c r="CW210" s="757"/>
      <c r="CX210" s="758"/>
      <c r="CY210" s="759"/>
      <c r="CZ210" s="760"/>
      <c r="DA210" s="767"/>
    </row>
    <row r="211" ht="236" customHeight="1" spans="1:105">
      <c r="A211" s="675">
        <v>534</v>
      </c>
      <c r="B211" s="676" t="s">
        <v>1243</v>
      </c>
      <c r="C211" s="677" t="s">
        <v>1533</v>
      </c>
      <c r="D211" s="677" t="s">
        <v>1700</v>
      </c>
      <c r="E211" s="677" t="s">
        <v>93</v>
      </c>
      <c r="F211" s="677" t="s">
        <v>1244</v>
      </c>
      <c r="G211" s="677" t="s">
        <v>1683</v>
      </c>
      <c r="H211" s="679"/>
      <c r="I211" s="681" t="s">
        <v>93</v>
      </c>
      <c r="J211" s="686">
        <v>3043538222</v>
      </c>
      <c r="K211" s="687"/>
      <c r="L211" s="688">
        <f t="shared" si="314"/>
        <v>403057</v>
      </c>
      <c r="M211" s="688" t="e">
        <f>S211-#REF!</f>
        <v>#REF!</v>
      </c>
      <c r="N211" s="689">
        <v>403057</v>
      </c>
      <c r="O211" s="689">
        <v>33588.0833333333</v>
      </c>
      <c r="P211" s="689"/>
      <c r="Q211" s="689">
        <v>8397.02083333333</v>
      </c>
      <c r="R211" s="689">
        <v>42499.98</v>
      </c>
      <c r="S211" s="689">
        <v>89282.58</v>
      </c>
      <c r="T211" s="689"/>
      <c r="U211" s="689"/>
      <c r="V211" s="689"/>
      <c r="W211" s="689"/>
      <c r="X211" s="689"/>
      <c r="Y211" s="689"/>
      <c r="Z211" s="689"/>
      <c r="AA211" s="689"/>
      <c r="AB211" s="689"/>
      <c r="AC211" s="689">
        <v>2500</v>
      </c>
      <c r="AD211" s="689"/>
      <c r="AE211" s="689"/>
      <c r="AF211" s="689"/>
      <c r="AG211" s="689"/>
      <c r="AH211" s="689"/>
      <c r="AI211" s="689"/>
      <c r="AJ211" s="689">
        <v>2500</v>
      </c>
      <c r="AK211" s="689"/>
      <c r="AL211" s="689">
        <v>383.33</v>
      </c>
      <c r="AM211" s="689"/>
      <c r="AN211" s="689"/>
      <c r="AO211" s="689"/>
      <c r="AP211" s="689"/>
      <c r="AQ211" s="689"/>
      <c r="AR211" s="689"/>
      <c r="AS211" s="689"/>
      <c r="AT211" s="689"/>
      <c r="AU211" s="689">
        <f t="shared" si="341"/>
        <v>2678.4774</v>
      </c>
      <c r="AV211" s="689"/>
      <c r="AW211" s="689"/>
      <c r="AX211" s="718"/>
      <c r="AY211" s="718"/>
      <c r="AZ211" s="718"/>
      <c r="BA211" s="689"/>
      <c r="BB211" s="689"/>
      <c r="BC211" s="689"/>
      <c r="BD211" s="719"/>
      <c r="BE211" s="719">
        <v>2189.70168333333</v>
      </c>
      <c r="BF211" s="689"/>
      <c r="BG211" s="689"/>
      <c r="BH211" s="727"/>
      <c r="BI211" s="689"/>
      <c r="BJ211" s="689"/>
      <c r="BK211" s="689"/>
      <c r="BL211" s="689"/>
      <c r="BM211" s="689"/>
      <c r="BN211" s="689"/>
      <c r="BO211" s="689">
        <v>0</v>
      </c>
      <c r="BP211" s="689"/>
      <c r="BQ211" s="689"/>
      <c r="BR211" s="731"/>
      <c r="BS211" s="731"/>
      <c r="BT211" s="731"/>
      <c r="BU211" s="731"/>
      <c r="BV211" s="731"/>
      <c r="BW211" s="731"/>
      <c r="BX211" s="731"/>
      <c r="BY211" s="731">
        <v>1000</v>
      </c>
      <c r="BZ211" s="731">
        <v>500</v>
      </c>
      <c r="CA211" s="718">
        <f t="shared" si="325"/>
        <v>1885.6516</v>
      </c>
      <c r="CB211" s="735"/>
      <c r="CC211" s="731">
        <v>5813.91</v>
      </c>
      <c r="CD211" s="702">
        <f t="shared" si="329"/>
        <v>94282.58</v>
      </c>
      <c r="CE211" s="731">
        <f t="shared" si="331"/>
        <v>14067.7406833333</v>
      </c>
      <c r="CF211" s="739">
        <f t="shared" si="330"/>
        <v>80214.8393166667</v>
      </c>
      <c r="CG211" s="742">
        <f t="shared" si="326"/>
        <v>14067.7406833333</v>
      </c>
      <c r="CH211" s="743" t="e">
        <f>'[6]JACKSON AKPOJARO '!C331*12</f>
        <v>#REF!</v>
      </c>
      <c r="CI211" s="744" t="e">
        <f t="shared" si="332"/>
        <v>#REF!</v>
      </c>
      <c r="CJ211" s="745">
        <f t="shared" si="294"/>
        <v>0</v>
      </c>
      <c r="CK211" s="748" t="e">
        <f t="shared" si="333"/>
        <v>#REF!</v>
      </c>
      <c r="CL211" s="749" t="e">
        <f t="shared" si="334"/>
        <v>#REF!</v>
      </c>
      <c r="CM211" s="744"/>
      <c r="CN211" s="745" t="e">
        <f t="shared" si="335"/>
        <v>#REF!</v>
      </c>
      <c r="CO211" s="745" t="e">
        <f t="shared" si="336"/>
        <v>#REF!</v>
      </c>
      <c r="CP211" s="745" t="e">
        <f t="shared" si="337"/>
        <v>#REF!</v>
      </c>
      <c r="CQ211" s="745" t="e">
        <f t="shared" si="338"/>
        <v>#REF!</v>
      </c>
      <c r="CR211" s="745" t="e">
        <f t="shared" si="339"/>
        <v>#REF!</v>
      </c>
      <c r="CS211" s="745" t="e">
        <f t="shared" si="340"/>
        <v>#REF!</v>
      </c>
      <c r="CT211" s="754" t="e">
        <f t="shared" si="312"/>
        <v>#REF!</v>
      </c>
      <c r="CU211" s="755" t="e">
        <f t="shared" si="313"/>
        <v>#REF!</v>
      </c>
      <c r="CV211" s="756">
        <v>498.29</v>
      </c>
      <c r="CW211" s="757"/>
      <c r="CX211" s="758"/>
      <c r="CY211" s="759"/>
      <c r="CZ211" s="760"/>
      <c r="DA211" s="767"/>
    </row>
    <row r="212" ht="236" customHeight="1" spans="1:105">
      <c r="A212" s="673">
        <v>535</v>
      </c>
      <c r="B212" s="676" t="s">
        <v>1245</v>
      </c>
      <c r="C212" s="677" t="s">
        <v>1533</v>
      </c>
      <c r="D212" s="677" t="s">
        <v>1568</v>
      </c>
      <c r="E212" s="677" t="s">
        <v>113</v>
      </c>
      <c r="F212" s="677">
        <v>2065262058</v>
      </c>
      <c r="G212" s="677" t="s">
        <v>1722</v>
      </c>
      <c r="H212" s="679"/>
      <c r="I212" s="681" t="s">
        <v>113</v>
      </c>
      <c r="J212" s="686">
        <v>2065262058</v>
      </c>
      <c r="K212" s="687"/>
      <c r="L212" s="688"/>
      <c r="M212" s="688" t="e">
        <f>S212-#REF!</f>
        <v>#REF!</v>
      </c>
      <c r="N212" s="689">
        <v>390724</v>
      </c>
      <c r="O212" s="689">
        <v>32560.3333333333</v>
      </c>
      <c r="P212" s="689"/>
      <c r="Q212" s="689">
        <v>8140.08333333333</v>
      </c>
      <c r="R212" s="689">
        <v>42499.98</v>
      </c>
      <c r="S212" s="689">
        <f t="shared" ref="S212:S253" si="343">SUM(O212:R212)</f>
        <v>83200.3966666667</v>
      </c>
      <c r="T212" s="689"/>
      <c r="U212" s="689"/>
      <c r="V212" s="689"/>
      <c r="W212" s="689"/>
      <c r="X212" s="689"/>
      <c r="Y212" s="689"/>
      <c r="Z212" s="689"/>
      <c r="AA212" s="689"/>
      <c r="AB212" s="689"/>
      <c r="AC212" s="689">
        <v>2500</v>
      </c>
      <c r="AD212" s="689"/>
      <c r="AE212" s="689"/>
      <c r="AF212" s="689"/>
      <c r="AG212" s="689"/>
      <c r="AH212" s="689"/>
      <c r="AI212" s="689"/>
      <c r="AJ212" s="689">
        <f>2500</f>
        <v>2500</v>
      </c>
      <c r="AK212" s="689"/>
      <c r="AL212" s="689"/>
      <c r="AM212" s="689"/>
      <c r="AN212" s="689"/>
      <c r="AO212" s="689"/>
      <c r="AP212" s="689"/>
      <c r="AQ212" s="689"/>
      <c r="AR212" s="689"/>
      <c r="AS212" s="689"/>
      <c r="AT212" s="689"/>
      <c r="AU212" s="689">
        <f t="shared" si="341"/>
        <v>2496.0119</v>
      </c>
      <c r="AV212" s="689"/>
      <c r="AW212" s="689"/>
      <c r="AX212" s="718"/>
      <c r="AY212" s="718"/>
      <c r="AZ212" s="718"/>
      <c r="BA212" s="689"/>
      <c r="BB212" s="689"/>
      <c r="BC212" s="689"/>
      <c r="BD212" s="719"/>
      <c r="BE212" s="719">
        <f>S212*0.03</f>
        <v>2496.0119</v>
      </c>
      <c r="BF212" s="689"/>
      <c r="BG212" s="689"/>
      <c r="BH212" s="727"/>
      <c r="BI212" s="689"/>
      <c r="BJ212" s="689"/>
      <c r="BK212" s="689"/>
      <c r="BL212" s="689"/>
      <c r="BM212" s="689"/>
      <c r="BN212" s="689"/>
      <c r="BO212" s="689">
        <v>0</v>
      </c>
      <c r="BP212" s="711"/>
      <c r="BQ212" s="393"/>
      <c r="BR212" s="731"/>
      <c r="BS212" s="731"/>
      <c r="BT212" s="731"/>
      <c r="BU212" s="731"/>
      <c r="BV212" s="731"/>
      <c r="BW212" s="731"/>
      <c r="BX212" s="731"/>
      <c r="BY212" s="731">
        <v>1000</v>
      </c>
      <c r="BZ212" s="731">
        <v>500</v>
      </c>
      <c r="CA212" s="718">
        <f t="shared" si="325"/>
        <v>1764.00793333333</v>
      </c>
      <c r="CB212" s="735"/>
      <c r="CC212" s="731">
        <v>5084.05</v>
      </c>
      <c r="CD212" s="702">
        <f t="shared" si="329"/>
        <v>88200.3966666667</v>
      </c>
      <c r="CE212" s="731">
        <f t="shared" si="331"/>
        <v>13340.0817333333</v>
      </c>
      <c r="CF212" s="739">
        <f t="shared" si="330"/>
        <v>74860.3149333333</v>
      </c>
      <c r="CG212" s="742">
        <f t="shared" si="326"/>
        <v>13340.0817333333</v>
      </c>
      <c r="CH212" s="743"/>
      <c r="CI212" s="744"/>
      <c r="CJ212" s="745"/>
      <c r="CK212" s="748"/>
      <c r="CL212" s="749"/>
      <c r="CM212" s="744"/>
      <c r="CN212" s="745"/>
      <c r="CO212" s="745"/>
      <c r="CP212" s="745"/>
      <c r="CQ212" s="745"/>
      <c r="CR212" s="745"/>
      <c r="CS212" s="745"/>
      <c r="CT212" s="754"/>
      <c r="CU212" s="755"/>
      <c r="CV212" s="756"/>
      <c r="CW212" s="757"/>
      <c r="CX212" s="758"/>
      <c r="CY212" s="759"/>
      <c r="CZ212" s="760"/>
      <c r="DA212" s="767"/>
    </row>
    <row r="213" ht="236" customHeight="1" spans="1:105">
      <c r="A213" s="675">
        <v>536</v>
      </c>
      <c r="B213" s="676" t="s">
        <v>1246</v>
      </c>
      <c r="C213" s="677" t="s">
        <v>1533</v>
      </c>
      <c r="D213" s="677" t="s">
        <v>1682</v>
      </c>
      <c r="E213" s="677" t="s">
        <v>915</v>
      </c>
      <c r="F213" s="1452" t="s">
        <v>1247</v>
      </c>
      <c r="G213" s="677" t="s">
        <v>1685</v>
      </c>
      <c r="H213" s="679"/>
      <c r="I213" s="879" t="s">
        <v>1723</v>
      </c>
      <c r="J213" s="880"/>
      <c r="K213" s="687"/>
      <c r="L213" s="688"/>
      <c r="M213" s="688"/>
      <c r="N213" s="689">
        <f>N211</f>
        <v>403057</v>
      </c>
      <c r="O213" s="689">
        <v>33588.0833333333</v>
      </c>
      <c r="P213" s="689"/>
      <c r="Q213" s="689">
        <v>8397.02083333333</v>
      </c>
      <c r="R213" s="689">
        <v>42499.98</v>
      </c>
      <c r="S213" s="689">
        <v>85769.83</v>
      </c>
      <c r="T213" s="689"/>
      <c r="U213" s="689"/>
      <c r="V213" s="689"/>
      <c r="W213" s="689"/>
      <c r="X213" s="689"/>
      <c r="Y213" s="689"/>
      <c r="Z213" s="689"/>
      <c r="AA213" s="689"/>
      <c r="AB213" s="689"/>
      <c r="AC213" s="689">
        <f>2500</f>
        <v>2500</v>
      </c>
      <c r="AD213" s="689"/>
      <c r="AE213" s="689"/>
      <c r="AF213" s="689"/>
      <c r="AG213" s="689"/>
      <c r="AH213" s="689"/>
      <c r="AI213" s="689"/>
      <c r="AJ213" s="689">
        <f>2500</f>
        <v>2500</v>
      </c>
      <c r="AK213" s="689"/>
      <c r="AL213" s="689"/>
      <c r="AM213" s="689"/>
      <c r="AN213" s="689"/>
      <c r="AO213" s="689"/>
      <c r="AP213" s="689"/>
      <c r="AQ213" s="689"/>
      <c r="AR213" s="689"/>
      <c r="AS213" s="689"/>
      <c r="AT213" s="689"/>
      <c r="AU213" s="689">
        <f t="shared" si="341"/>
        <v>2573.0949</v>
      </c>
      <c r="AV213" s="689"/>
      <c r="AW213" s="689"/>
      <c r="AX213" s="718"/>
      <c r="AY213" s="718"/>
      <c r="AZ213" s="718"/>
      <c r="BA213" s="689"/>
      <c r="BB213" s="689"/>
      <c r="BC213" s="689"/>
      <c r="BD213" s="719"/>
      <c r="BE213" s="719">
        <f t="shared" si="328"/>
        <v>2573.0949</v>
      </c>
      <c r="BF213" s="689"/>
      <c r="BG213" s="689"/>
      <c r="BH213" s="727"/>
      <c r="BI213" s="689"/>
      <c r="BJ213" s="689"/>
      <c r="BK213" s="689"/>
      <c r="BL213" s="689"/>
      <c r="BM213" s="689"/>
      <c r="BN213" s="689"/>
      <c r="BO213" s="689">
        <v>0</v>
      </c>
      <c r="BP213" s="689"/>
      <c r="BQ213" s="689"/>
      <c r="BR213" s="731"/>
      <c r="BS213" s="731"/>
      <c r="BT213" s="731"/>
      <c r="BU213" s="731"/>
      <c r="BV213" s="731"/>
      <c r="BW213" s="731"/>
      <c r="BX213" s="731"/>
      <c r="BY213" s="731">
        <v>1000</v>
      </c>
      <c r="BZ213" s="731">
        <v>500</v>
      </c>
      <c r="CA213" s="718">
        <f t="shared" si="325"/>
        <v>1815.3966</v>
      </c>
      <c r="CB213" s="735"/>
      <c r="CC213" s="731">
        <v>5392.38</v>
      </c>
      <c r="CD213" s="702">
        <f t="shared" si="329"/>
        <v>90769.83</v>
      </c>
      <c r="CE213" s="731">
        <f t="shared" si="331"/>
        <v>13853.9664</v>
      </c>
      <c r="CF213" s="739">
        <f t="shared" si="330"/>
        <v>76915.8636</v>
      </c>
      <c r="CG213" s="742">
        <f t="shared" si="326"/>
        <v>13853.9664</v>
      </c>
      <c r="CH213" s="743"/>
      <c r="CI213" s="744"/>
      <c r="CJ213" s="745"/>
      <c r="CK213" s="748"/>
      <c r="CL213" s="749"/>
      <c r="CM213" s="744"/>
      <c r="CN213" s="745"/>
      <c r="CO213" s="745"/>
      <c r="CP213" s="745"/>
      <c r="CQ213" s="745"/>
      <c r="CR213" s="745"/>
      <c r="CS213" s="745"/>
      <c r="CT213" s="754"/>
      <c r="CU213" s="755"/>
      <c r="CV213" s="756"/>
      <c r="CW213" s="757"/>
      <c r="CX213" s="758"/>
      <c r="CY213" s="759"/>
      <c r="CZ213" s="760"/>
      <c r="DA213" s="767"/>
    </row>
    <row r="214" ht="236" customHeight="1" spans="1:105">
      <c r="A214" s="673">
        <v>537</v>
      </c>
      <c r="B214" s="676" t="s">
        <v>1248</v>
      </c>
      <c r="C214" s="677" t="s">
        <v>1533</v>
      </c>
      <c r="D214" s="677" t="s">
        <v>1650</v>
      </c>
      <c r="E214" s="677" t="s">
        <v>113</v>
      </c>
      <c r="F214" s="677" t="s">
        <v>1249</v>
      </c>
      <c r="G214" s="677" t="s">
        <v>1625</v>
      </c>
      <c r="H214" s="679"/>
      <c r="I214" s="881" t="s">
        <v>113</v>
      </c>
      <c r="J214" s="882">
        <v>2038742420</v>
      </c>
      <c r="K214" s="687"/>
      <c r="L214" s="688" t="e">
        <f>#REF!*12</f>
        <v>#REF!</v>
      </c>
      <c r="M214" s="688" t="e">
        <f>S214-#REF!</f>
        <v>#REF!</v>
      </c>
      <c r="N214" s="689"/>
      <c r="O214" s="689">
        <v>30000</v>
      </c>
      <c r="P214" s="689"/>
      <c r="Q214" s="689">
        <v>7500</v>
      </c>
      <c r="R214" s="689">
        <v>42500</v>
      </c>
      <c r="S214" s="689">
        <f t="shared" si="343"/>
        <v>80000</v>
      </c>
      <c r="T214" s="689"/>
      <c r="U214" s="689"/>
      <c r="V214" s="689"/>
      <c r="W214" s="689"/>
      <c r="X214" s="689"/>
      <c r="Y214" s="689"/>
      <c r="Z214" s="689"/>
      <c r="AA214" s="689"/>
      <c r="AB214" s="689"/>
      <c r="AC214" s="689">
        <v>2500</v>
      </c>
      <c r="AD214" s="689"/>
      <c r="AE214" s="689"/>
      <c r="AF214" s="689"/>
      <c r="AG214" s="689"/>
      <c r="AH214" s="689"/>
      <c r="AI214" s="689"/>
      <c r="AJ214" s="689">
        <v>2500</v>
      </c>
      <c r="AK214" s="689"/>
      <c r="AL214" s="689">
        <v>383.33</v>
      </c>
      <c r="AM214" s="689"/>
      <c r="AN214" s="689"/>
      <c r="AO214" s="689"/>
      <c r="AP214" s="689"/>
      <c r="AQ214" s="689"/>
      <c r="AR214" s="689"/>
      <c r="AS214" s="689"/>
      <c r="AT214" s="689"/>
      <c r="AU214" s="689">
        <f t="shared" si="341"/>
        <v>2400</v>
      </c>
      <c r="AV214" s="689"/>
      <c r="AW214" s="689"/>
      <c r="AX214" s="718"/>
      <c r="AY214" s="718"/>
      <c r="AZ214" s="718"/>
      <c r="BA214" s="689"/>
      <c r="BB214" s="689"/>
      <c r="BC214" s="689"/>
      <c r="BD214" s="719"/>
      <c r="BE214" s="719">
        <f t="shared" si="328"/>
        <v>2400</v>
      </c>
      <c r="BF214" s="689"/>
      <c r="BG214" s="689"/>
      <c r="BH214" s="727"/>
      <c r="BI214" s="689"/>
      <c r="BJ214" s="689"/>
      <c r="BK214" s="689"/>
      <c r="BL214" s="689"/>
      <c r="BM214" s="689"/>
      <c r="BN214" s="689"/>
      <c r="BO214" s="689">
        <v>0</v>
      </c>
      <c r="BP214" s="689"/>
      <c r="BQ214" s="689"/>
      <c r="BR214" s="731"/>
      <c r="BS214" s="731"/>
      <c r="BT214" s="731"/>
      <c r="BU214" s="731"/>
      <c r="BV214" s="731"/>
      <c r="BW214" s="731"/>
      <c r="BX214" s="731">
        <v>5000</v>
      </c>
      <c r="BY214" s="731">
        <v>1000</v>
      </c>
      <c r="BZ214" s="731">
        <v>500</v>
      </c>
      <c r="CA214" s="718">
        <f t="shared" si="325"/>
        <v>1700</v>
      </c>
      <c r="CB214" s="735"/>
      <c r="CC214" s="731">
        <v>4700</v>
      </c>
      <c r="CD214" s="702">
        <f t="shared" si="329"/>
        <v>85000</v>
      </c>
      <c r="CE214" s="731">
        <f t="shared" si="331"/>
        <v>17700</v>
      </c>
      <c r="CF214" s="739">
        <f t="shared" si="330"/>
        <v>67300</v>
      </c>
      <c r="CG214" s="742">
        <f t="shared" si="326"/>
        <v>17700</v>
      </c>
      <c r="CH214" s="743" t="e">
        <f>'[6]JACKSON AKPOJARO '!C334*12</f>
        <v>#REF!</v>
      </c>
      <c r="CI214" s="744" t="e">
        <f t="shared" si="332"/>
        <v>#REF!</v>
      </c>
      <c r="CJ214" s="745">
        <f>CB214*12</f>
        <v>0</v>
      </c>
      <c r="CK214" s="748" t="e">
        <f t="shared" si="333"/>
        <v>#REF!</v>
      </c>
      <c r="CL214" s="749" t="e">
        <f t="shared" si="334"/>
        <v>#REF!</v>
      </c>
      <c r="CM214" s="744"/>
      <c r="CN214" s="745" t="e">
        <f t="shared" si="335"/>
        <v>#REF!</v>
      </c>
      <c r="CO214" s="745" t="e">
        <f t="shared" si="336"/>
        <v>#REF!</v>
      </c>
      <c r="CP214" s="745" t="e">
        <f t="shared" si="337"/>
        <v>#REF!</v>
      </c>
      <c r="CQ214" s="745" t="e">
        <f t="shared" si="338"/>
        <v>#REF!</v>
      </c>
      <c r="CR214" s="745" t="e">
        <f t="shared" si="339"/>
        <v>#REF!</v>
      </c>
      <c r="CS214" s="745" t="e">
        <f t="shared" si="340"/>
        <v>#REF!</v>
      </c>
      <c r="CT214" s="754" t="e">
        <f>1%*CH214</f>
        <v>#REF!</v>
      </c>
      <c r="CU214" s="755" t="e">
        <f>MAX(CT214:CT214)</f>
        <v>#REF!</v>
      </c>
      <c r="CV214" s="756">
        <v>498.29</v>
      </c>
      <c r="CW214" s="757"/>
      <c r="CX214" s="758"/>
      <c r="CY214" s="759"/>
      <c r="CZ214" s="760"/>
      <c r="DA214" s="767"/>
    </row>
    <row r="215" ht="236" customHeight="1" spans="1:105">
      <c r="A215" s="675">
        <v>538</v>
      </c>
      <c r="B215" s="676" t="s">
        <v>1250</v>
      </c>
      <c r="C215" s="677" t="s">
        <v>194</v>
      </c>
      <c r="D215" s="677" t="s">
        <v>1724</v>
      </c>
      <c r="E215" s="677" t="s">
        <v>113</v>
      </c>
      <c r="F215" s="677" t="s">
        <v>1251</v>
      </c>
      <c r="G215" s="677" t="s">
        <v>1615</v>
      </c>
      <c r="H215" s="679"/>
      <c r="I215" s="681" t="s">
        <v>113</v>
      </c>
      <c r="J215" s="686">
        <v>2054280401</v>
      </c>
      <c r="K215" s="687"/>
      <c r="L215" s="688">
        <v>1385795</v>
      </c>
      <c r="M215" s="688" t="e">
        <f>S215-#REF!</f>
        <v>#REF!</v>
      </c>
      <c r="N215" s="689">
        <v>1510386</v>
      </c>
      <c r="O215" s="689">
        <v>125865.5</v>
      </c>
      <c r="P215" s="689"/>
      <c r="Q215" s="689">
        <v>31466.375</v>
      </c>
      <c r="R215" s="689">
        <v>30000</v>
      </c>
      <c r="S215" s="689">
        <v>192576.5</v>
      </c>
      <c r="T215" s="689">
        <f>S215*0.11</f>
        <v>21183.415</v>
      </c>
      <c r="U215" s="689"/>
      <c r="V215" s="689"/>
      <c r="W215" s="689"/>
      <c r="X215" s="689"/>
      <c r="Y215" s="689">
        <v>25000</v>
      </c>
      <c r="Z215" s="689"/>
      <c r="AA215" s="689"/>
      <c r="AB215" s="689"/>
      <c r="AC215" s="689">
        <v>2500</v>
      </c>
      <c r="AD215" s="689"/>
      <c r="AE215" s="689"/>
      <c r="AF215" s="689"/>
      <c r="AG215" s="689"/>
      <c r="AH215" s="689"/>
      <c r="AI215" s="689"/>
      <c r="AJ215" s="689">
        <v>2500</v>
      </c>
      <c r="AK215" s="689"/>
      <c r="AL215" s="689">
        <v>383.33</v>
      </c>
      <c r="AM215" s="689"/>
      <c r="AN215" s="689"/>
      <c r="AO215" s="689"/>
      <c r="AP215" s="689"/>
      <c r="AQ215" s="689"/>
      <c r="AR215" s="689"/>
      <c r="AS215" s="689"/>
      <c r="AT215" s="689"/>
      <c r="AU215" s="689">
        <f t="shared" ref="AU215:AU260" si="344">S215*0.04</f>
        <v>7703.06</v>
      </c>
      <c r="AV215" s="689"/>
      <c r="AW215" s="689"/>
      <c r="AX215" s="718">
        <f>S215*0.02</f>
        <v>3851.53</v>
      </c>
      <c r="AY215" s="718"/>
      <c r="AZ215" s="718"/>
      <c r="BA215" s="689"/>
      <c r="BB215" s="689"/>
      <c r="BC215" s="689"/>
      <c r="BD215" s="719"/>
      <c r="BE215" s="719"/>
      <c r="BF215" s="689"/>
      <c r="BG215" s="689"/>
      <c r="BH215" s="727"/>
      <c r="BI215" s="689"/>
      <c r="BJ215" s="689"/>
      <c r="BK215" s="689"/>
      <c r="BL215" s="689"/>
      <c r="BM215" s="689"/>
      <c r="BN215" s="689"/>
      <c r="BO215" s="689">
        <v>15000</v>
      </c>
      <c r="BP215" s="689"/>
      <c r="BQ215" s="689"/>
      <c r="BR215" s="731"/>
      <c r="BS215" s="731"/>
      <c r="BT215" s="731"/>
      <c r="BU215" s="731"/>
      <c r="BV215" s="731"/>
      <c r="BW215" s="731"/>
      <c r="BX215" s="731">
        <v>5000</v>
      </c>
      <c r="BY215" s="731">
        <v>2000</v>
      </c>
      <c r="BZ215" s="731">
        <v>1000</v>
      </c>
      <c r="CA215" s="718">
        <f t="shared" si="325"/>
        <v>4875.1983</v>
      </c>
      <c r="CB215" s="735"/>
      <c r="CC215" s="731">
        <v>28118.33</v>
      </c>
      <c r="CD215" s="702">
        <f t="shared" si="329"/>
        <v>243759.915</v>
      </c>
      <c r="CE215" s="731">
        <f t="shared" si="331"/>
        <v>67548.1183</v>
      </c>
      <c r="CF215" s="739">
        <f t="shared" si="330"/>
        <v>176211.7967</v>
      </c>
      <c r="CG215" s="742">
        <f t="shared" si="326"/>
        <v>67548.1183</v>
      </c>
      <c r="CH215" s="743" t="e">
        <f>'[6]JACKSON AKPOJARO '!C335*12</f>
        <v>#REF!</v>
      </c>
      <c r="CI215" s="744" t="e">
        <f t="shared" si="332"/>
        <v>#REF!</v>
      </c>
      <c r="CJ215" s="745">
        <f>CB215*12</f>
        <v>0</v>
      </c>
      <c r="CK215" s="748" t="e">
        <f t="shared" si="333"/>
        <v>#REF!</v>
      </c>
      <c r="CL215" s="749" t="e">
        <f t="shared" si="334"/>
        <v>#REF!</v>
      </c>
      <c r="CM215" s="744"/>
      <c r="CN215" s="745" t="e">
        <f t="shared" si="335"/>
        <v>#REF!</v>
      </c>
      <c r="CO215" s="745" t="e">
        <f t="shared" si="336"/>
        <v>#REF!</v>
      </c>
      <c r="CP215" s="745" t="e">
        <f t="shared" si="337"/>
        <v>#REF!</v>
      </c>
      <c r="CQ215" s="745" t="e">
        <f t="shared" si="338"/>
        <v>#REF!</v>
      </c>
      <c r="CR215" s="745" t="e">
        <f t="shared" si="339"/>
        <v>#REF!</v>
      </c>
      <c r="CS215" s="745" t="e">
        <f t="shared" si="340"/>
        <v>#REF!</v>
      </c>
      <c r="CT215" s="754" t="e">
        <f>1%*CH215</f>
        <v>#REF!</v>
      </c>
      <c r="CU215" s="755" t="e">
        <f>MAX(CT215:CT215)</f>
        <v>#REF!</v>
      </c>
      <c r="CV215" s="756">
        <f>CC215</f>
        <v>28118.33</v>
      </c>
      <c r="CW215" s="757"/>
      <c r="CX215" s="758"/>
      <c r="CY215" s="759"/>
      <c r="CZ215" s="760"/>
      <c r="DA215" s="767"/>
    </row>
    <row r="216" ht="236" customHeight="1" spans="1:105">
      <c r="A216" s="673">
        <v>539</v>
      </c>
      <c r="B216" s="676" t="s">
        <v>1252</v>
      </c>
      <c r="C216" s="677" t="s">
        <v>194</v>
      </c>
      <c r="D216" s="677" t="s">
        <v>1725</v>
      </c>
      <c r="E216" s="677" t="s">
        <v>313</v>
      </c>
      <c r="F216" s="677">
        <v>1006003562</v>
      </c>
      <c r="G216" s="677" t="s">
        <v>1586</v>
      </c>
      <c r="H216" s="679"/>
      <c r="I216" s="33" t="s">
        <v>313</v>
      </c>
      <c r="J216" s="33">
        <v>1006003562</v>
      </c>
      <c r="K216" s="687"/>
      <c r="L216" s="688"/>
      <c r="M216" s="688"/>
      <c r="N216" s="689">
        <v>1189120</v>
      </c>
      <c r="O216" s="689">
        <v>108353.166666667</v>
      </c>
      <c r="P216" s="689"/>
      <c r="Q216" s="689">
        <v>27088.2916666667</v>
      </c>
      <c r="R216" s="689">
        <v>30000</v>
      </c>
      <c r="S216" s="689">
        <v>174353.67</v>
      </c>
      <c r="T216" s="689"/>
      <c r="U216" s="689"/>
      <c r="V216" s="689"/>
      <c r="W216" s="689"/>
      <c r="X216" s="689"/>
      <c r="Y216" s="689"/>
      <c r="Z216" s="689"/>
      <c r="AA216" s="689"/>
      <c r="AB216" s="689"/>
      <c r="AC216" s="689">
        <v>2500</v>
      </c>
      <c r="AD216" s="689"/>
      <c r="AE216" s="689"/>
      <c r="AF216" s="689"/>
      <c r="AG216" s="689"/>
      <c r="AH216" s="689"/>
      <c r="AI216" s="689"/>
      <c r="AJ216" s="689">
        <v>2500</v>
      </c>
      <c r="AK216" s="689"/>
      <c r="AL216" s="689">
        <v>383.33</v>
      </c>
      <c r="AM216" s="689"/>
      <c r="AN216" s="689"/>
      <c r="AO216" s="689"/>
      <c r="AP216" s="689"/>
      <c r="AQ216" s="689"/>
      <c r="AR216" s="689"/>
      <c r="AS216" s="689"/>
      <c r="AT216" s="689"/>
      <c r="AU216" s="689">
        <f t="shared" si="344"/>
        <v>6974.1468</v>
      </c>
      <c r="AV216" s="689"/>
      <c r="AW216" s="689"/>
      <c r="AX216" s="718">
        <f t="shared" ref="AX216:AX219" si="345">S216*0.02</f>
        <v>3487.0734</v>
      </c>
      <c r="AY216" s="718"/>
      <c r="AZ216" s="718"/>
      <c r="BA216" s="689"/>
      <c r="BB216" s="689"/>
      <c r="BC216" s="689"/>
      <c r="BD216" s="719"/>
      <c r="BE216" s="719"/>
      <c r="BF216" s="689"/>
      <c r="BG216" s="689"/>
      <c r="BH216" s="727"/>
      <c r="BI216" s="689"/>
      <c r="BJ216" s="689"/>
      <c r="BK216" s="689"/>
      <c r="BL216" s="689"/>
      <c r="BM216" s="689"/>
      <c r="BN216" s="689"/>
      <c r="BO216" s="689"/>
      <c r="BP216" s="689"/>
      <c r="BQ216" s="689"/>
      <c r="BR216" s="731"/>
      <c r="BS216" s="731"/>
      <c r="BT216" s="731">
        <v>49800</v>
      </c>
      <c r="BU216" s="731"/>
      <c r="BV216" s="731"/>
      <c r="BW216" s="731"/>
      <c r="BX216" s="731">
        <v>5000</v>
      </c>
      <c r="BY216" s="731"/>
      <c r="BZ216" s="731">
        <v>1000</v>
      </c>
      <c r="CA216" s="718">
        <f t="shared" si="325"/>
        <v>3587.0734</v>
      </c>
      <c r="CB216" s="735"/>
      <c r="CC216" s="731">
        <v>17428.42</v>
      </c>
      <c r="CD216" s="702">
        <f t="shared" si="329"/>
        <v>179353.67</v>
      </c>
      <c r="CE216" s="731">
        <f t="shared" si="331"/>
        <v>87276.7136</v>
      </c>
      <c r="CF216" s="739">
        <f t="shared" si="330"/>
        <v>92076.9564</v>
      </c>
      <c r="CG216" s="742">
        <f t="shared" si="326"/>
        <v>87276.7136</v>
      </c>
      <c r="CH216" s="743" t="e">
        <f>'[6]JACKSON AKPOJARO '!C336*12</f>
        <v>#REF!</v>
      </c>
      <c r="CI216" s="744" t="e">
        <f t="shared" ref="CI216" si="346">200000+(0.2*CH216)</f>
        <v>#REF!</v>
      </c>
      <c r="CJ216" s="745">
        <f>CB216*12</f>
        <v>0</v>
      </c>
      <c r="CK216" s="748" t="e">
        <f t="shared" ref="CK216" si="347">SUM(CI216:CJ216)</f>
        <v>#REF!</v>
      </c>
      <c r="CL216" s="749" t="e">
        <f t="shared" ref="CL216" si="348">+CH216-CK216</f>
        <v>#REF!</v>
      </c>
      <c r="CM216" s="744"/>
      <c r="CN216" s="745" t="e">
        <f t="shared" ref="CN216" si="349">IF((CL216&gt;0),(IF((CL216&gt;300000),(300000*7%),(CL216*7%))),(CH216*1%))</f>
        <v>#REF!</v>
      </c>
      <c r="CO216" s="745" t="e">
        <f t="shared" ref="CO216" si="350">IF((CL216-300000)&gt;0,(IF((CL216&gt;600000),(300000*11%),((CL216-300000)*11%))),(""))</f>
        <v>#REF!</v>
      </c>
      <c r="CP216" s="745" t="e">
        <f t="shared" ref="CP216" si="351">IF(((CL216-600000)&gt;0),(IF((CL216&gt;1100000),(500000*15%),((CL216-600000)*15%))),(""))</f>
        <v>#REF!</v>
      </c>
      <c r="CQ216" s="745" t="e">
        <f t="shared" ref="CQ216" si="352">IF(((CL216-(1100000))&gt;0),(IF((CL216&gt;(1600000)),((500000)*19%),((CL216-(1100000))*19%))),(""))</f>
        <v>#REF!</v>
      </c>
      <c r="CR216" s="745" t="e">
        <f t="shared" ref="CR216" si="353">IF(((CL216-(1600000))&gt;0),(IF((CL216&gt;(3200000)),((1600000)*21%),((CL216-(1600000))*21%))),(""))</f>
        <v>#REF!</v>
      </c>
      <c r="CS216" s="745" t="e">
        <f t="shared" ref="CS216" si="354">IF(((CL216-(3200000))&gt;0),(IF((CL216&gt;(3200000)),((CL216-(3200000))*24%),(0))),(""))</f>
        <v>#REF!</v>
      </c>
      <c r="CT216" s="754"/>
      <c r="CU216" s="755"/>
      <c r="CV216" s="756"/>
      <c r="CW216" s="757"/>
      <c r="CX216" s="758"/>
      <c r="CY216" s="759"/>
      <c r="CZ216" s="760"/>
      <c r="DA216" s="767"/>
    </row>
    <row r="217" ht="236" customHeight="1" spans="1:105">
      <c r="A217" s="675">
        <v>540</v>
      </c>
      <c r="B217" s="676" t="s">
        <v>1253</v>
      </c>
      <c r="C217" s="677" t="s">
        <v>1594</v>
      </c>
      <c r="D217" s="677" t="s">
        <v>1726</v>
      </c>
      <c r="E217" s="677" t="s">
        <v>113</v>
      </c>
      <c r="F217" s="677" t="s">
        <v>1254</v>
      </c>
      <c r="G217" s="681" t="s">
        <v>1727</v>
      </c>
      <c r="H217" s="874">
        <v>2193804682</v>
      </c>
      <c r="I217" s="681" t="s">
        <v>165</v>
      </c>
      <c r="J217" s="686">
        <v>2193804682</v>
      </c>
      <c r="K217" s="687"/>
      <c r="L217" s="688"/>
      <c r="M217" s="688"/>
      <c r="N217" s="689">
        <v>1300238</v>
      </c>
      <c r="O217" s="689">
        <v>108353.166666667</v>
      </c>
      <c r="P217" s="689"/>
      <c r="Q217" s="689">
        <v>27088.2916666667</v>
      </c>
      <c r="R217" s="689">
        <v>30000</v>
      </c>
      <c r="S217" s="689">
        <v>124587.1875</v>
      </c>
      <c r="T217" s="689"/>
      <c r="U217" s="689"/>
      <c r="V217" s="689"/>
      <c r="W217" s="689"/>
      <c r="X217" s="689"/>
      <c r="Y217" s="689"/>
      <c r="Z217" s="689"/>
      <c r="AA217" s="689"/>
      <c r="AB217" s="689"/>
      <c r="AC217" s="689">
        <v>2500</v>
      </c>
      <c r="AD217" s="689"/>
      <c r="AE217" s="689"/>
      <c r="AF217" s="689"/>
      <c r="AG217" s="689"/>
      <c r="AH217" s="689"/>
      <c r="AI217" s="689"/>
      <c r="AJ217" s="689">
        <v>2500</v>
      </c>
      <c r="AK217" s="689"/>
      <c r="AL217" s="689">
        <v>383.33</v>
      </c>
      <c r="AM217" s="689"/>
      <c r="AN217" s="689"/>
      <c r="AO217" s="689"/>
      <c r="AP217" s="689"/>
      <c r="AQ217" s="689"/>
      <c r="AR217" s="689"/>
      <c r="AS217" s="689"/>
      <c r="AT217" s="689"/>
      <c r="AU217" s="689">
        <f>S217*0.03</f>
        <v>3737.615625</v>
      </c>
      <c r="AV217" s="689"/>
      <c r="AW217" s="689"/>
      <c r="AX217" s="718">
        <f t="shared" si="345"/>
        <v>2491.74375</v>
      </c>
      <c r="AY217" s="718"/>
      <c r="AZ217" s="718"/>
      <c r="BA217" s="689"/>
      <c r="BB217" s="689"/>
      <c r="BC217" s="689"/>
      <c r="BD217" s="719"/>
      <c r="BE217" s="719">
        <f t="shared" si="328"/>
        <v>3737.615625</v>
      </c>
      <c r="BF217" s="689"/>
      <c r="BG217" s="689"/>
      <c r="BH217" s="727"/>
      <c r="BI217" s="689"/>
      <c r="BJ217" s="689"/>
      <c r="BK217" s="689"/>
      <c r="BL217" s="689"/>
      <c r="BM217" s="689"/>
      <c r="BN217" s="689"/>
      <c r="BO217" s="689">
        <v>0</v>
      </c>
      <c r="BP217" s="689"/>
      <c r="BQ217" s="689"/>
      <c r="BR217" s="731"/>
      <c r="BS217" s="731"/>
      <c r="BT217" s="731"/>
      <c r="BU217" s="731"/>
      <c r="BV217" s="731"/>
      <c r="BW217" s="731"/>
      <c r="BX217" s="731"/>
      <c r="BY217" s="731"/>
      <c r="BZ217" s="731">
        <v>1000</v>
      </c>
      <c r="CA217" s="718">
        <f t="shared" ref="CA217" si="355">CD217*0.02</f>
        <v>2591.74375</v>
      </c>
      <c r="CB217" s="735"/>
      <c r="CC217" s="731">
        <v>10050.4625</v>
      </c>
      <c r="CD217" s="702">
        <f t="shared" si="329"/>
        <v>129587.1875</v>
      </c>
      <c r="CE217" s="731">
        <f t="shared" si="331"/>
        <v>23609.18125</v>
      </c>
      <c r="CF217" s="739">
        <f t="shared" si="330"/>
        <v>105978.00625</v>
      </c>
      <c r="CG217" s="742">
        <f t="shared" si="326"/>
        <v>23609.18125</v>
      </c>
      <c r="CH217" s="743"/>
      <c r="CI217" s="744"/>
      <c r="CJ217" s="745"/>
      <c r="CK217" s="748"/>
      <c r="CL217" s="749"/>
      <c r="CM217" s="744"/>
      <c r="CN217" s="745"/>
      <c r="CO217" s="745"/>
      <c r="CP217" s="745"/>
      <c r="CQ217" s="745"/>
      <c r="CR217" s="745"/>
      <c r="CS217" s="745"/>
      <c r="CT217" s="754"/>
      <c r="CU217" s="755"/>
      <c r="CV217" s="756"/>
      <c r="CW217" s="757"/>
      <c r="CX217" s="758"/>
      <c r="CY217" s="759"/>
      <c r="CZ217" s="760"/>
      <c r="DA217" s="767"/>
    </row>
    <row r="218" ht="236" customHeight="1" spans="1:105">
      <c r="A218" s="673">
        <v>541</v>
      </c>
      <c r="B218" s="676" t="s">
        <v>1255</v>
      </c>
      <c r="C218" s="677" t="s">
        <v>1527</v>
      </c>
      <c r="D218" s="677" t="s">
        <v>1728</v>
      </c>
      <c r="E218" s="677" t="s">
        <v>93</v>
      </c>
      <c r="F218" s="677">
        <v>3053649972</v>
      </c>
      <c r="G218" s="681" t="s">
        <v>1585</v>
      </c>
      <c r="H218" s="874">
        <v>3053649972</v>
      </c>
      <c r="I218" s="681" t="s">
        <v>93</v>
      </c>
      <c r="J218" s="686">
        <v>3053649972</v>
      </c>
      <c r="K218" s="687"/>
      <c r="L218" s="688"/>
      <c r="M218" s="688"/>
      <c r="N218" s="689">
        <v>1343017</v>
      </c>
      <c r="O218" s="689">
        <v>111918.083333333</v>
      </c>
      <c r="P218" s="689"/>
      <c r="Q218" s="689">
        <v>27979.5208333333</v>
      </c>
      <c r="R218" s="689">
        <v>30000</v>
      </c>
      <c r="S218" s="689">
        <v>169897.58</v>
      </c>
      <c r="T218" s="689"/>
      <c r="U218" s="689"/>
      <c r="V218" s="689"/>
      <c r="W218" s="689"/>
      <c r="X218" s="689"/>
      <c r="Y218" s="689"/>
      <c r="Z218" s="689"/>
      <c r="AA218" s="689"/>
      <c r="AB218" s="689"/>
      <c r="AC218" s="689">
        <v>2500</v>
      </c>
      <c r="AD218" s="689"/>
      <c r="AE218" s="689"/>
      <c r="AF218" s="689"/>
      <c r="AG218" s="689"/>
      <c r="AH218" s="689"/>
      <c r="AI218" s="689"/>
      <c r="AJ218" s="689">
        <v>2500</v>
      </c>
      <c r="AK218" s="689"/>
      <c r="AL218" s="689">
        <v>383.33</v>
      </c>
      <c r="AM218" s="689"/>
      <c r="AN218" s="689"/>
      <c r="AO218" s="689"/>
      <c r="AP218" s="689"/>
      <c r="AQ218" s="689"/>
      <c r="AR218" s="689"/>
      <c r="AS218" s="689"/>
      <c r="AT218" s="689"/>
      <c r="AU218" s="689">
        <f t="shared" si="344"/>
        <v>6795.9032</v>
      </c>
      <c r="AV218" s="689"/>
      <c r="AW218" s="689"/>
      <c r="AX218" s="718">
        <f t="shared" si="345"/>
        <v>3397.9516</v>
      </c>
      <c r="AY218" s="718"/>
      <c r="AZ218" s="718"/>
      <c r="BA218" s="689"/>
      <c r="BB218" s="689"/>
      <c r="BC218" s="689"/>
      <c r="BD218" s="719"/>
      <c r="BE218" s="719"/>
      <c r="BF218" s="689"/>
      <c r="BG218" s="689"/>
      <c r="BH218" s="727"/>
      <c r="BI218" s="689"/>
      <c r="BJ218" s="689"/>
      <c r="BK218" s="689"/>
      <c r="BL218" s="689"/>
      <c r="BM218" s="689"/>
      <c r="BN218" s="689"/>
      <c r="BO218" s="689">
        <v>20000</v>
      </c>
      <c r="BP218" s="689"/>
      <c r="BQ218" s="689"/>
      <c r="BR218" s="731"/>
      <c r="BS218" s="731"/>
      <c r="BT218" s="731"/>
      <c r="BU218" s="731"/>
      <c r="BV218" s="731"/>
      <c r="BW218" s="731"/>
      <c r="BX218" s="731"/>
      <c r="BY218" s="731">
        <v>2000</v>
      </c>
      <c r="BZ218" s="731">
        <v>1000</v>
      </c>
      <c r="CA218" s="718">
        <f t="shared" si="325"/>
        <v>3497.9516</v>
      </c>
      <c r="CB218" s="735"/>
      <c r="CC218" s="731">
        <v>16751.1</v>
      </c>
      <c r="CD218" s="702">
        <f t="shared" si="329"/>
        <v>174897.58</v>
      </c>
      <c r="CE218" s="731">
        <f t="shared" si="331"/>
        <v>53442.9064</v>
      </c>
      <c r="CF218" s="739">
        <f t="shared" si="330"/>
        <v>121454.6736</v>
      </c>
      <c r="CG218" s="742">
        <f t="shared" si="326"/>
        <v>53442.9064</v>
      </c>
      <c r="CH218" s="743" t="e">
        <f>'[6]JACKSON AKPOJARO '!C339*12</f>
        <v>#REF!</v>
      </c>
      <c r="CI218" s="744" t="e">
        <f t="shared" ref="CI218" si="356">200000+(0.2*CH218)</f>
        <v>#REF!</v>
      </c>
      <c r="CJ218" s="745">
        <f>CB218*12</f>
        <v>0</v>
      </c>
      <c r="CK218" s="748" t="e">
        <f t="shared" ref="CK218" si="357">SUM(CI218:CJ218)</f>
        <v>#REF!</v>
      </c>
      <c r="CL218" s="749" t="e">
        <f t="shared" ref="CL218" si="358">+CH218-CK218</f>
        <v>#REF!</v>
      </c>
      <c r="CM218" s="744"/>
      <c r="CN218" s="745" t="e">
        <f t="shared" ref="CN218" si="359">IF((CL218&gt;0),(IF((CL218&gt;300000),(300000*7%),(CL218*7%))),(CH218*1%))</f>
        <v>#REF!</v>
      </c>
      <c r="CO218" s="745" t="e">
        <f t="shared" ref="CO218" si="360">IF((CL218-300000)&gt;0,(IF((CL218&gt;600000),(300000*11%),((CL218-300000)*11%))),(""))</f>
        <v>#REF!</v>
      </c>
      <c r="CP218" s="745" t="e">
        <f t="shared" ref="CP218" si="361">IF(((CL218-600000)&gt;0),(IF((CL218&gt;1100000),(500000*15%),((CL218-600000)*15%))),(""))</f>
        <v>#REF!</v>
      </c>
      <c r="CQ218" s="745" t="e">
        <f t="shared" ref="CQ218" si="362">IF(((CL218-(1100000))&gt;0),(IF((CL218&gt;(1600000)),((500000)*19%),((CL218-(1100000))*19%))),(""))</f>
        <v>#REF!</v>
      </c>
      <c r="CR218" s="745" t="e">
        <f t="shared" ref="CR218" si="363">IF(((CL218-(1600000))&gt;0),(IF((CL218&gt;(3200000)),((1600000)*21%),((CL218-(1600000))*21%))),(""))</f>
        <v>#REF!</v>
      </c>
      <c r="CS218" s="745" t="e">
        <f t="shared" ref="CS218" si="364">IF(((CL218-(3200000))&gt;0),(IF((CL218&gt;(3200000)),((CL218-(3200000))*24%),(0))),(""))</f>
        <v>#REF!</v>
      </c>
      <c r="CT218" s="754"/>
      <c r="CU218" s="755"/>
      <c r="CV218" s="756"/>
      <c r="CW218" s="757"/>
      <c r="CX218" s="758"/>
      <c r="CY218" s="759"/>
      <c r="CZ218" s="760"/>
      <c r="DA218" s="767"/>
    </row>
    <row r="219" ht="236" customHeight="1" spans="1:105">
      <c r="A219" s="675">
        <v>542</v>
      </c>
      <c r="B219" s="676" t="s">
        <v>1256</v>
      </c>
      <c r="C219" s="677" t="s">
        <v>1527</v>
      </c>
      <c r="D219" s="677" t="s">
        <v>1729</v>
      </c>
      <c r="E219" s="677" t="s">
        <v>354</v>
      </c>
      <c r="F219" s="677">
        <v>6016200005</v>
      </c>
      <c r="G219" s="681" t="s">
        <v>1586</v>
      </c>
      <c r="H219" s="874">
        <v>6016200005</v>
      </c>
      <c r="I219" s="681" t="s">
        <v>354</v>
      </c>
      <c r="J219" s="686">
        <v>6016200005</v>
      </c>
      <c r="K219" s="687"/>
      <c r="L219" s="688"/>
      <c r="M219" s="688"/>
      <c r="N219" s="689">
        <v>1343017</v>
      </c>
      <c r="O219" s="689">
        <v>111918.083333333</v>
      </c>
      <c r="P219" s="689"/>
      <c r="Q219" s="689">
        <v>27979.5208333333</v>
      </c>
      <c r="R219" s="689">
        <v>30000</v>
      </c>
      <c r="S219" s="689">
        <v>174353.67</v>
      </c>
      <c r="T219" s="689"/>
      <c r="U219" s="689"/>
      <c r="V219" s="689"/>
      <c r="W219" s="689"/>
      <c r="X219" s="689"/>
      <c r="Y219" s="689"/>
      <c r="Z219" s="689"/>
      <c r="AA219" s="689"/>
      <c r="AB219" s="689"/>
      <c r="AC219" s="689">
        <v>2500</v>
      </c>
      <c r="AD219" s="689"/>
      <c r="AE219" s="689"/>
      <c r="AF219" s="689"/>
      <c r="AG219" s="689"/>
      <c r="AH219" s="689"/>
      <c r="AI219" s="689"/>
      <c r="AJ219" s="689">
        <v>2500</v>
      </c>
      <c r="AK219" s="689"/>
      <c r="AL219" s="689">
        <v>384.33</v>
      </c>
      <c r="AM219" s="689"/>
      <c r="AN219" s="689"/>
      <c r="AO219" s="689"/>
      <c r="AP219" s="689"/>
      <c r="AQ219" s="689"/>
      <c r="AR219" s="689"/>
      <c r="AS219" s="689"/>
      <c r="AT219" s="689"/>
      <c r="AU219" s="689">
        <f t="shared" si="344"/>
        <v>6974.1468</v>
      </c>
      <c r="AV219" s="689"/>
      <c r="AW219" s="689"/>
      <c r="AX219" s="718">
        <f t="shared" si="345"/>
        <v>3487.0734</v>
      </c>
      <c r="AY219" s="718"/>
      <c r="AZ219" s="718"/>
      <c r="BA219" s="689"/>
      <c r="BB219" s="689"/>
      <c r="BC219" s="689"/>
      <c r="BD219" s="719"/>
      <c r="BE219" s="719"/>
      <c r="BF219" s="689"/>
      <c r="BG219" s="689"/>
      <c r="BH219" s="727"/>
      <c r="BI219" s="689"/>
      <c r="BJ219" s="689"/>
      <c r="BK219" s="689"/>
      <c r="BL219" s="689"/>
      <c r="BM219" s="689"/>
      <c r="BN219" s="689"/>
      <c r="BO219" s="689">
        <v>91666.67</v>
      </c>
      <c r="BP219" s="689"/>
      <c r="BQ219" s="689"/>
      <c r="BR219" s="731"/>
      <c r="BS219" s="731"/>
      <c r="BT219" s="731"/>
      <c r="BU219" s="731"/>
      <c r="BV219" s="731"/>
      <c r="BW219" s="731"/>
      <c r="BX219" s="731"/>
      <c r="BY219" s="731"/>
      <c r="BZ219" s="731">
        <v>1000</v>
      </c>
      <c r="CA219" s="718">
        <f t="shared" si="325"/>
        <v>3587.0734</v>
      </c>
      <c r="CB219" s="735"/>
      <c r="CC219" s="731">
        <v>17428.42</v>
      </c>
      <c r="CD219" s="702">
        <f t="shared" si="329"/>
        <v>179353.67</v>
      </c>
      <c r="CE219" s="731">
        <f t="shared" si="331"/>
        <v>124143.3836</v>
      </c>
      <c r="CF219" s="739">
        <f t="shared" si="330"/>
        <v>55210.2864</v>
      </c>
      <c r="CG219" s="742">
        <f t="shared" si="326"/>
        <v>124143.3836</v>
      </c>
      <c r="CH219" s="743"/>
      <c r="CI219" s="744"/>
      <c r="CJ219" s="745"/>
      <c r="CK219" s="748"/>
      <c r="CL219" s="749"/>
      <c r="CM219" s="744"/>
      <c r="CN219" s="745"/>
      <c r="CO219" s="745"/>
      <c r="CP219" s="745"/>
      <c r="CQ219" s="745"/>
      <c r="CR219" s="745"/>
      <c r="CS219" s="745"/>
      <c r="CT219" s="754"/>
      <c r="CU219" s="755"/>
      <c r="CV219" s="756"/>
      <c r="CW219" s="757"/>
      <c r="CX219" s="758"/>
      <c r="CY219" s="759"/>
      <c r="CZ219" s="760"/>
      <c r="DA219" s="767"/>
    </row>
    <row r="220" ht="236" customHeight="1" spans="1:105">
      <c r="A220" s="673">
        <v>543</v>
      </c>
      <c r="B220" s="676" t="s">
        <v>1257</v>
      </c>
      <c r="C220" s="677" t="s">
        <v>1527</v>
      </c>
      <c r="D220" s="677" t="s">
        <v>1680</v>
      </c>
      <c r="E220" s="677" t="s">
        <v>127</v>
      </c>
      <c r="F220" s="677" t="s">
        <v>1258</v>
      </c>
      <c r="G220" s="681" t="s">
        <v>1730</v>
      </c>
      <c r="H220" s="874" t="s">
        <v>1258</v>
      </c>
      <c r="I220" s="681" t="s">
        <v>127</v>
      </c>
      <c r="J220" s="686" t="s">
        <v>1258</v>
      </c>
      <c r="K220" s="687"/>
      <c r="L220" s="688">
        <v>1343017</v>
      </c>
      <c r="M220" s="688"/>
      <c r="N220" s="689">
        <v>1343017</v>
      </c>
      <c r="O220" s="689">
        <v>111918.083333333</v>
      </c>
      <c r="P220" s="689"/>
      <c r="Q220" s="689">
        <v>27979.5208333333</v>
      </c>
      <c r="R220" s="689">
        <v>30000</v>
      </c>
      <c r="S220" s="689">
        <v>182087.33</v>
      </c>
      <c r="T220" s="689"/>
      <c r="U220" s="689"/>
      <c r="V220" s="689"/>
      <c r="W220" s="689"/>
      <c r="X220" s="689"/>
      <c r="Y220" s="689"/>
      <c r="Z220" s="689"/>
      <c r="AA220" s="689"/>
      <c r="AB220" s="689"/>
      <c r="AC220" s="689">
        <v>2500</v>
      </c>
      <c r="AD220" s="689"/>
      <c r="AE220" s="689"/>
      <c r="AF220" s="689"/>
      <c r="AG220" s="689"/>
      <c r="AH220" s="689"/>
      <c r="AI220" s="689"/>
      <c r="AJ220" s="689">
        <v>2500</v>
      </c>
      <c r="AK220" s="689"/>
      <c r="AL220" s="689">
        <v>383.33</v>
      </c>
      <c r="AM220" s="689"/>
      <c r="AN220" s="689"/>
      <c r="AO220" s="689"/>
      <c r="AP220" s="689"/>
      <c r="AQ220" s="689"/>
      <c r="AR220" s="689"/>
      <c r="AS220" s="689"/>
      <c r="AT220" s="689"/>
      <c r="AU220" s="689">
        <f t="shared" si="344"/>
        <v>7283.4932</v>
      </c>
      <c r="AV220" s="689"/>
      <c r="AW220" s="689"/>
      <c r="AX220" s="718">
        <f t="shared" ref="AX220:AX227" si="365">S220*0.02</f>
        <v>3641.7466</v>
      </c>
      <c r="AY220" s="718"/>
      <c r="AZ220" s="718"/>
      <c r="BA220" s="689"/>
      <c r="BB220" s="689"/>
      <c r="BC220" s="689"/>
      <c r="BD220" s="719"/>
      <c r="BE220" s="719"/>
      <c r="BF220" s="689"/>
      <c r="BG220" s="689"/>
      <c r="BH220" s="727"/>
      <c r="BI220" s="689"/>
      <c r="BJ220" s="689"/>
      <c r="BK220" s="689"/>
      <c r="BL220" s="689"/>
      <c r="BM220" s="689"/>
      <c r="BN220" s="689"/>
      <c r="BO220" s="689">
        <v>26667</v>
      </c>
      <c r="BP220" s="689"/>
      <c r="BQ220" s="689"/>
      <c r="BR220" s="731"/>
      <c r="BS220" s="731"/>
      <c r="BT220" s="731"/>
      <c r="BU220" s="731"/>
      <c r="BV220" s="731"/>
      <c r="BW220" s="731"/>
      <c r="BX220" s="731">
        <v>5000</v>
      </c>
      <c r="BY220" s="731">
        <v>2000</v>
      </c>
      <c r="BZ220" s="731">
        <v>1000</v>
      </c>
      <c r="CA220" s="718">
        <f t="shared" si="325"/>
        <v>3741.7466</v>
      </c>
      <c r="CB220" s="735"/>
      <c r="CC220" s="731">
        <v>18603.94</v>
      </c>
      <c r="CD220" s="702">
        <f t="shared" si="329"/>
        <v>187087.33</v>
      </c>
      <c r="CE220" s="731">
        <f t="shared" si="331"/>
        <v>67937.9264</v>
      </c>
      <c r="CF220" s="739">
        <f t="shared" si="330"/>
        <v>119149.4036</v>
      </c>
      <c r="CG220" s="742">
        <f t="shared" si="326"/>
        <v>67937.9264</v>
      </c>
      <c r="CH220" s="743" t="e">
        <f>'[6]JACKSON AKPOJARO '!C336*12</f>
        <v>#REF!</v>
      </c>
      <c r="CI220" s="744" t="e">
        <f>200000+(0.2*CH220)</f>
        <v>#REF!</v>
      </c>
      <c r="CJ220" s="745">
        <f>CB220*12</f>
        <v>0</v>
      </c>
      <c r="CK220" s="748" t="e">
        <f>SUM(CI220:CJ220)</f>
        <v>#REF!</v>
      </c>
      <c r="CL220" s="749" t="e">
        <f>+CH220-CK220</f>
        <v>#REF!</v>
      </c>
      <c r="CM220" s="744"/>
      <c r="CN220" s="745" t="e">
        <f>IF((CL220&gt;0),(IF((CL220&gt;300000),(300000*7%),(CL220*7%))),(CH220*1%))</f>
        <v>#REF!</v>
      </c>
      <c r="CO220" s="745" t="e">
        <f>IF((CL220-300000)&gt;0,(IF((CL220&gt;600000),(300000*11%),((CL220-300000)*11%))),(""))</f>
        <v>#REF!</v>
      </c>
      <c r="CP220" s="745" t="e">
        <f>IF(((CL220-600000)&gt;0),(IF((CL220&gt;1100000),(500000*15%),((CL220-600000)*15%))),(""))</f>
        <v>#REF!</v>
      </c>
      <c r="CQ220" s="745" t="e">
        <f>IF(((CL220-(1100000))&gt;0),(IF((CL220&gt;(1600000)),((500000)*19%),((CL220-(1100000))*19%))),(""))</f>
        <v>#REF!</v>
      </c>
      <c r="CR220" s="745" t="e">
        <f>IF(((CL220-(1600000))&gt;0),(IF((CL220&gt;(3200000)),((1600000)*21%),((CL220-(1600000))*21%))),(""))</f>
        <v>#REF!</v>
      </c>
      <c r="CS220" s="745" t="e">
        <f>IF(((CL220-(3200000))&gt;0),(IF((CL220&gt;(3200000)),((CL220-(3200000))*24%),(0))),(""))</f>
        <v>#REF!</v>
      </c>
      <c r="CT220" s="754" t="e">
        <f>1%*CH220</f>
        <v>#REF!</v>
      </c>
      <c r="CU220" s="755" t="e">
        <f>MAX(CT220:CT220)</f>
        <v>#REF!</v>
      </c>
      <c r="CV220" s="756">
        <f>CC220</f>
        <v>18603.94</v>
      </c>
      <c r="CW220" s="757"/>
      <c r="CX220" s="758"/>
      <c r="CY220" s="759"/>
      <c r="CZ220" s="760"/>
      <c r="DA220" s="767"/>
    </row>
    <row r="221" ht="236" customHeight="1" spans="1:105">
      <c r="A221" s="675">
        <v>544</v>
      </c>
      <c r="B221" s="676" t="s">
        <v>1259</v>
      </c>
      <c r="C221" s="677" t="s">
        <v>1561</v>
      </c>
      <c r="D221" s="677" t="s">
        <v>1731</v>
      </c>
      <c r="E221" s="677" t="s">
        <v>97</v>
      </c>
      <c r="F221" s="677" t="s">
        <v>1260</v>
      </c>
      <c r="G221" s="681" t="s">
        <v>1586</v>
      </c>
      <c r="H221" s="875" t="s">
        <v>1260</v>
      </c>
      <c r="I221" s="33" t="s">
        <v>97</v>
      </c>
      <c r="J221" s="33" t="s">
        <v>1260</v>
      </c>
      <c r="K221" s="687"/>
      <c r="L221" s="688">
        <v>1343017</v>
      </c>
      <c r="M221" s="688"/>
      <c r="N221" s="689">
        <v>1343017</v>
      </c>
      <c r="O221" s="689">
        <v>111918.083333333</v>
      </c>
      <c r="P221" s="689"/>
      <c r="Q221" s="689">
        <v>27979.5208333333</v>
      </c>
      <c r="R221" s="689">
        <v>30000</v>
      </c>
      <c r="S221" s="689">
        <v>174353.67</v>
      </c>
      <c r="T221" s="689"/>
      <c r="U221" s="689"/>
      <c r="V221" s="689"/>
      <c r="W221" s="689"/>
      <c r="X221" s="689"/>
      <c r="Y221" s="689"/>
      <c r="Z221" s="689"/>
      <c r="AA221" s="689"/>
      <c r="AB221" s="689"/>
      <c r="AC221" s="689">
        <v>2500</v>
      </c>
      <c r="AD221" s="689"/>
      <c r="AE221" s="689"/>
      <c r="AF221" s="689"/>
      <c r="AG221" s="689"/>
      <c r="AH221" s="689"/>
      <c r="AI221" s="689"/>
      <c r="AJ221" s="689">
        <v>2500</v>
      </c>
      <c r="AK221" s="689"/>
      <c r="AL221" s="689">
        <v>383.33</v>
      </c>
      <c r="AM221" s="689"/>
      <c r="AN221" s="689"/>
      <c r="AO221" s="689"/>
      <c r="AP221" s="689"/>
      <c r="AQ221" s="689"/>
      <c r="AR221" s="689"/>
      <c r="AS221" s="689"/>
      <c r="AT221" s="689"/>
      <c r="AU221" s="689">
        <f t="shared" si="344"/>
        <v>6974.1468</v>
      </c>
      <c r="AV221" s="689"/>
      <c r="AW221" s="689"/>
      <c r="AX221" s="718">
        <f t="shared" si="365"/>
        <v>3487.0734</v>
      </c>
      <c r="AY221" s="718"/>
      <c r="AZ221" s="718"/>
      <c r="BA221" s="689"/>
      <c r="BB221" s="689"/>
      <c r="BC221" s="689"/>
      <c r="BD221" s="719"/>
      <c r="BE221" s="719"/>
      <c r="BF221" s="689"/>
      <c r="BG221" s="689"/>
      <c r="BH221" s="727"/>
      <c r="BI221" s="689"/>
      <c r="BJ221" s="689"/>
      <c r="BK221" s="689"/>
      <c r="BL221" s="689">
        <v>8333.33</v>
      </c>
      <c r="BM221" s="689"/>
      <c r="BN221" s="689"/>
      <c r="BO221" s="689">
        <v>0</v>
      </c>
      <c r="BP221" s="689"/>
      <c r="BQ221" s="689"/>
      <c r="BR221" s="731"/>
      <c r="BS221" s="731"/>
      <c r="BT221" s="731"/>
      <c r="BU221" s="731"/>
      <c r="BV221" s="731"/>
      <c r="BW221" s="731"/>
      <c r="BX221" s="731">
        <v>5000</v>
      </c>
      <c r="BY221" s="731"/>
      <c r="BZ221" s="731">
        <v>1000</v>
      </c>
      <c r="CA221" s="718">
        <f t="shared" si="325"/>
        <v>3587.0734</v>
      </c>
      <c r="CB221" s="735"/>
      <c r="CC221" s="731">
        <v>17428.42</v>
      </c>
      <c r="CD221" s="702">
        <f t="shared" si="329"/>
        <v>179353.67</v>
      </c>
      <c r="CE221" s="731">
        <f t="shared" si="331"/>
        <v>45810.0436</v>
      </c>
      <c r="CF221" s="739">
        <f t="shared" si="330"/>
        <v>133543.6264</v>
      </c>
      <c r="CG221" s="742">
        <f t="shared" si="326"/>
        <v>45810.0436</v>
      </c>
      <c r="CH221" s="743" t="e">
        <f>'[6]JACKSON AKPOJARO '!C337*12</f>
        <v>#REF!</v>
      </c>
      <c r="CI221" s="744" t="e">
        <f>200000+(0.2*CH221)</f>
        <v>#REF!</v>
      </c>
      <c r="CJ221" s="745">
        <f>CB221*12</f>
        <v>0</v>
      </c>
      <c r="CK221" s="748" t="e">
        <f>SUM(CI221:CJ221)</f>
        <v>#REF!</v>
      </c>
      <c r="CL221" s="749" t="e">
        <f>+CH221-CK221</f>
        <v>#REF!</v>
      </c>
      <c r="CM221" s="744"/>
      <c r="CN221" s="745" t="e">
        <f>IF((CL221&gt;0),(IF((CL221&gt;300000),(300000*7%),(CL221*7%))),(CH221*1%))</f>
        <v>#REF!</v>
      </c>
      <c r="CO221" s="745" t="e">
        <f>IF((CL221-300000)&gt;0,(IF((CL221&gt;600000),(300000*11%),((CL221-300000)*11%))),(""))</f>
        <v>#REF!</v>
      </c>
      <c r="CP221" s="745" t="e">
        <f>IF(((CL221-600000)&gt;0),(IF((CL221&gt;1100000),(500000*15%),((CL221-600000)*15%))),(""))</f>
        <v>#REF!</v>
      </c>
      <c r="CQ221" s="745" t="e">
        <f>IF(((CL221-(1100000))&gt;0),(IF((CL221&gt;(1600000)),((500000)*19%),((CL221-(1100000))*19%))),(""))</f>
        <v>#REF!</v>
      </c>
      <c r="CR221" s="745" t="e">
        <f>IF(((CL221-(1600000))&gt;0),(IF((CL221&gt;(3200000)),((1600000)*21%),((CL221-(1600000))*21%))),(""))</f>
        <v>#REF!</v>
      </c>
      <c r="CS221" s="745" t="e">
        <f>IF(((CL221-(3200000))&gt;0),(IF((CL221&gt;(3200000)),((CL221-(3200000))*24%),(0))),(""))</f>
        <v>#REF!</v>
      </c>
      <c r="CT221" s="754" t="e">
        <f>1%*CH221</f>
        <v>#REF!</v>
      </c>
      <c r="CU221" s="755" t="e">
        <f>MAX(CT221:CT221)</f>
        <v>#REF!</v>
      </c>
      <c r="CV221" s="756">
        <f>CC221</f>
        <v>17428.42</v>
      </c>
      <c r="CW221" s="757"/>
      <c r="CX221" s="758"/>
      <c r="CY221" s="759"/>
      <c r="CZ221" s="760"/>
      <c r="DA221" s="767"/>
    </row>
    <row r="222" ht="236" customHeight="1" spans="1:105">
      <c r="A222" s="673">
        <v>545</v>
      </c>
      <c r="B222" s="676" t="s">
        <v>1261</v>
      </c>
      <c r="C222" s="677" t="s">
        <v>1527</v>
      </c>
      <c r="D222" s="677" t="s">
        <v>1670</v>
      </c>
      <c r="E222" s="677" t="s">
        <v>422</v>
      </c>
      <c r="F222" s="677">
        <v>3032264177</v>
      </c>
      <c r="G222" s="681" t="s">
        <v>1586</v>
      </c>
      <c r="H222" s="874">
        <v>3032264177</v>
      </c>
      <c r="I222" s="681" t="s">
        <v>422</v>
      </c>
      <c r="J222" s="686">
        <v>3032264177</v>
      </c>
      <c r="K222" s="687"/>
      <c r="L222" s="688"/>
      <c r="M222" s="688"/>
      <c r="N222" s="689">
        <v>1343017</v>
      </c>
      <c r="O222" s="689">
        <v>111918.083333333</v>
      </c>
      <c r="P222" s="689"/>
      <c r="Q222" s="689">
        <v>27979.5208333333</v>
      </c>
      <c r="R222" s="689">
        <v>30000</v>
      </c>
      <c r="S222" s="689">
        <v>174353.67</v>
      </c>
      <c r="T222" s="689"/>
      <c r="U222" s="689"/>
      <c r="V222" s="689"/>
      <c r="W222" s="689"/>
      <c r="X222" s="689"/>
      <c r="Y222" s="689"/>
      <c r="Z222" s="689"/>
      <c r="AA222" s="689"/>
      <c r="AB222" s="689"/>
      <c r="AC222" s="689">
        <v>2500</v>
      </c>
      <c r="AD222" s="689"/>
      <c r="AE222" s="689"/>
      <c r="AF222" s="689"/>
      <c r="AG222" s="689"/>
      <c r="AH222" s="689">
        <v>34500</v>
      </c>
      <c r="AI222" s="689"/>
      <c r="AJ222" s="689">
        <v>2500</v>
      </c>
      <c r="AK222" s="689"/>
      <c r="AL222" s="689">
        <v>383.33</v>
      </c>
      <c r="AM222" s="689"/>
      <c r="AN222" s="689"/>
      <c r="AO222" s="689"/>
      <c r="AP222" s="689"/>
      <c r="AQ222" s="689"/>
      <c r="AR222" s="689"/>
      <c r="AS222" s="689"/>
      <c r="AT222" s="689"/>
      <c r="AU222" s="689">
        <f t="shared" si="344"/>
        <v>6974.1468</v>
      </c>
      <c r="AV222" s="689"/>
      <c r="AW222" s="689">
        <v>3000</v>
      </c>
      <c r="AX222" s="718">
        <f t="shared" ref="AX222" si="366">S222*0.02</f>
        <v>3487.0734</v>
      </c>
      <c r="AY222" s="718"/>
      <c r="AZ222" s="718"/>
      <c r="BA222" s="689"/>
      <c r="BB222" s="689"/>
      <c r="BC222" s="689"/>
      <c r="BD222" s="719"/>
      <c r="BE222" s="719"/>
      <c r="BF222" s="689"/>
      <c r="BG222" s="689"/>
      <c r="BH222" s="727">
        <v>3000</v>
      </c>
      <c r="BI222" s="689"/>
      <c r="BJ222" s="689"/>
      <c r="BK222" s="689"/>
      <c r="BL222" s="689"/>
      <c r="BM222" s="689"/>
      <c r="BN222" s="689"/>
      <c r="BO222" s="689">
        <v>40000</v>
      </c>
      <c r="BP222" s="689"/>
      <c r="BQ222" s="689"/>
      <c r="BR222" s="731"/>
      <c r="BS222" s="731"/>
      <c r="BT222" s="731"/>
      <c r="BU222" s="731"/>
      <c r="BV222" s="731"/>
      <c r="BW222" s="731"/>
      <c r="BX222" s="731"/>
      <c r="BY222" s="731">
        <v>2000</v>
      </c>
      <c r="BZ222" s="731">
        <v>1000</v>
      </c>
      <c r="CA222" s="718">
        <f t="shared" si="325"/>
        <v>4277.0734</v>
      </c>
      <c r="CB222" s="735"/>
      <c r="CC222" s="731">
        <v>23094.08</v>
      </c>
      <c r="CD222" s="702">
        <f t="shared" si="329"/>
        <v>213853.67</v>
      </c>
      <c r="CE222" s="731">
        <f t="shared" si="331"/>
        <v>86832.3736</v>
      </c>
      <c r="CF222" s="739">
        <f t="shared" si="330"/>
        <v>127021.2964</v>
      </c>
      <c r="CG222" s="742">
        <f t="shared" si="326"/>
        <v>86832.3736</v>
      </c>
      <c r="CH222" s="743" t="e">
        <f>'[6]JACKSON AKPOJARO '!C339*12</f>
        <v>#REF!</v>
      </c>
      <c r="CI222" s="744" t="e">
        <f>200000+(0.2*CH222)</f>
        <v>#REF!</v>
      </c>
      <c r="CJ222" s="745">
        <f>CB222*12</f>
        <v>0</v>
      </c>
      <c r="CK222" s="748" t="e">
        <f>SUM(CI222:CJ222)</f>
        <v>#REF!</v>
      </c>
      <c r="CL222" s="749" t="e">
        <f>+CH222-CK222</f>
        <v>#REF!</v>
      </c>
      <c r="CM222" s="744"/>
      <c r="CN222" s="745" t="e">
        <f>IF((CL222&gt;0),(IF((CL222&gt;300000),(300000*7%),(CL222*7%))),(CH222*1%))</f>
        <v>#REF!</v>
      </c>
      <c r="CO222" s="745" t="e">
        <f>IF((CL222-300000)&gt;0,(IF((CL222&gt;600000),(300000*11%),((CL222-300000)*11%))),(""))</f>
        <v>#REF!</v>
      </c>
      <c r="CP222" s="745" t="e">
        <f>IF(((CL222-600000)&gt;0),(IF((CL222&gt;1100000),(500000*15%),((CL222-600000)*15%))),(""))</f>
        <v>#REF!</v>
      </c>
      <c r="CQ222" s="745" t="e">
        <f>IF(((CL222-(1100000))&gt;0),(IF((CL222&gt;(1600000)),((500000)*19%),((CL222-(1100000))*19%))),(""))</f>
        <v>#REF!</v>
      </c>
      <c r="CR222" s="745" t="e">
        <f>IF(((CL222-(1600000))&gt;0),(IF((CL222&gt;(3200000)),((1600000)*21%),((CL222-(1600000))*21%))),(""))</f>
        <v>#REF!</v>
      </c>
      <c r="CS222" s="745" t="e">
        <f>IF(((CL222-(3200000))&gt;0),(IF((CL222&gt;(3200000)),((CL222-(3200000))*24%),(0))),(""))</f>
        <v>#REF!</v>
      </c>
      <c r="CT222" s="754"/>
      <c r="CU222" s="755"/>
      <c r="CV222" s="756"/>
      <c r="CW222" s="757"/>
      <c r="CX222" s="758"/>
      <c r="CY222" s="759"/>
      <c r="CZ222" s="760"/>
      <c r="DA222" s="767"/>
    </row>
    <row r="223" ht="236" customHeight="1" spans="1:105">
      <c r="A223" s="675">
        <v>546</v>
      </c>
      <c r="B223" s="676" t="s">
        <v>1262</v>
      </c>
      <c r="C223" s="677" t="s">
        <v>1669</v>
      </c>
      <c r="D223" s="677" t="s">
        <v>1732</v>
      </c>
      <c r="E223" s="677" t="s">
        <v>127</v>
      </c>
      <c r="F223" s="677" t="s">
        <v>1263</v>
      </c>
      <c r="G223" s="681" t="s">
        <v>1585</v>
      </c>
      <c r="H223" s="874" t="s">
        <v>1263</v>
      </c>
      <c r="I223" s="681" t="s">
        <v>127</v>
      </c>
      <c r="J223" s="686" t="s">
        <v>1263</v>
      </c>
      <c r="K223" s="687"/>
      <c r="L223" s="688"/>
      <c r="M223" s="688"/>
      <c r="N223" s="689">
        <v>1300238</v>
      </c>
      <c r="O223" s="689">
        <v>108353.166666667</v>
      </c>
      <c r="P223" s="689"/>
      <c r="Q223" s="689">
        <v>27088.2916666667</v>
      </c>
      <c r="R223" s="689">
        <v>30000</v>
      </c>
      <c r="S223" s="689">
        <v>169897.58</v>
      </c>
      <c r="T223" s="689"/>
      <c r="U223" s="689"/>
      <c r="V223" s="689"/>
      <c r="W223" s="689"/>
      <c r="X223" s="689"/>
      <c r="Y223" s="689"/>
      <c r="Z223" s="689"/>
      <c r="AA223" s="689"/>
      <c r="AB223" s="689"/>
      <c r="AC223" s="689">
        <v>2500</v>
      </c>
      <c r="AD223" s="689"/>
      <c r="AE223" s="689"/>
      <c r="AF223" s="689"/>
      <c r="AG223" s="689"/>
      <c r="AH223" s="689"/>
      <c r="AI223" s="689"/>
      <c r="AJ223" s="689">
        <v>2500</v>
      </c>
      <c r="AK223" s="689"/>
      <c r="AL223" s="689">
        <v>383.33</v>
      </c>
      <c r="AM223" s="689"/>
      <c r="AN223" s="689"/>
      <c r="AO223" s="689"/>
      <c r="AP223" s="689"/>
      <c r="AQ223" s="689"/>
      <c r="AR223" s="689"/>
      <c r="AS223" s="689"/>
      <c r="AT223" s="689"/>
      <c r="AU223" s="689">
        <f t="shared" si="344"/>
        <v>6795.9032</v>
      </c>
      <c r="AV223" s="689"/>
      <c r="AW223" s="689">
        <v>3000</v>
      </c>
      <c r="AX223" s="718">
        <f t="shared" ref="AX223" si="367">S223*0.02</f>
        <v>3397.9516</v>
      </c>
      <c r="AY223" s="718"/>
      <c r="AZ223" s="718"/>
      <c r="BA223" s="689"/>
      <c r="BB223" s="689"/>
      <c r="BC223" s="689"/>
      <c r="BD223" s="719"/>
      <c r="BE223" s="719"/>
      <c r="BF223" s="689"/>
      <c r="BG223" s="689"/>
      <c r="BH223" s="727"/>
      <c r="BI223" s="689"/>
      <c r="BJ223" s="689"/>
      <c r="BK223" s="689"/>
      <c r="BL223" s="689"/>
      <c r="BM223" s="689"/>
      <c r="BN223" s="689"/>
      <c r="BO223" s="689">
        <v>0</v>
      </c>
      <c r="BP223" s="689"/>
      <c r="BQ223" s="689"/>
      <c r="BR223" s="731"/>
      <c r="BS223" s="731"/>
      <c r="BT223" s="731"/>
      <c r="BU223" s="731"/>
      <c r="BV223" s="731"/>
      <c r="BW223" s="731"/>
      <c r="BX223" s="731"/>
      <c r="BY223" s="731"/>
      <c r="BZ223" s="731">
        <v>1000</v>
      </c>
      <c r="CA223" s="718">
        <f t="shared" si="325"/>
        <v>3497.9516</v>
      </c>
      <c r="CB223" s="735"/>
      <c r="CC223" s="731">
        <v>16751.1</v>
      </c>
      <c r="CD223" s="702">
        <f t="shared" si="329"/>
        <v>174897.58</v>
      </c>
      <c r="CE223" s="731">
        <f t="shared" si="331"/>
        <v>34442.9064</v>
      </c>
      <c r="CF223" s="739">
        <f t="shared" si="330"/>
        <v>140454.6736</v>
      </c>
      <c r="CG223" s="742">
        <f t="shared" si="326"/>
        <v>34442.9064</v>
      </c>
      <c r="CH223" s="743"/>
      <c r="CI223" s="744"/>
      <c r="CJ223" s="745"/>
      <c r="CK223" s="748"/>
      <c r="CL223" s="749"/>
      <c r="CM223" s="744"/>
      <c r="CN223" s="745"/>
      <c r="CO223" s="745"/>
      <c r="CP223" s="745"/>
      <c r="CQ223" s="745"/>
      <c r="CR223" s="745"/>
      <c r="CS223" s="745"/>
      <c r="CT223" s="754"/>
      <c r="CU223" s="755"/>
      <c r="CV223" s="756"/>
      <c r="CW223" s="757"/>
      <c r="CX223" s="758"/>
      <c r="CY223" s="759"/>
      <c r="CZ223" s="760"/>
      <c r="DA223" s="767"/>
    </row>
    <row r="224" ht="236" customHeight="1" spans="1:105">
      <c r="A224" s="673">
        <v>547</v>
      </c>
      <c r="B224" s="676" t="s">
        <v>1264</v>
      </c>
      <c r="C224" s="677" t="s">
        <v>1527</v>
      </c>
      <c r="D224" s="677" t="s">
        <v>1573</v>
      </c>
      <c r="E224" s="677" t="s">
        <v>165</v>
      </c>
      <c r="F224" s="1452" t="s">
        <v>1265</v>
      </c>
      <c r="G224" s="681" t="s">
        <v>1581</v>
      </c>
      <c r="H224" s="874">
        <v>2086088297</v>
      </c>
      <c r="I224" s="681" t="s">
        <v>165</v>
      </c>
      <c r="J224" s="686">
        <v>2086088297</v>
      </c>
      <c r="K224" s="687"/>
      <c r="L224" s="688">
        <v>1661863</v>
      </c>
      <c r="M224" s="688" t="e">
        <f>S224-#REF!</f>
        <v>#REF!</v>
      </c>
      <c r="N224" s="689">
        <v>1748497</v>
      </c>
      <c r="O224" s="689">
        <v>145708.083333333</v>
      </c>
      <c r="P224" s="689"/>
      <c r="Q224" s="689">
        <v>36427.0208333333</v>
      </c>
      <c r="R224" s="689">
        <v>30000</v>
      </c>
      <c r="S224" s="689">
        <v>217833.92</v>
      </c>
      <c r="T224" s="689"/>
      <c r="U224" s="689"/>
      <c r="V224" s="689"/>
      <c r="W224" s="689"/>
      <c r="X224" s="689"/>
      <c r="Y224" s="689"/>
      <c r="Z224" s="689"/>
      <c r="AA224" s="689"/>
      <c r="AB224" s="689"/>
      <c r="AC224" s="689">
        <v>2500</v>
      </c>
      <c r="AD224" s="689"/>
      <c r="AE224" s="689"/>
      <c r="AF224" s="689"/>
      <c r="AG224" s="689"/>
      <c r="AH224" s="689">
        <v>34500</v>
      </c>
      <c r="AI224" s="689"/>
      <c r="AJ224" s="689">
        <v>2500</v>
      </c>
      <c r="AK224" s="689"/>
      <c r="AL224" s="689">
        <v>383.33</v>
      </c>
      <c r="AM224" s="689"/>
      <c r="AN224" s="689"/>
      <c r="AO224" s="689"/>
      <c r="AP224" s="689"/>
      <c r="AQ224" s="689"/>
      <c r="AR224" s="689"/>
      <c r="AS224" s="689"/>
      <c r="AT224" s="689"/>
      <c r="AU224" s="689">
        <f t="shared" si="344"/>
        <v>8713.3568</v>
      </c>
      <c r="AV224" s="689"/>
      <c r="AW224" s="689">
        <v>1500</v>
      </c>
      <c r="AX224" s="718">
        <f t="shared" si="365"/>
        <v>4356.6784</v>
      </c>
      <c r="AY224" s="718"/>
      <c r="AZ224" s="718"/>
      <c r="BA224" s="689"/>
      <c r="BB224" s="689"/>
      <c r="BC224" s="689"/>
      <c r="BD224" s="719"/>
      <c r="BE224" s="719"/>
      <c r="BF224" s="689"/>
      <c r="BG224" s="689"/>
      <c r="BH224" s="727"/>
      <c r="BI224" s="689"/>
      <c r="BJ224" s="689"/>
      <c r="BK224" s="689"/>
      <c r="BL224" s="689"/>
      <c r="BM224" s="689"/>
      <c r="BN224" s="689"/>
      <c r="BO224" s="689">
        <v>89619.7142857143</v>
      </c>
      <c r="BP224" s="689"/>
      <c r="BQ224" s="689"/>
      <c r="BR224" s="731"/>
      <c r="BS224" s="731"/>
      <c r="BT224" s="731"/>
      <c r="BU224" s="731"/>
      <c r="BV224" s="731"/>
      <c r="BW224" s="731"/>
      <c r="BX224" s="731"/>
      <c r="BY224" s="731"/>
      <c r="BZ224" s="731">
        <v>1000</v>
      </c>
      <c r="CA224" s="718">
        <f t="shared" si="325"/>
        <v>5146.6784</v>
      </c>
      <c r="CB224" s="735"/>
      <c r="CC224" s="731">
        <v>30398.7652266667</v>
      </c>
      <c r="CD224" s="702">
        <f t="shared" si="329"/>
        <v>257333.92</v>
      </c>
      <c r="CE224" s="731">
        <f t="shared" si="331"/>
        <v>140735.193112381</v>
      </c>
      <c r="CF224" s="739">
        <f t="shared" si="330"/>
        <v>116598.726887619</v>
      </c>
      <c r="CG224" s="742">
        <f t="shared" si="326"/>
        <v>140735.193112381</v>
      </c>
      <c r="CH224" s="743" t="e">
        <f>'[6]JACKSON AKPOJARO '!C336*12</f>
        <v>#REF!</v>
      </c>
      <c r="CI224" s="744" t="e">
        <f t="shared" ref="CI224:CI343" si="368">200000+(0.2*CH224)</f>
        <v>#REF!</v>
      </c>
      <c r="CJ224" s="745">
        <f t="shared" ref="CJ224:CJ242" si="369">CB224*12</f>
        <v>0</v>
      </c>
      <c r="CK224" s="748" t="e">
        <f t="shared" ref="CK224:CK261" si="370">SUM(CI224:CJ224)</f>
        <v>#REF!</v>
      </c>
      <c r="CL224" s="749" t="e">
        <f t="shared" ref="CL224:CL261" si="371">+CH224-CK224</f>
        <v>#REF!</v>
      </c>
      <c r="CM224" s="744"/>
      <c r="CN224" s="745" t="e">
        <f t="shared" ref="CN224:CN261" si="372">IF((CL224&gt;0),(IF((CL224&gt;300000),(300000*7%),(CL224*7%))),(CH224*1%))</f>
        <v>#REF!</v>
      </c>
      <c r="CO224" s="745" t="e">
        <f t="shared" ref="CO224:CO261" si="373">IF((CL224-300000)&gt;0,(IF((CL224&gt;600000),(300000*11%),((CL224-300000)*11%))),(""))</f>
        <v>#REF!</v>
      </c>
      <c r="CP224" s="745" t="e">
        <f t="shared" ref="CP224:CP261" si="374">IF(((CL224-600000)&gt;0),(IF((CL224&gt;1100000),(500000*15%),((CL224-600000)*15%))),(""))</f>
        <v>#REF!</v>
      </c>
      <c r="CQ224" s="745" t="e">
        <f t="shared" ref="CQ224:CQ261" si="375">IF(((CL224-(1100000))&gt;0),(IF((CL224&gt;(1600000)),((500000)*19%),((CL224-(1100000))*19%))),(""))</f>
        <v>#REF!</v>
      </c>
      <c r="CR224" s="745" t="e">
        <f t="shared" ref="CR224:CR261" si="376">IF(((CL224-(1600000))&gt;0),(IF((CL224&gt;(3200000)),((1600000)*21%),((CL224-(1600000))*21%))),(""))</f>
        <v>#REF!</v>
      </c>
      <c r="CS224" s="745" t="e">
        <f t="shared" ref="CS224:CS261" si="377">IF(((CL224-(3200000))&gt;0),(IF((CL224&gt;(3200000)),((CL224-(3200000))*24%),(0))),(""))</f>
        <v>#REF!</v>
      </c>
      <c r="CT224" s="754" t="e">
        <f t="shared" ref="CT224:CT247" si="378">1%*CH224</f>
        <v>#REF!</v>
      </c>
      <c r="CU224" s="755" t="e">
        <f t="shared" ref="CU224:CU247" si="379">MAX(CT224:CT224)</f>
        <v>#REF!</v>
      </c>
      <c r="CV224" s="756">
        <f t="shared" ref="CV224:CV242" si="380">CC224</f>
        <v>30398.7652266667</v>
      </c>
      <c r="CW224" s="757"/>
      <c r="CX224" s="758"/>
      <c r="CY224" s="759"/>
      <c r="CZ224" s="760"/>
      <c r="DA224" s="767"/>
    </row>
    <row r="225" ht="236" customHeight="1" spans="1:105">
      <c r="A225" s="675">
        <v>548</v>
      </c>
      <c r="B225" s="676" t="s">
        <v>1266</v>
      </c>
      <c r="C225" s="677" t="s">
        <v>1588</v>
      </c>
      <c r="D225" s="677" t="s">
        <v>1573</v>
      </c>
      <c r="E225" s="677" t="s">
        <v>915</v>
      </c>
      <c r="F225" s="1452" t="s">
        <v>1267</v>
      </c>
      <c r="G225" s="677" t="s">
        <v>1642</v>
      </c>
      <c r="H225" s="679"/>
      <c r="I225" s="681" t="s">
        <v>135</v>
      </c>
      <c r="J225" s="686" t="s">
        <v>1267</v>
      </c>
      <c r="K225" s="687"/>
      <c r="L225" s="688">
        <v>1857913</v>
      </c>
      <c r="M225" s="688" t="e">
        <f>S225-#REF!</f>
        <v>#REF!</v>
      </c>
      <c r="N225" s="689">
        <v>1912620</v>
      </c>
      <c r="O225" s="689">
        <v>159385</v>
      </c>
      <c r="P225" s="689"/>
      <c r="Q225" s="689">
        <v>39846.25</v>
      </c>
      <c r="R225" s="689">
        <v>30000</v>
      </c>
      <c r="S225" s="689">
        <v>251604.42</v>
      </c>
      <c r="T225" s="689"/>
      <c r="U225" s="689"/>
      <c r="V225" s="689"/>
      <c r="W225" s="689"/>
      <c r="X225" s="689"/>
      <c r="Y225" s="689"/>
      <c r="Z225" s="689"/>
      <c r="AA225" s="689"/>
      <c r="AB225" s="689">
        <v>25000</v>
      </c>
      <c r="AC225" s="689">
        <v>2500</v>
      </c>
      <c r="AD225" s="689"/>
      <c r="AE225" s="689"/>
      <c r="AF225" s="689"/>
      <c r="AG225" s="689"/>
      <c r="AH225" s="689">
        <v>46000</v>
      </c>
      <c r="AI225" s="689"/>
      <c r="AJ225" s="689">
        <v>2500</v>
      </c>
      <c r="AK225" s="689"/>
      <c r="AL225" s="689">
        <v>383.33</v>
      </c>
      <c r="AM225" s="689"/>
      <c r="AN225" s="689"/>
      <c r="AO225" s="689"/>
      <c r="AP225" s="689"/>
      <c r="AQ225" s="689"/>
      <c r="AR225" s="689"/>
      <c r="AS225" s="689"/>
      <c r="AT225" s="689"/>
      <c r="AU225" s="689">
        <f t="shared" si="344"/>
        <v>10064.1768</v>
      </c>
      <c r="AV225" s="689"/>
      <c r="AW225" s="689"/>
      <c r="AX225" s="718">
        <f t="shared" si="365"/>
        <v>5032.0884</v>
      </c>
      <c r="AY225" s="718"/>
      <c r="AZ225" s="718"/>
      <c r="BA225" s="689"/>
      <c r="BB225" s="689">
        <v>25000</v>
      </c>
      <c r="BC225" s="689"/>
      <c r="BD225" s="719"/>
      <c r="BE225" s="719"/>
      <c r="BF225" s="689"/>
      <c r="BG225" s="689"/>
      <c r="BH225" s="727"/>
      <c r="BI225" s="689"/>
      <c r="BJ225" s="689"/>
      <c r="BK225" s="689"/>
      <c r="BL225" s="689">
        <v>8333.33</v>
      </c>
      <c r="BM225" s="689">
        <v>40000</v>
      </c>
      <c r="BN225" s="689">
        <v>25000</v>
      </c>
      <c r="BO225" s="689">
        <v>20000</v>
      </c>
      <c r="BP225" s="689"/>
      <c r="BQ225" s="689"/>
      <c r="BR225" s="731"/>
      <c r="BS225" s="731"/>
      <c r="BT225" s="731">
        <v>36334</v>
      </c>
      <c r="BU225" s="731"/>
      <c r="BV225" s="731"/>
      <c r="BW225" s="731"/>
      <c r="BX225" s="731"/>
      <c r="BY225" s="731"/>
      <c r="BZ225" s="731">
        <v>1500</v>
      </c>
      <c r="CA225" s="718">
        <f t="shared" si="325"/>
        <v>6552.0884</v>
      </c>
      <c r="CB225" s="735"/>
      <c r="CC225" s="731">
        <v>42204.21</v>
      </c>
      <c r="CD225" s="702">
        <f t="shared" si="329"/>
        <v>327604.42</v>
      </c>
      <c r="CE225" s="731">
        <f t="shared" si="331"/>
        <v>220019.8936</v>
      </c>
      <c r="CF225" s="739">
        <f t="shared" si="330"/>
        <v>107584.5264</v>
      </c>
      <c r="CG225" s="742">
        <f t="shared" si="326"/>
        <v>220019.8936</v>
      </c>
      <c r="CH225" s="743" t="e">
        <f>'[6]JACKSON AKPOJARO '!C338*12</f>
        <v>#REF!</v>
      </c>
      <c r="CI225" s="744" t="e">
        <f t="shared" si="368"/>
        <v>#REF!</v>
      </c>
      <c r="CJ225" s="745">
        <f t="shared" si="369"/>
        <v>0</v>
      </c>
      <c r="CK225" s="748" t="e">
        <f t="shared" si="370"/>
        <v>#REF!</v>
      </c>
      <c r="CL225" s="749" t="e">
        <f t="shared" si="371"/>
        <v>#REF!</v>
      </c>
      <c r="CM225" s="744"/>
      <c r="CN225" s="745" t="e">
        <f t="shared" si="372"/>
        <v>#REF!</v>
      </c>
      <c r="CO225" s="745" t="e">
        <f t="shared" si="373"/>
        <v>#REF!</v>
      </c>
      <c r="CP225" s="745" t="e">
        <f t="shared" si="374"/>
        <v>#REF!</v>
      </c>
      <c r="CQ225" s="745" t="e">
        <f t="shared" si="375"/>
        <v>#REF!</v>
      </c>
      <c r="CR225" s="745" t="e">
        <f t="shared" si="376"/>
        <v>#REF!</v>
      </c>
      <c r="CS225" s="745" t="e">
        <f t="shared" si="377"/>
        <v>#REF!</v>
      </c>
      <c r="CT225" s="754" t="e">
        <f t="shared" si="378"/>
        <v>#REF!</v>
      </c>
      <c r="CU225" s="755" t="e">
        <f t="shared" si="379"/>
        <v>#REF!</v>
      </c>
      <c r="CV225" s="756">
        <f t="shared" si="380"/>
        <v>42204.21</v>
      </c>
      <c r="CW225" s="757"/>
      <c r="CX225" s="758"/>
      <c r="CY225" s="759"/>
      <c r="CZ225" s="760"/>
      <c r="DA225" s="767"/>
    </row>
    <row r="226" ht="236" customHeight="1" spans="1:105">
      <c r="A226" s="673">
        <v>549</v>
      </c>
      <c r="B226" s="676" t="s">
        <v>1268</v>
      </c>
      <c r="C226" s="677" t="s">
        <v>1561</v>
      </c>
      <c r="D226" s="677" t="s">
        <v>1733</v>
      </c>
      <c r="E226" s="677" t="s">
        <v>165</v>
      </c>
      <c r="F226" s="677">
        <v>2083690745</v>
      </c>
      <c r="G226" s="677" t="s">
        <v>1734</v>
      </c>
      <c r="H226" s="679"/>
      <c r="I226" s="681" t="s">
        <v>165</v>
      </c>
      <c r="J226" s="686">
        <v>2083690745</v>
      </c>
      <c r="K226" s="687"/>
      <c r="L226" s="688">
        <v>1762132</v>
      </c>
      <c r="M226" s="688"/>
      <c r="N226" s="689">
        <v>1812482</v>
      </c>
      <c r="O226" s="689">
        <v>151040.166666667</v>
      </c>
      <c r="P226" s="689"/>
      <c r="Q226" s="689">
        <v>37760.0416666667</v>
      </c>
      <c r="R226" s="689">
        <v>30000</v>
      </c>
      <c r="S226" s="689">
        <v>218800.17</v>
      </c>
      <c r="T226" s="689"/>
      <c r="U226" s="689"/>
      <c r="V226" s="689"/>
      <c r="W226" s="689"/>
      <c r="X226" s="689"/>
      <c r="Y226" s="689"/>
      <c r="Z226" s="689"/>
      <c r="AA226" s="689"/>
      <c r="AB226" s="689"/>
      <c r="AC226" s="689">
        <v>2500</v>
      </c>
      <c r="AD226" s="689"/>
      <c r="AE226" s="689"/>
      <c r="AF226" s="689"/>
      <c r="AG226" s="689"/>
      <c r="AH226" s="689"/>
      <c r="AI226" s="689"/>
      <c r="AJ226" s="689">
        <v>2500</v>
      </c>
      <c r="AK226" s="689"/>
      <c r="AL226" s="689">
        <v>383.33</v>
      </c>
      <c r="AM226" s="689"/>
      <c r="AN226" s="689"/>
      <c r="AO226" s="689"/>
      <c r="AP226" s="689"/>
      <c r="AQ226" s="689"/>
      <c r="AR226" s="689"/>
      <c r="AS226" s="689"/>
      <c r="AT226" s="689"/>
      <c r="AU226" s="689">
        <f t="shared" si="344"/>
        <v>8752.0068</v>
      </c>
      <c r="AV226" s="689"/>
      <c r="AW226" s="689"/>
      <c r="AX226" s="718">
        <f t="shared" si="365"/>
        <v>4376.0034</v>
      </c>
      <c r="AY226" s="718"/>
      <c r="AZ226" s="718"/>
      <c r="BA226" s="689"/>
      <c r="BB226" s="689"/>
      <c r="BC226" s="689"/>
      <c r="BD226" s="719"/>
      <c r="BE226" s="719"/>
      <c r="BF226" s="689"/>
      <c r="BG226" s="689"/>
      <c r="BH226" s="727"/>
      <c r="BI226" s="689"/>
      <c r="BJ226" s="689"/>
      <c r="BK226" s="689"/>
      <c r="BL226" s="890"/>
      <c r="BM226" s="890"/>
      <c r="BN226" s="890"/>
      <c r="BO226" s="689">
        <v>67500</v>
      </c>
      <c r="BP226" s="689"/>
      <c r="BQ226" s="689"/>
      <c r="BR226" s="731"/>
      <c r="BS226" s="731"/>
      <c r="BT226" s="731"/>
      <c r="BU226" s="731"/>
      <c r="BV226" s="731"/>
      <c r="BW226" s="731"/>
      <c r="BX226" s="731"/>
      <c r="BY226" s="731">
        <v>2000</v>
      </c>
      <c r="BZ226" s="731">
        <v>1000</v>
      </c>
      <c r="CA226" s="718">
        <f t="shared" si="325"/>
        <v>4476.0034</v>
      </c>
      <c r="CB226" s="735"/>
      <c r="CC226" s="731">
        <v>24765.1</v>
      </c>
      <c r="CD226" s="702">
        <f t="shared" si="329"/>
        <v>223800.17</v>
      </c>
      <c r="CE226" s="731">
        <f t="shared" si="331"/>
        <v>112869.1136</v>
      </c>
      <c r="CF226" s="739">
        <f t="shared" si="330"/>
        <v>110931.0564</v>
      </c>
      <c r="CG226" s="742">
        <f t="shared" si="326"/>
        <v>112869.1136</v>
      </c>
      <c r="CH226" s="743" t="e">
        <f>'[6]JACKSON AKPOJARO '!C340*12</f>
        <v>#REF!</v>
      </c>
      <c r="CI226" s="744" t="e">
        <f t="shared" ref="CI226" si="381">200000+(0.2*CH226)</f>
        <v>#REF!</v>
      </c>
      <c r="CJ226" s="745">
        <f t="shared" si="369"/>
        <v>0</v>
      </c>
      <c r="CK226" s="748" t="e">
        <f t="shared" ref="CK226" si="382">SUM(CI226:CJ226)</f>
        <v>#REF!</v>
      </c>
      <c r="CL226" s="749" t="e">
        <f t="shared" ref="CL226" si="383">+CH226-CK226</f>
        <v>#REF!</v>
      </c>
      <c r="CM226" s="744"/>
      <c r="CN226" s="745" t="e">
        <f t="shared" ref="CN226" si="384">IF((CL226&gt;0),(IF((CL226&gt;300000),(300000*7%),(CL226*7%))),(CH226*1%))</f>
        <v>#REF!</v>
      </c>
      <c r="CO226" s="745" t="e">
        <f t="shared" ref="CO226" si="385">IF((CL226-300000)&gt;0,(IF((CL226&gt;600000),(300000*11%),((CL226-300000)*11%))),(""))</f>
        <v>#REF!</v>
      </c>
      <c r="CP226" s="745" t="e">
        <f t="shared" ref="CP226" si="386">IF(((CL226-600000)&gt;0),(IF((CL226&gt;1100000),(500000*15%),((CL226-600000)*15%))),(""))</f>
        <v>#REF!</v>
      </c>
      <c r="CQ226" s="745" t="e">
        <f t="shared" ref="CQ226" si="387">IF(((CL226-(1100000))&gt;0),(IF((CL226&gt;(1600000)),((500000)*19%),((CL226-(1100000))*19%))),(""))</f>
        <v>#REF!</v>
      </c>
      <c r="CR226" s="745" t="e">
        <f t="shared" ref="CR226" si="388">IF(((CL226-(1600000))&gt;0),(IF((CL226&gt;(3200000)),((1600000)*21%),((CL226-(1600000))*21%))),(""))</f>
        <v>#REF!</v>
      </c>
      <c r="CS226" s="745" t="e">
        <f t="shared" ref="CS226" si="389">IF(((CL226-(3200000))&gt;0),(IF((CL226&gt;(3200000)),((CL226-(3200000))*24%),(0))),(""))</f>
        <v>#REF!</v>
      </c>
      <c r="CT226" s="754" t="e">
        <f t="shared" si="378"/>
        <v>#REF!</v>
      </c>
      <c r="CU226" s="755" t="e">
        <f t="shared" si="379"/>
        <v>#REF!</v>
      </c>
      <c r="CV226" s="756">
        <f t="shared" si="380"/>
        <v>24765.1</v>
      </c>
      <c r="CW226" s="757"/>
      <c r="CX226" s="758"/>
      <c r="CY226" s="759"/>
      <c r="CZ226" s="760"/>
      <c r="DA226" s="767"/>
    </row>
    <row r="227" ht="213" customHeight="1" spans="1:105">
      <c r="A227" s="675">
        <v>550</v>
      </c>
      <c r="B227" s="676" t="s">
        <v>1269</v>
      </c>
      <c r="C227" s="677" t="s">
        <v>1735</v>
      </c>
      <c r="D227" s="677" t="s">
        <v>1535</v>
      </c>
      <c r="E227" s="677" t="s">
        <v>135</v>
      </c>
      <c r="F227" s="1452" t="s">
        <v>1270</v>
      </c>
      <c r="G227" s="677" t="s">
        <v>1628</v>
      </c>
      <c r="H227" s="679"/>
      <c r="I227" s="681" t="s">
        <v>915</v>
      </c>
      <c r="J227" s="783" t="s">
        <v>1270</v>
      </c>
      <c r="K227" s="687"/>
      <c r="L227" s="688">
        <v>1912620</v>
      </c>
      <c r="M227" s="688" t="e">
        <f>S227-#REF!</f>
        <v>#REF!</v>
      </c>
      <c r="N227" s="689">
        <v>1967327</v>
      </c>
      <c r="O227" s="689">
        <v>163943.916666667</v>
      </c>
      <c r="P227" s="689"/>
      <c r="Q227" s="689">
        <v>40985.9791666667</v>
      </c>
      <c r="R227" s="689">
        <v>30000</v>
      </c>
      <c r="S227" s="689">
        <v>260727.58</v>
      </c>
      <c r="T227" s="689"/>
      <c r="U227" s="689"/>
      <c r="V227" s="689"/>
      <c r="W227" s="689"/>
      <c r="X227" s="689"/>
      <c r="Y227" s="689"/>
      <c r="Z227" s="689"/>
      <c r="AA227" s="689"/>
      <c r="AB227" s="689">
        <v>25000</v>
      </c>
      <c r="AC227" s="689">
        <v>2500</v>
      </c>
      <c r="AD227" s="689"/>
      <c r="AE227" s="689"/>
      <c r="AF227" s="689"/>
      <c r="AG227" s="689"/>
      <c r="AH227" s="689"/>
      <c r="AI227" s="689"/>
      <c r="AJ227" s="689">
        <v>2500</v>
      </c>
      <c r="AK227" s="689"/>
      <c r="AL227" s="689">
        <v>383.33</v>
      </c>
      <c r="AM227" s="689"/>
      <c r="AN227" s="689"/>
      <c r="AO227" s="689"/>
      <c r="AP227" s="689"/>
      <c r="AQ227" s="689"/>
      <c r="AR227" s="689"/>
      <c r="AS227" s="689"/>
      <c r="AT227" s="689"/>
      <c r="AU227" s="689">
        <f t="shared" si="344"/>
        <v>10429.1032</v>
      </c>
      <c r="AV227" s="689"/>
      <c r="AW227" s="689">
        <v>2000</v>
      </c>
      <c r="AX227" s="718">
        <f t="shared" si="365"/>
        <v>5214.5516</v>
      </c>
      <c r="AY227" s="718"/>
      <c r="AZ227" s="718"/>
      <c r="BA227" s="689"/>
      <c r="BB227" s="689"/>
      <c r="BC227" s="689"/>
      <c r="BD227" s="719"/>
      <c r="BE227" s="719"/>
      <c r="BF227" s="689"/>
      <c r="BG227" s="689"/>
      <c r="BH227" s="727"/>
      <c r="BI227" s="689"/>
      <c r="BJ227" s="689"/>
      <c r="BK227" s="689"/>
      <c r="BL227" s="689">
        <v>7500</v>
      </c>
      <c r="BM227" s="689"/>
      <c r="BN227" s="689"/>
      <c r="BO227" s="689">
        <v>87500</v>
      </c>
      <c r="BP227" s="689"/>
      <c r="BQ227" s="689"/>
      <c r="BR227" s="731"/>
      <c r="BS227" s="731"/>
      <c r="BT227" s="731"/>
      <c r="BU227" s="731"/>
      <c r="BV227" s="731"/>
      <c r="BW227" s="731"/>
      <c r="BX227" s="731">
        <v>5000</v>
      </c>
      <c r="BY227" s="731"/>
      <c r="BZ227" s="731">
        <v>1500</v>
      </c>
      <c r="CA227" s="718">
        <f t="shared" si="325"/>
        <v>5814.5516</v>
      </c>
      <c r="CB227" s="735"/>
      <c r="CC227" s="731">
        <v>36008.9001066667</v>
      </c>
      <c r="CD227" s="702">
        <f t="shared" si="329"/>
        <v>290727.58</v>
      </c>
      <c r="CE227" s="731">
        <f t="shared" si="331"/>
        <v>160967.106506667</v>
      </c>
      <c r="CF227" s="739">
        <f t="shared" si="330"/>
        <v>129760.473493333</v>
      </c>
      <c r="CG227" s="742">
        <f t="shared" si="326"/>
        <v>160967.106506667</v>
      </c>
      <c r="CH227" s="743" t="e">
        <f>'[6]JACKSON AKPOJARO '!C340*12</f>
        <v>#REF!</v>
      </c>
      <c r="CI227" s="744" t="e">
        <f t="shared" si="368"/>
        <v>#REF!</v>
      </c>
      <c r="CJ227" s="745">
        <f t="shared" si="369"/>
        <v>0</v>
      </c>
      <c r="CK227" s="748" t="e">
        <f t="shared" si="370"/>
        <v>#REF!</v>
      </c>
      <c r="CL227" s="749" t="e">
        <f t="shared" si="371"/>
        <v>#REF!</v>
      </c>
      <c r="CM227" s="744"/>
      <c r="CN227" s="745" t="e">
        <f t="shared" si="372"/>
        <v>#REF!</v>
      </c>
      <c r="CO227" s="745" t="e">
        <f t="shared" si="373"/>
        <v>#REF!</v>
      </c>
      <c r="CP227" s="745" t="e">
        <f t="shared" si="374"/>
        <v>#REF!</v>
      </c>
      <c r="CQ227" s="745" t="e">
        <f t="shared" si="375"/>
        <v>#REF!</v>
      </c>
      <c r="CR227" s="745" t="e">
        <f t="shared" si="376"/>
        <v>#REF!</v>
      </c>
      <c r="CS227" s="745" t="e">
        <f t="shared" si="377"/>
        <v>#REF!</v>
      </c>
      <c r="CT227" s="754" t="e">
        <f t="shared" si="378"/>
        <v>#REF!</v>
      </c>
      <c r="CU227" s="755" t="e">
        <f t="shared" si="379"/>
        <v>#REF!</v>
      </c>
      <c r="CV227" s="756">
        <f t="shared" si="380"/>
        <v>36008.9001066667</v>
      </c>
      <c r="CW227" s="757"/>
      <c r="CX227" s="758"/>
      <c r="CY227" s="759"/>
      <c r="CZ227" s="760"/>
      <c r="DA227" s="767"/>
    </row>
    <row r="228" ht="236" customHeight="1" spans="1:105">
      <c r="A228" s="673">
        <v>551</v>
      </c>
      <c r="B228" s="676" t="s">
        <v>1271</v>
      </c>
      <c r="C228" s="677" t="s">
        <v>1520</v>
      </c>
      <c r="D228" s="677" t="s">
        <v>1736</v>
      </c>
      <c r="E228" s="677" t="s">
        <v>313</v>
      </c>
      <c r="F228" s="1452" t="s">
        <v>1272</v>
      </c>
      <c r="G228" s="677" t="s">
        <v>1581</v>
      </c>
      <c r="H228" s="679"/>
      <c r="I228" s="33" t="s">
        <v>313</v>
      </c>
      <c r="J228" s="686" t="s">
        <v>1272</v>
      </c>
      <c r="K228" s="687"/>
      <c r="L228" s="688">
        <f>L226</f>
        <v>1762132</v>
      </c>
      <c r="M228" s="688" t="e">
        <f>S228-#REF!</f>
        <v>#REF!</v>
      </c>
      <c r="N228" s="689">
        <v>1812482</v>
      </c>
      <c r="O228" s="689">
        <v>151040.166666667</v>
      </c>
      <c r="P228" s="689"/>
      <c r="Q228" s="689">
        <v>37760.0416666667</v>
      </c>
      <c r="R228" s="689">
        <v>30000</v>
      </c>
      <c r="S228" s="689">
        <v>217833.92</v>
      </c>
      <c r="T228" s="689"/>
      <c r="U228" s="689"/>
      <c r="V228" s="689"/>
      <c r="W228" s="689"/>
      <c r="X228" s="689"/>
      <c r="Y228" s="689"/>
      <c r="Z228" s="689"/>
      <c r="AA228" s="689"/>
      <c r="AB228" s="689"/>
      <c r="AC228" s="689">
        <v>2500</v>
      </c>
      <c r="AD228" s="689"/>
      <c r="AE228" s="689">
        <v>30000</v>
      </c>
      <c r="AF228" s="689"/>
      <c r="AG228" s="689"/>
      <c r="AH228" s="689"/>
      <c r="AI228" s="689"/>
      <c r="AJ228" s="689">
        <v>2500</v>
      </c>
      <c r="AK228" s="689"/>
      <c r="AL228" s="689">
        <v>383.33</v>
      </c>
      <c r="AM228" s="689"/>
      <c r="AN228" s="689"/>
      <c r="AO228" s="689"/>
      <c r="AP228" s="689"/>
      <c r="AQ228" s="689"/>
      <c r="AR228" s="689"/>
      <c r="AS228" s="689"/>
      <c r="AT228" s="689">
        <v>1000</v>
      </c>
      <c r="AU228" s="689">
        <f t="shared" si="344"/>
        <v>8713.3568</v>
      </c>
      <c r="AV228" s="689"/>
      <c r="AW228" s="689"/>
      <c r="AX228" s="718"/>
      <c r="AY228" s="718"/>
      <c r="AZ228" s="718"/>
      <c r="BA228" s="689"/>
      <c r="BB228" s="689" t="s">
        <v>1525</v>
      </c>
      <c r="BC228" s="689"/>
      <c r="BD228" s="719"/>
      <c r="BE228" s="719"/>
      <c r="BF228" s="689"/>
      <c r="BG228" s="689"/>
      <c r="BH228" s="727"/>
      <c r="BI228" s="689">
        <v>8752.00833333333</v>
      </c>
      <c r="BJ228" s="689"/>
      <c r="BK228" s="689"/>
      <c r="BL228" s="689"/>
      <c r="BM228" s="689"/>
      <c r="BN228" s="689"/>
      <c r="BO228" s="689">
        <v>0</v>
      </c>
      <c r="BP228" s="689"/>
      <c r="BQ228" s="689"/>
      <c r="BR228" s="731"/>
      <c r="BS228" s="731"/>
      <c r="BT228" s="731"/>
      <c r="BU228" s="731"/>
      <c r="BV228" s="731"/>
      <c r="BW228" s="731"/>
      <c r="BX228" s="731">
        <v>5000</v>
      </c>
      <c r="BY228" s="731">
        <v>2000</v>
      </c>
      <c r="BZ228" s="731">
        <v>1000</v>
      </c>
      <c r="CA228" s="718">
        <f t="shared" si="325"/>
        <v>5056.6784</v>
      </c>
      <c r="CB228" s="735"/>
      <c r="CC228" s="731">
        <v>29805.1</v>
      </c>
      <c r="CD228" s="702">
        <f t="shared" si="329"/>
        <v>252833.92</v>
      </c>
      <c r="CE228" s="731">
        <f t="shared" si="331"/>
        <v>61327.1435333333</v>
      </c>
      <c r="CF228" s="739">
        <f t="shared" si="330"/>
        <v>191506.776466667</v>
      </c>
      <c r="CG228" s="742">
        <f t="shared" si="326"/>
        <v>61327.1435333334</v>
      </c>
      <c r="CH228" s="743" t="e">
        <f>'[6]JACKSON AKPOJARO '!C341*12</f>
        <v>#REF!</v>
      </c>
      <c r="CI228" s="744" t="e">
        <f t="shared" si="368"/>
        <v>#REF!</v>
      </c>
      <c r="CJ228" s="745">
        <f t="shared" si="369"/>
        <v>0</v>
      </c>
      <c r="CK228" s="748" t="e">
        <f t="shared" si="370"/>
        <v>#REF!</v>
      </c>
      <c r="CL228" s="749" t="e">
        <f t="shared" si="371"/>
        <v>#REF!</v>
      </c>
      <c r="CM228" s="744"/>
      <c r="CN228" s="745" t="e">
        <f t="shared" si="372"/>
        <v>#REF!</v>
      </c>
      <c r="CO228" s="745" t="e">
        <f t="shared" si="373"/>
        <v>#REF!</v>
      </c>
      <c r="CP228" s="745" t="e">
        <f t="shared" si="374"/>
        <v>#REF!</v>
      </c>
      <c r="CQ228" s="745" t="e">
        <f t="shared" si="375"/>
        <v>#REF!</v>
      </c>
      <c r="CR228" s="745" t="e">
        <f t="shared" si="376"/>
        <v>#REF!</v>
      </c>
      <c r="CS228" s="745" t="e">
        <f t="shared" si="377"/>
        <v>#REF!</v>
      </c>
      <c r="CT228" s="754" t="e">
        <f t="shared" si="378"/>
        <v>#REF!</v>
      </c>
      <c r="CU228" s="755" t="e">
        <f t="shared" si="379"/>
        <v>#REF!</v>
      </c>
      <c r="CV228" s="756">
        <f t="shared" si="380"/>
        <v>29805.1</v>
      </c>
      <c r="CW228" s="757"/>
      <c r="CX228" s="758"/>
      <c r="CY228" s="759"/>
      <c r="CZ228" s="760"/>
      <c r="DA228" s="767"/>
    </row>
    <row r="229" ht="236" customHeight="1" spans="1:105">
      <c r="A229" s="675">
        <v>552</v>
      </c>
      <c r="B229" s="676" t="s">
        <v>1273</v>
      </c>
      <c r="C229" s="677" t="s">
        <v>1520</v>
      </c>
      <c r="D229" s="677" t="s">
        <v>1737</v>
      </c>
      <c r="E229" s="677" t="s">
        <v>915</v>
      </c>
      <c r="F229" s="1452" t="s">
        <v>1274</v>
      </c>
      <c r="G229" s="677" t="s">
        <v>1738</v>
      </c>
      <c r="H229" s="679"/>
      <c r="I229" s="681" t="s">
        <v>135</v>
      </c>
      <c r="J229" s="686" t="s">
        <v>1274</v>
      </c>
      <c r="K229" s="687"/>
      <c r="L229" s="688">
        <v>1428573</v>
      </c>
      <c r="M229" s="688" t="e">
        <f>S229-#REF!</f>
        <v>#REF!</v>
      </c>
      <c r="N229" s="689">
        <v>1510386</v>
      </c>
      <c r="O229" s="689">
        <v>125865.5</v>
      </c>
      <c r="P229" s="689"/>
      <c r="Q229" s="689">
        <v>31466.375</v>
      </c>
      <c r="R229" s="689">
        <v>30000</v>
      </c>
      <c r="S229" s="689">
        <v>206436.42</v>
      </c>
      <c r="T229" s="689"/>
      <c r="U229" s="689"/>
      <c r="V229" s="689"/>
      <c r="W229" s="689"/>
      <c r="X229" s="689"/>
      <c r="Y229" s="689"/>
      <c r="Z229" s="689"/>
      <c r="AA229" s="689"/>
      <c r="AB229" s="689">
        <v>25000</v>
      </c>
      <c r="AC229" s="689">
        <v>2500</v>
      </c>
      <c r="AD229" s="689"/>
      <c r="AE229" s="689">
        <v>30000</v>
      </c>
      <c r="AF229" s="689"/>
      <c r="AG229" s="689"/>
      <c r="AH229" s="689"/>
      <c r="AI229" s="689"/>
      <c r="AJ229" s="689">
        <v>2500</v>
      </c>
      <c r="AK229" s="689"/>
      <c r="AL229" s="689">
        <v>383.33</v>
      </c>
      <c r="AM229" s="689"/>
      <c r="AN229" s="689"/>
      <c r="AO229" s="689"/>
      <c r="AP229" s="689"/>
      <c r="AQ229" s="689"/>
      <c r="AR229" s="689"/>
      <c r="AS229" s="689"/>
      <c r="AT229" s="689"/>
      <c r="AU229" s="689">
        <f t="shared" si="344"/>
        <v>8257.4568</v>
      </c>
      <c r="AV229" s="689"/>
      <c r="AW229" s="689"/>
      <c r="AX229" s="718"/>
      <c r="AY229" s="718"/>
      <c r="AZ229" s="718"/>
      <c r="BA229" s="689"/>
      <c r="BB229" s="689"/>
      <c r="BC229" s="689"/>
      <c r="BD229" s="719"/>
      <c r="BE229" s="719"/>
      <c r="BF229" s="689"/>
      <c r="BG229" s="689"/>
      <c r="BH229" s="727"/>
      <c r="BI229" s="689">
        <v>7493.275</v>
      </c>
      <c r="BJ229" s="689"/>
      <c r="BK229" s="689"/>
      <c r="BL229" s="689"/>
      <c r="BM229" s="689"/>
      <c r="BN229" s="689"/>
      <c r="BO229" s="689">
        <v>0</v>
      </c>
      <c r="BP229" s="689"/>
      <c r="BQ229" s="689"/>
      <c r="BR229" s="731"/>
      <c r="BS229" s="731"/>
      <c r="BT229" s="731"/>
      <c r="BU229" s="731"/>
      <c r="BV229" s="731"/>
      <c r="BW229" s="731"/>
      <c r="BX229" s="731"/>
      <c r="BY229" s="731"/>
      <c r="BZ229" s="731">
        <v>1000</v>
      </c>
      <c r="CA229" s="718">
        <f t="shared" si="325"/>
        <v>5328.7284</v>
      </c>
      <c r="CB229" s="735"/>
      <c r="CC229" s="731">
        <v>31927.99</v>
      </c>
      <c r="CD229" s="702">
        <f t="shared" si="329"/>
        <v>266436.42</v>
      </c>
      <c r="CE229" s="731">
        <f t="shared" si="331"/>
        <v>54007.4502</v>
      </c>
      <c r="CF229" s="739">
        <f t="shared" si="330"/>
        <v>212428.9698</v>
      </c>
      <c r="CG229" s="742">
        <f t="shared" si="326"/>
        <v>54007.4502</v>
      </c>
      <c r="CH229" s="743" t="e">
        <f>'[6]JACKSON AKPOJARO '!C342*12</f>
        <v>#REF!</v>
      </c>
      <c r="CI229" s="744" t="e">
        <f t="shared" si="368"/>
        <v>#REF!</v>
      </c>
      <c r="CJ229" s="745">
        <f t="shared" si="369"/>
        <v>0</v>
      </c>
      <c r="CK229" s="748" t="e">
        <f t="shared" si="370"/>
        <v>#REF!</v>
      </c>
      <c r="CL229" s="749" t="e">
        <f t="shared" si="371"/>
        <v>#REF!</v>
      </c>
      <c r="CM229" s="744"/>
      <c r="CN229" s="745" t="e">
        <f t="shared" si="372"/>
        <v>#REF!</v>
      </c>
      <c r="CO229" s="745" t="e">
        <f t="shared" si="373"/>
        <v>#REF!</v>
      </c>
      <c r="CP229" s="745" t="e">
        <f t="shared" si="374"/>
        <v>#REF!</v>
      </c>
      <c r="CQ229" s="745" t="e">
        <f t="shared" si="375"/>
        <v>#REF!</v>
      </c>
      <c r="CR229" s="745" t="e">
        <f t="shared" si="376"/>
        <v>#REF!</v>
      </c>
      <c r="CS229" s="745" t="e">
        <f t="shared" si="377"/>
        <v>#REF!</v>
      </c>
      <c r="CT229" s="754" t="e">
        <f t="shared" si="378"/>
        <v>#REF!</v>
      </c>
      <c r="CU229" s="755" t="e">
        <f t="shared" si="379"/>
        <v>#REF!</v>
      </c>
      <c r="CV229" s="756">
        <f t="shared" si="380"/>
        <v>31927.99</v>
      </c>
      <c r="CW229" s="757"/>
      <c r="CX229" s="758"/>
      <c r="CY229" s="759"/>
      <c r="CZ229" s="760"/>
      <c r="DA229" s="767"/>
    </row>
    <row r="230" ht="236" customHeight="1" spans="1:105">
      <c r="A230" s="673">
        <v>553</v>
      </c>
      <c r="B230" s="676" t="s">
        <v>1275</v>
      </c>
      <c r="C230" s="677" t="s">
        <v>1520</v>
      </c>
      <c r="D230" s="677" t="s">
        <v>1739</v>
      </c>
      <c r="E230" s="677" t="s">
        <v>259</v>
      </c>
      <c r="F230" s="677">
        <v>6239313426</v>
      </c>
      <c r="G230" s="677" t="s">
        <v>1740</v>
      </c>
      <c r="H230" s="679"/>
      <c r="I230" s="33" t="s">
        <v>259</v>
      </c>
      <c r="J230" s="33">
        <v>6239313426</v>
      </c>
      <c r="K230" s="687"/>
      <c r="L230" s="688"/>
      <c r="M230" s="688" t="e">
        <f>S230-#REF!</f>
        <v>#REF!</v>
      </c>
      <c r="N230" s="689">
        <v>1510387</v>
      </c>
      <c r="O230" s="689">
        <v>125865.583333333</v>
      </c>
      <c r="P230" s="689"/>
      <c r="Q230" s="689">
        <v>31466.3958333333</v>
      </c>
      <c r="R230" s="689">
        <v>30000</v>
      </c>
      <c r="S230" s="689">
        <v>187721.83</v>
      </c>
      <c r="T230" s="689"/>
      <c r="U230" s="689"/>
      <c r="V230" s="689"/>
      <c r="W230" s="689"/>
      <c r="X230" s="689"/>
      <c r="Y230" s="689"/>
      <c r="Z230" s="689"/>
      <c r="AA230" s="689"/>
      <c r="AB230" s="689"/>
      <c r="AC230" s="689">
        <v>2500</v>
      </c>
      <c r="AD230" s="689"/>
      <c r="AE230" s="689">
        <v>30000</v>
      </c>
      <c r="AF230" s="689"/>
      <c r="AG230" s="689"/>
      <c r="AH230" s="689"/>
      <c r="AI230" s="689"/>
      <c r="AJ230" s="689">
        <v>2500</v>
      </c>
      <c r="AK230" s="689"/>
      <c r="AL230" s="689">
        <v>383.33</v>
      </c>
      <c r="AM230" s="689"/>
      <c r="AN230" s="689"/>
      <c r="AO230" s="689"/>
      <c r="AP230" s="689"/>
      <c r="AQ230" s="689"/>
      <c r="AR230" s="689"/>
      <c r="AS230" s="689"/>
      <c r="AT230" s="689">
        <v>1000</v>
      </c>
      <c r="AU230" s="689">
        <f t="shared" si="344"/>
        <v>7508.8732</v>
      </c>
      <c r="AV230" s="689"/>
      <c r="AW230" s="689"/>
      <c r="AX230" s="718"/>
      <c r="AY230" s="718"/>
      <c r="AZ230" s="718"/>
      <c r="BA230" s="689"/>
      <c r="BB230" s="689"/>
      <c r="BC230" s="689"/>
      <c r="BD230" s="719"/>
      <c r="BE230" s="719"/>
      <c r="BF230" s="689"/>
      <c r="BG230" s="689"/>
      <c r="BH230" s="727"/>
      <c r="BI230" s="689">
        <v>7493.27916666667</v>
      </c>
      <c r="BJ230" s="689"/>
      <c r="BK230" s="689"/>
      <c r="BL230" s="689"/>
      <c r="BM230" s="689"/>
      <c r="BN230" s="689"/>
      <c r="BO230" s="689">
        <v>0</v>
      </c>
      <c r="BP230" s="689"/>
      <c r="BQ230" s="689"/>
      <c r="BR230" s="731"/>
      <c r="BS230" s="731"/>
      <c r="BT230" s="731"/>
      <c r="BU230" s="731"/>
      <c r="BV230" s="731"/>
      <c r="BW230" s="731"/>
      <c r="BX230" s="731"/>
      <c r="BY230" s="731">
        <v>2000</v>
      </c>
      <c r="BZ230" s="731">
        <v>1000</v>
      </c>
      <c r="CA230" s="718">
        <f t="shared" si="325"/>
        <v>4454.4366</v>
      </c>
      <c r="CB230" s="735"/>
      <c r="CC230" s="731">
        <v>24583.93</v>
      </c>
      <c r="CD230" s="702">
        <f t="shared" si="329"/>
        <v>222721.83</v>
      </c>
      <c r="CE230" s="731">
        <f t="shared" si="331"/>
        <v>48040.5189666667</v>
      </c>
      <c r="CF230" s="739">
        <f t="shared" si="330"/>
        <v>174681.311033333</v>
      </c>
      <c r="CG230" s="742">
        <f t="shared" si="326"/>
        <v>48040.5189666667</v>
      </c>
      <c r="CH230" s="743" t="e">
        <f>'[6]JACKSON AKPOJARO '!C343*12</f>
        <v>#REF!</v>
      </c>
      <c r="CI230" s="744" t="e">
        <f t="shared" ref="CI230" si="390">200000+(0.2*CH230)</f>
        <v>#REF!</v>
      </c>
      <c r="CJ230" s="745">
        <f t="shared" si="369"/>
        <v>0</v>
      </c>
      <c r="CK230" s="748" t="e">
        <f t="shared" ref="CK230" si="391">SUM(CI230:CJ230)</f>
        <v>#REF!</v>
      </c>
      <c r="CL230" s="749" t="e">
        <f t="shared" ref="CL230" si="392">+CH230-CK230</f>
        <v>#REF!</v>
      </c>
      <c r="CM230" s="744"/>
      <c r="CN230" s="745" t="e">
        <f t="shared" ref="CN230" si="393">IF((CL230&gt;0),(IF((CL230&gt;300000),(300000*7%),(CL230*7%))),(CH230*1%))</f>
        <v>#REF!</v>
      </c>
      <c r="CO230" s="745" t="e">
        <f t="shared" ref="CO230" si="394">IF((CL230-300000)&gt;0,(IF((CL230&gt;600000),(300000*11%),((CL230-300000)*11%))),(""))</f>
        <v>#REF!</v>
      </c>
      <c r="CP230" s="745" t="e">
        <f t="shared" ref="CP230" si="395">IF(((CL230-600000)&gt;0),(IF((CL230&gt;1100000),(500000*15%),((CL230-600000)*15%))),(""))</f>
        <v>#REF!</v>
      </c>
      <c r="CQ230" s="745" t="e">
        <f t="shared" ref="CQ230" si="396">IF(((CL230-(1100000))&gt;0),(IF((CL230&gt;(1600000)),((500000)*19%),((CL230-(1100000))*19%))),(""))</f>
        <v>#REF!</v>
      </c>
      <c r="CR230" s="745" t="e">
        <f t="shared" ref="CR230" si="397">IF(((CL230-(1600000))&gt;0),(IF((CL230&gt;(3200000)),((1600000)*21%),((CL230-(1600000))*21%))),(""))</f>
        <v>#REF!</v>
      </c>
      <c r="CS230" s="745" t="e">
        <f t="shared" ref="CS230" si="398">IF(((CL230-(3200000))&gt;0),(IF((CL230&gt;(3200000)),((CL230-(3200000))*24%),(0))),(""))</f>
        <v>#REF!</v>
      </c>
      <c r="CT230" s="754" t="e">
        <f t="shared" ref="CT230" si="399">1%*CH230</f>
        <v>#REF!</v>
      </c>
      <c r="CU230" s="755" t="e">
        <f t="shared" ref="CU230" si="400">MAX(CT230:CT230)</f>
        <v>#REF!</v>
      </c>
      <c r="CV230" s="756">
        <f t="shared" si="380"/>
        <v>24583.93</v>
      </c>
      <c r="CW230" s="757"/>
      <c r="CX230" s="758"/>
      <c r="CY230" s="759"/>
      <c r="CZ230" s="760"/>
      <c r="DA230" s="767"/>
    </row>
    <row r="231" ht="236" customHeight="1" spans="1:105">
      <c r="A231" s="675">
        <v>554</v>
      </c>
      <c r="B231" s="676" t="s">
        <v>1276</v>
      </c>
      <c r="C231" s="677" t="s">
        <v>1520</v>
      </c>
      <c r="D231" s="677" t="s">
        <v>1566</v>
      </c>
      <c r="E231" s="677" t="s">
        <v>97</v>
      </c>
      <c r="F231" s="1452" t="s">
        <v>1277</v>
      </c>
      <c r="G231" s="677" t="s">
        <v>1741</v>
      </c>
      <c r="H231" s="679"/>
      <c r="I231" s="681" t="s">
        <v>97</v>
      </c>
      <c r="J231" s="686" t="s">
        <v>1277</v>
      </c>
      <c r="K231" s="687"/>
      <c r="L231" s="688">
        <v>1762132</v>
      </c>
      <c r="M231" s="688" t="e">
        <f>S231-#REF!</f>
        <v>#REF!</v>
      </c>
      <c r="N231" s="689">
        <v>1762132</v>
      </c>
      <c r="O231" s="689">
        <v>146844.333333333</v>
      </c>
      <c r="P231" s="689"/>
      <c r="Q231" s="689">
        <v>36711.0833333333</v>
      </c>
      <c r="R231" s="689">
        <v>30000</v>
      </c>
      <c r="S231" s="689">
        <v>224044.75</v>
      </c>
      <c r="T231" s="689"/>
      <c r="U231" s="689"/>
      <c r="V231" s="689"/>
      <c r="W231" s="689"/>
      <c r="X231" s="689"/>
      <c r="Y231" s="689"/>
      <c r="Z231" s="689"/>
      <c r="AA231" s="689"/>
      <c r="AB231" s="689">
        <v>25000</v>
      </c>
      <c r="AC231" s="689">
        <v>2500</v>
      </c>
      <c r="AD231" s="689"/>
      <c r="AE231" s="689">
        <v>30000</v>
      </c>
      <c r="AF231" s="689"/>
      <c r="AG231" s="689"/>
      <c r="AH231" s="689"/>
      <c r="AI231" s="689"/>
      <c r="AJ231" s="689">
        <v>2500</v>
      </c>
      <c r="AK231" s="689"/>
      <c r="AL231" s="689">
        <v>383.33</v>
      </c>
      <c r="AM231" s="689"/>
      <c r="AN231" s="689"/>
      <c r="AO231" s="689"/>
      <c r="AP231" s="689"/>
      <c r="AQ231" s="689"/>
      <c r="AR231" s="689"/>
      <c r="AS231" s="689"/>
      <c r="AT231" s="689">
        <v>1000</v>
      </c>
      <c r="AU231" s="689">
        <f t="shared" si="344"/>
        <v>8961.79</v>
      </c>
      <c r="AV231" s="689"/>
      <c r="AW231" s="689"/>
      <c r="AX231" s="718"/>
      <c r="AY231" s="718"/>
      <c r="AZ231" s="718"/>
      <c r="BA231" s="689"/>
      <c r="BB231" s="689"/>
      <c r="BC231" s="689"/>
      <c r="BD231" s="719"/>
      <c r="BE231" s="719"/>
      <c r="BF231" s="689"/>
      <c r="BG231" s="689"/>
      <c r="BH231" s="727"/>
      <c r="BI231" s="689">
        <v>8542.21666666667</v>
      </c>
      <c r="BJ231" s="689"/>
      <c r="BK231" s="689"/>
      <c r="BL231" s="689"/>
      <c r="BM231" s="689"/>
      <c r="BN231" s="689"/>
      <c r="BO231" s="689">
        <v>72500</v>
      </c>
      <c r="BP231" s="689"/>
      <c r="BQ231" s="689"/>
      <c r="BR231" s="731"/>
      <c r="BS231" s="731"/>
      <c r="BT231" s="731"/>
      <c r="BU231" s="731"/>
      <c r="BV231" s="731"/>
      <c r="BW231" s="731"/>
      <c r="BX231" s="731"/>
      <c r="BY231" s="731"/>
      <c r="BZ231" s="731">
        <v>1000</v>
      </c>
      <c r="CA231" s="718">
        <f t="shared" si="325"/>
        <v>5680.895</v>
      </c>
      <c r="CB231" s="735"/>
      <c r="CC231" s="731">
        <v>34886.18</v>
      </c>
      <c r="CD231" s="702">
        <f t="shared" si="329"/>
        <v>284044.75</v>
      </c>
      <c r="CE231" s="731">
        <f t="shared" si="331"/>
        <v>132571.081666667</v>
      </c>
      <c r="CF231" s="739">
        <f t="shared" si="330"/>
        <v>151473.668333333</v>
      </c>
      <c r="CG231" s="742">
        <f t="shared" si="326"/>
        <v>132571.081666667</v>
      </c>
      <c r="CH231" s="743" t="e">
        <f>'[6]JACKSON AKPOJARO '!C344*12</f>
        <v>#REF!</v>
      </c>
      <c r="CI231" s="744" t="e">
        <f t="shared" si="368"/>
        <v>#REF!</v>
      </c>
      <c r="CJ231" s="745">
        <f t="shared" si="369"/>
        <v>0</v>
      </c>
      <c r="CK231" s="748" t="e">
        <f t="shared" si="370"/>
        <v>#REF!</v>
      </c>
      <c r="CL231" s="749" t="e">
        <f t="shared" si="371"/>
        <v>#REF!</v>
      </c>
      <c r="CM231" s="744"/>
      <c r="CN231" s="745" t="e">
        <f t="shared" si="372"/>
        <v>#REF!</v>
      </c>
      <c r="CO231" s="745" t="e">
        <f t="shared" si="373"/>
        <v>#REF!</v>
      </c>
      <c r="CP231" s="745" t="e">
        <f t="shared" si="374"/>
        <v>#REF!</v>
      </c>
      <c r="CQ231" s="745" t="e">
        <f t="shared" si="375"/>
        <v>#REF!</v>
      </c>
      <c r="CR231" s="745" t="e">
        <f t="shared" si="376"/>
        <v>#REF!</v>
      </c>
      <c r="CS231" s="745" t="e">
        <f t="shared" si="377"/>
        <v>#REF!</v>
      </c>
      <c r="CT231" s="754" t="e">
        <f t="shared" si="378"/>
        <v>#REF!</v>
      </c>
      <c r="CU231" s="755" t="e">
        <f t="shared" si="379"/>
        <v>#REF!</v>
      </c>
      <c r="CV231" s="756">
        <f t="shared" si="380"/>
        <v>34886.18</v>
      </c>
      <c r="CW231" s="757"/>
      <c r="CX231" s="758"/>
      <c r="CY231" s="759"/>
      <c r="CZ231" s="760"/>
      <c r="DA231" s="767"/>
    </row>
    <row r="232" ht="236" customHeight="1" spans="1:105">
      <c r="A232" s="673">
        <v>555</v>
      </c>
      <c r="B232" s="676" t="s">
        <v>1278</v>
      </c>
      <c r="C232" s="677" t="s">
        <v>1520</v>
      </c>
      <c r="D232" s="677" t="s">
        <v>1736</v>
      </c>
      <c r="E232" s="677" t="s">
        <v>113</v>
      </c>
      <c r="F232" s="1452" t="s">
        <v>1279</v>
      </c>
      <c r="G232" s="677" t="s">
        <v>1742</v>
      </c>
      <c r="H232" s="679"/>
      <c r="I232" s="681" t="s">
        <v>113</v>
      </c>
      <c r="J232" s="686" t="s">
        <v>1279</v>
      </c>
      <c r="K232" s="687"/>
      <c r="L232" s="688">
        <v>1560735</v>
      </c>
      <c r="M232" s="688" t="e">
        <f>S232-#REF!</f>
        <v>#REF!</v>
      </c>
      <c r="N232" s="689">
        <v>1611085</v>
      </c>
      <c r="O232" s="689">
        <v>134257.083333333</v>
      </c>
      <c r="P232" s="689"/>
      <c r="Q232" s="689">
        <v>33564.2708333333</v>
      </c>
      <c r="R232" s="689">
        <v>30000</v>
      </c>
      <c r="S232" s="689">
        <v>203065.92</v>
      </c>
      <c r="T232" s="689"/>
      <c r="U232" s="689"/>
      <c r="V232" s="689"/>
      <c r="W232" s="689"/>
      <c r="X232" s="689"/>
      <c r="Y232" s="689"/>
      <c r="Z232" s="689"/>
      <c r="AA232" s="689"/>
      <c r="AB232" s="689">
        <v>25000</v>
      </c>
      <c r="AC232" s="689">
        <v>2500</v>
      </c>
      <c r="AD232" s="689"/>
      <c r="AE232" s="689">
        <v>30000</v>
      </c>
      <c r="AF232" s="689"/>
      <c r="AG232" s="689"/>
      <c r="AH232" s="689"/>
      <c r="AI232" s="689"/>
      <c r="AJ232" s="689">
        <v>2500</v>
      </c>
      <c r="AK232" s="689"/>
      <c r="AL232" s="689">
        <v>383.33</v>
      </c>
      <c r="AM232" s="689"/>
      <c r="AN232" s="689"/>
      <c r="AO232" s="689"/>
      <c r="AP232" s="689"/>
      <c r="AQ232" s="689"/>
      <c r="AR232" s="689"/>
      <c r="AS232" s="689"/>
      <c r="AT232" s="689">
        <v>1000</v>
      </c>
      <c r="AU232" s="689">
        <f t="shared" si="344"/>
        <v>8122.6368</v>
      </c>
      <c r="AV232" s="689"/>
      <c r="AW232" s="689"/>
      <c r="AX232" s="718"/>
      <c r="AY232" s="718"/>
      <c r="AZ232" s="718"/>
      <c r="BA232" s="689"/>
      <c r="BB232" s="689"/>
      <c r="BC232" s="689"/>
      <c r="BD232" s="719"/>
      <c r="BE232" s="719"/>
      <c r="BF232" s="689"/>
      <c r="BG232" s="689"/>
      <c r="BH232" s="727"/>
      <c r="BI232" s="689">
        <v>7912.85416666667</v>
      </c>
      <c r="BJ232" s="689"/>
      <c r="BK232" s="689"/>
      <c r="BL232" s="689"/>
      <c r="BM232" s="689"/>
      <c r="BN232" s="689"/>
      <c r="BO232" s="689">
        <v>54583</v>
      </c>
      <c r="BP232" s="689"/>
      <c r="BQ232" s="689"/>
      <c r="BR232" s="731"/>
      <c r="BS232" s="731"/>
      <c r="BT232" s="731"/>
      <c r="BU232" s="731"/>
      <c r="BV232" s="731"/>
      <c r="BW232" s="731"/>
      <c r="BX232" s="731"/>
      <c r="BY232" s="731"/>
      <c r="BZ232" s="731">
        <v>1000</v>
      </c>
      <c r="CA232" s="718">
        <f t="shared" si="325"/>
        <v>5261.3184</v>
      </c>
      <c r="CB232" s="735"/>
      <c r="CC232" s="731">
        <v>31361.74</v>
      </c>
      <c r="CD232" s="702">
        <f t="shared" si="329"/>
        <v>263065.92</v>
      </c>
      <c r="CE232" s="731">
        <f t="shared" si="331"/>
        <v>109241.549366667</v>
      </c>
      <c r="CF232" s="739">
        <f t="shared" si="330"/>
        <v>153824.370633333</v>
      </c>
      <c r="CG232" s="742">
        <f t="shared" si="326"/>
        <v>109241.549366667</v>
      </c>
      <c r="CH232" s="743" t="e">
        <f>'[6]JACKSON AKPOJARO '!C345*12</f>
        <v>#REF!</v>
      </c>
      <c r="CI232" s="744" t="e">
        <f t="shared" si="368"/>
        <v>#REF!</v>
      </c>
      <c r="CJ232" s="745">
        <f t="shared" si="369"/>
        <v>0</v>
      </c>
      <c r="CK232" s="748" t="e">
        <f t="shared" si="370"/>
        <v>#REF!</v>
      </c>
      <c r="CL232" s="749" t="e">
        <f t="shared" si="371"/>
        <v>#REF!</v>
      </c>
      <c r="CM232" s="744"/>
      <c r="CN232" s="745" t="e">
        <f t="shared" si="372"/>
        <v>#REF!</v>
      </c>
      <c r="CO232" s="745" t="e">
        <f t="shared" si="373"/>
        <v>#REF!</v>
      </c>
      <c r="CP232" s="745" t="e">
        <f t="shared" si="374"/>
        <v>#REF!</v>
      </c>
      <c r="CQ232" s="745" t="e">
        <f t="shared" si="375"/>
        <v>#REF!</v>
      </c>
      <c r="CR232" s="745" t="e">
        <f t="shared" si="376"/>
        <v>#REF!</v>
      </c>
      <c r="CS232" s="745" t="e">
        <f t="shared" si="377"/>
        <v>#REF!</v>
      </c>
      <c r="CT232" s="754" t="e">
        <f t="shared" si="378"/>
        <v>#REF!</v>
      </c>
      <c r="CU232" s="755" t="e">
        <f t="shared" si="379"/>
        <v>#REF!</v>
      </c>
      <c r="CV232" s="756">
        <f t="shared" si="380"/>
        <v>31361.74</v>
      </c>
      <c r="CW232" s="757"/>
      <c r="CX232" s="758"/>
      <c r="CY232" s="759"/>
      <c r="CZ232" s="760"/>
      <c r="DA232" s="767"/>
    </row>
    <row r="233" ht="236" customHeight="1" spans="1:105">
      <c r="A233" s="675">
        <v>556</v>
      </c>
      <c r="B233" s="676" t="s">
        <v>1280</v>
      </c>
      <c r="C233" s="677" t="s">
        <v>1520</v>
      </c>
      <c r="D233" s="677" t="s">
        <v>1736</v>
      </c>
      <c r="E233" s="677" t="s">
        <v>113</v>
      </c>
      <c r="F233" s="1452" t="s">
        <v>1281</v>
      </c>
      <c r="G233" s="677" t="s">
        <v>1742</v>
      </c>
      <c r="H233" s="679"/>
      <c r="I233" s="681" t="s">
        <v>113</v>
      </c>
      <c r="J233" s="686" t="s">
        <v>1281</v>
      </c>
      <c r="K233" s="687"/>
      <c r="L233" s="688">
        <v>1560735</v>
      </c>
      <c r="M233" s="688" t="e">
        <f>S233-#REF!</f>
        <v>#REF!</v>
      </c>
      <c r="N233" s="689">
        <v>1611085</v>
      </c>
      <c r="O233" s="689">
        <v>134257.083333333</v>
      </c>
      <c r="P233" s="689"/>
      <c r="Q233" s="689">
        <v>33564.2708333333</v>
      </c>
      <c r="R233" s="689">
        <v>30000</v>
      </c>
      <c r="S233" s="689">
        <v>203065.92</v>
      </c>
      <c r="T233" s="689"/>
      <c r="U233" s="689"/>
      <c r="V233" s="689"/>
      <c r="W233" s="689"/>
      <c r="X233" s="689"/>
      <c r="Y233" s="689"/>
      <c r="Z233" s="689"/>
      <c r="AA233" s="689"/>
      <c r="AB233" s="689"/>
      <c r="AC233" s="689">
        <v>2500</v>
      </c>
      <c r="AD233" s="689"/>
      <c r="AE233" s="689">
        <v>30000</v>
      </c>
      <c r="AF233" s="689"/>
      <c r="AG233" s="689"/>
      <c r="AH233" s="689"/>
      <c r="AI233" s="689"/>
      <c r="AJ233" s="689">
        <v>2500</v>
      </c>
      <c r="AK233" s="689"/>
      <c r="AL233" s="689">
        <v>383.33</v>
      </c>
      <c r="AM233" s="689"/>
      <c r="AN233" s="689"/>
      <c r="AO233" s="689"/>
      <c r="AP233" s="689"/>
      <c r="AQ233" s="689"/>
      <c r="AR233" s="689"/>
      <c r="AS233" s="689"/>
      <c r="AT233" s="689">
        <v>1000</v>
      </c>
      <c r="AU233" s="689">
        <f t="shared" si="344"/>
        <v>8122.6368</v>
      </c>
      <c r="AV233" s="689"/>
      <c r="AW233" s="689"/>
      <c r="AX233" s="718"/>
      <c r="AY233" s="718"/>
      <c r="AZ233" s="718"/>
      <c r="BA233" s="689"/>
      <c r="BB233" s="689"/>
      <c r="BC233" s="689"/>
      <c r="BD233" s="719"/>
      <c r="BE233" s="719"/>
      <c r="BF233" s="689"/>
      <c r="BG233" s="689"/>
      <c r="BH233" s="727"/>
      <c r="BI233" s="689">
        <v>7912.85416666667</v>
      </c>
      <c r="BJ233" s="689"/>
      <c r="BK233" s="689"/>
      <c r="BL233" s="689"/>
      <c r="BM233" s="689"/>
      <c r="BN233" s="689"/>
      <c r="BO233" s="689">
        <v>0</v>
      </c>
      <c r="BP233" s="689"/>
      <c r="BQ233" s="689"/>
      <c r="BR233" s="731"/>
      <c r="BS233" s="731"/>
      <c r="BT233" s="731"/>
      <c r="BU233" s="731"/>
      <c r="BV233" s="731"/>
      <c r="BW233" s="731"/>
      <c r="BX233" s="731"/>
      <c r="BY233" s="731">
        <v>2000</v>
      </c>
      <c r="BZ233" s="731">
        <v>1000</v>
      </c>
      <c r="CA233" s="718">
        <f t="shared" si="325"/>
        <v>4761.3184</v>
      </c>
      <c r="CB233" s="735"/>
      <c r="CC233" s="731">
        <v>27161.74</v>
      </c>
      <c r="CD233" s="702">
        <f t="shared" si="329"/>
        <v>238065.92</v>
      </c>
      <c r="CE233" s="731">
        <f t="shared" si="331"/>
        <v>51958.5493666667</v>
      </c>
      <c r="CF233" s="739">
        <f t="shared" si="330"/>
        <v>186107.370633333</v>
      </c>
      <c r="CG233" s="742">
        <f t="shared" si="326"/>
        <v>51958.5493666667</v>
      </c>
      <c r="CH233" s="743" t="e">
        <f>'[6]JACKSON AKPOJARO '!C346*12</f>
        <v>#REF!</v>
      </c>
      <c r="CI233" s="744" t="e">
        <f t="shared" si="368"/>
        <v>#REF!</v>
      </c>
      <c r="CJ233" s="745">
        <f t="shared" si="369"/>
        <v>0</v>
      </c>
      <c r="CK233" s="748" t="e">
        <f t="shared" si="370"/>
        <v>#REF!</v>
      </c>
      <c r="CL233" s="749" t="e">
        <f t="shared" si="371"/>
        <v>#REF!</v>
      </c>
      <c r="CM233" s="744"/>
      <c r="CN233" s="745" t="e">
        <f t="shared" si="372"/>
        <v>#REF!</v>
      </c>
      <c r="CO233" s="745" t="e">
        <f t="shared" si="373"/>
        <v>#REF!</v>
      </c>
      <c r="CP233" s="745" t="e">
        <f t="shared" si="374"/>
        <v>#REF!</v>
      </c>
      <c r="CQ233" s="745" t="e">
        <f t="shared" si="375"/>
        <v>#REF!</v>
      </c>
      <c r="CR233" s="745" t="e">
        <f t="shared" si="376"/>
        <v>#REF!</v>
      </c>
      <c r="CS233" s="745" t="e">
        <f t="shared" si="377"/>
        <v>#REF!</v>
      </c>
      <c r="CT233" s="754" t="e">
        <f t="shared" si="378"/>
        <v>#REF!</v>
      </c>
      <c r="CU233" s="755" t="e">
        <f t="shared" si="379"/>
        <v>#REF!</v>
      </c>
      <c r="CV233" s="756">
        <f t="shared" si="380"/>
        <v>27161.74</v>
      </c>
      <c r="CW233" s="757"/>
      <c r="CX233" s="758"/>
      <c r="CY233" s="759"/>
      <c r="CZ233" s="760"/>
      <c r="DA233" s="767"/>
    </row>
    <row r="234" ht="236" customHeight="1" spans="1:105">
      <c r="A234" s="673">
        <v>557</v>
      </c>
      <c r="B234" s="676" t="s">
        <v>1282</v>
      </c>
      <c r="C234" s="677" t="s">
        <v>1520</v>
      </c>
      <c r="D234" s="677" t="s">
        <v>1736</v>
      </c>
      <c r="E234" s="677" t="s">
        <v>127</v>
      </c>
      <c r="F234" s="1452" t="s">
        <v>1283</v>
      </c>
      <c r="G234" s="677" t="s">
        <v>1742</v>
      </c>
      <c r="H234" s="679"/>
      <c r="I234" s="681" t="s">
        <v>127</v>
      </c>
      <c r="J234" s="686" t="s">
        <v>1283</v>
      </c>
      <c r="K234" s="687"/>
      <c r="L234" s="688">
        <v>1560735</v>
      </c>
      <c r="M234" s="688" t="e">
        <f>S234-#REF!</f>
        <v>#REF!</v>
      </c>
      <c r="N234" s="689">
        <v>1611085</v>
      </c>
      <c r="O234" s="689">
        <v>134257.083333333</v>
      </c>
      <c r="P234" s="689"/>
      <c r="Q234" s="689">
        <v>33564.2708333333</v>
      </c>
      <c r="R234" s="689">
        <v>30000</v>
      </c>
      <c r="S234" s="689">
        <v>203065.92</v>
      </c>
      <c r="T234" s="689"/>
      <c r="U234" s="689"/>
      <c r="V234" s="689"/>
      <c r="W234" s="689"/>
      <c r="X234" s="689"/>
      <c r="Y234" s="689"/>
      <c r="Z234" s="689"/>
      <c r="AA234" s="689"/>
      <c r="AB234" s="689"/>
      <c r="AC234" s="689">
        <v>2500</v>
      </c>
      <c r="AD234" s="689"/>
      <c r="AE234" s="689">
        <v>30000</v>
      </c>
      <c r="AF234" s="689"/>
      <c r="AG234" s="689"/>
      <c r="AH234" s="689"/>
      <c r="AI234" s="689"/>
      <c r="AJ234" s="689">
        <v>2500</v>
      </c>
      <c r="AK234" s="689"/>
      <c r="AL234" s="689">
        <v>383.33</v>
      </c>
      <c r="AM234" s="689"/>
      <c r="AN234" s="689"/>
      <c r="AO234" s="689"/>
      <c r="AP234" s="689"/>
      <c r="AQ234" s="689"/>
      <c r="AR234" s="689"/>
      <c r="AS234" s="689"/>
      <c r="AT234" s="689">
        <v>1000</v>
      </c>
      <c r="AU234" s="689">
        <f t="shared" si="344"/>
        <v>8122.6368</v>
      </c>
      <c r="AV234" s="689"/>
      <c r="AW234" s="689"/>
      <c r="AX234" s="718"/>
      <c r="AY234" s="718"/>
      <c r="AZ234" s="718"/>
      <c r="BA234" s="689"/>
      <c r="BB234" s="689"/>
      <c r="BC234" s="689"/>
      <c r="BD234" s="719"/>
      <c r="BE234" s="719"/>
      <c r="BF234" s="689"/>
      <c r="BG234" s="689"/>
      <c r="BH234" s="727"/>
      <c r="BI234" s="689">
        <v>7912.85416666667</v>
      </c>
      <c r="BJ234" s="689"/>
      <c r="BK234" s="689"/>
      <c r="BL234" s="689"/>
      <c r="BM234" s="689"/>
      <c r="BN234" s="689"/>
      <c r="BO234" s="689">
        <v>0</v>
      </c>
      <c r="BP234" s="689"/>
      <c r="BQ234" s="689"/>
      <c r="BR234" s="731"/>
      <c r="BS234" s="731"/>
      <c r="BT234" s="731"/>
      <c r="BU234" s="731"/>
      <c r="BV234" s="731"/>
      <c r="BW234" s="731"/>
      <c r="BX234" s="731"/>
      <c r="BY234" s="731">
        <v>2000</v>
      </c>
      <c r="BZ234" s="731">
        <v>1000</v>
      </c>
      <c r="CA234" s="718">
        <f t="shared" si="325"/>
        <v>4761.3184</v>
      </c>
      <c r="CB234" s="735"/>
      <c r="CC234" s="731">
        <v>27161.74</v>
      </c>
      <c r="CD234" s="702">
        <f t="shared" si="329"/>
        <v>238065.92</v>
      </c>
      <c r="CE234" s="731">
        <f t="shared" si="331"/>
        <v>51958.5493666667</v>
      </c>
      <c r="CF234" s="739">
        <f t="shared" si="330"/>
        <v>186107.370633333</v>
      </c>
      <c r="CG234" s="742">
        <f t="shared" si="326"/>
        <v>51958.5493666667</v>
      </c>
      <c r="CH234" s="743" t="e">
        <f>'[6]JACKSON AKPOJARO '!C347*12</f>
        <v>#REF!</v>
      </c>
      <c r="CI234" s="744" t="e">
        <f t="shared" si="368"/>
        <v>#REF!</v>
      </c>
      <c r="CJ234" s="745">
        <f t="shared" si="369"/>
        <v>0</v>
      </c>
      <c r="CK234" s="748" t="e">
        <f t="shared" si="370"/>
        <v>#REF!</v>
      </c>
      <c r="CL234" s="749" t="e">
        <f t="shared" si="371"/>
        <v>#REF!</v>
      </c>
      <c r="CM234" s="744"/>
      <c r="CN234" s="745" t="e">
        <f t="shared" si="372"/>
        <v>#REF!</v>
      </c>
      <c r="CO234" s="745" t="e">
        <f t="shared" si="373"/>
        <v>#REF!</v>
      </c>
      <c r="CP234" s="745" t="e">
        <f t="shared" si="374"/>
        <v>#REF!</v>
      </c>
      <c r="CQ234" s="745" t="e">
        <f t="shared" si="375"/>
        <v>#REF!</v>
      </c>
      <c r="CR234" s="745" t="e">
        <f t="shared" si="376"/>
        <v>#REF!</v>
      </c>
      <c r="CS234" s="745" t="e">
        <f t="shared" si="377"/>
        <v>#REF!</v>
      </c>
      <c r="CT234" s="754" t="e">
        <f t="shared" si="378"/>
        <v>#REF!</v>
      </c>
      <c r="CU234" s="755" t="e">
        <f t="shared" si="379"/>
        <v>#REF!</v>
      </c>
      <c r="CV234" s="756">
        <f t="shared" si="380"/>
        <v>27161.74</v>
      </c>
      <c r="CW234" s="757"/>
      <c r="CX234" s="758"/>
      <c r="CY234" s="759"/>
      <c r="CZ234" s="760"/>
      <c r="DA234" s="767"/>
    </row>
    <row r="235" ht="236" customHeight="1" spans="1:105">
      <c r="A235" s="675">
        <v>558</v>
      </c>
      <c r="B235" s="676" t="s">
        <v>1284</v>
      </c>
      <c r="C235" s="677" t="s">
        <v>1520</v>
      </c>
      <c r="D235" s="677" t="s">
        <v>1736</v>
      </c>
      <c r="E235" s="677" t="s">
        <v>127</v>
      </c>
      <c r="F235" s="1452" t="s">
        <v>1285</v>
      </c>
      <c r="G235" s="677" t="s">
        <v>1742</v>
      </c>
      <c r="H235" s="679"/>
      <c r="I235" s="681" t="s">
        <v>127</v>
      </c>
      <c r="J235" s="1442" t="s">
        <v>1285</v>
      </c>
      <c r="K235" s="687"/>
      <c r="L235" s="688">
        <v>1560735</v>
      </c>
      <c r="M235" s="688" t="e">
        <f>S235-#REF!</f>
        <v>#REF!</v>
      </c>
      <c r="N235" s="689">
        <v>1611085</v>
      </c>
      <c r="O235" s="689">
        <v>134257.083333333</v>
      </c>
      <c r="P235" s="689"/>
      <c r="Q235" s="689">
        <v>33564.2708333333</v>
      </c>
      <c r="R235" s="689">
        <v>30000</v>
      </c>
      <c r="S235" s="689">
        <v>203065.92</v>
      </c>
      <c r="T235" s="689"/>
      <c r="U235" s="689"/>
      <c r="V235" s="689"/>
      <c r="W235" s="689"/>
      <c r="X235" s="689"/>
      <c r="Y235" s="689"/>
      <c r="Z235" s="689"/>
      <c r="AA235" s="689"/>
      <c r="AB235" s="689"/>
      <c r="AC235" s="689">
        <v>2500</v>
      </c>
      <c r="AD235" s="689"/>
      <c r="AE235" s="689">
        <v>30000</v>
      </c>
      <c r="AF235" s="689"/>
      <c r="AG235" s="689"/>
      <c r="AH235" s="689"/>
      <c r="AI235" s="689"/>
      <c r="AJ235" s="689">
        <v>2500</v>
      </c>
      <c r="AK235" s="689"/>
      <c r="AL235" s="689">
        <v>383.33</v>
      </c>
      <c r="AM235" s="689"/>
      <c r="AN235" s="689"/>
      <c r="AO235" s="689"/>
      <c r="AP235" s="689"/>
      <c r="AQ235" s="689"/>
      <c r="AR235" s="689"/>
      <c r="AS235" s="689"/>
      <c r="AT235" s="689">
        <v>1000</v>
      </c>
      <c r="AU235" s="689">
        <f t="shared" si="344"/>
        <v>8122.6368</v>
      </c>
      <c r="AV235" s="689"/>
      <c r="AW235" s="689"/>
      <c r="AX235" s="718"/>
      <c r="AY235" s="718"/>
      <c r="AZ235" s="718"/>
      <c r="BA235" s="689"/>
      <c r="BB235" s="689"/>
      <c r="BC235" s="689"/>
      <c r="BD235" s="719"/>
      <c r="BE235" s="719"/>
      <c r="BF235" s="689"/>
      <c r="BG235" s="689"/>
      <c r="BH235" s="727"/>
      <c r="BI235" s="689">
        <v>7912.85416666667</v>
      </c>
      <c r="BJ235" s="689"/>
      <c r="BK235" s="689"/>
      <c r="BL235" s="689"/>
      <c r="BM235" s="689"/>
      <c r="BN235" s="689"/>
      <c r="BO235" s="689">
        <v>0</v>
      </c>
      <c r="BP235" s="689"/>
      <c r="BQ235" s="689"/>
      <c r="BR235" s="731"/>
      <c r="BS235" s="731"/>
      <c r="BT235" s="731"/>
      <c r="BU235" s="731"/>
      <c r="BV235" s="731"/>
      <c r="BW235" s="731"/>
      <c r="BX235" s="731"/>
      <c r="BY235" s="731"/>
      <c r="BZ235" s="731">
        <v>1000</v>
      </c>
      <c r="CA235" s="718">
        <f t="shared" si="325"/>
        <v>4761.3184</v>
      </c>
      <c r="CB235" s="735"/>
      <c r="CC235" s="731">
        <v>27161.74</v>
      </c>
      <c r="CD235" s="702">
        <f t="shared" si="329"/>
        <v>238065.92</v>
      </c>
      <c r="CE235" s="731">
        <f t="shared" si="331"/>
        <v>49958.5493666667</v>
      </c>
      <c r="CF235" s="739">
        <f t="shared" si="330"/>
        <v>188107.370633333</v>
      </c>
      <c r="CG235" s="742">
        <f t="shared" si="326"/>
        <v>49958.5493666667</v>
      </c>
      <c r="CH235" s="743" t="e">
        <f>'[6]JACKSON AKPOJARO '!C348*12</f>
        <v>#REF!</v>
      </c>
      <c r="CI235" s="744" t="e">
        <f t="shared" si="368"/>
        <v>#REF!</v>
      </c>
      <c r="CJ235" s="745">
        <f t="shared" si="369"/>
        <v>0</v>
      </c>
      <c r="CK235" s="748" t="e">
        <f t="shared" si="370"/>
        <v>#REF!</v>
      </c>
      <c r="CL235" s="749" t="e">
        <f t="shared" si="371"/>
        <v>#REF!</v>
      </c>
      <c r="CM235" s="744"/>
      <c r="CN235" s="745" t="e">
        <f t="shared" si="372"/>
        <v>#REF!</v>
      </c>
      <c r="CO235" s="745" t="e">
        <f t="shared" si="373"/>
        <v>#REF!</v>
      </c>
      <c r="CP235" s="745" t="e">
        <f t="shared" si="374"/>
        <v>#REF!</v>
      </c>
      <c r="CQ235" s="745" t="e">
        <f t="shared" si="375"/>
        <v>#REF!</v>
      </c>
      <c r="CR235" s="745" t="e">
        <f t="shared" si="376"/>
        <v>#REF!</v>
      </c>
      <c r="CS235" s="745" t="e">
        <f t="shared" si="377"/>
        <v>#REF!</v>
      </c>
      <c r="CT235" s="754" t="e">
        <f t="shared" si="378"/>
        <v>#REF!</v>
      </c>
      <c r="CU235" s="755" t="e">
        <f t="shared" si="379"/>
        <v>#REF!</v>
      </c>
      <c r="CV235" s="756">
        <f t="shared" si="380"/>
        <v>27161.74</v>
      </c>
      <c r="CW235" s="757"/>
      <c r="CX235" s="758"/>
      <c r="CY235" s="759"/>
      <c r="CZ235" s="760"/>
      <c r="DA235" s="767"/>
    </row>
    <row r="236" ht="236" customHeight="1" spans="1:105">
      <c r="A236" s="673">
        <v>559</v>
      </c>
      <c r="B236" s="676" t="s">
        <v>1286</v>
      </c>
      <c r="C236" s="677" t="s">
        <v>1520</v>
      </c>
      <c r="D236" s="677" t="s">
        <v>1736</v>
      </c>
      <c r="E236" s="677" t="s">
        <v>97</v>
      </c>
      <c r="F236" s="1452" t="s">
        <v>1287</v>
      </c>
      <c r="G236" s="677" t="s">
        <v>1742</v>
      </c>
      <c r="H236" s="679"/>
      <c r="I236" s="33" t="s">
        <v>97</v>
      </c>
      <c r="J236" s="33" t="s">
        <v>1287</v>
      </c>
      <c r="K236" s="687"/>
      <c r="L236" s="688">
        <v>1560735</v>
      </c>
      <c r="M236" s="688" t="e">
        <f>S236-#REF!</f>
        <v>#REF!</v>
      </c>
      <c r="N236" s="689">
        <v>1611085</v>
      </c>
      <c r="O236" s="689">
        <v>134257.083333333</v>
      </c>
      <c r="P236" s="689"/>
      <c r="Q236" s="689">
        <v>33564.2708333333</v>
      </c>
      <c r="R236" s="689">
        <v>30000</v>
      </c>
      <c r="S236" s="689">
        <v>203065.92</v>
      </c>
      <c r="T236" s="689"/>
      <c r="U236" s="689"/>
      <c r="V236" s="689"/>
      <c r="W236" s="689"/>
      <c r="X236" s="689"/>
      <c r="Y236" s="689"/>
      <c r="Z236" s="689"/>
      <c r="AA236" s="689"/>
      <c r="AB236" s="689"/>
      <c r="AC236" s="689">
        <v>2500</v>
      </c>
      <c r="AD236" s="689"/>
      <c r="AE236" s="689">
        <v>30000</v>
      </c>
      <c r="AF236" s="689"/>
      <c r="AG236" s="689"/>
      <c r="AH236" s="689"/>
      <c r="AI236" s="689"/>
      <c r="AJ236" s="689">
        <v>2500</v>
      </c>
      <c r="AK236" s="689"/>
      <c r="AL236" s="689">
        <v>383.33</v>
      </c>
      <c r="AM236" s="689"/>
      <c r="AN236" s="689"/>
      <c r="AO236" s="689"/>
      <c r="AP236" s="689"/>
      <c r="AQ236" s="689"/>
      <c r="AR236" s="689"/>
      <c r="AS236" s="689"/>
      <c r="AT236" s="689">
        <v>1000</v>
      </c>
      <c r="AU236" s="689">
        <f t="shared" si="344"/>
        <v>8122.6368</v>
      </c>
      <c r="AV236" s="689"/>
      <c r="AW236" s="689"/>
      <c r="AX236" s="718"/>
      <c r="AY236" s="718"/>
      <c r="AZ236" s="718"/>
      <c r="BA236" s="689"/>
      <c r="BB236" s="689"/>
      <c r="BC236" s="689"/>
      <c r="BD236" s="719"/>
      <c r="BE236" s="719"/>
      <c r="BF236" s="689"/>
      <c r="BG236" s="689"/>
      <c r="BH236" s="727"/>
      <c r="BI236" s="689">
        <v>7912.85416666667</v>
      </c>
      <c r="BJ236" s="689"/>
      <c r="BK236" s="689"/>
      <c r="BL236" s="689"/>
      <c r="BM236" s="689"/>
      <c r="BN236" s="689"/>
      <c r="BO236" s="689">
        <v>147417</v>
      </c>
      <c r="BP236" s="689"/>
      <c r="BQ236" s="689"/>
      <c r="BR236" s="731"/>
      <c r="BS236" s="731"/>
      <c r="BT236" s="731"/>
      <c r="BU236" s="731"/>
      <c r="BV236" s="731"/>
      <c r="BW236" s="731"/>
      <c r="BX236" s="731"/>
      <c r="BY236" s="731"/>
      <c r="BZ236" s="731">
        <v>1000</v>
      </c>
      <c r="CA236" s="718">
        <f t="shared" si="325"/>
        <v>4761.3184</v>
      </c>
      <c r="CB236" s="735"/>
      <c r="CC236" s="731">
        <v>27161.74</v>
      </c>
      <c r="CD236" s="702">
        <f t="shared" si="329"/>
        <v>238065.92</v>
      </c>
      <c r="CE236" s="731">
        <f t="shared" si="331"/>
        <v>197375.549366667</v>
      </c>
      <c r="CF236" s="739">
        <f t="shared" si="330"/>
        <v>40690.3706333334</v>
      </c>
      <c r="CG236" s="742">
        <f t="shared" si="326"/>
        <v>197375.549366667</v>
      </c>
      <c r="CH236" s="743" t="e">
        <f>'[6]JACKSON AKPOJARO '!C349*12</f>
        <v>#REF!</v>
      </c>
      <c r="CI236" s="744" t="e">
        <f t="shared" si="368"/>
        <v>#REF!</v>
      </c>
      <c r="CJ236" s="745">
        <f t="shared" si="369"/>
        <v>0</v>
      </c>
      <c r="CK236" s="748" t="e">
        <f t="shared" si="370"/>
        <v>#REF!</v>
      </c>
      <c r="CL236" s="749" t="e">
        <f t="shared" si="371"/>
        <v>#REF!</v>
      </c>
      <c r="CM236" s="744"/>
      <c r="CN236" s="745" t="e">
        <f t="shared" si="372"/>
        <v>#REF!</v>
      </c>
      <c r="CO236" s="745" t="e">
        <f t="shared" si="373"/>
        <v>#REF!</v>
      </c>
      <c r="CP236" s="745" t="e">
        <f t="shared" si="374"/>
        <v>#REF!</v>
      </c>
      <c r="CQ236" s="745" t="e">
        <f t="shared" si="375"/>
        <v>#REF!</v>
      </c>
      <c r="CR236" s="745" t="e">
        <f t="shared" si="376"/>
        <v>#REF!</v>
      </c>
      <c r="CS236" s="745" t="e">
        <f t="shared" si="377"/>
        <v>#REF!</v>
      </c>
      <c r="CT236" s="754" t="e">
        <f t="shared" si="378"/>
        <v>#REF!</v>
      </c>
      <c r="CU236" s="755" t="e">
        <f t="shared" si="379"/>
        <v>#REF!</v>
      </c>
      <c r="CV236" s="756">
        <f t="shared" si="380"/>
        <v>27161.74</v>
      </c>
      <c r="CW236" s="757"/>
      <c r="CX236" s="758"/>
      <c r="CY236" s="759"/>
      <c r="CZ236" s="760"/>
      <c r="DA236" s="767"/>
    </row>
    <row r="237" ht="236" customHeight="1" spans="1:105">
      <c r="A237" s="675">
        <v>560</v>
      </c>
      <c r="B237" s="676" t="s">
        <v>1288</v>
      </c>
      <c r="C237" s="677" t="s">
        <v>1520</v>
      </c>
      <c r="D237" s="677" t="s">
        <v>1736</v>
      </c>
      <c r="E237" s="677" t="s">
        <v>127</v>
      </c>
      <c r="F237" s="1452" t="s">
        <v>1289</v>
      </c>
      <c r="G237" s="677" t="s">
        <v>1742</v>
      </c>
      <c r="H237" s="679"/>
      <c r="I237" s="681" t="s">
        <v>127</v>
      </c>
      <c r="J237" s="686" t="s">
        <v>1289</v>
      </c>
      <c r="K237" s="687"/>
      <c r="L237" s="688">
        <v>1560735</v>
      </c>
      <c r="M237" s="688" t="e">
        <f>S237-#REF!</f>
        <v>#REF!</v>
      </c>
      <c r="N237" s="689">
        <v>1611085</v>
      </c>
      <c r="O237" s="689">
        <v>134257.083333333</v>
      </c>
      <c r="P237" s="689"/>
      <c r="Q237" s="689">
        <v>33564.2708333333</v>
      </c>
      <c r="R237" s="689">
        <v>30000</v>
      </c>
      <c r="S237" s="689">
        <v>203065.92</v>
      </c>
      <c r="T237" s="689"/>
      <c r="U237" s="888"/>
      <c r="V237" s="689"/>
      <c r="W237" s="689"/>
      <c r="X237" s="689"/>
      <c r="Y237" s="689"/>
      <c r="Z237" s="689"/>
      <c r="AA237" s="689"/>
      <c r="AB237" s="689">
        <v>25000</v>
      </c>
      <c r="AC237" s="689">
        <v>2500</v>
      </c>
      <c r="AD237" s="689"/>
      <c r="AE237" s="689">
        <v>30000</v>
      </c>
      <c r="AF237" s="689"/>
      <c r="AG237" s="689"/>
      <c r="AH237" s="689"/>
      <c r="AI237" s="689"/>
      <c r="AJ237" s="689">
        <v>2500</v>
      </c>
      <c r="AK237" s="689"/>
      <c r="AL237" s="689">
        <v>383.33</v>
      </c>
      <c r="AM237" s="689"/>
      <c r="AN237" s="689"/>
      <c r="AO237" s="689"/>
      <c r="AP237" s="689"/>
      <c r="AQ237" s="689"/>
      <c r="AR237" s="689"/>
      <c r="AS237" s="689"/>
      <c r="AT237" s="689">
        <v>1000</v>
      </c>
      <c r="AU237" s="689">
        <f t="shared" si="344"/>
        <v>8122.6368</v>
      </c>
      <c r="AV237" s="689"/>
      <c r="AW237" s="689"/>
      <c r="AX237" s="718"/>
      <c r="AY237" s="718"/>
      <c r="AZ237" s="718"/>
      <c r="BA237" s="689"/>
      <c r="BB237" s="689"/>
      <c r="BC237" s="689"/>
      <c r="BD237" s="719"/>
      <c r="BE237" s="719"/>
      <c r="BF237" s="689"/>
      <c r="BG237" s="689"/>
      <c r="BH237" s="727"/>
      <c r="BI237" s="689">
        <v>7912.85416666667</v>
      </c>
      <c r="BJ237" s="689"/>
      <c r="BK237" s="689"/>
      <c r="BL237" s="689"/>
      <c r="BM237" s="689"/>
      <c r="BN237" s="689"/>
      <c r="BO237" s="689">
        <v>155555.55</v>
      </c>
      <c r="BP237" s="689"/>
      <c r="BQ237" s="689"/>
      <c r="BR237" s="731"/>
      <c r="BS237" s="731"/>
      <c r="BT237" s="731"/>
      <c r="BU237" s="731"/>
      <c r="BV237" s="731"/>
      <c r="BW237" s="731"/>
      <c r="BX237" s="731"/>
      <c r="BY237" s="731"/>
      <c r="BZ237" s="731">
        <v>1000</v>
      </c>
      <c r="CA237" s="718">
        <f t="shared" si="325"/>
        <v>5261.3184</v>
      </c>
      <c r="CB237" s="735"/>
      <c r="CC237" s="731">
        <v>31361.74</v>
      </c>
      <c r="CD237" s="702">
        <f t="shared" si="329"/>
        <v>263065.92</v>
      </c>
      <c r="CE237" s="731">
        <f t="shared" si="331"/>
        <v>210214.099366667</v>
      </c>
      <c r="CF237" s="739">
        <f t="shared" si="330"/>
        <v>52851.8206333334</v>
      </c>
      <c r="CG237" s="742">
        <f t="shared" si="326"/>
        <v>210214.099366667</v>
      </c>
      <c r="CH237" s="743" t="e">
        <f>'[6]JACKSON AKPOJARO '!C350*12</f>
        <v>#REF!</v>
      </c>
      <c r="CI237" s="744" t="e">
        <f t="shared" si="368"/>
        <v>#REF!</v>
      </c>
      <c r="CJ237" s="745">
        <f t="shared" si="369"/>
        <v>0</v>
      </c>
      <c r="CK237" s="748" t="e">
        <f t="shared" si="370"/>
        <v>#REF!</v>
      </c>
      <c r="CL237" s="749" t="e">
        <f t="shared" si="371"/>
        <v>#REF!</v>
      </c>
      <c r="CM237" s="744"/>
      <c r="CN237" s="745" t="e">
        <f t="shared" si="372"/>
        <v>#REF!</v>
      </c>
      <c r="CO237" s="745" t="e">
        <f t="shared" si="373"/>
        <v>#REF!</v>
      </c>
      <c r="CP237" s="745" t="e">
        <f t="shared" si="374"/>
        <v>#REF!</v>
      </c>
      <c r="CQ237" s="745" t="e">
        <f t="shared" si="375"/>
        <v>#REF!</v>
      </c>
      <c r="CR237" s="745" t="e">
        <f t="shared" si="376"/>
        <v>#REF!</v>
      </c>
      <c r="CS237" s="745" t="e">
        <f t="shared" si="377"/>
        <v>#REF!</v>
      </c>
      <c r="CT237" s="754" t="e">
        <f t="shared" si="378"/>
        <v>#REF!</v>
      </c>
      <c r="CU237" s="755" t="e">
        <f t="shared" si="379"/>
        <v>#REF!</v>
      </c>
      <c r="CV237" s="756">
        <f t="shared" si="380"/>
        <v>31361.74</v>
      </c>
      <c r="CW237" s="757"/>
      <c r="CX237" s="758"/>
      <c r="CY237" s="759"/>
      <c r="CZ237" s="760"/>
      <c r="DA237" s="767"/>
    </row>
    <row r="238" ht="236" customHeight="1" spans="1:105">
      <c r="A238" s="673">
        <v>561</v>
      </c>
      <c r="B238" s="676" t="s">
        <v>1290</v>
      </c>
      <c r="C238" s="677" t="s">
        <v>1520</v>
      </c>
      <c r="D238" s="677" t="s">
        <v>1736</v>
      </c>
      <c r="E238" s="677" t="s">
        <v>113</v>
      </c>
      <c r="F238" s="1452" t="s">
        <v>1291</v>
      </c>
      <c r="G238" s="677" t="s">
        <v>1742</v>
      </c>
      <c r="H238" s="679"/>
      <c r="I238" s="681" t="s">
        <v>113</v>
      </c>
      <c r="J238" s="686">
        <v>2031441061</v>
      </c>
      <c r="K238" s="687"/>
      <c r="L238" s="688">
        <v>1560735</v>
      </c>
      <c r="M238" s="688" t="e">
        <f>S238-#REF!</f>
        <v>#REF!</v>
      </c>
      <c r="N238" s="689">
        <v>1611085</v>
      </c>
      <c r="O238" s="689">
        <v>134257.083333333</v>
      </c>
      <c r="P238" s="689"/>
      <c r="Q238" s="689">
        <v>33564.2708333333</v>
      </c>
      <c r="R238" s="689">
        <v>30000</v>
      </c>
      <c r="S238" s="689">
        <v>203065.92</v>
      </c>
      <c r="T238" s="689"/>
      <c r="U238" s="689"/>
      <c r="V238" s="689"/>
      <c r="W238" s="689"/>
      <c r="X238" s="689"/>
      <c r="Y238" s="689"/>
      <c r="Z238" s="689"/>
      <c r="AA238" s="689"/>
      <c r="AB238" s="689">
        <v>25000</v>
      </c>
      <c r="AC238" s="689">
        <v>2500</v>
      </c>
      <c r="AD238" s="689"/>
      <c r="AE238" s="689">
        <v>30000</v>
      </c>
      <c r="AF238" s="689"/>
      <c r="AG238" s="689"/>
      <c r="AH238" s="689"/>
      <c r="AI238" s="689"/>
      <c r="AJ238" s="689">
        <v>2500</v>
      </c>
      <c r="AK238" s="689"/>
      <c r="AL238" s="689">
        <v>383.33</v>
      </c>
      <c r="AM238" s="689"/>
      <c r="AN238" s="689"/>
      <c r="AO238" s="689"/>
      <c r="AP238" s="689"/>
      <c r="AQ238" s="689"/>
      <c r="AR238" s="689"/>
      <c r="AS238" s="689"/>
      <c r="AT238" s="689">
        <v>1000</v>
      </c>
      <c r="AU238" s="689">
        <f t="shared" si="344"/>
        <v>8122.6368</v>
      </c>
      <c r="AV238" s="689"/>
      <c r="AW238" s="689"/>
      <c r="AX238" s="718"/>
      <c r="AY238" s="718"/>
      <c r="AZ238" s="718"/>
      <c r="BA238" s="689"/>
      <c r="BB238" s="689"/>
      <c r="BC238" s="689"/>
      <c r="BD238" s="719"/>
      <c r="BE238" s="719"/>
      <c r="BF238" s="689"/>
      <c r="BG238" s="689"/>
      <c r="BH238" s="727"/>
      <c r="BI238" s="689">
        <v>7912.85416666667</v>
      </c>
      <c r="BJ238" s="689"/>
      <c r="BK238" s="689"/>
      <c r="BL238" s="689"/>
      <c r="BM238" s="689"/>
      <c r="BN238" s="689"/>
      <c r="BO238" s="689">
        <v>30834</v>
      </c>
      <c r="BP238" s="689"/>
      <c r="BQ238" s="689"/>
      <c r="BR238" s="731"/>
      <c r="BS238" s="731"/>
      <c r="BT238" s="731"/>
      <c r="BU238" s="731"/>
      <c r="BV238" s="731"/>
      <c r="BW238" s="731"/>
      <c r="BX238" s="731">
        <v>10000</v>
      </c>
      <c r="BY238" s="731"/>
      <c r="BZ238" s="731">
        <v>1000</v>
      </c>
      <c r="CA238" s="718">
        <f t="shared" si="325"/>
        <v>5261.3184</v>
      </c>
      <c r="CB238" s="735"/>
      <c r="CC238" s="731">
        <v>31361.74</v>
      </c>
      <c r="CD238" s="702">
        <f t="shared" si="329"/>
        <v>263065.92</v>
      </c>
      <c r="CE238" s="731">
        <f t="shared" si="331"/>
        <v>95492.5493666667</v>
      </c>
      <c r="CF238" s="739">
        <f t="shared" si="330"/>
        <v>167573.370633333</v>
      </c>
      <c r="CG238" s="742">
        <f t="shared" si="326"/>
        <v>95492.5493666667</v>
      </c>
      <c r="CH238" s="743" t="e">
        <f>'[6]JACKSON AKPOJARO '!C351*12</f>
        <v>#REF!</v>
      </c>
      <c r="CI238" s="744" t="e">
        <f t="shared" si="368"/>
        <v>#REF!</v>
      </c>
      <c r="CJ238" s="745">
        <f t="shared" si="369"/>
        <v>0</v>
      </c>
      <c r="CK238" s="748" t="e">
        <f t="shared" si="370"/>
        <v>#REF!</v>
      </c>
      <c r="CL238" s="749" t="e">
        <f t="shared" si="371"/>
        <v>#REF!</v>
      </c>
      <c r="CM238" s="744"/>
      <c r="CN238" s="745" t="e">
        <f t="shared" si="372"/>
        <v>#REF!</v>
      </c>
      <c r="CO238" s="745" t="e">
        <f t="shared" si="373"/>
        <v>#REF!</v>
      </c>
      <c r="CP238" s="745" t="e">
        <f t="shared" si="374"/>
        <v>#REF!</v>
      </c>
      <c r="CQ238" s="745" t="e">
        <f t="shared" si="375"/>
        <v>#REF!</v>
      </c>
      <c r="CR238" s="745" t="e">
        <f t="shared" si="376"/>
        <v>#REF!</v>
      </c>
      <c r="CS238" s="745" t="e">
        <f t="shared" si="377"/>
        <v>#REF!</v>
      </c>
      <c r="CT238" s="754" t="e">
        <f t="shared" si="378"/>
        <v>#REF!</v>
      </c>
      <c r="CU238" s="755" t="e">
        <f t="shared" si="379"/>
        <v>#REF!</v>
      </c>
      <c r="CV238" s="756">
        <f t="shared" si="380"/>
        <v>31361.74</v>
      </c>
      <c r="CW238" s="757"/>
      <c r="CX238" s="758"/>
      <c r="CY238" s="759"/>
      <c r="CZ238" s="760"/>
      <c r="DA238" s="767"/>
    </row>
    <row r="239" ht="236" customHeight="1" spans="1:105">
      <c r="A239" s="675">
        <v>562</v>
      </c>
      <c r="B239" s="676" t="s">
        <v>1292</v>
      </c>
      <c r="C239" s="677" t="s">
        <v>1561</v>
      </c>
      <c r="D239" s="677" t="s">
        <v>1731</v>
      </c>
      <c r="E239" s="677" t="s">
        <v>422</v>
      </c>
      <c r="F239" s="1452" t="s">
        <v>1293</v>
      </c>
      <c r="G239" s="677" t="s">
        <v>1615</v>
      </c>
      <c r="H239" s="679"/>
      <c r="I239" s="681" t="s">
        <v>422</v>
      </c>
      <c r="J239" s="686" t="s">
        <v>1293</v>
      </c>
      <c r="K239" s="687"/>
      <c r="L239" s="688">
        <v>1471351</v>
      </c>
      <c r="M239" s="688" t="e">
        <f>S239-#REF!</f>
        <v>#REF!</v>
      </c>
      <c r="N239" s="689">
        <v>1471351</v>
      </c>
      <c r="O239" s="689">
        <v>125865.5</v>
      </c>
      <c r="P239" s="689"/>
      <c r="Q239" s="689">
        <v>31466.375</v>
      </c>
      <c r="R239" s="689">
        <v>30000</v>
      </c>
      <c r="S239" s="689">
        <v>192576.5</v>
      </c>
      <c r="T239" s="689"/>
      <c r="U239" s="689"/>
      <c r="V239" s="689"/>
      <c r="W239" s="689"/>
      <c r="X239" s="689"/>
      <c r="Y239" s="689"/>
      <c r="Z239" s="689"/>
      <c r="AA239" s="689"/>
      <c r="AB239" s="689">
        <v>25000</v>
      </c>
      <c r="AC239" s="689">
        <v>2500</v>
      </c>
      <c r="AD239" s="689"/>
      <c r="AE239" s="689"/>
      <c r="AF239" s="689"/>
      <c r="AG239" s="689"/>
      <c r="AH239" s="689"/>
      <c r="AI239" s="689"/>
      <c r="AJ239" s="689">
        <v>2500</v>
      </c>
      <c r="AK239" s="689"/>
      <c r="AL239" s="689">
        <v>383.33</v>
      </c>
      <c r="AM239" s="689"/>
      <c r="AN239" s="689"/>
      <c r="AO239" s="689"/>
      <c r="AP239" s="689"/>
      <c r="AQ239" s="689"/>
      <c r="AR239" s="689"/>
      <c r="AS239" s="689"/>
      <c r="AT239" s="689"/>
      <c r="AU239" s="689">
        <f t="shared" si="344"/>
        <v>7703.06</v>
      </c>
      <c r="AV239" s="689"/>
      <c r="AW239" s="689"/>
      <c r="AX239" s="718">
        <f t="shared" ref="AX239:AX301" si="401">S239*0.02</f>
        <v>3851.53</v>
      </c>
      <c r="AY239" s="718"/>
      <c r="AZ239" s="718"/>
      <c r="BA239" s="689"/>
      <c r="BB239" s="689"/>
      <c r="BC239" s="689"/>
      <c r="BD239" s="719"/>
      <c r="BE239" s="719"/>
      <c r="BF239" s="689"/>
      <c r="BG239" s="689"/>
      <c r="BH239" s="727"/>
      <c r="BI239" s="689"/>
      <c r="BJ239" s="689"/>
      <c r="BK239" s="689"/>
      <c r="BL239" s="689">
        <v>8333.33</v>
      </c>
      <c r="BM239" s="689"/>
      <c r="BN239" s="689"/>
      <c r="BO239" s="689">
        <v>50000</v>
      </c>
      <c r="BP239" s="689"/>
      <c r="BQ239" s="689"/>
      <c r="BR239" s="731"/>
      <c r="BS239" s="731"/>
      <c r="BT239" s="731"/>
      <c r="BU239" s="731"/>
      <c r="BV239" s="731"/>
      <c r="BW239" s="731"/>
      <c r="BX239" s="731"/>
      <c r="BY239" s="731"/>
      <c r="BZ239" s="731">
        <v>1000</v>
      </c>
      <c r="CA239" s="718">
        <f t="shared" si="325"/>
        <v>4451.53</v>
      </c>
      <c r="CB239" s="735"/>
      <c r="CC239" s="731">
        <v>24559.52</v>
      </c>
      <c r="CD239" s="702">
        <f t="shared" si="329"/>
        <v>222576.5</v>
      </c>
      <c r="CE239" s="731">
        <f t="shared" si="331"/>
        <v>99898.97</v>
      </c>
      <c r="CF239" s="739">
        <f t="shared" si="330"/>
        <v>122677.53</v>
      </c>
      <c r="CG239" s="742">
        <f t="shared" si="326"/>
        <v>99898.97</v>
      </c>
      <c r="CH239" s="743" t="e">
        <f>'[6]JACKSON AKPOJARO '!C352*12</f>
        <v>#REF!</v>
      </c>
      <c r="CI239" s="744" t="e">
        <f t="shared" si="368"/>
        <v>#REF!</v>
      </c>
      <c r="CJ239" s="745">
        <f t="shared" si="369"/>
        <v>0</v>
      </c>
      <c r="CK239" s="748" t="e">
        <f t="shared" si="370"/>
        <v>#REF!</v>
      </c>
      <c r="CL239" s="749" t="e">
        <f t="shared" si="371"/>
        <v>#REF!</v>
      </c>
      <c r="CM239" s="744"/>
      <c r="CN239" s="745" t="e">
        <f t="shared" si="372"/>
        <v>#REF!</v>
      </c>
      <c r="CO239" s="745" t="e">
        <f t="shared" si="373"/>
        <v>#REF!</v>
      </c>
      <c r="CP239" s="745" t="e">
        <f t="shared" si="374"/>
        <v>#REF!</v>
      </c>
      <c r="CQ239" s="745" t="e">
        <f t="shared" si="375"/>
        <v>#REF!</v>
      </c>
      <c r="CR239" s="745" t="e">
        <f t="shared" si="376"/>
        <v>#REF!</v>
      </c>
      <c r="CS239" s="745" t="e">
        <f t="shared" si="377"/>
        <v>#REF!</v>
      </c>
      <c r="CT239" s="754" t="e">
        <f t="shared" si="378"/>
        <v>#REF!</v>
      </c>
      <c r="CU239" s="755" t="e">
        <f t="shared" si="379"/>
        <v>#REF!</v>
      </c>
      <c r="CV239" s="756">
        <f t="shared" si="380"/>
        <v>24559.52</v>
      </c>
      <c r="CW239" s="757"/>
      <c r="CX239" s="758"/>
      <c r="CY239" s="759"/>
      <c r="CZ239" s="760"/>
      <c r="DA239" s="767"/>
    </row>
    <row r="240" ht="236" customHeight="1" spans="1:105">
      <c r="A240" s="673">
        <v>563</v>
      </c>
      <c r="B240" s="676" t="s">
        <v>1294</v>
      </c>
      <c r="C240" s="677" t="s">
        <v>1527</v>
      </c>
      <c r="D240" s="677" t="s">
        <v>1670</v>
      </c>
      <c r="E240" s="677" t="s">
        <v>145</v>
      </c>
      <c r="F240" s="1452" t="s">
        <v>1295</v>
      </c>
      <c r="G240" s="677" t="s">
        <v>1575</v>
      </c>
      <c r="H240" s="679"/>
      <c r="I240" s="681" t="s">
        <v>145</v>
      </c>
      <c r="J240" s="686" t="s">
        <v>1295</v>
      </c>
      <c r="K240" s="687"/>
      <c r="L240" s="688">
        <v>1385795</v>
      </c>
      <c r="M240" s="688" t="e">
        <f>S240-#REF!</f>
        <v>#REF!</v>
      </c>
      <c r="N240" s="689">
        <v>1385795</v>
      </c>
      <c r="O240" s="689">
        <v>115482.916666667</v>
      </c>
      <c r="P240" s="689"/>
      <c r="Q240" s="689">
        <v>28870.7291666667</v>
      </c>
      <c r="R240" s="689">
        <v>30000</v>
      </c>
      <c r="S240" s="689">
        <v>178809.67</v>
      </c>
      <c r="T240" s="689"/>
      <c r="U240" s="689"/>
      <c r="V240" s="689"/>
      <c r="W240" s="689"/>
      <c r="X240" s="689"/>
      <c r="Y240" s="689"/>
      <c r="Z240" s="689"/>
      <c r="AA240" s="689"/>
      <c r="AB240" s="689"/>
      <c r="AC240" s="689">
        <v>2500</v>
      </c>
      <c r="AD240" s="689"/>
      <c r="AE240" s="689"/>
      <c r="AF240" s="689"/>
      <c r="AG240" s="689"/>
      <c r="AH240" s="689"/>
      <c r="AI240" s="689"/>
      <c r="AJ240" s="689">
        <v>2500</v>
      </c>
      <c r="AK240" s="689"/>
      <c r="AL240" s="689">
        <v>383.33</v>
      </c>
      <c r="AM240" s="689"/>
      <c r="AN240" s="689"/>
      <c r="AO240" s="689"/>
      <c r="AP240" s="689"/>
      <c r="AQ240" s="689"/>
      <c r="AR240" s="689"/>
      <c r="AS240" s="689"/>
      <c r="AT240" s="689"/>
      <c r="AU240" s="689">
        <f t="shared" si="344"/>
        <v>7152.3868</v>
      </c>
      <c r="AV240" s="689"/>
      <c r="AW240" s="689">
        <v>3000</v>
      </c>
      <c r="AX240" s="718">
        <f t="shared" si="401"/>
        <v>3576.1934</v>
      </c>
      <c r="AY240" s="718"/>
      <c r="AZ240" s="718"/>
      <c r="BA240" s="689"/>
      <c r="BB240" s="689"/>
      <c r="BC240" s="689"/>
      <c r="BD240" s="719"/>
      <c r="BE240" s="719"/>
      <c r="BF240" s="689"/>
      <c r="BG240" s="689"/>
      <c r="BH240" s="727"/>
      <c r="BI240" s="689"/>
      <c r="BJ240" s="689"/>
      <c r="BK240" s="689"/>
      <c r="BL240" s="689">
        <v>7500</v>
      </c>
      <c r="BM240" s="689"/>
      <c r="BN240" s="689"/>
      <c r="BO240" s="689">
        <v>101667</v>
      </c>
      <c r="BP240" s="689"/>
      <c r="BQ240" s="689"/>
      <c r="BR240" s="731"/>
      <c r="BS240" s="731"/>
      <c r="BT240" s="731"/>
      <c r="BU240" s="731"/>
      <c r="BV240" s="731"/>
      <c r="BW240" s="731"/>
      <c r="BX240" s="731">
        <v>5000</v>
      </c>
      <c r="BY240" s="731"/>
      <c r="BZ240" s="731">
        <v>1000</v>
      </c>
      <c r="CA240" s="718">
        <f t="shared" si="325"/>
        <v>3676.1934</v>
      </c>
      <c r="CB240" s="735"/>
      <c r="CC240" s="731">
        <v>18986.24</v>
      </c>
      <c r="CD240" s="702">
        <f t="shared" si="329"/>
        <v>183809.67</v>
      </c>
      <c r="CE240" s="731">
        <f t="shared" si="331"/>
        <v>151558.0136</v>
      </c>
      <c r="CF240" s="739">
        <f t="shared" si="330"/>
        <v>32251.6564</v>
      </c>
      <c r="CG240" s="742">
        <f t="shared" si="326"/>
        <v>151558.0136</v>
      </c>
      <c r="CH240" s="743" t="e">
        <f>'[6]JACKSON AKPOJARO '!C353*12</f>
        <v>#REF!</v>
      </c>
      <c r="CI240" s="744" t="e">
        <f t="shared" si="368"/>
        <v>#REF!</v>
      </c>
      <c r="CJ240" s="745">
        <f t="shared" si="369"/>
        <v>0</v>
      </c>
      <c r="CK240" s="748" t="e">
        <f t="shared" si="370"/>
        <v>#REF!</v>
      </c>
      <c r="CL240" s="749" t="e">
        <f t="shared" si="371"/>
        <v>#REF!</v>
      </c>
      <c r="CM240" s="744"/>
      <c r="CN240" s="745" t="e">
        <f t="shared" si="372"/>
        <v>#REF!</v>
      </c>
      <c r="CO240" s="745" t="e">
        <f t="shared" si="373"/>
        <v>#REF!</v>
      </c>
      <c r="CP240" s="745" t="e">
        <f t="shared" si="374"/>
        <v>#REF!</v>
      </c>
      <c r="CQ240" s="745" t="e">
        <f t="shared" si="375"/>
        <v>#REF!</v>
      </c>
      <c r="CR240" s="745" t="e">
        <f t="shared" si="376"/>
        <v>#REF!</v>
      </c>
      <c r="CS240" s="745" t="e">
        <f t="shared" si="377"/>
        <v>#REF!</v>
      </c>
      <c r="CT240" s="754" t="e">
        <f t="shared" si="378"/>
        <v>#REF!</v>
      </c>
      <c r="CU240" s="755" t="e">
        <f t="shared" si="379"/>
        <v>#REF!</v>
      </c>
      <c r="CV240" s="756">
        <f t="shared" si="380"/>
        <v>18986.24</v>
      </c>
      <c r="CW240" s="757"/>
      <c r="CX240" s="758"/>
      <c r="CY240" s="759"/>
      <c r="CZ240" s="760"/>
      <c r="DA240" s="767"/>
    </row>
    <row r="241" ht="236" customHeight="1" spans="1:105">
      <c r="A241" s="675">
        <v>564</v>
      </c>
      <c r="B241" s="676" t="s">
        <v>1296</v>
      </c>
      <c r="C241" s="677" t="s">
        <v>1527</v>
      </c>
      <c r="D241" s="677" t="s">
        <v>1670</v>
      </c>
      <c r="E241" s="677" t="s">
        <v>135</v>
      </c>
      <c r="F241" s="1452" t="s">
        <v>1297</v>
      </c>
      <c r="G241" s="677" t="s">
        <v>1575</v>
      </c>
      <c r="H241" s="679"/>
      <c r="I241" s="681" t="s">
        <v>135</v>
      </c>
      <c r="J241" s="686" t="s">
        <v>1297</v>
      </c>
      <c r="K241" s="687"/>
      <c r="L241" s="688">
        <v>1385795</v>
      </c>
      <c r="M241" s="688" t="e">
        <f>S241-#REF!</f>
        <v>#REF!</v>
      </c>
      <c r="N241" s="689">
        <v>1385795</v>
      </c>
      <c r="O241" s="689">
        <v>115482.916666667</v>
      </c>
      <c r="P241" s="689"/>
      <c r="Q241" s="689">
        <v>28870.7291666667</v>
      </c>
      <c r="R241" s="689">
        <v>30000</v>
      </c>
      <c r="S241" s="689">
        <v>178809.67</v>
      </c>
      <c r="T241" s="689"/>
      <c r="U241" s="689"/>
      <c r="V241" s="689"/>
      <c r="W241" s="689"/>
      <c r="X241" s="689"/>
      <c r="Y241" s="689"/>
      <c r="Z241" s="689"/>
      <c r="AA241" s="689"/>
      <c r="AB241" s="689"/>
      <c r="AC241" s="689">
        <v>2500</v>
      </c>
      <c r="AD241" s="689"/>
      <c r="AE241" s="689"/>
      <c r="AF241" s="689"/>
      <c r="AG241" s="689"/>
      <c r="AH241" s="689">
        <v>34500</v>
      </c>
      <c r="AI241" s="689"/>
      <c r="AJ241" s="689">
        <v>2500</v>
      </c>
      <c r="AK241" s="689"/>
      <c r="AL241" s="689">
        <v>383.33</v>
      </c>
      <c r="AM241" s="689"/>
      <c r="AN241" s="689"/>
      <c r="AO241" s="689"/>
      <c r="AP241" s="689"/>
      <c r="AQ241" s="689"/>
      <c r="AR241" s="689"/>
      <c r="AS241" s="689"/>
      <c r="AT241" s="689"/>
      <c r="AU241" s="689">
        <f t="shared" si="344"/>
        <v>7152.3868</v>
      </c>
      <c r="AV241" s="689"/>
      <c r="AW241" s="689"/>
      <c r="AX241" s="718">
        <f t="shared" si="401"/>
        <v>3576.1934</v>
      </c>
      <c r="AY241" s="718"/>
      <c r="AZ241" s="718"/>
      <c r="BA241" s="689"/>
      <c r="BB241" s="689"/>
      <c r="BC241" s="689"/>
      <c r="BD241" s="719"/>
      <c r="BE241" s="719"/>
      <c r="BF241" s="689"/>
      <c r="BG241" s="689"/>
      <c r="BH241" s="727"/>
      <c r="BI241" s="689"/>
      <c r="BJ241" s="689"/>
      <c r="BK241" s="689"/>
      <c r="BL241" s="689"/>
      <c r="BM241" s="689"/>
      <c r="BN241" s="689"/>
      <c r="BO241" s="689">
        <v>20000</v>
      </c>
      <c r="BP241" s="689"/>
      <c r="BQ241" s="689"/>
      <c r="BR241" s="731"/>
      <c r="BS241" s="731"/>
      <c r="BT241" s="731"/>
      <c r="BU241" s="731"/>
      <c r="BV241" s="731"/>
      <c r="BW241" s="731"/>
      <c r="BX241" s="731"/>
      <c r="BY241" s="731">
        <v>2000</v>
      </c>
      <c r="BZ241" s="731">
        <v>1000</v>
      </c>
      <c r="CA241" s="718">
        <f t="shared" si="325"/>
        <v>4366.1934</v>
      </c>
      <c r="CB241" s="735"/>
      <c r="CC241" s="731">
        <v>23842.69</v>
      </c>
      <c r="CD241" s="702">
        <f t="shared" si="329"/>
        <v>218309.67</v>
      </c>
      <c r="CE241" s="731">
        <f t="shared" si="331"/>
        <v>61937.4636</v>
      </c>
      <c r="CF241" s="739">
        <f t="shared" si="330"/>
        <v>156372.2064</v>
      </c>
      <c r="CG241" s="742">
        <f t="shared" si="326"/>
        <v>61937.4636</v>
      </c>
      <c r="CH241" s="743" t="e">
        <f>'[6]JACKSON AKPOJARO '!C354*12</f>
        <v>#REF!</v>
      </c>
      <c r="CI241" s="744" t="e">
        <f t="shared" si="368"/>
        <v>#REF!</v>
      </c>
      <c r="CJ241" s="745">
        <f t="shared" si="369"/>
        <v>0</v>
      </c>
      <c r="CK241" s="748" t="e">
        <f t="shared" si="370"/>
        <v>#REF!</v>
      </c>
      <c r="CL241" s="749" t="e">
        <f t="shared" si="371"/>
        <v>#REF!</v>
      </c>
      <c r="CM241" s="744"/>
      <c r="CN241" s="745" t="e">
        <f t="shared" si="372"/>
        <v>#REF!</v>
      </c>
      <c r="CO241" s="745" t="e">
        <f t="shared" si="373"/>
        <v>#REF!</v>
      </c>
      <c r="CP241" s="745" t="e">
        <f t="shared" si="374"/>
        <v>#REF!</v>
      </c>
      <c r="CQ241" s="745" t="e">
        <f t="shared" si="375"/>
        <v>#REF!</v>
      </c>
      <c r="CR241" s="745" t="e">
        <f t="shared" si="376"/>
        <v>#REF!</v>
      </c>
      <c r="CS241" s="745" t="e">
        <f t="shared" si="377"/>
        <v>#REF!</v>
      </c>
      <c r="CT241" s="754" t="e">
        <f t="shared" si="378"/>
        <v>#REF!</v>
      </c>
      <c r="CU241" s="755" t="e">
        <f t="shared" si="379"/>
        <v>#REF!</v>
      </c>
      <c r="CV241" s="756">
        <f t="shared" si="380"/>
        <v>23842.69</v>
      </c>
      <c r="CW241" s="757"/>
      <c r="CX241" s="758"/>
      <c r="CY241" s="759"/>
      <c r="CZ241" s="760"/>
      <c r="DA241" s="767"/>
    </row>
    <row r="242" s="661" customFormat="1" ht="236" customHeight="1" spans="1:106">
      <c r="A242" s="673">
        <v>565</v>
      </c>
      <c r="B242" s="876" t="s">
        <v>1298</v>
      </c>
      <c r="C242" s="877" t="s">
        <v>1527</v>
      </c>
      <c r="D242" s="877" t="s">
        <v>1670</v>
      </c>
      <c r="E242" s="877" t="s">
        <v>127</v>
      </c>
      <c r="F242" s="1457" t="s">
        <v>1299</v>
      </c>
      <c r="G242" s="877" t="s">
        <v>1575</v>
      </c>
      <c r="H242" s="878"/>
      <c r="I242" s="883" t="s">
        <v>127</v>
      </c>
      <c r="J242" s="884" t="s">
        <v>1299</v>
      </c>
      <c r="K242" s="885"/>
      <c r="L242" s="886">
        <v>1385795</v>
      </c>
      <c r="M242" s="886" t="e">
        <f>S242-#REF!</f>
        <v>#REF!</v>
      </c>
      <c r="N242" s="887">
        <v>1385795</v>
      </c>
      <c r="O242" s="887">
        <v>115482.916666667</v>
      </c>
      <c r="P242" s="887"/>
      <c r="Q242" s="887">
        <v>28870.7291666667</v>
      </c>
      <c r="R242" s="887">
        <v>30000</v>
      </c>
      <c r="S242" s="689">
        <v>178809.67</v>
      </c>
      <c r="T242" s="689"/>
      <c r="U242" s="689"/>
      <c r="V242" s="689"/>
      <c r="W242" s="689"/>
      <c r="X242" s="689"/>
      <c r="Y242" s="689"/>
      <c r="Z242" s="689"/>
      <c r="AA242" s="689"/>
      <c r="AB242" s="689"/>
      <c r="AC242" s="689">
        <v>2500</v>
      </c>
      <c r="AD242" s="689"/>
      <c r="AE242" s="689"/>
      <c r="AF242" s="689"/>
      <c r="AG242" s="689"/>
      <c r="AH242" s="689"/>
      <c r="AI242" s="689"/>
      <c r="AJ242" s="689">
        <v>2500</v>
      </c>
      <c r="AK242" s="689"/>
      <c r="AL242" s="689">
        <v>383.33</v>
      </c>
      <c r="AM242" s="689"/>
      <c r="AN242" s="689"/>
      <c r="AO242" s="689"/>
      <c r="AP242" s="689"/>
      <c r="AQ242" s="689"/>
      <c r="AR242" s="689"/>
      <c r="AS242" s="689"/>
      <c r="AT242" s="689"/>
      <c r="AU242" s="689">
        <f t="shared" si="344"/>
        <v>7152.3868</v>
      </c>
      <c r="AV242" s="689"/>
      <c r="AW242" s="689">
        <v>3000</v>
      </c>
      <c r="AX242" s="718">
        <f t="shared" si="401"/>
        <v>3576.1934</v>
      </c>
      <c r="AY242" s="718"/>
      <c r="AZ242" s="718"/>
      <c r="BA242" s="689"/>
      <c r="BB242" s="689"/>
      <c r="BC242" s="689"/>
      <c r="BD242" s="719"/>
      <c r="BE242" s="719"/>
      <c r="BF242" s="689"/>
      <c r="BG242" s="689"/>
      <c r="BH242" s="891"/>
      <c r="BI242" s="892"/>
      <c r="BJ242" s="892"/>
      <c r="BK242" s="689"/>
      <c r="BL242" s="689"/>
      <c r="BM242" s="689"/>
      <c r="BN242" s="689"/>
      <c r="BO242" s="689">
        <v>20000</v>
      </c>
      <c r="BP242" s="689"/>
      <c r="BQ242" s="689"/>
      <c r="BR242" s="731"/>
      <c r="BS242" s="731"/>
      <c r="BT242" s="731"/>
      <c r="BU242" s="731"/>
      <c r="BV242" s="731"/>
      <c r="BW242" s="731"/>
      <c r="BX242" s="731"/>
      <c r="BY242" s="731">
        <v>2000</v>
      </c>
      <c r="BZ242" s="731">
        <v>1000</v>
      </c>
      <c r="CA242" s="718">
        <f t="shared" si="325"/>
        <v>3676.1934</v>
      </c>
      <c r="CB242" s="735"/>
      <c r="CC242" s="731">
        <v>18105.74</v>
      </c>
      <c r="CD242" s="702">
        <f t="shared" si="329"/>
        <v>183809.67</v>
      </c>
      <c r="CE242" s="731">
        <f t="shared" si="331"/>
        <v>58510.5136</v>
      </c>
      <c r="CF242" s="739">
        <f t="shared" si="330"/>
        <v>125299.1564</v>
      </c>
      <c r="CG242" s="896">
        <f t="shared" si="326"/>
        <v>58510.5136</v>
      </c>
      <c r="CH242" s="897" t="e">
        <f>'[6]JACKSON AKPOJARO '!C355*12</f>
        <v>#REF!</v>
      </c>
      <c r="CI242" s="898" t="e">
        <f t="shared" si="368"/>
        <v>#REF!</v>
      </c>
      <c r="CJ242" s="899">
        <f t="shared" si="369"/>
        <v>0</v>
      </c>
      <c r="CK242" s="903" t="e">
        <f t="shared" si="370"/>
        <v>#REF!</v>
      </c>
      <c r="CL242" s="904" t="e">
        <f t="shared" si="371"/>
        <v>#REF!</v>
      </c>
      <c r="CM242" s="898"/>
      <c r="CN242" s="899" t="e">
        <f t="shared" si="372"/>
        <v>#REF!</v>
      </c>
      <c r="CO242" s="899" t="e">
        <f t="shared" si="373"/>
        <v>#REF!</v>
      </c>
      <c r="CP242" s="899" t="e">
        <f t="shared" si="374"/>
        <v>#REF!</v>
      </c>
      <c r="CQ242" s="899" t="e">
        <f t="shared" si="375"/>
        <v>#REF!</v>
      </c>
      <c r="CR242" s="899" t="e">
        <f t="shared" si="376"/>
        <v>#REF!</v>
      </c>
      <c r="CS242" s="899" t="e">
        <f t="shared" si="377"/>
        <v>#REF!</v>
      </c>
      <c r="CT242" s="907" t="e">
        <f t="shared" si="378"/>
        <v>#REF!</v>
      </c>
      <c r="CU242" s="908" t="e">
        <f t="shared" si="379"/>
        <v>#REF!</v>
      </c>
      <c r="CV242" s="909">
        <f t="shared" si="380"/>
        <v>18105.74</v>
      </c>
      <c r="CW242" s="910"/>
      <c r="CX242" s="911"/>
      <c r="CY242" s="912"/>
      <c r="CZ242" s="913"/>
      <c r="DA242" s="923"/>
      <c r="DB242" s="924"/>
    </row>
    <row r="243" ht="236" customHeight="1" spans="1:105">
      <c r="A243" s="675">
        <v>566</v>
      </c>
      <c r="B243" s="676" t="s">
        <v>1300</v>
      </c>
      <c r="C243" s="677" t="s">
        <v>1579</v>
      </c>
      <c r="D243" s="677" t="s">
        <v>1743</v>
      </c>
      <c r="E243" s="677" t="s">
        <v>97</v>
      </c>
      <c r="F243" s="1452" t="s">
        <v>1301</v>
      </c>
      <c r="G243" s="677" t="s">
        <v>1659</v>
      </c>
      <c r="H243" s="677" t="s">
        <v>97</v>
      </c>
      <c r="I243" s="33" t="s">
        <v>97</v>
      </c>
      <c r="J243" s="33" t="s">
        <v>1301</v>
      </c>
      <c r="K243" s="687"/>
      <c r="L243" s="688"/>
      <c r="M243" s="688" t="e">
        <f>S243-#REF!</f>
        <v>#REF!</v>
      </c>
      <c r="N243" s="689">
        <v>5004076</v>
      </c>
      <c r="O243" s="689">
        <v>417006.333333333</v>
      </c>
      <c r="P243" s="689"/>
      <c r="Q243" s="689">
        <v>104251.583333333</v>
      </c>
      <c r="R243" s="689">
        <v>30000</v>
      </c>
      <c r="S243" s="689">
        <v>612701.42</v>
      </c>
      <c r="T243" s="689"/>
      <c r="U243" s="689"/>
      <c r="V243" s="689"/>
      <c r="W243" s="689"/>
      <c r="X243" s="689"/>
      <c r="Y243" s="689"/>
      <c r="Z243" s="689"/>
      <c r="AA243" s="689"/>
      <c r="AB243" s="689">
        <v>41667</v>
      </c>
      <c r="AC243" s="689">
        <v>2500</v>
      </c>
      <c r="AD243" s="689"/>
      <c r="AE243" s="689"/>
      <c r="AF243" s="689"/>
      <c r="AG243" s="689"/>
      <c r="AH243" s="689"/>
      <c r="AI243" s="689"/>
      <c r="AJ243" s="689">
        <v>2500</v>
      </c>
      <c r="AK243" s="689"/>
      <c r="AL243" s="689">
        <v>383.33</v>
      </c>
      <c r="AM243" s="689"/>
      <c r="AN243" s="689"/>
      <c r="AO243" s="689"/>
      <c r="AP243" s="689"/>
      <c r="AQ243" s="689"/>
      <c r="AR243" s="689"/>
      <c r="AS243" s="689"/>
      <c r="AT243" s="689"/>
      <c r="AU243" s="689">
        <f t="shared" si="344"/>
        <v>24508.0568</v>
      </c>
      <c r="AV243" s="689"/>
      <c r="AW243" s="689"/>
      <c r="AX243" s="718">
        <f t="shared" ref="AX243:AX244" si="402">S243*0.02</f>
        <v>12254.0284</v>
      </c>
      <c r="AY243" s="718"/>
      <c r="AZ243" s="718"/>
      <c r="BA243" s="689"/>
      <c r="BB243" s="689"/>
      <c r="BC243" s="689"/>
      <c r="BD243" s="719"/>
      <c r="BE243" s="719"/>
      <c r="BF243" s="689"/>
      <c r="BG243" s="689"/>
      <c r="BH243" s="727"/>
      <c r="BI243" s="689"/>
      <c r="BJ243" s="689"/>
      <c r="BK243" s="689"/>
      <c r="BL243" s="689"/>
      <c r="BM243" s="689"/>
      <c r="BN243" s="689"/>
      <c r="BO243" s="689">
        <v>100000</v>
      </c>
      <c r="BP243" s="689"/>
      <c r="BQ243" s="689"/>
      <c r="BR243" s="731"/>
      <c r="BS243" s="731"/>
      <c r="BT243" s="731"/>
      <c r="BU243" s="731"/>
      <c r="BV243" s="731"/>
      <c r="BW243" s="731"/>
      <c r="BX243" s="731">
        <v>15000</v>
      </c>
      <c r="BY243" s="731"/>
      <c r="BZ243" s="731">
        <v>3500</v>
      </c>
      <c r="CA243" s="718">
        <f t="shared" si="325"/>
        <v>13187.3684</v>
      </c>
      <c r="CB243" s="735"/>
      <c r="CC243" s="731">
        <v>105265.4</v>
      </c>
      <c r="CD243" s="702">
        <f t="shared" si="329"/>
        <v>659368.42</v>
      </c>
      <c r="CE243" s="731">
        <f t="shared" si="331"/>
        <v>273714.8536</v>
      </c>
      <c r="CF243" s="739">
        <f t="shared" si="330"/>
        <v>385653.5664</v>
      </c>
      <c r="CG243" s="742">
        <f t="shared" si="326"/>
        <v>273714.8536</v>
      </c>
      <c r="CH243" s="743"/>
      <c r="CI243" s="744"/>
      <c r="CJ243" s="745"/>
      <c r="CK243" s="748"/>
      <c r="CL243" s="749"/>
      <c r="CM243" s="744"/>
      <c r="CN243" s="745"/>
      <c r="CO243" s="745"/>
      <c r="CP243" s="745"/>
      <c r="CQ243" s="745"/>
      <c r="CR243" s="745"/>
      <c r="CS243" s="745"/>
      <c r="CT243" s="754"/>
      <c r="CU243" s="755"/>
      <c r="CV243" s="756"/>
      <c r="CW243" s="757"/>
      <c r="CX243" s="758"/>
      <c r="CY243" s="759"/>
      <c r="CZ243" s="760"/>
      <c r="DA243" s="767"/>
    </row>
    <row r="244" ht="236" customHeight="1" spans="1:105">
      <c r="A244" s="673">
        <v>567</v>
      </c>
      <c r="B244" s="676" t="s">
        <v>1302</v>
      </c>
      <c r="C244" s="677" t="s">
        <v>1594</v>
      </c>
      <c r="D244" s="677" t="s">
        <v>1594</v>
      </c>
      <c r="E244" s="677" t="s">
        <v>127</v>
      </c>
      <c r="F244" s="1452" t="s">
        <v>1303</v>
      </c>
      <c r="G244" s="677" t="s">
        <v>1744</v>
      </c>
      <c r="H244" s="679"/>
      <c r="I244" s="681" t="s">
        <v>127</v>
      </c>
      <c r="J244" s="686" t="s">
        <v>1303</v>
      </c>
      <c r="K244" s="687"/>
      <c r="L244" s="688">
        <v>3674908</v>
      </c>
      <c r="M244" s="688" t="e">
        <f>S244-#REF!</f>
        <v>#REF!</v>
      </c>
      <c r="N244" s="689">
        <v>3762642</v>
      </c>
      <c r="O244" s="689">
        <v>313553.5</v>
      </c>
      <c r="P244" s="689"/>
      <c r="Q244" s="689">
        <v>78388.375</v>
      </c>
      <c r="R244" s="689">
        <v>30000</v>
      </c>
      <c r="S244" s="689">
        <v>459340.21</v>
      </c>
      <c r="T244" s="689">
        <f>S244*0.11</f>
        <v>50527.4231</v>
      </c>
      <c r="U244" s="689"/>
      <c r="V244" s="689"/>
      <c r="W244" s="689"/>
      <c r="X244" s="689"/>
      <c r="Y244" s="689"/>
      <c r="Z244" s="689"/>
      <c r="AA244" s="689"/>
      <c r="AB244" s="689">
        <v>41667</v>
      </c>
      <c r="AC244" s="689">
        <v>2500</v>
      </c>
      <c r="AD244" s="689"/>
      <c r="AE244" s="689"/>
      <c r="AF244" s="689"/>
      <c r="AG244" s="689"/>
      <c r="AH244" s="689"/>
      <c r="AI244" s="689"/>
      <c r="AJ244" s="689">
        <v>2500</v>
      </c>
      <c r="AK244" s="689"/>
      <c r="AL244" s="689">
        <v>383.33</v>
      </c>
      <c r="AM244" s="689"/>
      <c r="AN244" s="689"/>
      <c r="AO244" s="689"/>
      <c r="AP244" s="689"/>
      <c r="AQ244" s="689"/>
      <c r="AR244" s="689"/>
      <c r="AS244" s="689"/>
      <c r="AT244" s="689"/>
      <c r="AU244" s="689">
        <f t="shared" si="344"/>
        <v>18373.6084</v>
      </c>
      <c r="AV244" s="689"/>
      <c r="AW244" s="689"/>
      <c r="AX244" s="718">
        <f t="shared" si="402"/>
        <v>9186.8042</v>
      </c>
      <c r="AY244" s="718"/>
      <c r="AZ244" s="718"/>
      <c r="BA244" s="689"/>
      <c r="BB244" s="689"/>
      <c r="BC244" s="689"/>
      <c r="BD244" s="719"/>
      <c r="BE244" s="719"/>
      <c r="BF244" s="689"/>
      <c r="BG244" s="689"/>
      <c r="BH244" s="727"/>
      <c r="BI244" s="689"/>
      <c r="BJ244" s="689"/>
      <c r="BK244" s="689"/>
      <c r="BL244" s="689"/>
      <c r="BM244" s="689">
        <v>96429</v>
      </c>
      <c r="BN244" s="689"/>
      <c r="BO244" s="689">
        <v>0</v>
      </c>
      <c r="BP244" s="689"/>
      <c r="BQ244" s="689"/>
      <c r="BR244" s="731"/>
      <c r="BS244" s="731"/>
      <c r="BT244" s="731"/>
      <c r="BU244" s="731"/>
      <c r="BV244" s="731"/>
      <c r="BW244" s="731"/>
      <c r="BX244" s="731"/>
      <c r="BY244" s="731"/>
      <c r="BZ244" s="731">
        <v>2500</v>
      </c>
      <c r="CA244" s="718">
        <f t="shared" si="325"/>
        <v>11130.692662</v>
      </c>
      <c r="CB244" s="735"/>
      <c r="CC244" s="731">
        <v>85521.32</v>
      </c>
      <c r="CD244" s="702">
        <f t="shared" si="329"/>
        <v>556534.6331</v>
      </c>
      <c r="CE244" s="731">
        <f t="shared" si="331"/>
        <v>223141.425262</v>
      </c>
      <c r="CF244" s="739">
        <f t="shared" si="330"/>
        <v>333393.207838</v>
      </c>
      <c r="CG244" s="742">
        <f t="shared" si="326"/>
        <v>223141.425262</v>
      </c>
      <c r="CH244" s="743" t="e">
        <f>'[6]JACKSON AKPOJARO '!C354*12</f>
        <v>#REF!</v>
      </c>
      <c r="CI244" s="744" t="e">
        <f t="shared" si="368"/>
        <v>#REF!</v>
      </c>
      <c r="CJ244" s="745">
        <f>CB244*12</f>
        <v>0</v>
      </c>
      <c r="CK244" s="748" t="e">
        <f t="shared" si="370"/>
        <v>#REF!</v>
      </c>
      <c r="CL244" s="749" t="e">
        <f t="shared" si="371"/>
        <v>#REF!</v>
      </c>
      <c r="CM244" s="744"/>
      <c r="CN244" s="745" t="e">
        <f t="shared" si="372"/>
        <v>#REF!</v>
      </c>
      <c r="CO244" s="745" t="e">
        <f t="shared" si="373"/>
        <v>#REF!</v>
      </c>
      <c r="CP244" s="745" t="e">
        <f t="shared" si="374"/>
        <v>#REF!</v>
      </c>
      <c r="CQ244" s="745" t="e">
        <f t="shared" si="375"/>
        <v>#REF!</v>
      </c>
      <c r="CR244" s="745" t="e">
        <f t="shared" si="376"/>
        <v>#REF!</v>
      </c>
      <c r="CS244" s="745" t="e">
        <f t="shared" si="377"/>
        <v>#REF!</v>
      </c>
      <c r="CT244" s="754" t="e">
        <f t="shared" si="378"/>
        <v>#REF!</v>
      </c>
      <c r="CU244" s="755" t="e">
        <f t="shared" si="379"/>
        <v>#REF!</v>
      </c>
      <c r="CV244" s="756">
        <f>CC244</f>
        <v>85521.32</v>
      </c>
      <c r="CW244" s="757"/>
      <c r="CX244" s="758"/>
      <c r="CY244" s="759"/>
      <c r="CZ244" s="760"/>
      <c r="DA244" s="767"/>
    </row>
    <row r="245" ht="236" customHeight="1" spans="1:105">
      <c r="A245" s="675">
        <v>568</v>
      </c>
      <c r="B245" s="676" t="s">
        <v>1304</v>
      </c>
      <c r="C245" s="677" t="s">
        <v>1594</v>
      </c>
      <c r="D245" s="677" t="s">
        <v>1745</v>
      </c>
      <c r="E245" s="677" t="s">
        <v>97</v>
      </c>
      <c r="F245" s="1452" t="s">
        <v>1305</v>
      </c>
      <c r="G245" s="677" t="s">
        <v>1746</v>
      </c>
      <c r="H245" s="679"/>
      <c r="I245" s="33" t="s">
        <v>97</v>
      </c>
      <c r="J245" s="33" t="s">
        <v>1305</v>
      </c>
      <c r="K245" s="687"/>
      <c r="L245" s="688"/>
      <c r="M245" s="688" t="e">
        <f>S245-#REF!</f>
        <v>#REF!</v>
      </c>
      <c r="N245" s="689">
        <v>1527126</v>
      </c>
      <c r="O245" s="689">
        <v>127260.5</v>
      </c>
      <c r="P245" s="689"/>
      <c r="Q245" s="689">
        <v>31815.125</v>
      </c>
      <c r="R245" s="689">
        <v>30000</v>
      </c>
      <c r="S245" s="889">
        <f t="shared" si="343"/>
        <v>189075.625</v>
      </c>
      <c r="T245" s="689"/>
      <c r="U245" s="689"/>
      <c r="V245" s="689"/>
      <c r="W245" s="689"/>
      <c r="X245" s="689"/>
      <c r="Y245" s="689"/>
      <c r="Z245" s="689"/>
      <c r="AA245" s="689"/>
      <c r="AB245" s="689"/>
      <c r="AC245" s="689">
        <v>2500</v>
      </c>
      <c r="AD245" s="689"/>
      <c r="AE245" s="689"/>
      <c r="AF245" s="689"/>
      <c r="AG245" s="689"/>
      <c r="AH245" s="689"/>
      <c r="AI245" s="689"/>
      <c r="AJ245" s="689">
        <v>2500</v>
      </c>
      <c r="AK245" s="689"/>
      <c r="AL245" s="689"/>
      <c r="AM245" s="689"/>
      <c r="AN245" s="689"/>
      <c r="AO245" s="689"/>
      <c r="AP245" s="689"/>
      <c r="AQ245" s="689"/>
      <c r="AR245" s="689"/>
      <c r="AS245" s="689"/>
      <c r="AT245" s="689"/>
      <c r="AU245" s="689">
        <f t="shared" si="344"/>
        <v>7563.025</v>
      </c>
      <c r="AV245" s="689"/>
      <c r="AW245" s="689"/>
      <c r="AX245" s="718">
        <f t="shared" si="401"/>
        <v>3781.5125</v>
      </c>
      <c r="AY245" s="718"/>
      <c r="AZ245" s="718"/>
      <c r="BA245" s="689"/>
      <c r="BB245" s="689"/>
      <c r="BC245" s="689"/>
      <c r="BD245" s="719"/>
      <c r="BE245" s="719"/>
      <c r="BF245" s="689"/>
      <c r="BG245" s="689"/>
      <c r="BH245" s="727"/>
      <c r="BI245" s="689"/>
      <c r="BJ245" s="689"/>
      <c r="BK245" s="689"/>
      <c r="BL245" s="689"/>
      <c r="BM245" s="724"/>
      <c r="BN245" s="724"/>
      <c r="BO245" s="689">
        <v>0</v>
      </c>
      <c r="BP245" s="689"/>
      <c r="BQ245" s="689"/>
      <c r="BR245" s="893"/>
      <c r="BS245" s="731"/>
      <c r="BT245" s="731"/>
      <c r="BU245" s="731"/>
      <c r="BV245" s="731"/>
      <c r="BW245" s="731"/>
      <c r="BX245" s="731"/>
      <c r="BY245" s="731"/>
      <c r="BZ245" s="731">
        <v>1500</v>
      </c>
      <c r="CA245" s="718">
        <f t="shared" si="325"/>
        <v>3881.5125</v>
      </c>
      <c r="CB245" s="735"/>
      <c r="CC245" s="731">
        <v>19771.3716666667</v>
      </c>
      <c r="CD245" s="702">
        <f t="shared" si="329"/>
        <v>194075.625</v>
      </c>
      <c r="CE245" s="731">
        <f t="shared" si="331"/>
        <v>36497.4216666667</v>
      </c>
      <c r="CF245" s="739">
        <f t="shared" si="330"/>
        <v>157578.203333333</v>
      </c>
      <c r="CG245" s="742">
        <f t="shared" si="326"/>
        <v>36497.4216666667</v>
      </c>
      <c r="CH245" s="743"/>
      <c r="CI245" s="744"/>
      <c r="CJ245" s="745"/>
      <c r="CK245" s="748"/>
      <c r="CL245" s="749"/>
      <c r="CM245" s="744"/>
      <c r="CN245" s="745"/>
      <c r="CO245" s="745"/>
      <c r="CP245" s="745"/>
      <c r="CQ245" s="745"/>
      <c r="CR245" s="745"/>
      <c r="CS245" s="745"/>
      <c r="CT245" s="754"/>
      <c r="CU245" s="755"/>
      <c r="CV245" s="756"/>
      <c r="CW245" s="757"/>
      <c r="CX245" s="758"/>
      <c r="CY245" s="759"/>
      <c r="CZ245" s="760"/>
      <c r="DA245" s="767"/>
    </row>
    <row r="246" ht="236" customHeight="1" spans="1:105">
      <c r="A246" s="673">
        <v>569</v>
      </c>
      <c r="B246" s="676" t="s">
        <v>1306</v>
      </c>
      <c r="C246" s="677" t="s">
        <v>1747</v>
      </c>
      <c r="D246" s="677" t="s">
        <v>1748</v>
      </c>
      <c r="E246" s="677" t="s">
        <v>101</v>
      </c>
      <c r="F246" s="1452" t="s">
        <v>1307</v>
      </c>
      <c r="G246" s="677" t="s">
        <v>1749</v>
      </c>
      <c r="H246" s="679"/>
      <c r="I246" s="681" t="s">
        <v>101</v>
      </c>
      <c r="J246" s="686">
        <v>3041029792</v>
      </c>
      <c r="K246" s="687"/>
      <c r="L246" s="688">
        <v>1001831</v>
      </c>
      <c r="M246" s="688" t="e">
        <f>S246-#REF!</f>
        <v>#REF!</v>
      </c>
      <c r="N246" s="689">
        <v>1033901</v>
      </c>
      <c r="O246" s="689">
        <v>86158.4166666667</v>
      </c>
      <c r="P246" s="689"/>
      <c r="Q246" s="689">
        <v>21539.6041666667</v>
      </c>
      <c r="R246" s="689">
        <v>30000</v>
      </c>
      <c r="S246" s="689">
        <f t="shared" si="343"/>
        <v>137698.020833333</v>
      </c>
      <c r="T246" s="689"/>
      <c r="U246" s="742"/>
      <c r="V246" s="689"/>
      <c r="W246" s="689"/>
      <c r="X246" s="689"/>
      <c r="Y246" s="689"/>
      <c r="Z246" s="689"/>
      <c r="AA246" s="689"/>
      <c r="AB246" s="689"/>
      <c r="AC246" s="689">
        <v>2500</v>
      </c>
      <c r="AD246" s="689"/>
      <c r="AE246" s="689"/>
      <c r="AF246" s="689"/>
      <c r="AG246" s="689"/>
      <c r="AH246" s="689"/>
      <c r="AI246" s="689"/>
      <c r="AJ246" s="689">
        <v>2500</v>
      </c>
      <c r="AK246" s="689"/>
      <c r="AL246" s="689">
        <v>383.33</v>
      </c>
      <c r="AM246" s="689"/>
      <c r="AN246" s="689"/>
      <c r="AO246" s="689"/>
      <c r="AP246" s="689"/>
      <c r="AQ246" s="689"/>
      <c r="AR246" s="689"/>
      <c r="AS246" s="689"/>
      <c r="AT246" s="689">
        <v>1000</v>
      </c>
      <c r="AU246" s="689">
        <f>S246*0.03</f>
        <v>4130.940625</v>
      </c>
      <c r="AV246" s="689"/>
      <c r="AW246" s="689"/>
      <c r="AX246" s="718"/>
      <c r="AY246" s="718"/>
      <c r="AZ246" s="718"/>
      <c r="BA246" s="689"/>
      <c r="BB246" s="689"/>
      <c r="BC246" s="689"/>
      <c r="BD246" s="719"/>
      <c r="BE246" s="719">
        <f t="shared" si="328"/>
        <v>4130.940625</v>
      </c>
      <c r="BF246" s="689"/>
      <c r="BG246" s="689"/>
      <c r="BH246" s="727"/>
      <c r="BI246" s="689"/>
      <c r="BJ246" s="689"/>
      <c r="BK246" s="689"/>
      <c r="BL246" s="689"/>
      <c r="BM246" s="689"/>
      <c r="BN246" s="689"/>
      <c r="BO246" s="689">
        <v>0</v>
      </c>
      <c r="BP246" s="689"/>
      <c r="BQ246" s="689"/>
      <c r="BR246" s="893"/>
      <c r="BS246" s="731"/>
      <c r="BT246" s="731"/>
      <c r="BU246" s="731"/>
      <c r="BV246" s="731"/>
      <c r="BW246" s="731"/>
      <c r="BX246" s="731"/>
      <c r="BY246" s="731"/>
      <c r="BZ246" s="731">
        <v>500</v>
      </c>
      <c r="CA246" s="718">
        <f t="shared" si="325"/>
        <v>2853.96041666667</v>
      </c>
      <c r="CB246" s="735"/>
      <c r="CC246" s="731">
        <v>11915.0319933333</v>
      </c>
      <c r="CD246" s="702">
        <f t="shared" si="329"/>
        <v>142698.020833333</v>
      </c>
      <c r="CE246" s="731">
        <f t="shared" si="331"/>
        <v>24530.87366</v>
      </c>
      <c r="CF246" s="739">
        <f t="shared" si="330"/>
        <v>118167.147173333</v>
      </c>
      <c r="CG246" s="742">
        <f t="shared" si="326"/>
        <v>24530.87366</v>
      </c>
      <c r="CH246" s="743" t="e">
        <f>'[6]JACKSON AKPOJARO '!C355*12</f>
        <v>#REF!</v>
      </c>
      <c r="CI246" s="744" t="e">
        <f t="shared" si="368"/>
        <v>#REF!</v>
      </c>
      <c r="CJ246" s="745">
        <f>CB246*12</f>
        <v>0</v>
      </c>
      <c r="CK246" s="748" t="e">
        <f t="shared" si="370"/>
        <v>#REF!</v>
      </c>
      <c r="CL246" s="749" t="e">
        <f t="shared" si="371"/>
        <v>#REF!</v>
      </c>
      <c r="CM246" s="744"/>
      <c r="CN246" s="745" t="e">
        <f t="shared" si="372"/>
        <v>#REF!</v>
      </c>
      <c r="CO246" s="745" t="e">
        <f t="shared" si="373"/>
        <v>#REF!</v>
      </c>
      <c r="CP246" s="745" t="e">
        <f t="shared" si="374"/>
        <v>#REF!</v>
      </c>
      <c r="CQ246" s="745" t="e">
        <f t="shared" si="375"/>
        <v>#REF!</v>
      </c>
      <c r="CR246" s="745" t="e">
        <f t="shared" si="376"/>
        <v>#REF!</v>
      </c>
      <c r="CS246" s="745" t="e">
        <f t="shared" si="377"/>
        <v>#REF!</v>
      </c>
      <c r="CT246" s="754" t="e">
        <f t="shared" si="378"/>
        <v>#REF!</v>
      </c>
      <c r="CU246" s="755" t="e">
        <f t="shared" si="379"/>
        <v>#REF!</v>
      </c>
      <c r="CV246" s="756">
        <f>CC246</f>
        <v>11915.0319933333</v>
      </c>
      <c r="CW246" s="757"/>
      <c r="CX246" s="758"/>
      <c r="CY246" s="759"/>
      <c r="CZ246" s="760"/>
      <c r="DA246" s="767"/>
    </row>
    <row r="247" ht="236" customHeight="1" spans="1:105">
      <c r="A247" s="675">
        <v>570</v>
      </c>
      <c r="B247" s="676" t="s">
        <v>1308</v>
      </c>
      <c r="C247" s="677" t="s">
        <v>1533</v>
      </c>
      <c r="D247" s="677" t="s">
        <v>1750</v>
      </c>
      <c r="E247" s="677" t="s">
        <v>165</v>
      </c>
      <c r="F247" s="1452" t="s">
        <v>1309</v>
      </c>
      <c r="G247" s="677" t="s">
        <v>1685</v>
      </c>
      <c r="H247" s="679"/>
      <c r="I247" s="33" t="s">
        <v>259</v>
      </c>
      <c r="J247" s="33">
        <v>6552858105</v>
      </c>
      <c r="K247" s="687"/>
      <c r="L247" s="688"/>
      <c r="M247" s="688" t="e">
        <f>S247-#REF!</f>
        <v>#REF!</v>
      </c>
      <c r="N247" s="689">
        <v>415390</v>
      </c>
      <c r="O247" s="689">
        <v>34615.8333333333</v>
      </c>
      <c r="P247" s="689"/>
      <c r="Q247" s="689">
        <v>8653.95833333333</v>
      </c>
      <c r="R247" s="689">
        <v>42499.98</v>
      </c>
      <c r="S247" s="689">
        <f t="shared" si="343"/>
        <v>85769.7716666667</v>
      </c>
      <c r="T247" s="689"/>
      <c r="U247" s="689"/>
      <c r="V247" s="689"/>
      <c r="W247" s="689"/>
      <c r="X247" s="689"/>
      <c r="Y247" s="689"/>
      <c r="Z247" s="689"/>
      <c r="AA247" s="689"/>
      <c r="AB247" s="689"/>
      <c r="AC247" s="689">
        <v>2500</v>
      </c>
      <c r="AD247" s="689"/>
      <c r="AE247" s="689"/>
      <c r="AF247" s="689"/>
      <c r="AG247" s="689"/>
      <c r="AH247" s="689"/>
      <c r="AI247" s="689"/>
      <c r="AJ247" s="689">
        <v>2500</v>
      </c>
      <c r="AK247" s="689"/>
      <c r="AL247" s="689">
        <v>383.33</v>
      </c>
      <c r="AM247" s="689"/>
      <c r="AN247" s="689"/>
      <c r="AO247" s="689"/>
      <c r="AP247" s="689"/>
      <c r="AQ247" s="689"/>
      <c r="AR247" s="689"/>
      <c r="AS247" s="689"/>
      <c r="AT247" s="689"/>
      <c r="AU247" s="689">
        <f t="shared" ref="AU247:AU253" si="403">S247*0.03</f>
        <v>2573.09315</v>
      </c>
      <c r="AV247" s="689"/>
      <c r="AW247" s="689"/>
      <c r="AX247" s="718"/>
      <c r="AY247" s="718"/>
      <c r="AZ247" s="718"/>
      <c r="BA247" s="689"/>
      <c r="BB247" s="689"/>
      <c r="BC247" s="689"/>
      <c r="BD247" s="719"/>
      <c r="BE247" s="719">
        <f t="shared" si="328"/>
        <v>2573.09315</v>
      </c>
      <c r="BF247" s="689"/>
      <c r="BG247" s="689"/>
      <c r="BH247" s="727"/>
      <c r="BI247" s="689"/>
      <c r="BJ247" s="689"/>
      <c r="BK247" s="689"/>
      <c r="BL247" s="724"/>
      <c r="BM247" s="724"/>
      <c r="BN247" s="724"/>
      <c r="BO247" s="689">
        <v>0</v>
      </c>
      <c r="BP247" s="689"/>
      <c r="BQ247" s="689"/>
      <c r="BR247" s="894"/>
      <c r="BS247" s="895"/>
      <c r="BT247" s="895"/>
      <c r="BU247" s="895"/>
      <c r="BV247" s="731"/>
      <c r="BW247" s="731"/>
      <c r="BX247" s="731"/>
      <c r="BY247" s="731"/>
      <c r="BZ247" s="731">
        <v>500</v>
      </c>
      <c r="CA247" s="718">
        <f t="shared" si="325"/>
        <v>1815.39543333333</v>
      </c>
      <c r="CB247" s="735"/>
      <c r="CC247" s="731">
        <v>5392.3726</v>
      </c>
      <c r="CD247" s="702">
        <f t="shared" si="329"/>
        <v>90769.7716666667</v>
      </c>
      <c r="CE247" s="731">
        <f t="shared" si="331"/>
        <v>12853.9543333333</v>
      </c>
      <c r="CF247" s="739">
        <f t="shared" si="330"/>
        <v>77915.8173333333</v>
      </c>
      <c r="CG247" s="742">
        <f t="shared" si="326"/>
        <v>12853.9543333333</v>
      </c>
      <c r="CH247" s="743" t="e">
        <f>'[6]JACKSON AKPOJARO '!C356*12</f>
        <v>#REF!</v>
      </c>
      <c r="CI247" s="744" t="e">
        <f t="shared" si="368"/>
        <v>#REF!</v>
      </c>
      <c r="CJ247" s="745">
        <f>CB247*12</f>
        <v>0</v>
      </c>
      <c r="CK247" s="748" t="e">
        <f t="shared" si="370"/>
        <v>#REF!</v>
      </c>
      <c r="CL247" s="749" t="e">
        <f t="shared" si="371"/>
        <v>#REF!</v>
      </c>
      <c r="CM247" s="744"/>
      <c r="CN247" s="745" t="e">
        <f t="shared" si="372"/>
        <v>#REF!</v>
      </c>
      <c r="CO247" s="745" t="e">
        <f t="shared" si="373"/>
        <v>#REF!</v>
      </c>
      <c r="CP247" s="745" t="e">
        <f t="shared" si="374"/>
        <v>#REF!</v>
      </c>
      <c r="CQ247" s="745" t="e">
        <f t="shared" si="375"/>
        <v>#REF!</v>
      </c>
      <c r="CR247" s="745" t="e">
        <f t="shared" si="376"/>
        <v>#REF!</v>
      </c>
      <c r="CS247" s="745" t="e">
        <f t="shared" si="377"/>
        <v>#REF!</v>
      </c>
      <c r="CT247" s="754" t="e">
        <f t="shared" si="378"/>
        <v>#REF!</v>
      </c>
      <c r="CU247" s="755" t="e">
        <f t="shared" si="379"/>
        <v>#REF!</v>
      </c>
      <c r="CV247" s="756">
        <f>CC247</f>
        <v>5392.3726</v>
      </c>
      <c r="CW247" s="757"/>
      <c r="CX247" s="758"/>
      <c r="CY247" s="759"/>
      <c r="CZ247" s="760"/>
      <c r="DA247" s="767"/>
    </row>
    <row r="248" ht="236" customHeight="1" spans="1:105">
      <c r="A248" s="673">
        <v>571</v>
      </c>
      <c r="B248" s="676" t="s">
        <v>1310</v>
      </c>
      <c r="C248" s="677" t="s">
        <v>1533</v>
      </c>
      <c r="D248" s="677" t="s">
        <v>1686</v>
      </c>
      <c r="E248" s="677" t="s">
        <v>135</v>
      </c>
      <c r="F248" s="1452" t="s">
        <v>1311</v>
      </c>
      <c r="G248" s="677" t="s">
        <v>1603</v>
      </c>
      <c r="H248" s="679"/>
      <c r="I248" s="681" t="s">
        <v>135</v>
      </c>
      <c r="J248" s="686" t="s">
        <v>1311</v>
      </c>
      <c r="K248" s="687"/>
      <c r="L248" s="688"/>
      <c r="M248" s="688" t="e">
        <f>S248-#REF!</f>
        <v>#REF!</v>
      </c>
      <c r="N248" s="689">
        <v>390724</v>
      </c>
      <c r="O248" s="689">
        <v>32560.3333333333</v>
      </c>
      <c r="P248" s="689"/>
      <c r="Q248" s="689">
        <v>8140.08333333333</v>
      </c>
      <c r="R248" s="689">
        <v>43784.66</v>
      </c>
      <c r="S248" s="689">
        <v>87789.67</v>
      </c>
      <c r="T248" s="689"/>
      <c r="U248" s="689"/>
      <c r="V248" s="689"/>
      <c r="W248" s="689"/>
      <c r="X248" s="689"/>
      <c r="Y248" s="689"/>
      <c r="Z248" s="689"/>
      <c r="AA248" s="689"/>
      <c r="AB248" s="689"/>
      <c r="AC248" s="689">
        <v>2500</v>
      </c>
      <c r="AD248" s="689"/>
      <c r="AE248" s="689"/>
      <c r="AF248" s="689"/>
      <c r="AG248" s="689"/>
      <c r="AH248" s="689"/>
      <c r="AI248" s="689"/>
      <c r="AJ248" s="689">
        <v>2500</v>
      </c>
      <c r="AK248" s="689"/>
      <c r="AL248" s="689">
        <v>383.33</v>
      </c>
      <c r="AM248" s="689"/>
      <c r="AN248" s="689"/>
      <c r="AO248" s="689"/>
      <c r="AP248" s="689"/>
      <c r="AQ248" s="689"/>
      <c r="AR248" s="689"/>
      <c r="AS248" s="689"/>
      <c r="AT248" s="689"/>
      <c r="AU248" s="689">
        <f t="shared" si="403"/>
        <v>2633.6901</v>
      </c>
      <c r="AV248" s="689"/>
      <c r="AW248" s="689"/>
      <c r="AX248" s="718"/>
      <c r="AY248" s="718"/>
      <c r="AZ248" s="718"/>
      <c r="BA248" s="689"/>
      <c r="BB248" s="689"/>
      <c r="BC248" s="689"/>
      <c r="BD248" s="719"/>
      <c r="BE248" s="719">
        <f t="shared" si="328"/>
        <v>2633.6901</v>
      </c>
      <c r="BF248" s="689"/>
      <c r="BG248" s="689"/>
      <c r="BH248" s="727"/>
      <c r="BI248" s="689"/>
      <c r="BJ248" s="689"/>
      <c r="BK248" s="689"/>
      <c r="BL248" s="689"/>
      <c r="BM248" s="689"/>
      <c r="BN248" s="689"/>
      <c r="BO248" s="689">
        <v>0</v>
      </c>
      <c r="BP248" s="689"/>
      <c r="BQ248" s="689"/>
      <c r="BR248" s="731"/>
      <c r="BS248" s="731"/>
      <c r="BT248" s="731"/>
      <c r="BU248" s="731"/>
      <c r="BV248" s="731"/>
      <c r="BW248" s="731"/>
      <c r="BX248" s="731"/>
      <c r="BY248" s="731"/>
      <c r="BZ248" s="731">
        <v>500</v>
      </c>
      <c r="CA248" s="718">
        <f t="shared" si="325"/>
        <v>1855.7934</v>
      </c>
      <c r="CB248" s="735"/>
      <c r="CC248" s="731">
        <v>5634.76</v>
      </c>
      <c r="CD248" s="702">
        <f t="shared" si="329"/>
        <v>92789.67</v>
      </c>
      <c r="CE248" s="731">
        <f t="shared" si="331"/>
        <v>13257.9336</v>
      </c>
      <c r="CF248" s="739">
        <f t="shared" si="330"/>
        <v>79531.7364</v>
      </c>
      <c r="CG248" s="742">
        <f t="shared" si="326"/>
        <v>13257.9336</v>
      </c>
      <c r="CH248" s="743"/>
      <c r="CI248" s="744"/>
      <c r="CJ248" s="745"/>
      <c r="CK248" s="748"/>
      <c r="CL248" s="749"/>
      <c r="CM248" s="744"/>
      <c r="CN248" s="745"/>
      <c r="CO248" s="745"/>
      <c r="CP248" s="745"/>
      <c r="CQ248" s="745"/>
      <c r="CR248" s="745"/>
      <c r="CS248" s="745"/>
      <c r="CT248" s="754"/>
      <c r="CU248" s="755"/>
      <c r="CV248" s="756">
        <f>CC248</f>
        <v>5634.76</v>
      </c>
      <c r="CW248" s="757"/>
      <c r="CX248" s="758"/>
      <c r="CY248" s="759"/>
      <c r="CZ248" s="760"/>
      <c r="DA248" s="767"/>
    </row>
    <row r="249" ht="236" customHeight="1" spans="1:105">
      <c r="A249" s="675">
        <v>572</v>
      </c>
      <c r="B249" s="676" t="s">
        <v>1312</v>
      </c>
      <c r="C249" s="677" t="s">
        <v>1533</v>
      </c>
      <c r="D249" s="677" t="s">
        <v>1751</v>
      </c>
      <c r="E249" s="677" t="s">
        <v>97</v>
      </c>
      <c r="F249" s="1452" t="s">
        <v>1313</v>
      </c>
      <c r="G249" s="677" t="s">
        <v>1752</v>
      </c>
      <c r="H249" s="679"/>
      <c r="I249" s="33" t="s">
        <v>97</v>
      </c>
      <c r="J249" s="33" t="s">
        <v>1313</v>
      </c>
      <c r="K249" s="687"/>
      <c r="L249" s="688"/>
      <c r="M249" s="688" t="e">
        <f>S249-#REF!</f>
        <v>#REF!</v>
      </c>
      <c r="N249" s="689"/>
      <c r="O249" s="689">
        <v>30000</v>
      </c>
      <c r="P249" s="689"/>
      <c r="Q249" s="689">
        <v>7500</v>
      </c>
      <c r="R249" s="689">
        <v>42500</v>
      </c>
      <c r="S249" s="689">
        <f t="shared" si="343"/>
        <v>80000</v>
      </c>
      <c r="T249" s="689"/>
      <c r="U249" s="689"/>
      <c r="V249" s="689"/>
      <c r="W249" s="689"/>
      <c r="X249" s="689"/>
      <c r="Y249" s="689"/>
      <c r="Z249" s="689"/>
      <c r="AA249" s="689"/>
      <c r="AB249" s="689"/>
      <c r="AC249" s="689">
        <v>2500</v>
      </c>
      <c r="AD249" s="689"/>
      <c r="AE249" s="689"/>
      <c r="AF249" s="689"/>
      <c r="AG249" s="689"/>
      <c r="AH249" s="689"/>
      <c r="AI249" s="689"/>
      <c r="AJ249" s="689">
        <v>2500</v>
      </c>
      <c r="AK249" s="689"/>
      <c r="AL249" s="689">
        <v>383.33</v>
      </c>
      <c r="AM249" s="689"/>
      <c r="AN249" s="689"/>
      <c r="AO249" s="689"/>
      <c r="AP249" s="689"/>
      <c r="AQ249" s="689"/>
      <c r="AR249" s="689"/>
      <c r="AS249" s="689"/>
      <c r="AT249" s="689"/>
      <c r="AU249" s="689">
        <f t="shared" si="403"/>
        <v>2400</v>
      </c>
      <c r="AV249" s="689"/>
      <c r="AW249" s="689"/>
      <c r="AX249" s="718"/>
      <c r="AY249" s="718"/>
      <c r="AZ249" s="718"/>
      <c r="BA249" s="689"/>
      <c r="BB249" s="689"/>
      <c r="BC249" s="689"/>
      <c r="BD249" s="719"/>
      <c r="BE249" s="719">
        <f t="shared" si="328"/>
        <v>2400</v>
      </c>
      <c r="BF249" s="689"/>
      <c r="BG249" s="689"/>
      <c r="BH249" s="727"/>
      <c r="BI249" s="689"/>
      <c r="BJ249" s="689"/>
      <c r="BK249" s="689"/>
      <c r="BL249" s="689">
        <v>7500</v>
      </c>
      <c r="BM249" s="689"/>
      <c r="BN249" s="689"/>
      <c r="BO249" s="689">
        <v>21625</v>
      </c>
      <c r="BP249" s="689"/>
      <c r="BQ249" s="689"/>
      <c r="BR249" s="731"/>
      <c r="BS249" s="731"/>
      <c r="BT249" s="731"/>
      <c r="BU249" s="731"/>
      <c r="BV249" s="731"/>
      <c r="BW249" s="731"/>
      <c r="BX249" s="731">
        <v>5000</v>
      </c>
      <c r="BY249" s="731"/>
      <c r="BZ249" s="731">
        <v>500</v>
      </c>
      <c r="CA249" s="718">
        <f t="shared" si="325"/>
        <v>1700</v>
      </c>
      <c r="CB249" s="735"/>
      <c r="CC249" s="731">
        <v>4700</v>
      </c>
      <c r="CD249" s="702">
        <f t="shared" si="329"/>
        <v>85000</v>
      </c>
      <c r="CE249" s="731">
        <f t="shared" si="331"/>
        <v>45825</v>
      </c>
      <c r="CF249" s="739">
        <f t="shared" si="330"/>
        <v>39175</v>
      </c>
      <c r="CG249" s="742">
        <f t="shared" si="326"/>
        <v>45825</v>
      </c>
      <c r="CH249" s="743" t="e">
        <f>'[6]JACKSON AKPOJARO '!C357*12</f>
        <v>#REF!</v>
      </c>
      <c r="CI249" s="744" t="e">
        <f t="shared" si="368"/>
        <v>#REF!</v>
      </c>
      <c r="CJ249" s="745">
        <f>CB249*12</f>
        <v>0</v>
      </c>
      <c r="CK249" s="748" t="e">
        <f t="shared" si="370"/>
        <v>#REF!</v>
      </c>
      <c r="CL249" s="749" t="e">
        <f t="shared" si="371"/>
        <v>#REF!</v>
      </c>
      <c r="CM249" s="744"/>
      <c r="CN249" s="745" t="e">
        <f t="shared" si="372"/>
        <v>#REF!</v>
      </c>
      <c r="CO249" s="745" t="e">
        <f t="shared" si="373"/>
        <v>#REF!</v>
      </c>
      <c r="CP249" s="745" t="e">
        <f t="shared" si="374"/>
        <v>#REF!</v>
      </c>
      <c r="CQ249" s="745" t="e">
        <f t="shared" si="375"/>
        <v>#REF!</v>
      </c>
      <c r="CR249" s="745" t="e">
        <f t="shared" si="376"/>
        <v>#REF!</v>
      </c>
      <c r="CS249" s="745" t="e">
        <f t="shared" si="377"/>
        <v>#REF!</v>
      </c>
      <c r="CT249" s="754" t="e">
        <f>1%*CH249</f>
        <v>#REF!</v>
      </c>
      <c r="CU249" s="755" t="e">
        <f>MAX(CT249:CT249)</f>
        <v>#REF!</v>
      </c>
      <c r="CV249" s="756">
        <v>674.8</v>
      </c>
      <c r="CW249" s="757"/>
      <c r="CX249" s="758"/>
      <c r="CY249" s="759"/>
      <c r="CZ249" s="760"/>
      <c r="DA249" s="767"/>
    </row>
    <row r="250" ht="236" customHeight="1" spans="1:105">
      <c r="A250" s="673">
        <v>573</v>
      </c>
      <c r="B250" s="676" t="s">
        <v>1314</v>
      </c>
      <c r="C250" s="677" t="s">
        <v>1533</v>
      </c>
      <c r="D250" s="677" t="s">
        <v>1752</v>
      </c>
      <c r="E250" s="677" t="s">
        <v>135</v>
      </c>
      <c r="F250" s="1452" t="s">
        <v>1315</v>
      </c>
      <c r="G250" s="677" t="s">
        <v>1752</v>
      </c>
      <c r="H250" s="679"/>
      <c r="I250" s="681" t="s">
        <v>113</v>
      </c>
      <c r="J250" s="686">
        <v>2058873274</v>
      </c>
      <c r="K250" s="687"/>
      <c r="L250" s="688"/>
      <c r="M250" s="688" t="e">
        <f>S250-#REF!</f>
        <v>#REF!</v>
      </c>
      <c r="N250" s="689"/>
      <c r="O250" s="689">
        <v>30000</v>
      </c>
      <c r="P250" s="689"/>
      <c r="Q250" s="689">
        <v>7500</v>
      </c>
      <c r="R250" s="689">
        <v>42500</v>
      </c>
      <c r="S250" s="689">
        <f t="shared" si="343"/>
        <v>80000</v>
      </c>
      <c r="T250" s="689"/>
      <c r="U250" s="689"/>
      <c r="V250" s="689"/>
      <c r="W250" s="689"/>
      <c r="X250" s="689"/>
      <c r="Y250" s="689"/>
      <c r="Z250" s="689"/>
      <c r="AA250" s="689"/>
      <c r="AB250" s="689"/>
      <c r="AC250" s="689">
        <v>2500</v>
      </c>
      <c r="AD250" s="689"/>
      <c r="AE250" s="689"/>
      <c r="AF250" s="689"/>
      <c r="AG250" s="689"/>
      <c r="AH250" s="689"/>
      <c r="AI250" s="689"/>
      <c r="AJ250" s="689">
        <f>2500</f>
        <v>2500</v>
      </c>
      <c r="AK250" s="689"/>
      <c r="AL250" s="689">
        <v>383.33</v>
      </c>
      <c r="AM250" s="689"/>
      <c r="AN250" s="689"/>
      <c r="AO250" s="689"/>
      <c r="AP250" s="689"/>
      <c r="AQ250" s="689"/>
      <c r="AR250" s="689"/>
      <c r="AS250" s="689"/>
      <c r="AT250" s="689"/>
      <c r="AU250" s="689">
        <f t="shared" si="403"/>
        <v>2400</v>
      </c>
      <c r="AV250" s="689"/>
      <c r="AW250" s="689"/>
      <c r="AX250" s="718"/>
      <c r="AY250" s="718"/>
      <c r="AZ250" s="718"/>
      <c r="BA250" s="689"/>
      <c r="BB250" s="689"/>
      <c r="BC250" s="689"/>
      <c r="BD250" s="719"/>
      <c r="BE250" s="719">
        <f t="shared" si="328"/>
        <v>2400</v>
      </c>
      <c r="BF250" s="689"/>
      <c r="BG250" s="689"/>
      <c r="BH250" s="727"/>
      <c r="BI250" s="689"/>
      <c r="BJ250" s="689"/>
      <c r="BK250" s="689"/>
      <c r="BL250" s="689"/>
      <c r="BM250" s="689"/>
      <c r="BN250" s="689"/>
      <c r="BO250" s="689">
        <v>0</v>
      </c>
      <c r="BP250" s="689"/>
      <c r="BQ250" s="689"/>
      <c r="BR250" s="731"/>
      <c r="BS250" s="731"/>
      <c r="BT250" s="731"/>
      <c r="BU250" s="731"/>
      <c r="BV250" s="731"/>
      <c r="BW250" s="731"/>
      <c r="BX250" s="731"/>
      <c r="BY250" s="731"/>
      <c r="BZ250" s="731">
        <v>500</v>
      </c>
      <c r="CA250" s="718">
        <f t="shared" si="325"/>
        <v>1700</v>
      </c>
      <c r="CB250" s="735"/>
      <c r="CC250" s="731">
        <v>4700</v>
      </c>
      <c r="CD250" s="702">
        <f t="shared" si="329"/>
        <v>85000</v>
      </c>
      <c r="CE250" s="731">
        <f t="shared" si="331"/>
        <v>11700</v>
      </c>
      <c r="CF250" s="739">
        <f t="shared" si="330"/>
        <v>73300</v>
      </c>
      <c r="CG250" s="742">
        <f t="shared" si="326"/>
        <v>11700</v>
      </c>
      <c r="CH250" s="743" t="e">
        <f>'[6]JACKSON AKPOJARO '!C359*12</f>
        <v>#REF!</v>
      </c>
      <c r="CI250" s="744" t="e">
        <f t="shared" si="368"/>
        <v>#REF!</v>
      </c>
      <c r="CJ250" s="745">
        <f>CB250*12</f>
        <v>0</v>
      </c>
      <c r="CK250" s="748" t="e">
        <f t="shared" si="370"/>
        <v>#REF!</v>
      </c>
      <c r="CL250" s="749" t="e">
        <f t="shared" si="371"/>
        <v>#REF!</v>
      </c>
      <c r="CM250" s="744"/>
      <c r="CN250" s="745" t="e">
        <f t="shared" si="372"/>
        <v>#REF!</v>
      </c>
      <c r="CO250" s="745" t="e">
        <f t="shared" si="373"/>
        <v>#REF!</v>
      </c>
      <c r="CP250" s="745" t="e">
        <f t="shared" si="374"/>
        <v>#REF!</v>
      </c>
      <c r="CQ250" s="745" t="e">
        <f t="shared" si="375"/>
        <v>#REF!</v>
      </c>
      <c r="CR250" s="745" t="e">
        <f t="shared" si="376"/>
        <v>#REF!</v>
      </c>
      <c r="CS250" s="745" t="e">
        <f t="shared" si="377"/>
        <v>#REF!</v>
      </c>
      <c r="CT250" s="754" t="e">
        <f>1%*CH250</f>
        <v>#REF!</v>
      </c>
      <c r="CU250" s="755" t="e">
        <f>MAX(CT250:CT250)</f>
        <v>#REF!</v>
      </c>
      <c r="CV250" s="756">
        <v>394.8</v>
      </c>
      <c r="CW250" s="757"/>
      <c r="CX250" s="758"/>
      <c r="CY250" s="759"/>
      <c r="CZ250" s="760"/>
      <c r="DA250" s="767"/>
    </row>
    <row r="251" ht="236" customHeight="1" spans="1:105">
      <c r="A251" s="675">
        <v>574</v>
      </c>
      <c r="B251" s="676" t="s">
        <v>1316</v>
      </c>
      <c r="C251" s="677" t="s">
        <v>1533</v>
      </c>
      <c r="D251" s="677" t="s">
        <v>1752</v>
      </c>
      <c r="E251" s="677" t="s">
        <v>113</v>
      </c>
      <c r="F251" s="1452" t="s">
        <v>1317</v>
      </c>
      <c r="G251" s="677" t="s">
        <v>1752</v>
      </c>
      <c r="H251" s="679"/>
      <c r="I251" s="681" t="s">
        <v>165</v>
      </c>
      <c r="J251" s="686">
        <v>2116983705</v>
      </c>
      <c r="K251" s="687"/>
      <c r="L251" s="688"/>
      <c r="M251" s="688" t="e">
        <f>S251-#REF!</f>
        <v>#REF!</v>
      </c>
      <c r="N251" s="689"/>
      <c r="O251" s="689">
        <v>30000</v>
      </c>
      <c r="P251" s="689"/>
      <c r="Q251" s="689">
        <v>7500</v>
      </c>
      <c r="R251" s="689">
        <v>42500</v>
      </c>
      <c r="S251" s="689">
        <f t="shared" si="343"/>
        <v>80000</v>
      </c>
      <c r="T251" s="689"/>
      <c r="U251" s="689"/>
      <c r="V251" s="689"/>
      <c r="W251" s="689"/>
      <c r="X251" s="689"/>
      <c r="Y251" s="689"/>
      <c r="Z251" s="689"/>
      <c r="AA251" s="689"/>
      <c r="AB251" s="689"/>
      <c r="AC251" s="689">
        <v>2500</v>
      </c>
      <c r="AD251" s="689"/>
      <c r="AE251" s="689"/>
      <c r="AF251" s="689"/>
      <c r="AG251" s="689"/>
      <c r="AH251" s="689"/>
      <c r="AI251" s="689"/>
      <c r="AJ251" s="689">
        <v>2500</v>
      </c>
      <c r="AK251" s="689"/>
      <c r="AL251" s="689">
        <v>383.33</v>
      </c>
      <c r="AM251" s="689"/>
      <c r="AN251" s="689"/>
      <c r="AO251" s="689"/>
      <c r="AP251" s="689"/>
      <c r="AQ251" s="689"/>
      <c r="AR251" s="689"/>
      <c r="AS251" s="689"/>
      <c r="AT251" s="689"/>
      <c r="AU251" s="689">
        <f t="shared" si="403"/>
        <v>2400</v>
      </c>
      <c r="AV251" s="689"/>
      <c r="AW251" s="689"/>
      <c r="AX251" s="718"/>
      <c r="AY251" s="718"/>
      <c r="AZ251" s="718"/>
      <c r="BA251" s="689"/>
      <c r="BB251" s="689"/>
      <c r="BC251" s="689"/>
      <c r="BD251" s="719"/>
      <c r="BE251" s="719">
        <f t="shared" si="328"/>
        <v>2400</v>
      </c>
      <c r="BF251" s="689"/>
      <c r="BG251" s="689"/>
      <c r="BH251" s="727"/>
      <c r="BI251" s="689"/>
      <c r="BJ251" s="689"/>
      <c r="BK251" s="689"/>
      <c r="BL251" s="689">
        <v>7500</v>
      </c>
      <c r="BM251" s="689"/>
      <c r="BN251" s="689"/>
      <c r="BO251" s="689">
        <v>20417</v>
      </c>
      <c r="BP251" s="689"/>
      <c r="BQ251" s="689"/>
      <c r="BR251" s="731"/>
      <c r="BS251" s="731"/>
      <c r="BT251" s="731"/>
      <c r="BU251" s="731"/>
      <c r="BV251" s="731"/>
      <c r="BW251" s="731"/>
      <c r="BX251" s="731"/>
      <c r="BY251" s="731"/>
      <c r="BZ251" s="731">
        <v>500</v>
      </c>
      <c r="CA251" s="718">
        <f t="shared" si="325"/>
        <v>1700</v>
      </c>
      <c r="CB251" s="735"/>
      <c r="CC251" s="731">
        <v>4700</v>
      </c>
      <c r="CD251" s="702">
        <f t="shared" si="329"/>
        <v>85000</v>
      </c>
      <c r="CE251" s="731">
        <f t="shared" si="331"/>
        <v>39617</v>
      </c>
      <c r="CF251" s="739">
        <f t="shared" si="330"/>
        <v>45383</v>
      </c>
      <c r="CG251" s="742">
        <f t="shared" si="326"/>
        <v>39617</v>
      </c>
      <c r="CH251" s="743" t="e">
        <f>'[6]JACKSON AKPOJARO '!C362*12</f>
        <v>#REF!</v>
      </c>
      <c r="CI251" s="744" t="e">
        <f t="shared" si="368"/>
        <v>#REF!</v>
      </c>
      <c r="CJ251" s="745">
        <f>CB251*12</f>
        <v>0</v>
      </c>
      <c r="CK251" s="748" t="e">
        <f t="shared" si="370"/>
        <v>#REF!</v>
      </c>
      <c r="CL251" s="749" t="e">
        <f t="shared" si="371"/>
        <v>#REF!</v>
      </c>
      <c r="CM251" s="744"/>
      <c r="CN251" s="745" t="e">
        <f t="shared" si="372"/>
        <v>#REF!</v>
      </c>
      <c r="CO251" s="745" t="e">
        <f t="shared" si="373"/>
        <v>#REF!</v>
      </c>
      <c r="CP251" s="745" t="e">
        <f t="shared" si="374"/>
        <v>#REF!</v>
      </c>
      <c r="CQ251" s="745" t="e">
        <f t="shared" si="375"/>
        <v>#REF!</v>
      </c>
      <c r="CR251" s="745" t="e">
        <f t="shared" si="376"/>
        <v>#REF!</v>
      </c>
      <c r="CS251" s="745" t="e">
        <f t="shared" si="377"/>
        <v>#REF!</v>
      </c>
      <c r="CT251" s="754" t="e">
        <f>1%*CH251</f>
        <v>#REF!</v>
      </c>
      <c r="CU251" s="755" t="e">
        <f>MAX(CT251:CT251)</f>
        <v>#REF!</v>
      </c>
      <c r="CV251" s="756">
        <v>394.8</v>
      </c>
      <c r="CW251" s="757"/>
      <c r="CX251" s="758"/>
      <c r="CY251" s="759"/>
      <c r="CZ251" s="760"/>
      <c r="DA251" s="767"/>
    </row>
    <row r="252" ht="236" customHeight="1" spans="1:105">
      <c r="A252" s="673">
        <v>575</v>
      </c>
      <c r="B252" s="676" t="s">
        <v>1318</v>
      </c>
      <c r="C252" s="677" t="s">
        <v>1533</v>
      </c>
      <c r="D252" s="677" t="s">
        <v>1752</v>
      </c>
      <c r="E252" s="677" t="s">
        <v>915</v>
      </c>
      <c r="F252" s="1452" t="s">
        <v>1319</v>
      </c>
      <c r="G252" s="677" t="s">
        <v>1752</v>
      </c>
      <c r="H252" s="679"/>
      <c r="I252" s="681" t="s">
        <v>915</v>
      </c>
      <c r="J252" s="686" t="s">
        <v>1319</v>
      </c>
      <c r="K252" s="687"/>
      <c r="L252" s="688"/>
      <c r="M252" s="688"/>
      <c r="N252" s="689"/>
      <c r="O252" s="689">
        <v>30000</v>
      </c>
      <c r="P252" s="689"/>
      <c r="Q252" s="689">
        <v>7500</v>
      </c>
      <c r="R252" s="689">
        <v>42500</v>
      </c>
      <c r="S252" s="689">
        <f t="shared" si="343"/>
        <v>80000</v>
      </c>
      <c r="T252" s="689"/>
      <c r="U252" s="689"/>
      <c r="V252" s="689"/>
      <c r="W252" s="689"/>
      <c r="X252" s="689"/>
      <c r="Y252" s="689"/>
      <c r="Z252" s="689"/>
      <c r="AA252" s="689"/>
      <c r="AB252" s="689"/>
      <c r="AC252" s="689">
        <v>2500</v>
      </c>
      <c r="AD252" s="689"/>
      <c r="AE252" s="689"/>
      <c r="AF252" s="689"/>
      <c r="AG252" s="689"/>
      <c r="AH252" s="689"/>
      <c r="AI252" s="689"/>
      <c r="AJ252" s="689">
        <v>2500</v>
      </c>
      <c r="AK252" s="689"/>
      <c r="AL252" s="689">
        <v>383.33</v>
      </c>
      <c r="AM252" s="689"/>
      <c r="AN252" s="689"/>
      <c r="AO252" s="689"/>
      <c r="AP252" s="689"/>
      <c r="AQ252" s="689"/>
      <c r="AR252" s="689"/>
      <c r="AS252" s="689"/>
      <c r="AT252" s="689"/>
      <c r="AU252" s="689">
        <f t="shared" si="403"/>
        <v>2400</v>
      </c>
      <c r="AV252" s="689"/>
      <c r="AW252" s="689">
        <v>27500</v>
      </c>
      <c r="AX252" s="718"/>
      <c r="AY252" s="718"/>
      <c r="AZ252" s="718"/>
      <c r="BA252" s="689"/>
      <c r="BB252" s="689"/>
      <c r="BC252" s="689"/>
      <c r="BD252" s="719"/>
      <c r="BE252" s="719">
        <f t="shared" si="328"/>
        <v>2400</v>
      </c>
      <c r="BF252" s="689"/>
      <c r="BG252" s="689"/>
      <c r="BH252" s="727"/>
      <c r="BI252" s="689"/>
      <c r="BJ252" s="689"/>
      <c r="BK252" s="689"/>
      <c r="BL252" s="689"/>
      <c r="BM252" s="689"/>
      <c r="BN252" s="689"/>
      <c r="BO252" s="689">
        <v>0</v>
      </c>
      <c r="BP252" s="689"/>
      <c r="BQ252" s="689"/>
      <c r="BR252" s="731"/>
      <c r="BS252" s="731"/>
      <c r="BT252" s="731"/>
      <c r="BU252" s="731"/>
      <c r="BV252" s="731"/>
      <c r="BW252" s="731"/>
      <c r="BX252" s="731"/>
      <c r="BY252" s="731"/>
      <c r="BZ252" s="731">
        <v>500</v>
      </c>
      <c r="CA252" s="718">
        <f t="shared" si="325"/>
        <v>1700</v>
      </c>
      <c r="CB252" s="735"/>
      <c r="CC252" s="731">
        <v>4700</v>
      </c>
      <c r="CD252" s="702">
        <f t="shared" si="329"/>
        <v>85000</v>
      </c>
      <c r="CE252" s="731">
        <f t="shared" si="331"/>
        <v>39200</v>
      </c>
      <c r="CF252" s="739">
        <f t="shared" si="330"/>
        <v>45800</v>
      </c>
      <c r="CG252" s="742">
        <f t="shared" si="326"/>
        <v>39200</v>
      </c>
      <c r="CH252" s="743"/>
      <c r="CI252" s="744"/>
      <c r="CJ252" s="745"/>
      <c r="CK252" s="748"/>
      <c r="CL252" s="749"/>
      <c r="CM252" s="744"/>
      <c r="CN252" s="745"/>
      <c r="CO252" s="745"/>
      <c r="CP252" s="745"/>
      <c r="CQ252" s="745"/>
      <c r="CR252" s="745"/>
      <c r="CS252" s="745"/>
      <c r="CT252" s="754"/>
      <c r="CU252" s="755"/>
      <c r="CV252" s="756"/>
      <c r="CW252" s="757"/>
      <c r="CX252" s="758"/>
      <c r="CY252" s="759"/>
      <c r="CZ252" s="760"/>
      <c r="DA252" s="767"/>
    </row>
    <row r="253" s="662" customFormat="1" ht="236" customHeight="1" spans="1:106">
      <c r="A253" s="675">
        <v>576</v>
      </c>
      <c r="B253" s="676" t="s">
        <v>1320</v>
      </c>
      <c r="C253" s="677" t="s">
        <v>1533</v>
      </c>
      <c r="D253" s="677" t="s">
        <v>1752</v>
      </c>
      <c r="E253" s="677" t="s">
        <v>135</v>
      </c>
      <c r="F253" s="1452" t="s">
        <v>1321</v>
      </c>
      <c r="G253" s="677" t="s">
        <v>1752</v>
      </c>
      <c r="H253" s="679"/>
      <c r="I253" s="681" t="s">
        <v>135</v>
      </c>
      <c r="J253" s="686" t="s">
        <v>1321</v>
      </c>
      <c r="K253" s="687"/>
      <c r="L253" s="688"/>
      <c r="M253" s="688"/>
      <c r="N253" s="689"/>
      <c r="O253" s="689">
        <v>30000</v>
      </c>
      <c r="P253" s="689"/>
      <c r="Q253" s="689">
        <v>7500</v>
      </c>
      <c r="R253" s="689">
        <v>42500</v>
      </c>
      <c r="S253" s="689">
        <f t="shared" si="343"/>
        <v>80000</v>
      </c>
      <c r="T253" s="689"/>
      <c r="U253" s="689"/>
      <c r="V253" s="689"/>
      <c r="W253" s="689"/>
      <c r="X253" s="689"/>
      <c r="Y253" s="689"/>
      <c r="Z253" s="689"/>
      <c r="AA253" s="689"/>
      <c r="AB253" s="689"/>
      <c r="AC253" s="689">
        <v>2500</v>
      </c>
      <c r="AD253" s="689"/>
      <c r="AE253" s="689"/>
      <c r="AF253" s="689"/>
      <c r="AG253" s="689"/>
      <c r="AH253" s="689"/>
      <c r="AI253" s="689"/>
      <c r="AJ253" s="689">
        <v>2500</v>
      </c>
      <c r="AK253" s="689"/>
      <c r="AL253" s="689">
        <v>383.33</v>
      </c>
      <c r="AM253" s="689"/>
      <c r="AN253" s="689"/>
      <c r="AO253" s="689"/>
      <c r="AP253" s="689"/>
      <c r="AQ253" s="689"/>
      <c r="AR253" s="689"/>
      <c r="AS253" s="689"/>
      <c r="AT253" s="689"/>
      <c r="AU253" s="689">
        <f t="shared" si="403"/>
        <v>2400</v>
      </c>
      <c r="AV253" s="689"/>
      <c r="AW253" s="689"/>
      <c r="AX253" s="790"/>
      <c r="AY253" s="790"/>
      <c r="AZ253" s="790"/>
      <c r="BA253" s="689"/>
      <c r="BB253" s="689"/>
      <c r="BC253" s="689"/>
      <c r="BD253" s="719"/>
      <c r="BE253" s="719">
        <f t="shared" si="328"/>
        <v>2400</v>
      </c>
      <c r="BF253" s="689"/>
      <c r="BG253" s="689"/>
      <c r="BH253" s="727"/>
      <c r="BI253" s="689"/>
      <c r="BJ253" s="689"/>
      <c r="BK253" s="689"/>
      <c r="BL253" s="689"/>
      <c r="BM253" s="689"/>
      <c r="BN253" s="689"/>
      <c r="BO253" s="689">
        <v>0</v>
      </c>
      <c r="BP253" s="689"/>
      <c r="BQ253" s="689"/>
      <c r="BR253" s="731"/>
      <c r="BS253" s="731"/>
      <c r="BT253" s="731"/>
      <c r="BU253" s="731"/>
      <c r="BV253" s="731"/>
      <c r="BW253" s="731"/>
      <c r="BX253" s="731"/>
      <c r="BY253" s="731"/>
      <c r="BZ253" s="731">
        <v>500</v>
      </c>
      <c r="CA253" s="718">
        <f t="shared" si="325"/>
        <v>1700</v>
      </c>
      <c r="CB253" s="735"/>
      <c r="CC253" s="731">
        <v>4700</v>
      </c>
      <c r="CD253" s="702">
        <f t="shared" si="329"/>
        <v>85000</v>
      </c>
      <c r="CE253" s="731">
        <f t="shared" si="331"/>
        <v>11700</v>
      </c>
      <c r="CF253" s="739">
        <f t="shared" si="330"/>
        <v>73300</v>
      </c>
      <c r="CG253" s="742">
        <f t="shared" si="326"/>
        <v>11700</v>
      </c>
      <c r="CH253" s="900"/>
      <c r="CI253" s="901"/>
      <c r="CJ253" s="902"/>
      <c r="CK253" s="905"/>
      <c r="CL253" s="906"/>
      <c r="CM253" s="901"/>
      <c r="CN253" s="902"/>
      <c r="CO253" s="902"/>
      <c r="CP253" s="902"/>
      <c r="CQ253" s="902"/>
      <c r="CR253" s="902"/>
      <c r="CS253" s="902"/>
      <c r="CT253" s="914"/>
      <c r="CU253" s="915"/>
      <c r="CV253" s="916"/>
      <c r="CW253" s="917"/>
      <c r="CX253" s="758"/>
      <c r="CY253" s="918"/>
      <c r="CZ253" s="919"/>
      <c r="DA253" s="925"/>
      <c r="DB253" s="670"/>
    </row>
    <row r="254" s="662" customFormat="1" ht="236" customHeight="1" spans="1:106">
      <c r="A254" s="673">
        <v>577</v>
      </c>
      <c r="B254" s="676" t="s">
        <v>1322</v>
      </c>
      <c r="C254" s="677" t="s">
        <v>1561</v>
      </c>
      <c r="D254" s="677" t="s">
        <v>1753</v>
      </c>
      <c r="E254" s="677" t="s">
        <v>145</v>
      </c>
      <c r="F254" s="1452" t="s">
        <v>1323</v>
      </c>
      <c r="G254" s="677" t="s">
        <v>1754</v>
      </c>
      <c r="H254" s="679"/>
      <c r="I254" s="681"/>
      <c r="J254" s="686"/>
      <c r="K254" s="687"/>
      <c r="L254" s="688"/>
      <c r="M254" s="688"/>
      <c r="N254" s="689"/>
      <c r="O254" s="689"/>
      <c r="P254" s="689"/>
      <c r="Q254" s="689"/>
      <c r="R254" s="689"/>
      <c r="S254" s="689">
        <v>192576.5</v>
      </c>
      <c r="T254" s="689"/>
      <c r="U254" s="689"/>
      <c r="V254" s="689"/>
      <c r="W254" s="689"/>
      <c r="X254" s="689"/>
      <c r="Y254" s="689"/>
      <c r="Z254" s="689"/>
      <c r="AA254" s="689"/>
      <c r="AB254" s="689"/>
      <c r="AC254" s="689">
        <v>2500</v>
      </c>
      <c r="AD254" s="689"/>
      <c r="AE254" s="689"/>
      <c r="AF254" s="689"/>
      <c r="AG254" s="689"/>
      <c r="AH254" s="689"/>
      <c r="AI254" s="689"/>
      <c r="AJ254" s="689">
        <v>2500</v>
      </c>
      <c r="AK254" s="689"/>
      <c r="AL254" s="689">
        <v>383.33</v>
      </c>
      <c r="AM254" s="689"/>
      <c r="AN254" s="689"/>
      <c r="AO254" s="689"/>
      <c r="AP254" s="689"/>
      <c r="AQ254" s="689"/>
      <c r="AR254" s="689"/>
      <c r="AS254" s="689"/>
      <c r="AT254" s="689"/>
      <c r="AU254" s="689">
        <f>S254*0.04</f>
        <v>7703.06</v>
      </c>
      <c r="AV254" s="689"/>
      <c r="AW254" s="689"/>
      <c r="AX254" s="718">
        <f>S254*0.02</f>
        <v>3851.53</v>
      </c>
      <c r="AY254" s="790"/>
      <c r="AZ254" s="790"/>
      <c r="BA254" s="689"/>
      <c r="BB254" s="689"/>
      <c r="BC254" s="689"/>
      <c r="BD254" s="719"/>
      <c r="BE254" s="719"/>
      <c r="BF254" s="689"/>
      <c r="BG254" s="689"/>
      <c r="BH254" s="727"/>
      <c r="BI254" s="689"/>
      <c r="BJ254" s="689"/>
      <c r="BK254" s="689"/>
      <c r="BL254" s="689"/>
      <c r="BM254" s="689"/>
      <c r="BN254" s="689"/>
      <c r="BO254" s="689">
        <v>25000</v>
      </c>
      <c r="BP254" s="689"/>
      <c r="BQ254" s="689"/>
      <c r="BR254" s="731"/>
      <c r="BS254" s="731"/>
      <c r="BT254" s="731"/>
      <c r="BU254" s="731"/>
      <c r="BV254" s="731"/>
      <c r="BW254" s="731"/>
      <c r="BX254" s="731"/>
      <c r="BY254" s="731"/>
      <c r="BZ254" s="731">
        <v>1000</v>
      </c>
      <c r="CA254" s="718">
        <f t="shared" ref="CA254" si="404">CD254*0.02</f>
        <v>3951.53</v>
      </c>
      <c r="CB254" s="735"/>
      <c r="CC254" s="731">
        <v>20359.52</v>
      </c>
      <c r="CD254" s="702">
        <f t="shared" si="329"/>
        <v>197576.5</v>
      </c>
      <c r="CE254" s="731">
        <f t="shared" si="331"/>
        <v>61865.64</v>
      </c>
      <c r="CF254" s="739">
        <f t="shared" si="330"/>
        <v>135710.86</v>
      </c>
      <c r="CG254" s="742">
        <f t="shared" si="326"/>
        <v>61865.64</v>
      </c>
      <c r="CH254" s="900"/>
      <c r="CI254" s="901"/>
      <c r="CJ254" s="902"/>
      <c r="CK254" s="905"/>
      <c r="CL254" s="906"/>
      <c r="CM254" s="901"/>
      <c r="CN254" s="902"/>
      <c r="CO254" s="902"/>
      <c r="CP254" s="902"/>
      <c r="CQ254" s="902"/>
      <c r="CR254" s="902"/>
      <c r="CS254" s="902"/>
      <c r="CT254" s="914"/>
      <c r="CU254" s="915"/>
      <c r="CV254" s="916"/>
      <c r="CW254" s="917"/>
      <c r="CX254" s="758"/>
      <c r="CY254" s="918"/>
      <c r="CZ254" s="919"/>
      <c r="DA254" s="925"/>
      <c r="DB254" s="670"/>
    </row>
    <row r="255" ht="236" customHeight="1" spans="1:105">
      <c r="A255" s="675">
        <v>578</v>
      </c>
      <c r="B255" s="676" t="s">
        <v>1324</v>
      </c>
      <c r="C255" s="677" t="s">
        <v>1561</v>
      </c>
      <c r="D255" s="677" t="s">
        <v>1755</v>
      </c>
      <c r="E255" s="677" t="s">
        <v>127</v>
      </c>
      <c r="F255" s="1452" t="s">
        <v>1325</v>
      </c>
      <c r="G255" s="677" t="s">
        <v>1585</v>
      </c>
      <c r="H255" s="679"/>
      <c r="I255" s="681" t="s">
        <v>127</v>
      </c>
      <c r="J255" s="686" t="s">
        <v>1325</v>
      </c>
      <c r="K255" s="687"/>
      <c r="L255" s="688"/>
      <c r="M255" s="688"/>
      <c r="N255" s="689"/>
      <c r="O255" s="689">
        <v>108353.166666667</v>
      </c>
      <c r="P255" s="689"/>
      <c r="Q255" s="689">
        <v>27088.2916666667</v>
      </c>
      <c r="R255" s="689">
        <v>30000</v>
      </c>
      <c r="S255" s="689">
        <v>169897.58</v>
      </c>
      <c r="T255" s="689"/>
      <c r="U255" s="689"/>
      <c r="V255" s="689"/>
      <c r="W255" s="689"/>
      <c r="X255" s="689"/>
      <c r="Y255" s="689"/>
      <c r="Z255" s="689"/>
      <c r="AA255" s="689"/>
      <c r="AB255" s="689"/>
      <c r="AC255" s="689">
        <v>2500</v>
      </c>
      <c r="AD255" s="689"/>
      <c r="AE255" s="689"/>
      <c r="AF255" s="689"/>
      <c r="AG255" s="689"/>
      <c r="AH255" s="689"/>
      <c r="AI255" s="689"/>
      <c r="AJ255" s="689">
        <v>2500</v>
      </c>
      <c r="AK255" s="689"/>
      <c r="AL255" s="689"/>
      <c r="AM255" s="689"/>
      <c r="AN255" s="689"/>
      <c r="AO255" s="689"/>
      <c r="AP255" s="689"/>
      <c r="AQ255" s="689"/>
      <c r="AR255" s="689"/>
      <c r="AS255" s="689"/>
      <c r="AT255" s="689"/>
      <c r="AU255" s="689">
        <f t="shared" si="344"/>
        <v>6795.9032</v>
      </c>
      <c r="AV255" s="689"/>
      <c r="AW255" s="689"/>
      <c r="AX255" s="718">
        <f t="shared" si="401"/>
        <v>3397.9516</v>
      </c>
      <c r="AY255" s="718"/>
      <c r="AZ255" s="718"/>
      <c r="BA255" s="689"/>
      <c r="BB255" s="689"/>
      <c r="BC255" s="689"/>
      <c r="BD255" s="719"/>
      <c r="BE255" s="719"/>
      <c r="BF255" s="689"/>
      <c r="BG255" s="689"/>
      <c r="BH255" s="727"/>
      <c r="BI255" s="689"/>
      <c r="BJ255" s="689"/>
      <c r="BK255" s="689"/>
      <c r="BL255" s="689"/>
      <c r="BM255" s="689"/>
      <c r="BN255" s="689"/>
      <c r="BO255" s="689">
        <v>13250</v>
      </c>
      <c r="BP255" s="689"/>
      <c r="BQ255" s="689"/>
      <c r="BR255" s="731"/>
      <c r="BS255" s="731">
        <v>38647</v>
      </c>
      <c r="BT255" s="731"/>
      <c r="BU255" s="731"/>
      <c r="BV255" s="731"/>
      <c r="BW255" s="731"/>
      <c r="BX255" s="731"/>
      <c r="BY255" s="731"/>
      <c r="BZ255" s="731">
        <v>500</v>
      </c>
      <c r="CA255" s="718">
        <f t="shared" si="325"/>
        <v>3497.9516</v>
      </c>
      <c r="CB255" s="735"/>
      <c r="CC255" s="731">
        <v>16751.1</v>
      </c>
      <c r="CD255" s="702">
        <f t="shared" si="329"/>
        <v>174897.58</v>
      </c>
      <c r="CE255" s="731">
        <f t="shared" si="331"/>
        <v>82839.9064</v>
      </c>
      <c r="CF255" s="739">
        <f t="shared" si="330"/>
        <v>92057.6736</v>
      </c>
      <c r="CG255" s="742">
        <f t="shared" si="326"/>
        <v>82839.9064</v>
      </c>
      <c r="CH255" s="743" t="e">
        <f>'[6]JACKSON AKPOJARO '!C363*12</f>
        <v>#REF!</v>
      </c>
      <c r="CI255" s="744" t="e">
        <f>200000+(0.2*CH255)</f>
        <v>#REF!</v>
      </c>
      <c r="CJ255" s="745">
        <f>CB255*12</f>
        <v>0</v>
      </c>
      <c r="CK255" s="748" t="e">
        <f>SUM(CI255:CJ255)</f>
        <v>#REF!</v>
      </c>
      <c r="CL255" s="749" t="e">
        <f>+CH255-CK255</f>
        <v>#REF!</v>
      </c>
      <c r="CM255" s="744"/>
      <c r="CN255" s="745" t="e">
        <f>IF((CL255&gt;0),(IF((CL255&gt;300000),(300000*7%),(CL255*7%))),(CH255*1%))</f>
        <v>#REF!</v>
      </c>
      <c r="CO255" s="745" t="e">
        <f>IF((CL255-300000)&gt;0,(IF((CL255&gt;600000),(300000*11%),((CL255-300000)*11%))),(""))</f>
        <v>#REF!</v>
      </c>
      <c r="CP255" s="745" t="e">
        <f>IF(((CL255-600000)&gt;0),(IF((CL255&gt;1100000),(500000*15%),((CL255-600000)*15%))),(""))</f>
        <v>#REF!</v>
      </c>
      <c r="CQ255" s="745" t="e">
        <f>IF(((CL255-(1100000))&gt;0),(IF((CL255&gt;(1600000)),((500000)*19%),((CL255-(1100000))*19%))),(""))</f>
        <v>#REF!</v>
      </c>
      <c r="CR255" s="745" t="e">
        <f>IF(((CL255-(1600000))&gt;0),(IF((CL255&gt;(3200000)),((1600000)*21%),((CL255-(1600000))*21%))),(""))</f>
        <v>#REF!</v>
      </c>
      <c r="CS255" s="745" t="e">
        <f>IF(((CL255-(3200000))&gt;0),(IF((CL255&gt;(3200000)),((CL255-(3200000))*24%),(0))),(""))</f>
        <v>#REF!</v>
      </c>
      <c r="CT255" s="754" t="e">
        <f t="shared" ref="CT255:CT343" si="405">1%*CH255</f>
        <v>#REF!</v>
      </c>
      <c r="CU255" s="755" t="e">
        <f>MAX(CT255:CT255)</f>
        <v>#REF!</v>
      </c>
      <c r="CV255" s="756">
        <v>1297.33</v>
      </c>
      <c r="CW255" s="757"/>
      <c r="CX255" s="758"/>
      <c r="CY255" s="759"/>
      <c r="CZ255" s="760"/>
      <c r="DA255" s="767"/>
    </row>
    <row r="256" ht="239" customHeight="1" spans="1:105">
      <c r="A256" s="673">
        <v>579</v>
      </c>
      <c r="B256" s="676" t="s">
        <v>1326</v>
      </c>
      <c r="C256" s="677" t="s">
        <v>1756</v>
      </c>
      <c r="D256" s="677" t="s">
        <v>1757</v>
      </c>
      <c r="E256" s="677" t="s">
        <v>422</v>
      </c>
      <c r="F256" s="1452" t="s">
        <v>1327</v>
      </c>
      <c r="G256" s="677" t="s">
        <v>1758</v>
      </c>
      <c r="H256" s="679"/>
      <c r="I256" s="681" t="s">
        <v>422</v>
      </c>
      <c r="J256" s="686">
        <v>1763601528</v>
      </c>
      <c r="K256" s="687"/>
      <c r="L256" s="688"/>
      <c r="M256" s="688" t="e">
        <f>S256-#REF!</f>
        <v>#REF!</v>
      </c>
      <c r="N256" s="689"/>
      <c r="O256" s="689">
        <v>44000</v>
      </c>
      <c r="P256" s="689"/>
      <c r="Q256" s="689">
        <v>11000</v>
      </c>
      <c r="R256" s="689">
        <v>42433.33</v>
      </c>
      <c r="S256" s="689">
        <f t="shared" ref="S256:S261" si="406">SUM(O256:R256)</f>
        <v>97433.33</v>
      </c>
      <c r="T256" s="689"/>
      <c r="U256" s="689"/>
      <c r="V256" s="689"/>
      <c r="W256" s="689"/>
      <c r="X256" s="689"/>
      <c r="Y256" s="689"/>
      <c r="Z256" s="689"/>
      <c r="AA256" s="689"/>
      <c r="AB256" s="689"/>
      <c r="AC256" s="689">
        <v>2500</v>
      </c>
      <c r="AD256" s="689"/>
      <c r="AE256" s="689"/>
      <c r="AF256" s="689"/>
      <c r="AG256" s="689"/>
      <c r="AH256" s="689"/>
      <c r="AI256" s="689"/>
      <c r="AJ256" s="689">
        <v>2500</v>
      </c>
      <c r="AK256" s="689"/>
      <c r="AL256" s="689"/>
      <c r="AM256" s="689"/>
      <c r="AN256" s="689"/>
      <c r="AO256" s="689"/>
      <c r="AP256" s="689"/>
      <c r="AQ256" s="689"/>
      <c r="AR256" s="689"/>
      <c r="AS256" s="689"/>
      <c r="AT256" s="689"/>
      <c r="AU256" s="689">
        <f t="shared" si="344"/>
        <v>3897.3332</v>
      </c>
      <c r="AV256" s="689"/>
      <c r="AW256" s="689"/>
      <c r="AX256" s="718"/>
      <c r="AY256" s="718"/>
      <c r="AZ256" s="718"/>
      <c r="BA256" s="689"/>
      <c r="BB256" s="689"/>
      <c r="BC256" s="689"/>
      <c r="BD256" s="719"/>
      <c r="BE256" s="719"/>
      <c r="BF256" s="689"/>
      <c r="BG256" s="689"/>
      <c r="BH256" s="727"/>
      <c r="BI256" s="689"/>
      <c r="BJ256" s="689"/>
      <c r="BK256" s="689"/>
      <c r="BL256" s="689"/>
      <c r="BM256" s="689"/>
      <c r="BN256" s="689"/>
      <c r="BO256" s="689">
        <v>0</v>
      </c>
      <c r="BP256" s="689"/>
      <c r="BQ256" s="689"/>
      <c r="BR256" s="731"/>
      <c r="BS256" s="731"/>
      <c r="BT256" s="731"/>
      <c r="BU256" s="731"/>
      <c r="BV256" s="731"/>
      <c r="BW256" s="731"/>
      <c r="BX256" s="731"/>
      <c r="BY256" s="731"/>
      <c r="BZ256" s="731">
        <v>500</v>
      </c>
      <c r="CA256" s="718">
        <f t="shared" si="325"/>
        <v>2048.6666</v>
      </c>
      <c r="CB256" s="735"/>
      <c r="CC256" s="731">
        <v>6791.9996</v>
      </c>
      <c r="CD256" s="702">
        <f t="shared" si="329"/>
        <v>102433.33</v>
      </c>
      <c r="CE256" s="731">
        <f t="shared" si="331"/>
        <v>13237.9994</v>
      </c>
      <c r="CF256" s="739">
        <f t="shared" si="330"/>
        <v>89195.3306</v>
      </c>
      <c r="CG256" s="742">
        <f t="shared" si="326"/>
        <v>13237.9994</v>
      </c>
      <c r="CH256" s="743" t="e">
        <f>'[6]JACKSON AKPOJARO '!C363*12</f>
        <v>#REF!</v>
      </c>
      <c r="CI256" s="744" t="e">
        <f t="shared" si="368"/>
        <v>#REF!</v>
      </c>
      <c r="CJ256" s="745">
        <f>CB256*12</f>
        <v>0</v>
      </c>
      <c r="CK256" s="748" t="e">
        <f t="shared" si="370"/>
        <v>#REF!</v>
      </c>
      <c r="CL256" s="749" t="e">
        <f t="shared" si="371"/>
        <v>#REF!</v>
      </c>
      <c r="CM256" s="744"/>
      <c r="CN256" s="745" t="e">
        <f t="shared" si="372"/>
        <v>#REF!</v>
      </c>
      <c r="CO256" s="745" t="e">
        <f t="shared" si="373"/>
        <v>#REF!</v>
      </c>
      <c r="CP256" s="745" t="e">
        <f t="shared" si="374"/>
        <v>#REF!</v>
      </c>
      <c r="CQ256" s="745" t="e">
        <f t="shared" si="375"/>
        <v>#REF!</v>
      </c>
      <c r="CR256" s="745" t="e">
        <f t="shared" si="376"/>
        <v>#REF!</v>
      </c>
      <c r="CS256" s="745" t="e">
        <f t="shared" si="377"/>
        <v>#REF!</v>
      </c>
      <c r="CT256" s="754" t="e">
        <f t="shared" si="405"/>
        <v>#REF!</v>
      </c>
      <c r="CU256" s="755" t="e">
        <f>MAX(CT256:CT256)</f>
        <v>#REF!</v>
      </c>
      <c r="CV256" s="756">
        <f>CC256</f>
        <v>6791.9996</v>
      </c>
      <c r="CW256" s="757"/>
      <c r="CX256" s="758"/>
      <c r="CY256" s="759"/>
      <c r="CZ256" s="760"/>
      <c r="DA256" s="767"/>
    </row>
    <row r="257" ht="236" customHeight="1" spans="1:105">
      <c r="A257" s="675">
        <v>580</v>
      </c>
      <c r="B257" s="676" t="s">
        <v>1328</v>
      </c>
      <c r="C257" s="677" t="s">
        <v>678</v>
      </c>
      <c r="D257" s="677" t="s">
        <v>1759</v>
      </c>
      <c r="E257" s="677" t="s">
        <v>313</v>
      </c>
      <c r="F257" s="677">
        <v>2962056016</v>
      </c>
      <c r="G257" s="677" t="s">
        <v>1759</v>
      </c>
      <c r="H257" s="679"/>
      <c r="I257" s="33" t="s">
        <v>313</v>
      </c>
      <c r="J257" s="33">
        <v>2962056016</v>
      </c>
      <c r="K257" s="687"/>
      <c r="L257" s="688"/>
      <c r="M257" s="688"/>
      <c r="N257" s="689"/>
      <c r="O257" s="689">
        <v>44000</v>
      </c>
      <c r="P257" s="689"/>
      <c r="Q257" s="689">
        <v>11000</v>
      </c>
      <c r="R257" s="689">
        <v>42433.33</v>
      </c>
      <c r="S257" s="689">
        <f t="shared" si="406"/>
        <v>97433.33</v>
      </c>
      <c r="T257" s="689"/>
      <c r="U257" s="689"/>
      <c r="V257" s="689"/>
      <c r="W257" s="689"/>
      <c r="X257" s="689"/>
      <c r="Y257" s="689"/>
      <c r="Z257" s="689"/>
      <c r="AA257" s="689"/>
      <c r="AB257" s="689"/>
      <c r="AC257" s="689">
        <v>2500</v>
      </c>
      <c r="AD257" s="689"/>
      <c r="AE257" s="689"/>
      <c r="AF257" s="689"/>
      <c r="AG257" s="689"/>
      <c r="AH257" s="689"/>
      <c r="AI257" s="689"/>
      <c r="AJ257" s="689">
        <v>2500</v>
      </c>
      <c r="AK257" s="689">
        <v>2500</v>
      </c>
      <c r="AL257" s="689">
        <v>2500</v>
      </c>
      <c r="AM257" s="689">
        <v>2500</v>
      </c>
      <c r="AN257" s="689">
        <v>2500</v>
      </c>
      <c r="AO257" s="689">
        <v>2500</v>
      </c>
      <c r="AP257" s="689">
        <v>2500</v>
      </c>
      <c r="AQ257" s="689">
        <v>2500</v>
      </c>
      <c r="AR257" s="689"/>
      <c r="AS257" s="689"/>
      <c r="AT257" s="689">
        <v>1000</v>
      </c>
      <c r="AU257" s="689">
        <f t="shared" si="344"/>
        <v>3897.3332</v>
      </c>
      <c r="AV257" s="689"/>
      <c r="AW257" s="689"/>
      <c r="AX257" s="718"/>
      <c r="AY257" s="718"/>
      <c r="AZ257" s="718"/>
      <c r="BA257" s="689"/>
      <c r="BB257" s="689"/>
      <c r="BC257" s="689"/>
      <c r="BD257" s="719"/>
      <c r="BE257" s="719"/>
      <c r="BF257" s="689"/>
      <c r="BG257" s="689"/>
      <c r="BH257" s="727"/>
      <c r="BI257" s="689"/>
      <c r="BJ257" s="689"/>
      <c r="BK257" s="689"/>
      <c r="BL257" s="689"/>
      <c r="BM257" s="689"/>
      <c r="BN257" s="689"/>
      <c r="BO257" s="689">
        <v>0</v>
      </c>
      <c r="BP257" s="689"/>
      <c r="BQ257" s="689"/>
      <c r="BR257" s="731"/>
      <c r="BS257" s="731"/>
      <c r="BT257" s="731"/>
      <c r="BU257" s="731"/>
      <c r="BV257" s="731"/>
      <c r="BW257" s="731"/>
      <c r="BX257" s="731"/>
      <c r="BY257" s="731"/>
      <c r="BZ257" s="731">
        <v>500</v>
      </c>
      <c r="CA257" s="718">
        <f t="shared" ref="CA257:CA319" si="407">CD257*0.02</f>
        <v>2048.6666</v>
      </c>
      <c r="CB257" s="735"/>
      <c r="CC257" s="731">
        <v>6791.9996</v>
      </c>
      <c r="CD257" s="702">
        <f t="shared" si="329"/>
        <v>102433.33</v>
      </c>
      <c r="CE257" s="731">
        <f t="shared" si="331"/>
        <v>14237.9994</v>
      </c>
      <c r="CF257" s="739">
        <f t="shared" si="330"/>
        <v>88195.3306</v>
      </c>
      <c r="CG257" s="742">
        <f t="shared" si="326"/>
        <v>14237.9994</v>
      </c>
      <c r="CH257" s="743"/>
      <c r="CI257" s="744"/>
      <c r="CJ257" s="745"/>
      <c r="CK257" s="748"/>
      <c r="CL257" s="749"/>
      <c r="CM257" s="744"/>
      <c r="CN257" s="745"/>
      <c r="CO257" s="745"/>
      <c r="CP257" s="745"/>
      <c r="CQ257" s="745"/>
      <c r="CR257" s="745"/>
      <c r="CS257" s="745"/>
      <c r="CT257" s="754"/>
      <c r="CU257" s="755"/>
      <c r="CV257" s="756"/>
      <c r="CW257" s="757"/>
      <c r="CX257" s="758"/>
      <c r="CY257" s="759"/>
      <c r="CZ257" s="760"/>
      <c r="DA257" s="767"/>
    </row>
    <row r="258" ht="236" customHeight="1" spans="1:105">
      <c r="A258" s="673">
        <v>581</v>
      </c>
      <c r="B258" s="676" t="s">
        <v>1329</v>
      </c>
      <c r="C258" s="677" t="s">
        <v>1561</v>
      </c>
      <c r="D258" s="677" t="s">
        <v>1759</v>
      </c>
      <c r="E258" s="677" t="s">
        <v>915</v>
      </c>
      <c r="F258" s="677" t="s">
        <v>1330</v>
      </c>
      <c r="G258" s="677" t="s">
        <v>1759</v>
      </c>
      <c r="H258" s="679"/>
      <c r="I258" s="681" t="s">
        <v>915</v>
      </c>
      <c r="J258" s="686" t="s">
        <v>1330</v>
      </c>
      <c r="K258" s="687"/>
      <c r="L258" s="688"/>
      <c r="M258" s="688"/>
      <c r="N258" s="689"/>
      <c r="O258" s="689">
        <v>44000</v>
      </c>
      <c r="P258" s="689"/>
      <c r="Q258" s="689">
        <v>11000</v>
      </c>
      <c r="R258" s="689">
        <v>42433.33</v>
      </c>
      <c r="S258" s="689">
        <f t="shared" si="406"/>
        <v>97433.33</v>
      </c>
      <c r="T258" s="689"/>
      <c r="U258" s="689"/>
      <c r="V258" s="689"/>
      <c r="W258" s="689"/>
      <c r="X258" s="689"/>
      <c r="Y258" s="689"/>
      <c r="Z258" s="689"/>
      <c r="AA258" s="689"/>
      <c r="AB258" s="689"/>
      <c r="AC258" s="689">
        <v>2500</v>
      </c>
      <c r="AD258" s="689"/>
      <c r="AE258" s="689"/>
      <c r="AF258" s="689"/>
      <c r="AG258" s="689"/>
      <c r="AH258" s="689"/>
      <c r="AI258" s="689"/>
      <c r="AJ258" s="689">
        <v>2500</v>
      </c>
      <c r="AK258" s="689"/>
      <c r="AL258" s="689"/>
      <c r="AM258" s="689"/>
      <c r="AN258" s="689"/>
      <c r="AO258" s="689"/>
      <c r="AP258" s="689"/>
      <c r="AQ258" s="689"/>
      <c r="AR258" s="689"/>
      <c r="AS258" s="689"/>
      <c r="AT258" s="689"/>
      <c r="AU258" s="689">
        <f t="shared" si="344"/>
        <v>3897.3332</v>
      </c>
      <c r="AV258" s="689"/>
      <c r="AW258" s="689"/>
      <c r="AX258" s="718"/>
      <c r="AY258" s="718"/>
      <c r="AZ258" s="718"/>
      <c r="BA258" s="689"/>
      <c r="BB258" s="689"/>
      <c r="BC258" s="689"/>
      <c r="BD258" s="719"/>
      <c r="BE258" s="719"/>
      <c r="BF258" s="689"/>
      <c r="BG258" s="689"/>
      <c r="BH258" s="727"/>
      <c r="BI258" s="689"/>
      <c r="BJ258" s="689"/>
      <c r="BK258" s="689"/>
      <c r="BL258" s="689"/>
      <c r="BM258" s="689"/>
      <c r="BN258" s="689"/>
      <c r="BO258" s="689">
        <v>0</v>
      </c>
      <c r="BP258" s="689"/>
      <c r="BQ258" s="689"/>
      <c r="BR258" s="731"/>
      <c r="BS258" s="731"/>
      <c r="BT258" s="731"/>
      <c r="BU258" s="731"/>
      <c r="BV258" s="731"/>
      <c r="BW258" s="731"/>
      <c r="BX258" s="731"/>
      <c r="BY258" s="731"/>
      <c r="BZ258" s="731">
        <v>500</v>
      </c>
      <c r="CA258" s="718">
        <f t="shared" si="407"/>
        <v>2048.6666</v>
      </c>
      <c r="CB258" s="735"/>
      <c r="CC258" s="731">
        <v>6791.9996</v>
      </c>
      <c r="CD258" s="702">
        <f t="shared" si="329"/>
        <v>102433.33</v>
      </c>
      <c r="CE258" s="731">
        <f t="shared" si="331"/>
        <v>13237.9994</v>
      </c>
      <c r="CF258" s="739">
        <f t="shared" si="330"/>
        <v>89195.3306</v>
      </c>
      <c r="CG258" s="742">
        <f t="shared" si="326"/>
        <v>13237.9994</v>
      </c>
      <c r="CH258" s="743"/>
      <c r="CI258" s="744"/>
      <c r="CJ258" s="745"/>
      <c r="CK258" s="748"/>
      <c r="CL258" s="749"/>
      <c r="CM258" s="744"/>
      <c r="CN258" s="745"/>
      <c r="CO258" s="745"/>
      <c r="CP258" s="745"/>
      <c r="CQ258" s="745"/>
      <c r="CR258" s="745"/>
      <c r="CS258" s="745"/>
      <c r="CT258" s="754"/>
      <c r="CU258" s="755"/>
      <c r="CV258" s="756"/>
      <c r="CW258" s="757"/>
      <c r="CX258" s="758"/>
      <c r="CY258" s="759"/>
      <c r="CZ258" s="760"/>
      <c r="DA258" s="767"/>
    </row>
    <row r="259" ht="236" customHeight="1" spans="1:106">
      <c r="A259" s="675">
        <v>582</v>
      </c>
      <c r="B259" s="676" t="s">
        <v>1331</v>
      </c>
      <c r="C259" s="677" t="s">
        <v>1561</v>
      </c>
      <c r="D259" s="677" t="s">
        <v>1760</v>
      </c>
      <c r="E259" s="677" t="s">
        <v>113</v>
      </c>
      <c r="F259" s="677">
        <v>2047617658</v>
      </c>
      <c r="G259" s="677" t="s">
        <v>1540</v>
      </c>
      <c r="H259" s="679"/>
      <c r="I259" s="681" t="s">
        <v>113</v>
      </c>
      <c r="J259" s="686">
        <v>2047617658</v>
      </c>
      <c r="K259" s="687"/>
      <c r="L259" s="688"/>
      <c r="M259" s="688"/>
      <c r="N259" s="689"/>
      <c r="O259" s="689">
        <v>54176</v>
      </c>
      <c r="P259" s="689"/>
      <c r="Q259" s="689">
        <v>13544</v>
      </c>
      <c r="R259" s="689">
        <v>30000</v>
      </c>
      <c r="S259" s="689">
        <v>165441.5</v>
      </c>
      <c r="T259" s="689"/>
      <c r="U259" s="689"/>
      <c r="V259" s="689"/>
      <c r="W259" s="689"/>
      <c r="X259" s="689"/>
      <c r="Y259" s="689"/>
      <c r="Z259" s="689"/>
      <c r="AA259" s="689"/>
      <c r="AB259" s="689"/>
      <c r="AC259" s="689">
        <v>2500</v>
      </c>
      <c r="AD259" s="689"/>
      <c r="AE259" s="689"/>
      <c r="AF259" s="689"/>
      <c r="AG259" s="689"/>
      <c r="AH259" s="689"/>
      <c r="AI259" s="689"/>
      <c r="AJ259" s="689">
        <v>2500</v>
      </c>
      <c r="AK259" s="689"/>
      <c r="AL259" s="689"/>
      <c r="AM259" s="689"/>
      <c r="AN259" s="689"/>
      <c r="AO259" s="689"/>
      <c r="AP259" s="689"/>
      <c r="AQ259" s="689"/>
      <c r="AR259" s="689"/>
      <c r="AS259" s="689"/>
      <c r="AT259" s="689"/>
      <c r="AU259" s="689">
        <f t="shared" si="344"/>
        <v>6617.66</v>
      </c>
      <c r="AV259" s="689"/>
      <c r="AW259" s="689"/>
      <c r="AX259" s="718"/>
      <c r="AY259" s="718"/>
      <c r="AZ259" s="718"/>
      <c r="BA259" s="689"/>
      <c r="BB259" s="689"/>
      <c r="BC259" s="689"/>
      <c r="BD259" s="719"/>
      <c r="BE259" s="719"/>
      <c r="BF259" s="689"/>
      <c r="BG259" s="689"/>
      <c r="BH259" s="727"/>
      <c r="BI259" s="689"/>
      <c r="BJ259" s="689"/>
      <c r="BK259" s="689"/>
      <c r="BL259" s="689"/>
      <c r="BM259" s="689"/>
      <c r="BN259" s="689"/>
      <c r="BO259" s="689">
        <v>10000</v>
      </c>
      <c r="BP259" s="689"/>
      <c r="BQ259" s="689"/>
      <c r="BR259" s="731"/>
      <c r="BS259" s="731"/>
      <c r="BT259" s="731"/>
      <c r="BU259" s="731"/>
      <c r="BV259" s="731"/>
      <c r="BW259" s="731"/>
      <c r="BX259" s="731"/>
      <c r="BY259" s="731"/>
      <c r="BZ259" s="731">
        <v>500</v>
      </c>
      <c r="CA259" s="718">
        <f t="shared" si="407"/>
        <v>3408.83</v>
      </c>
      <c r="CB259" s="735"/>
      <c r="CC259" s="731">
        <v>16073.77</v>
      </c>
      <c r="CD259" s="702">
        <f t="shared" si="329"/>
        <v>170441.5</v>
      </c>
      <c r="CE259" s="731">
        <f t="shared" si="331"/>
        <v>36600.26</v>
      </c>
      <c r="CF259" s="739">
        <f t="shared" si="330"/>
        <v>133841.24</v>
      </c>
      <c r="CG259" s="742">
        <f t="shared" ref="CG259:CG321" si="408">CD259-CF259</f>
        <v>36600.26</v>
      </c>
      <c r="CH259" s="743"/>
      <c r="CI259" s="744"/>
      <c r="CJ259" s="745"/>
      <c r="CK259" s="748"/>
      <c r="CL259" s="749"/>
      <c r="CM259" s="744"/>
      <c r="CN259" s="745"/>
      <c r="CO259" s="745"/>
      <c r="CP259" s="745"/>
      <c r="CQ259" s="745"/>
      <c r="CR259" s="745"/>
      <c r="CS259" s="745"/>
      <c r="CT259" s="754"/>
      <c r="CU259" s="755"/>
      <c r="CV259" s="756"/>
      <c r="CW259" s="757"/>
      <c r="CX259" s="758"/>
      <c r="CY259" s="759"/>
      <c r="CZ259" s="760"/>
      <c r="DA259" s="767"/>
      <c r="DB259" s="770"/>
    </row>
    <row r="260" ht="236" customHeight="1" spans="1:106">
      <c r="A260" s="673">
        <v>583</v>
      </c>
      <c r="B260" s="676" t="s">
        <v>1332</v>
      </c>
      <c r="C260" s="677" t="s">
        <v>1561</v>
      </c>
      <c r="D260" s="677" t="s">
        <v>1761</v>
      </c>
      <c r="E260" s="677" t="s">
        <v>165</v>
      </c>
      <c r="F260" s="1452" t="s">
        <v>1333</v>
      </c>
      <c r="G260" s="677" t="s">
        <v>1585</v>
      </c>
      <c r="H260" s="679"/>
      <c r="I260" s="681" t="s">
        <v>165</v>
      </c>
      <c r="J260" s="686">
        <v>2209386413</v>
      </c>
      <c r="K260" s="687"/>
      <c r="L260" s="688"/>
      <c r="M260" s="688" t="e">
        <f>S260-#REF!</f>
        <v>#REF!</v>
      </c>
      <c r="N260" s="689"/>
      <c r="O260" s="689">
        <v>108353.166666667</v>
      </c>
      <c r="P260" s="689"/>
      <c r="Q260" s="689">
        <v>27088.2916666667</v>
      </c>
      <c r="R260" s="689">
        <v>30000</v>
      </c>
      <c r="S260" s="689">
        <v>182087.33</v>
      </c>
      <c r="T260" s="689"/>
      <c r="U260" s="689"/>
      <c r="V260" s="689"/>
      <c r="W260" s="689"/>
      <c r="X260" s="689"/>
      <c r="Y260" s="689"/>
      <c r="Z260" s="689"/>
      <c r="AA260" s="689"/>
      <c r="AB260" s="689"/>
      <c r="AC260" s="689">
        <v>2500</v>
      </c>
      <c r="AD260" s="689"/>
      <c r="AE260" s="689"/>
      <c r="AF260" s="689"/>
      <c r="AG260" s="689"/>
      <c r="AH260" s="689"/>
      <c r="AI260" s="689"/>
      <c r="AJ260" s="689">
        <f>2500</f>
        <v>2500</v>
      </c>
      <c r="AK260" s="689"/>
      <c r="AL260" s="689">
        <f>383.33</f>
        <v>383.33</v>
      </c>
      <c r="AM260" s="689"/>
      <c r="AN260" s="689"/>
      <c r="AO260" s="689"/>
      <c r="AP260" s="689"/>
      <c r="AQ260" s="689"/>
      <c r="AR260" s="689"/>
      <c r="AS260" s="689"/>
      <c r="AT260" s="689"/>
      <c r="AU260" s="689">
        <f t="shared" si="344"/>
        <v>7283.4932</v>
      </c>
      <c r="AV260" s="689"/>
      <c r="AW260" s="689"/>
      <c r="AX260" s="718">
        <f t="shared" si="401"/>
        <v>3641.7466</v>
      </c>
      <c r="AY260" s="718"/>
      <c r="AZ260" s="718"/>
      <c r="BA260" s="689"/>
      <c r="BB260" s="689"/>
      <c r="BC260" s="689"/>
      <c r="BD260" s="719"/>
      <c r="BE260" s="719"/>
      <c r="BF260" s="689"/>
      <c r="BG260" s="689"/>
      <c r="BH260" s="727"/>
      <c r="BI260" s="689"/>
      <c r="BJ260" s="689"/>
      <c r="BK260" s="689"/>
      <c r="BL260" s="689"/>
      <c r="BM260" s="689"/>
      <c r="BN260" s="689"/>
      <c r="BO260" s="689">
        <v>0</v>
      </c>
      <c r="BP260" s="689"/>
      <c r="BQ260" s="689"/>
      <c r="BR260" s="731"/>
      <c r="BS260" s="731"/>
      <c r="BT260" s="731"/>
      <c r="BU260" s="731"/>
      <c r="BV260" s="731"/>
      <c r="BW260" s="731"/>
      <c r="BX260" s="731"/>
      <c r="BY260" s="731"/>
      <c r="BZ260" s="731">
        <v>500</v>
      </c>
      <c r="CA260" s="718">
        <f t="shared" si="407"/>
        <v>3741.7466</v>
      </c>
      <c r="CB260" s="735"/>
      <c r="CC260" s="731">
        <v>18603.94</v>
      </c>
      <c r="CD260" s="702">
        <f t="shared" si="329"/>
        <v>187087.33</v>
      </c>
      <c r="CE260" s="731">
        <f t="shared" si="331"/>
        <v>33770.9264</v>
      </c>
      <c r="CF260" s="739">
        <f t="shared" si="330"/>
        <v>153316.4036</v>
      </c>
      <c r="CG260" s="742">
        <f t="shared" si="408"/>
        <v>33770.9264</v>
      </c>
      <c r="CH260" s="743" t="e">
        <f>'[6]JACKSON AKPOJARO '!C363*12</f>
        <v>#REF!</v>
      </c>
      <c r="CI260" s="744" t="e">
        <f t="shared" si="368"/>
        <v>#REF!</v>
      </c>
      <c r="CJ260" s="745">
        <f>CB260*12</f>
        <v>0</v>
      </c>
      <c r="CK260" s="748" t="e">
        <f t="shared" si="370"/>
        <v>#REF!</v>
      </c>
      <c r="CL260" s="749" t="e">
        <f t="shared" si="371"/>
        <v>#REF!</v>
      </c>
      <c r="CM260" s="744"/>
      <c r="CN260" s="745" t="e">
        <f t="shared" si="372"/>
        <v>#REF!</v>
      </c>
      <c r="CO260" s="745" t="e">
        <f t="shared" si="373"/>
        <v>#REF!</v>
      </c>
      <c r="CP260" s="745" t="e">
        <f t="shared" si="374"/>
        <v>#REF!</v>
      </c>
      <c r="CQ260" s="745" t="e">
        <f t="shared" si="375"/>
        <v>#REF!</v>
      </c>
      <c r="CR260" s="745" t="e">
        <f t="shared" si="376"/>
        <v>#REF!</v>
      </c>
      <c r="CS260" s="745" t="e">
        <f t="shared" si="377"/>
        <v>#REF!</v>
      </c>
      <c r="CT260" s="754" t="e">
        <f t="shared" si="405"/>
        <v>#REF!</v>
      </c>
      <c r="CU260" s="755" t="e">
        <f>MAX(CT260:CT260)</f>
        <v>#REF!</v>
      </c>
      <c r="CV260" s="756">
        <v>1297.33</v>
      </c>
      <c r="CW260" s="757"/>
      <c r="CX260" s="758"/>
      <c r="CY260" s="759"/>
      <c r="CZ260" s="760"/>
      <c r="DA260" s="767"/>
      <c r="DB260" s="770"/>
    </row>
    <row r="261" ht="236" customHeight="1" spans="1:105">
      <c r="A261" s="675">
        <v>584</v>
      </c>
      <c r="B261" s="676" t="s">
        <v>1334</v>
      </c>
      <c r="C261" s="677" t="s">
        <v>1533</v>
      </c>
      <c r="D261" s="677" t="s">
        <v>1762</v>
      </c>
      <c r="E261" s="677" t="s">
        <v>97</v>
      </c>
      <c r="F261" s="1452" t="s">
        <v>1335</v>
      </c>
      <c r="G261" s="677" t="s">
        <v>1757</v>
      </c>
      <c r="H261" s="679"/>
      <c r="I261" s="33" t="s">
        <v>97</v>
      </c>
      <c r="J261" s="33" t="s">
        <v>1335</v>
      </c>
      <c r="K261" s="687"/>
      <c r="L261" s="688"/>
      <c r="M261" s="688"/>
      <c r="N261" s="689"/>
      <c r="O261" s="689">
        <v>60000</v>
      </c>
      <c r="P261" s="689"/>
      <c r="Q261" s="689">
        <v>15000</v>
      </c>
      <c r="R261" s="689">
        <v>30000</v>
      </c>
      <c r="S261" s="689">
        <f t="shared" si="406"/>
        <v>105000</v>
      </c>
      <c r="T261" s="689"/>
      <c r="U261" s="689"/>
      <c r="V261" s="689"/>
      <c r="W261" s="689"/>
      <c r="X261" s="689"/>
      <c r="Y261" s="689"/>
      <c r="Z261" s="689"/>
      <c r="AA261" s="689"/>
      <c r="AB261" s="689"/>
      <c r="AC261" s="689">
        <v>2500</v>
      </c>
      <c r="AD261" s="689"/>
      <c r="AE261" s="689"/>
      <c r="AF261" s="689"/>
      <c r="AG261" s="689"/>
      <c r="AH261" s="689"/>
      <c r="AI261" s="689"/>
      <c r="AJ261" s="689">
        <f>2500</f>
        <v>2500</v>
      </c>
      <c r="AK261" s="689"/>
      <c r="AL261" s="689"/>
      <c r="AM261" s="689"/>
      <c r="AN261" s="689"/>
      <c r="AO261" s="689"/>
      <c r="AP261" s="689"/>
      <c r="AQ261" s="689"/>
      <c r="AR261" s="689"/>
      <c r="AS261" s="689"/>
      <c r="AT261" s="689"/>
      <c r="AU261" s="689">
        <f>S261*0.03</f>
        <v>3150</v>
      </c>
      <c r="AV261" s="689"/>
      <c r="AW261" s="689"/>
      <c r="AX261" s="718">
        <f t="shared" si="401"/>
        <v>2100</v>
      </c>
      <c r="AY261" s="718"/>
      <c r="AZ261" s="718"/>
      <c r="BA261" s="689"/>
      <c r="BB261" s="689"/>
      <c r="BC261" s="689"/>
      <c r="BD261" s="719"/>
      <c r="BE261" s="719">
        <f t="shared" ref="BE261" si="409">S261*0.03</f>
        <v>3150</v>
      </c>
      <c r="BF261" s="689"/>
      <c r="BG261" s="689"/>
      <c r="BH261" s="727"/>
      <c r="BI261" s="689"/>
      <c r="BJ261" s="689"/>
      <c r="BK261" s="689"/>
      <c r="BL261" s="689"/>
      <c r="BM261" s="689"/>
      <c r="BN261" s="689"/>
      <c r="BO261" s="689">
        <v>0</v>
      </c>
      <c r="BP261" s="689"/>
      <c r="BQ261" s="689"/>
      <c r="BR261" s="731"/>
      <c r="BS261" s="731"/>
      <c r="BT261" s="731"/>
      <c r="BU261" s="731"/>
      <c r="BV261" s="731"/>
      <c r="BW261" s="731"/>
      <c r="BX261" s="731"/>
      <c r="BY261" s="731"/>
      <c r="BZ261" s="731">
        <v>500</v>
      </c>
      <c r="CA261" s="718">
        <f t="shared" si="407"/>
        <v>2200</v>
      </c>
      <c r="CB261" s="735"/>
      <c r="CC261" s="731">
        <v>7700</v>
      </c>
      <c r="CD261" s="702">
        <f t="shared" si="329"/>
        <v>110000</v>
      </c>
      <c r="CE261" s="731">
        <f t="shared" si="331"/>
        <v>18800</v>
      </c>
      <c r="CF261" s="739">
        <f t="shared" si="330"/>
        <v>91200</v>
      </c>
      <c r="CG261" s="742">
        <f t="shared" si="408"/>
        <v>18800</v>
      </c>
      <c r="CH261" s="743" t="e">
        <f>'[6]JACKSON AKPOJARO '!C364*12</f>
        <v>#REF!</v>
      </c>
      <c r="CI261" s="744" t="e">
        <f t="shared" si="368"/>
        <v>#REF!</v>
      </c>
      <c r="CJ261" s="745">
        <f>CB261*12</f>
        <v>0</v>
      </c>
      <c r="CK261" s="748" t="e">
        <f t="shared" si="370"/>
        <v>#REF!</v>
      </c>
      <c r="CL261" s="749" t="e">
        <f t="shared" si="371"/>
        <v>#REF!</v>
      </c>
      <c r="CM261" s="744"/>
      <c r="CN261" s="745" t="e">
        <f t="shared" si="372"/>
        <v>#REF!</v>
      </c>
      <c r="CO261" s="745" t="e">
        <f t="shared" si="373"/>
        <v>#REF!</v>
      </c>
      <c r="CP261" s="745" t="e">
        <f t="shared" si="374"/>
        <v>#REF!</v>
      </c>
      <c r="CQ261" s="745" t="e">
        <f t="shared" si="375"/>
        <v>#REF!</v>
      </c>
      <c r="CR261" s="745" t="e">
        <f t="shared" si="376"/>
        <v>#REF!</v>
      </c>
      <c r="CS261" s="745" t="e">
        <f t="shared" si="377"/>
        <v>#REF!</v>
      </c>
      <c r="CT261" s="754" t="e">
        <f t="shared" si="405"/>
        <v>#REF!</v>
      </c>
      <c r="CU261" s="755" t="e">
        <f>MAX(CT261:CT261)</f>
        <v>#REF!</v>
      </c>
      <c r="CV261" s="756">
        <f>CC261</f>
        <v>7700</v>
      </c>
      <c r="CW261" s="757"/>
      <c r="CX261" s="758"/>
      <c r="CY261" s="759"/>
      <c r="CZ261" s="760"/>
      <c r="DA261" s="767"/>
    </row>
    <row r="262" ht="236" customHeight="1" spans="1:106">
      <c r="A262" s="673">
        <v>585</v>
      </c>
      <c r="B262" s="926" t="s">
        <v>1336</v>
      </c>
      <c r="C262" s="927" t="s">
        <v>1763</v>
      </c>
      <c r="D262" s="927" t="s">
        <v>1764</v>
      </c>
      <c r="E262" s="927" t="s">
        <v>871</v>
      </c>
      <c r="F262" s="1458" t="s">
        <v>1337</v>
      </c>
      <c r="G262" s="927" t="s">
        <v>1765</v>
      </c>
      <c r="H262" s="928"/>
      <c r="I262" s="935"/>
      <c r="J262" s="935"/>
      <c r="K262" s="936"/>
      <c r="L262" s="937"/>
      <c r="M262" s="937"/>
      <c r="N262" s="938"/>
      <c r="O262" s="938"/>
      <c r="P262" s="938"/>
      <c r="Q262" s="938"/>
      <c r="R262" s="938"/>
      <c r="S262" s="938">
        <v>100000</v>
      </c>
      <c r="T262" s="938"/>
      <c r="U262" s="938"/>
      <c r="V262" s="938"/>
      <c r="W262" s="938"/>
      <c r="X262" s="938"/>
      <c r="Y262" s="938"/>
      <c r="Z262" s="938"/>
      <c r="AA262" s="938"/>
      <c r="AB262" s="938"/>
      <c r="AC262" s="938"/>
      <c r="AD262" s="938"/>
      <c r="AE262" s="938"/>
      <c r="AF262" s="938"/>
      <c r="AG262" s="938"/>
      <c r="AH262" s="938"/>
      <c r="AI262" s="938"/>
      <c r="AJ262" s="938"/>
      <c r="AK262" s="938"/>
      <c r="AL262" s="938"/>
      <c r="AM262" s="938"/>
      <c r="AN262" s="938"/>
      <c r="AO262" s="938"/>
      <c r="AP262" s="938"/>
      <c r="AQ262" s="938"/>
      <c r="AR262" s="938"/>
      <c r="AS262" s="938"/>
      <c r="AT262" s="938"/>
      <c r="AU262" s="938">
        <f>S262*0.04</f>
        <v>4000</v>
      </c>
      <c r="AV262" s="938"/>
      <c r="AW262" s="938"/>
      <c r="AX262" s="718">
        <f t="shared" si="401"/>
        <v>2000</v>
      </c>
      <c r="AY262" s="947"/>
      <c r="AZ262" s="947"/>
      <c r="BA262" s="938"/>
      <c r="BB262" s="938"/>
      <c r="BC262" s="938"/>
      <c r="BD262" s="948"/>
      <c r="BE262" s="948"/>
      <c r="BF262" s="938"/>
      <c r="BG262" s="938"/>
      <c r="BH262" s="949"/>
      <c r="BI262" s="938"/>
      <c r="BJ262" s="938"/>
      <c r="BK262" s="938"/>
      <c r="BL262" s="938"/>
      <c r="BM262" s="938"/>
      <c r="BN262" s="938"/>
      <c r="BO262" s="938">
        <v>0</v>
      </c>
      <c r="BP262" s="938"/>
      <c r="BQ262" s="938"/>
      <c r="BR262" s="950"/>
      <c r="BS262" s="950"/>
      <c r="BT262" s="950"/>
      <c r="BU262" s="950"/>
      <c r="BV262" s="950"/>
      <c r="BW262" s="950"/>
      <c r="BX262" s="950"/>
      <c r="BY262" s="950"/>
      <c r="BZ262" s="950"/>
      <c r="CA262" s="718">
        <f t="shared" si="407"/>
        <v>2000</v>
      </c>
      <c r="CB262" s="951"/>
      <c r="CC262" s="950"/>
      <c r="CD262" s="702">
        <f t="shared" ref="CD262:CD325" si="410">AR262+AJ262+AH262+AG262+AE262+AF262+AD262+AC262+AB262+AA262+Z262+Y262+X262+W262+V262+U262+U262+T262+S262</f>
        <v>100000</v>
      </c>
      <c r="CE262" s="731">
        <f t="shared" si="331"/>
        <v>8000</v>
      </c>
      <c r="CF262" s="739">
        <f t="shared" ref="CF262:CF325" si="411">CD262-CE262</f>
        <v>92000</v>
      </c>
      <c r="CG262" s="952">
        <f t="shared" si="408"/>
        <v>8000</v>
      </c>
      <c r="CH262" s="953"/>
      <c r="CI262" s="954"/>
      <c r="CJ262" s="955"/>
      <c r="CK262" s="964"/>
      <c r="CL262" s="965"/>
      <c r="CM262" s="954"/>
      <c r="CN262" s="955"/>
      <c r="CO262" s="955"/>
      <c r="CP262" s="955"/>
      <c r="CQ262" s="955"/>
      <c r="CR262" s="955"/>
      <c r="CS262" s="955"/>
      <c r="CT262" s="970"/>
      <c r="CU262" s="971"/>
      <c r="CV262" s="972"/>
      <c r="CW262" s="973"/>
      <c r="CX262" s="974"/>
      <c r="CY262" s="975"/>
      <c r="CZ262" s="976"/>
      <c r="DA262" s="991"/>
      <c r="DB262" s="992"/>
    </row>
    <row r="263" ht="236" customHeight="1" spans="1:106">
      <c r="A263" s="675">
        <v>586</v>
      </c>
      <c r="B263" s="926" t="s">
        <v>1338</v>
      </c>
      <c r="C263" s="927" t="s">
        <v>1766</v>
      </c>
      <c r="D263" s="927" t="s">
        <v>1767</v>
      </c>
      <c r="E263" s="927" t="s">
        <v>151</v>
      </c>
      <c r="F263" s="927">
        <v>3188158835</v>
      </c>
      <c r="G263" s="927" t="s">
        <v>1585</v>
      </c>
      <c r="H263" s="928"/>
      <c r="I263" s="935"/>
      <c r="J263" s="935"/>
      <c r="K263" s="936"/>
      <c r="L263" s="937"/>
      <c r="M263" s="937"/>
      <c r="N263" s="938"/>
      <c r="O263" s="938"/>
      <c r="P263" s="938"/>
      <c r="Q263" s="938"/>
      <c r="R263" s="938"/>
      <c r="S263" s="938">
        <v>169897.58</v>
      </c>
      <c r="T263" s="938"/>
      <c r="U263" s="938"/>
      <c r="V263" s="938"/>
      <c r="W263" s="938"/>
      <c r="X263" s="938"/>
      <c r="Y263" s="938"/>
      <c r="Z263" s="938"/>
      <c r="AA263" s="938"/>
      <c r="AB263" s="938"/>
      <c r="AC263" s="938">
        <v>2500</v>
      </c>
      <c r="AD263" s="938"/>
      <c r="AE263" s="938">
        <v>30000</v>
      </c>
      <c r="AF263" s="938"/>
      <c r="AG263" s="938"/>
      <c r="AH263" s="938"/>
      <c r="AI263" s="938"/>
      <c r="AJ263" s="938">
        <v>2500</v>
      </c>
      <c r="AK263" s="938"/>
      <c r="AL263" s="938"/>
      <c r="AM263" s="938"/>
      <c r="AN263" s="938"/>
      <c r="AO263" s="938"/>
      <c r="AP263" s="938"/>
      <c r="AQ263" s="938"/>
      <c r="AR263" s="938"/>
      <c r="AS263" s="938"/>
      <c r="AT263" s="938"/>
      <c r="AU263" s="938">
        <f t="shared" ref="AU263:AU325" si="412">S263*0.04</f>
        <v>6795.9032</v>
      </c>
      <c r="AV263" s="938"/>
      <c r="AW263" s="938"/>
      <c r="AX263" s="718"/>
      <c r="AY263" s="947"/>
      <c r="AZ263" s="947"/>
      <c r="BA263" s="938"/>
      <c r="BB263" s="938"/>
      <c r="BC263" s="938"/>
      <c r="BD263" s="948"/>
      <c r="BE263" s="948"/>
      <c r="BF263" s="938"/>
      <c r="BG263" s="938"/>
      <c r="BH263" s="949"/>
      <c r="BI263" s="938">
        <v>6795.9032</v>
      </c>
      <c r="BJ263" s="938"/>
      <c r="BK263" s="938"/>
      <c r="BL263" s="938"/>
      <c r="BM263" s="938"/>
      <c r="BN263" s="938"/>
      <c r="BO263" s="938">
        <v>0</v>
      </c>
      <c r="BP263" s="938"/>
      <c r="BQ263" s="938"/>
      <c r="BR263" s="950"/>
      <c r="BS263" s="950"/>
      <c r="BT263" s="950"/>
      <c r="BU263" s="950"/>
      <c r="BV263" s="950"/>
      <c r="BW263" s="950"/>
      <c r="BX263" s="950"/>
      <c r="BY263" s="950"/>
      <c r="BZ263" s="950">
        <v>1000</v>
      </c>
      <c r="CA263" s="718">
        <f t="shared" si="407"/>
        <v>4097.9516</v>
      </c>
      <c r="CB263" s="951"/>
      <c r="CC263" s="950">
        <v>21589.46</v>
      </c>
      <c r="CD263" s="702">
        <f t="shared" si="410"/>
        <v>204897.58</v>
      </c>
      <c r="CE263" s="731">
        <f t="shared" ref="CE263:CE326" si="413">SUM(AU263:CC263)+AT263</f>
        <v>40279.218</v>
      </c>
      <c r="CF263" s="739">
        <f t="shared" si="411"/>
        <v>164618.362</v>
      </c>
      <c r="CG263" s="952">
        <f t="shared" si="408"/>
        <v>40279.218</v>
      </c>
      <c r="CH263" s="953"/>
      <c r="CI263" s="954"/>
      <c r="CJ263" s="955"/>
      <c r="CK263" s="964"/>
      <c r="CL263" s="965"/>
      <c r="CM263" s="954"/>
      <c r="CN263" s="955"/>
      <c r="CO263" s="955"/>
      <c r="CP263" s="955"/>
      <c r="CQ263" s="955"/>
      <c r="CR263" s="955"/>
      <c r="CS263" s="955"/>
      <c r="CT263" s="970"/>
      <c r="CU263" s="971"/>
      <c r="CV263" s="972"/>
      <c r="CW263" s="973"/>
      <c r="CX263" s="974"/>
      <c r="CY263" s="975"/>
      <c r="CZ263" s="976"/>
      <c r="DA263" s="991"/>
      <c r="DB263" s="992"/>
    </row>
    <row r="264" ht="236" customHeight="1" spans="1:106">
      <c r="A264" s="673">
        <v>587</v>
      </c>
      <c r="B264" s="926" t="s">
        <v>1339</v>
      </c>
      <c r="C264" s="927" t="s">
        <v>1766</v>
      </c>
      <c r="D264" s="927" t="s">
        <v>1767</v>
      </c>
      <c r="E264" s="927" t="s">
        <v>97</v>
      </c>
      <c r="F264" s="927">
        <v>1486320677</v>
      </c>
      <c r="G264" s="927" t="s">
        <v>1585</v>
      </c>
      <c r="H264" s="928"/>
      <c r="I264" s="935"/>
      <c r="J264" s="935"/>
      <c r="K264" s="936"/>
      <c r="L264" s="937"/>
      <c r="M264" s="937"/>
      <c r="N264" s="938"/>
      <c r="O264" s="938"/>
      <c r="P264" s="938"/>
      <c r="Q264" s="938"/>
      <c r="R264" s="938"/>
      <c r="S264" s="938">
        <v>169897.58</v>
      </c>
      <c r="T264" s="938"/>
      <c r="U264" s="938"/>
      <c r="V264" s="938"/>
      <c r="W264" s="938"/>
      <c r="X264" s="938"/>
      <c r="Y264" s="938"/>
      <c r="Z264" s="938"/>
      <c r="AA264" s="938"/>
      <c r="AB264" s="938"/>
      <c r="AC264" s="938">
        <v>2500</v>
      </c>
      <c r="AD264" s="938"/>
      <c r="AE264" s="938">
        <v>30000</v>
      </c>
      <c r="AF264" s="938"/>
      <c r="AG264" s="938"/>
      <c r="AH264" s="938"/>
      <c r="AI264" s="938"/>
      <c r="AJ264" s="938">
        <v>2500</v>
      </c>
      <c r="AK264" s="938"/>
      <c r="AL264" s="938"/>
      <c r="AM264" s="938"/>
      <c r="AN264" s="938"/>
      <c r="AO264" s="938"/>
      <c r="AP264" s="938"/>
      <c r="AQ264" s="938"/>
      <c r="AR264" s="938"/>
      <c r="AS264" s="938"/>
      <c r="AT264" s="938"/>
      <c r="AU264" s="938">
        <f t="shared" si="412"/>
        <v>6795.9032</v>
      </c>
      <c r="AV264" s="938"/>
      <c r="AW264" s="938"/>
      <c r="AX264" s="718"/>
      <c r="AY264" s="947"/>
      <c r="AZ264" s="947"/>
      <c r="BA264" s="938"/>
      <c r="BB264" s="938"/>
      <c r="BC264" s="938"/>
      <c r="BD264" s="948"/>
      <c r="BE264" s="948"/>
      <c r="BF264" s="938"/>
      <c r="BG264" s="938"/>
      <c r="BH264" s="949"/>
      <c r="BI264" s="938">
        <v>6795.9032</v>
      </c>
      <c r="BJ264" s="938"/>
      <c r="BK264" s="938"/>
      <c r="BL264" s="938"/>
      <c r="BM264" s="938"/>
      <c r="BN264" s="938"/>
      <c r="BO264" s="938">
        <v>68000</v>
      </c>
      <c r="BP264" s="938"/>
      <c r="BQ264" s="938"/>
      <c r="BR264" s="950"/>
      <c r="BS264" s="950"/>
      <c r="BT264" s="950"/>
      <c r="BU264" s="950"/>
      <c r="BV264" s="950"/>
      <c r="BW264" s="950"/>
      <c r="BX264" s="950">
        <v>5000</v>
      </c>
      <c r="BY264" s="950"/>
      <c r="BZ264" s="950">
        <v>1000</v>
      </c>
      <c r="CA264" s="718">
        <f t="shared" si="407"/>
        <v>4097.9516</v>
      </c>
      <c r="CB264" s="951"/>
      <c r="CC264" s="950">
        <v>21589.46</v>
      </c>
      <c r="CD264" s="702">
        <f t="shared" si="410"/>
        <v>204897.58</v>
      </c>
      <c r="CE264" s="731">
        <f t="shared" si="413"/>
        <v>113279.218</v>
      </c>
      <c r="CF264" s="739">
        <f t="shared" si="411"/>
        <v>91618.362</v>
      </c>
      <c r="CG264" s="952">
        <f t="shared" si="408"/>
        <v>113279.218</v>
      </c>
      <c r="CH264" s="953"/>
      <c r="CI264" s="954"/>
      <c r="CJ264" s="955"/>
      <c r="CK264" s="964"/>
      <c r="CL264" s="965"/>
      <c r="CM264" s="954"/>
      <c r="CN264" s="955"/>
      <c r="CO264" s="955"/>
      <c r="CP264" s="955"/>
      <c r="CQ264" s="955"/>
      <c r="CR264" s="955"/>
      <c r="CS264" s="955"/>
      <c r="CT264" s="970"/>
      <c r="CU264" s="971"/>
      <c r="CV264" s="972"/>
      <c r="CW264" s="973"/>
      <c r="CX264" s="974"/>
      <c r="CY264" s="975"/>
      <c r="CZ264" s="976"/>
      <c r="DA264" s="991"/>
      <c r="DB264" s="992"/>
    </row>
    <row r="265" ht="236" customHeight="1" spans="1:106">
      <c r="A265" s="675">
        <v>588</v>
      </c>
      <c r="B265" s="926" t="s">
        <v>1340</v>
      </c>
      <c r="C265" s="927" t="s">
        <v>1766</v>
      </c>
      <c r="D265" s="927" t="s">
        <v>1767</v>
      </c>
      <c r="E265" s="927" t="s">
        <v>127</v>
      </c>
      <c r="F265" s="1458" t="s">
        <v>1341</v>
      </c>
      <c r="G265" s="927" t="s">
        <v>1585</v>
      </c>
      <c r="H265" s="928"/>
      <c r="I265" s="935"/>
      <c r="J265" s="935"/>
      <c r="K265" s="936"/>
      <c r="L265" s="937"/>
      <c r="M265" s="937"/>
      <c r="N265" s="938"/>
      <c r="O265" s="938"/>
      <c r="P265" s="938"/>
      <c r="Q265" s="938"/>
      <c r="R265" s="938"/>
      <c r="S265" s="938">
        <v>169897.58</v>
      </c>
      <c r="T265" s="938"/>
      <c r="U265" s="938"/>
      <c r="V265" s="938"/>
      <c r="W265" s="938"/>
      <c r="X265" s="938"/>
      <c r="Y265" s="938"/>
      <c r="Z265" s="938"/>
      <c r="AA265" s="938"/>
      <c r="AB265" s="938"/>
      <c r="AC265" s="938">
        <v>2500</v>
      </c>
      <c r="AD265" s="938"/>
      <c r="AE265" s="938">
        <v>30000</v>
      </c>
      <c r="AF265" s="938"/>
      <c r="AG265" s="938"/>
      <c r="AH265" s="938"/>
      <c r="AI265" s="938"/>
      <c r="AJ265" s="938">
        <v>2500</v>
      </c>
      <c r="AK265" s="938"/>
      <c r="AL265" s="938"/>
      <c r="AM265" s="938"/>
      <c r="AN265" s="938"/>
      <c r="AO265" s="938"/>
      <c r="AP265" s="938"/>
      <c r="AQ265" s="938"/>
      <c r="AR265" s="938"/>
      <c r="AS265" s="938"/>
      <c r="AT265" s="938"/>
      <c r="AU265" s="938">
        <f t="shared" si="412"/>
        <v>6795.9032</v>
      </c>
      <c r="AV265" s="938"/>
      <c r="AW265" s="938"/>
      <c r="AX265" s="718"/>
      <c r="AY265" s="947"/>
      <c r="AZ265" s="947"/>
      <c r="BA265" s="938"/>
      <c r="BB265" s="938"/>
      <c r="BC265" s="938"/>
      <c r="BD265" s="948"/>
      <c r="BE265" s="948"/>
      <c r="BF265" s="938"/>
      <c r="BG265" s="938"/>
      <c r="BH265" s="949"/>
      <c r="BI265" s="938">
        <v>6795.9032</v>
      </c>
      <c r="BJ265" s="938"/>
      <c r="BK265" s="938"/>
      <c r="BL265" s="938"/>
      <c r="BM265" s="938"/>
      <c r="BN265" s="938"/>
      <c r="BO265" s="938">
        <v>20000</v>
      </c>
      <c r="BP265" s="938"/>
      <c r="BQ265" s="938"/>
      <c r="BR265" s="950"/>
      <c r="BS265" s="950"/>
      <c r="BT265" s="950"/>
      <c r="BU265" s="950"/>
      <c r="BV265" s="950"/>
      <c r="BW265" s="950"/>
      <c r="BX265" s="950">
        <v>5000</v>
      </c>
      <c r="BY265" s="950"/>
      <c r="BZ265" s="950">
        <v>1000</v>
      </c>
      <c r="CA265" s="718">
        <f t="shared" si="407"/>
        <v>4097.9516</v>
      </c>
      <c r="CB265" s="951"/>
      <c r="CC265" s="950">
        <v>21589.46</v>
      </c>
      <c r="CD265" s="702">
        <f t="shared" si="410"/>
        <v>204897.58</v>
      </c>
      <c r="CE265" s="731">
        <f t="shared" si="413"/>
        <v>65279.218</v>
      </c>
      <c r="CF265" s="739">
        <f t="shared" si="411"/>
        <v>139618.362</v>
      </c>
      <c r="CG265" s="952">
        <f t="shared" si="408"/>
        <v>65279.218</v>
      </c>
      <c r="CH265" s="953"/>
      <c r="CI265" s="954"/>
      <c r="CJ265" s="955"/>
      <c r="CK265" s="964"/>
      <c r="CL265" s="965"/>
      <c r="CM265" s="954"/>
      <c r="CN265" s="955"/>
      <c r="CO265" s="955"/>
      <c r="CP265" s="955"/>
      <c r="CQ265" s="955"/>
      <c r="CR265" s="955"/>
      <c r="CS265" s="955"/>
      <c r="CT265" s="970"/>
      <c r="CU265" s="971"/>
      <c r="CV265" s="972"/>
      <c r="CW265" s="973"/>
      <c r="CX265" s="974"/>
      <c r="CY265" s="975"/>
      <c r="CZ265" s="976"/>
      <c r="DA265" s="991"/>
      <c r="DB265" s="992"/>
    </row>
    <row r="266" ht="236" customHeight="1" spans="1:106">
      <c r="A266" s="673">
        <v>589</v>
      </c>
      <c r="B266" s="926" t="s">
        <v>1342</v>
      </c>
      <c r="C266" s="927" t="s">
        <v>1766</v>
      </c>
      <c r="D266" s="927" t="s">
        <v>1767</v>
      </c>
      <c r="E266" s="927" t="s">
        <v>113</v>
      </c>
      <c r="F266" s="927">
        <v>2084152385</v>
      </c>
      <c r="G266" s="927" t="s">
        <v>1585</v>
      </c>
      <c r="H266" s="928"/>
      <c r="I266" s="935"/>
      <c r="J266" s="935"/>
      <c r="K266" s="936"/>
      <c r="L266" s="937"/>
      <c r="M266" s="937"/>
      <c r="N266" s="938"/>
      <c r="O266" s="938"/>
      <c r="P266" s="938"/>
      <c r="Q266" s="938"/>
      <c r="R266" s="938"/>
      <c r="S266" s="938">
        <v>169897.58</v>
      </c>
      <c r="T266" s="938"/>
      <c r="U266" s="938"/>
      <c r="V266" s="938"/>
      <c r="W266" s="938"/>
      <c r="X266" s="938"/>
      <c r="Y266" s="938"/>
      <c r="Z266" s="938"/>
      <c r="AA266" s="938"/>
      <c r="AB266" s="938"/>
      <c r="AC266" s="938">
        <v>2500</v>
      </c>
      <c r="AD266" s="938"/>
      <c r="AE266" s="938">
        <v>30000</v>
      </c>
      <c r="AF266" s="938"/>
      <c r="AG266" s="938"/>
      <c r="AH266" s="938"/>
      <c r="AI266" s="938"/>
      <c r="AJ266" s="938">
        <v>2500</v>
      </c>
      <c r="AK266" s="938"/>
      <c r="AL266" s="938"/>
      <c r="AM266" s="938"/>
      <c r="AN266" s="938"/>
      <c r="AO266" s="938"/>
      <c r="AP266" s="938"/>
      <c r="AQ266" s="938"/>
      <c r="AR266" s="938"/>
      <c r="AS266" s="938"/>
      <c r="AT266" s="938"/>
      <c r="AU266" s="938">
        <f t="shared" si="412"/>
        <v>6795.9032</v>
      </c>
      <c r="AV266" s="938"/>
      <c r="AW266" s="938"/>
      <c r="AX266" s="718"/>
      <c r="AY266" s="947"/>
      <c r="AZ266" s="947"/>
      <c r="BA266" s="938"/>
      <c r="BB266" s="938"/>
      <c r="BC266" s="938"/>
      <c r="BD266" s="948"/>
      <c r="BE266" s="948"/>
      <c r="BF266" s="938"/>
      <c r="BG266" s="938"/>
      <c r="BH266" s="949"/>
      <c r="BI266" s="938">
        <v>6795.9032</v>
      </c>
      <c r="BJ266" s="938"/>
      <c r="BK266" s="938"/>
      <c r="BL266" s="938"/>
      <c r="BM266" s="938"/>
      <c r="BN266" s="938"/>
      <c r="BO266" s="938">
        <v>20000</v>
      </c>
      <c r="BP266" s="938"/>
      <c r="BQ266" s="938"/>
      <c r="BR266" s="950"/>
      <c r="BS266" s="950"/>
      <c r="BT266" s="950"/>
      <c r="BU266" s="950"/>
      <c r="BV266" s="950"/>
      <c r="BW266" s="950"/>
      <c r="BX266" s="950"/>
      <c r="BY266" s="950">
        <v>2000</v>
      </c>
      <c r="BZ266" s="950">
        <v>1000</v>
      </c>
      <c r="CA266" s="718">
        <f t="shared" si="407"/>
        <v>4097.9516</v>
      </c>
      <c r="CB266" s="951"/>
      <c r="CC266" s="950">
        <v>21589.46</v>
      </c>
      <c r="CD266" s="702">
        <f t="shared" si="410"/>
        <v>204897.58</v>
      </c>
      <c r="CE266" s="731">
        <f t="shared" si="413"/>
        <v>62279.218</v>
      </c>
      <c r="CF266" s="739">
        <f t="shared" si="411"/>
        <v>142618.362</v>
      </c>
      <c r="CG266" s="952">
        <f t="shared" si="408"/>
        <v>62279.218</v>
      </c>
      <c r="CH266" s="953"/>
      <c r="CI266" s="954"/>
      <c r="CJ266" s="955"/>
      <c r="CK266" s="964"/>
      <c r="CL266" s="965"/>
      <c r="CM266" s="954"/>
      <c r="CN266" s="955"/>
      <c r="CO266" s="955"/>
      <c r="CP266" s="955"/>
      <c r="CQ266" s="955"/>
      <c r="CR266" s="955"/>
      <c r="CS266" s="955"/>
      <c r="CT266" s="970"/>
      <c r="CU266" s="971"/>
      <c r="CV266" s="972"/>
      <c r="CW266" s="973"/>
      <c r="CX266" s="974"/>
      <c r="CY266" s="975"/>
      <c r="CZ266" s="976"/>
      <c r="DA266" s="991"/>
      <c r="DB266" s="992"/>
    </row>
    <row r="267" ht="236" customHeight="1" spans="1:106">
      <c r="A267" s="675">
        <v>590</v>
      </c>
      <c r="B267" s="926" t="s">
        <v>1343</v>
      </c>
      <c r="C267" s="927" t="s">
        <v>1766</v>
      </c>
      <c r="D267" s="927" t="s">
        <v>1566</v>
      </c>
      <c r="E267" s="927" t="s">
        <v>113</v>
      </c>
      <c r="F267" s="927">
        <v>2036943230</v>
      </c>
      <c r="G267" s="927" t="s">
        <v>1585</v>
      </c>
      <c r="H267" s="928"/>
      <c r="I267" s="935"/>
      <c r="J267" s="935"/>
      <c r="K267" s="936"/>
      <c r="L267" s="937"/>
      <c r="M267" s="937"/>
      <c r="N267" s="938"/>
      <c r="O267" s="938"/>
      <c r="P267" s="938"/>
      <c r="Q267" s="938"/>
      <c r="R267" s="938"/>
      <c r="S267" s="938">
        <v>169897.58</v>
      </c>
      <c r="T267" s="938"/>
      <c r="U267" s="938"/>
      <c r="V267" s="938"/>
      <c r="W267" s="938"/>
      <c r="X267" s="938"/>
      <c r="Y267" s="938"/>
      <c r="Z267" s="938"/>
      <c r="AA267" s="938"/>
      <c r="AB267" s="938"/>
      <c r="AC267" s="938">
        <v>2500</v>
      </c>
      <c r="AD267" s="938"/>
      <c r="AE267" s="938">
        <v>30000</v>
      </c>
      <c r="AF267" s="938"/>
      <c r="AG267" s="938"/>
      <c r="AH267" s="938"/>
      <c r="AI267" s="938"/>
      <c r="AJ267" s="938">
        <v>2500</v>
      </c>
      <c r="AK267" s="938"/>
      <c r="AL267" s="938"/>
      <c r="AM267" s="938"/>
      <c r="AN267" s="938"/>
      <c r="AO267" s="938"/>
      <c r="AP267" s="938"/>
      <c r="AQ267" s="938"/>
      <c r="AR267" s="938"/>
      <c r="AS267" s="938"/>
      <c r="AT267" s="938"/>
      <c r="AU267" s="938">
        <f t="shared" si="412"/>
        <v>6795.9032</v>
      </c>
      <c r="AV267" s="938"/>
      <c r="AW267" s="938"/>
      <c r="AX267" s="718"/>
      <c r="AY267" s="947"/>
      <c r="AZ267" s="947"/>
      <c r="BA267" s="938"/>
      <c r="BB267" s="938"/>
      <c r="BC267" s="938"/>
      <c r="BD267" s="948"/>
      <c r="BE267" s="948"/>
      <c r="BF267" s="938"/>
      <c r="BG267" s="938"/>
      <c r="BH267" s="949"/>
      <c r="BI267" s="938">
        <v>6795.9032</v>
      </c>
      <c r="BJ267" s="938"/>
      <c r="BK267" s="938"/>
      <c r="BL267" s="938"/>
      <c r="BM267" s="938"/>
      <c r="BN267" s="938"/>
      <c r="BO267" s="938">
        <v>20000</v>
      </c>
      <c r="BP267" s="938"/>
      <c r="BQ267" s="938"/>
      <c r="BR267" s="950"/>
      <c r="BS267" s="950"/>
      <c r="BT267" s="950"/>
      <c r="BU267" s="950"/>
      <c r="BV267" s="950"/>
      <c r="BW267" s="950"/>
      <c r="BX267" s="950"/>
      <c r="BY267" s="950"/>
      <c r="BZ267" s="950">
        <v>1000</v>
      </c>
      <c r="CA267" s="718">
        <f t="shared" si="407"/>
        <v>4097.9516</v>
      </c>
      <c r="CB267" s="951"/>
      <c r="CC267" s="950">
        <v>21589.46</v>
      </c>
      <c r="CD267" s="702">
        <f t="shared" si="410"/>
        <v>204897.58</v>
      </c>
      <c r="CE267" s="731">
        <f t="shared" si="413"/>
        <v>60279.218</v>
      </c>
      <c r="CF267" s="739">
        <f t="shared" si="411"/>
        <v>144618.362</v>
      </c>
      <c r="CG267" s="952">
        <f t="shared" si="408"/>
        <v>60279.218</v>
      </c>
      <c r="CH267" s="953"/>
      <c r="CI267" s="954"/>
      <c r="CJ267" s="955"/>
      <c r="CK267" s="964"/>
      <c r="CL267" s="965"/>
      <c r="CM267" s="954"/>
      <c r="CN267" s="955"/>
      <c r="CO267" s="955"/>
      <c r="CP267" s="955"/>
      <c r="CQ267" s="955"/>
      <c r="CR267" s="955"/>
      <c r="CS267" s="955"/>
      <c r="CT267" s="970"/>
      <c r="CU267" s="971"/>
      <c r="CV267" s="972"/>
      <c r="CW267" s="973"/>
      <c r="CX267" s="974"/>
      <c r="CY267" s="975"/>
      <c r="CZ267" s="976"/>
      <c r="DA267" s="991"/>
      <c r="DB267" s="992"/>
    </row>
    <row r="268" ht="236" customHeight="1" spans="1:106">
      <c r="A268" s="673">
        <v>591</v>
      </c>
      <c r="B268" s="926" t="s">
        <v>1344</v>
      </c>
      <c r="C268" s="927" t="s">
        <v>1527</v>
      </c>
      <c r="D268" s="927" t="s">
        <v>1768</v>
      </c>
      <c r="E268" s="927" t="s">
        <v>97</v>
      </c>
      <c r="F268" s="1458" t="s">
        <v>1345</v>
      </c>
      <c r="G268" s="927" t="s">
        <v>1585</v>
      </c>
      <c r="H268" s="928"/>
      <c r="I268" s="935"/>
      <c r="J268" s="935"/>
      <c r="K268" s="936"/>
      <c r="L268" s="937"/>
      <c r="M268" s="937"/>
      <c r="N268" s="938"/>
      <c r="O268" s="938"/>
      <c r="P268" s="938"/>
      <c r="Q268" s="938"/>
      <c r="R268" s="938"/>
      <c r="S268" s="938">
        <v>169897.58</v>
      </c>
      <c r="T268" s="938"/>
      <c r="U268" s="938"/>
      <c r="V268" s="938"/>
      <c r="W268" s="938"/>
      <c r="X268" s="938"/>
      <c r="Y268" s="938"/>
      <c r="Z268" s="938"/>
      <c r="AA268" s="938"/>
      <c r="AB268" s="938">
        <v>12500</v>
      </c>
      <c r="AC268" s="938">
        <v>2500</v>
      </c>
      <c r="AD268" s="938"/>
      <c r="AE268" s="938"/>
      <c r="AF268" s="938"/>
      <c r="AG268" s="938"/>
      <c r="AH268" s="938">
        <v>34500</v>
      </c>
      <c r="AI268" s="938"/>
      <c r="AJ268" s="938">
        <v>2500</v>
      </c>
      <c r="AK268" s="938"/>
      <c r="AL268" s="938"/>
      <c r="AM268" s="938"/>
      <c r="AN268" s="938"/>
      <c r="AO268" s="938"/>
      <c r="AP268" s="938"/>
      <c r="AQ268" s="938"/>
      <c r="AR268" s="938"/>
      <c r="AS268" s="938"/>
      <c r="AT268" s="938"/>
      <c r="AU268" s="938">
        <f t="shared" si="412"/>
        <v>6795.9032</v>
      </c>
      <c r="AV268" s="938"/>
      <c r="AW268" s="938">
        <v>3000</v>
      </c>
      <c r="AX268" s="718">
        <f t="shared" si="401"/>
        <v>3397.9516</v>
      </c>
      <c r="AY268" s="947"/>
      <c r="AZ268" s="947"/>
      <c r="BA268" s="938"/>
      <c r="BB268" s="938">
        <v>25000</v>
      </c>
      <c r="BC268" s="938"/>
      <c r="BD268" s="948"/>
      <c r="BE268" s="948"/>
      <c r="BF268" s="938"/>
      <c r="BG268" s="938"/>
      <c r="BH268" s="949"/>
      <c r="BI268" s="938"/>
      <c r="BJ268" s="938"/>
      <c r="BK268" s="938"/>
      <c r="BL268" s="938"/>
      <c r="BM268" s="938"/>
      <c r="BN268" s="938"/>
      <c r="BO268" s="938">
        <v>10000</v>
      </c>
      <c r="BP268" s="938"/>
      <c r="BQ268" s="938"/>
      <c r="BR268" s="950"/>
      <c r="BS268" s="950">
        <v>48800</v>
      </c>
      <c r="BT268" s="950"/>
      <c r="BU268" s="950"/>
      <c r="BV268" s="950"/>
      <c r="BW268" s="950"/>
      <c r="BX268" s="950">
        <v>10000</v>
      </c>
      <c r="BY268" s="950">
        <v>2000</v>
      </c>
      <c r="BZ268" s="950">
        <v>1000</v>
      </c>
      <c r="CA268" s="718">
        <f t="shared" si="407"/>
        <v>4437.9516</v>
      </c>
      <c r="CB268" s="951"/>
      <c r="CC268" s="950">
        <v>22345.46</v>
      </c>
      <c r="CD268" s="702">
        <f t="shared" si="410"/>
        <v>221897.58</v>
      </c>
      <c r="CE268" s="731">
        <f t="shared" si="413"/>
        <v>136777.2664</v>
      </c>
      <c r="CF268" s="739">
        <f t="shared" si="411"/>
        <v>85120.3136</v>
      </c>
      <c r="CG268" s="952">
        <f t="shared" si="408"/>
        <v>136777.2664</v>
      </c>
      <c r="CH268" s="953"/>
      <c r="CI268" s="954"/>
      <c r="CJ268" s="955"/>
      <c r="CK268" s="964"/>
      <c r="CL268" s="965"/>
      <c r="CM268" s="954"/>
      <c r="CN268" s="955"/>
      <c r="CO268" s="955"/>
      <c r="CP268" s="955"/>
      <c r="CQ268" s="955"/>
      <c r="CR268" s="955"/>
      <c r="CS268" s="955"/>
      <c r="CT268" s="970"/>
      <c r="CU268" s="971"/>
      <c r="CV268" s="972"/>
      <c r="CW268" s="973"/>
      <c r="CX268" s="974"/>
      <c r="CY268" s="975"/>
      <c r="CZ268" s="976"/>
      <c r="DA268" s="991"/>
      <c r="DB268" s="992"/>
    </row>
    <row r="269" ht="236" customHeight="1" spans="1:106">
      <c r="A269" s="675">
        <v>592</v>
      </c>
      <c r="B269" s="926" t="s">
        <v>1346</v>
      </c>
      <c r="C269" s="927" t="s">
        <v>1527</v>
      </c>
      <c r="D269" s="927" t="s">
        <v>1768</v>
      </c>
      <c r="E269" s="927" t="s">
        <v>127</v>
      </c>
      <c r="F269" s="1458" t="s">
        <v>1347</v>
      </c>
      <c r="G269" s="927" t="s">
        <v>1585</v>
      </c>
      <c r="H269" s="928"/>
      <c r="I269" s="935"/>
      <c r="J269" s="935"/>
      <c r="K269" s="936"/>
      <c r="L269" s="937"/>
      <c r="M269" s="937"/>
      <c r="N269" s="938"/>
      <c r="O269" s="938"/>
      <c r="P269" s="938"/>
      <c r="Q269" s="938"/>
      <c r="R269" s="938"/>
      <c r="S269" s="938">
        <v>169897.58</v>
      </c>
      <c r="T269" s="938"/>
      <c r="U269" s="938"/>
      <c r="V269" s="938"/>
      <c r="W269" s="938"/>
      <c r="X269" s="938"/>
      <c r="Y269" s="938"/>
      <c r="Z269" s="938"/>
      <c r="AA269" s="938"/>
      <c r="AB269" s="938"/>
      <c r="AC269" s="938">
        <v>2500</v>
      </c>
      <c r="AD269" s="938"/>
      <c r="AE269" s="938"/>
      <c r="AF269" s="938"/>
      <c r="AG269" s="938"/>
      <c r="AH269" s="938"/>
      <c r="AI269" s="938"/>
      <c r="AJ269" s="938">
        <v>2500</v>
      </c>
      <c r="AK269" s="938"/>
      <c r="AL269" s="938"/>
      <c r="AM269" s="938"/>
      <c r="AN269" s="938"/>
      <c r="AO269" s="938"/>
      <c r="AP269" s="938"/>
      <c r="AQ269" s="938"/>
      <c r="AR269" s="938"/>
      <c r="AS269" s="938"/>
      <c r="AT269" s="938"/>
      <c r="AU269" s="938">
        <f t="shared" si="412"/>
        <v>6795.9032</v>
      </c>
      <c r="AV269" s="938"/>
      <c r="AW269" s="938">
        <v>3000</v>
      </c>
      <c r="AX269" s="718">
        <f t="shared" si="401"/>
        <v>3397.9516</v>
      </c>
      <c r="AY269" s="947"/>
      <c r="AZ269" s="947"/>
      <c r="BA269" s="938"/>
      <c r="BB269" s="938"/>
      <c r="BC269" s="938"/>
      <c r="BD269" s="948"/>
      <c r="BE269" s="948"/>
      <c r="BF269" s="938"/>
      <c r="BG269" s="938"/>
      <c r="BH269" s="949"/>
      <c r="BI269" s="938"/>
      <c r="BJ269" s="938"/>
      <c r="BK269" s="938"/>
      <c r="BL269" s="938"/>
      <c r="BM269" s="938"/>
      <c r="BN269" s="938"/>
      <c r="BO269" s="938">
        <v>20000</v>
      </c>
      <c r="BP269" s="938"/>
      <c r="BQ269" s="938"/>
      <c r="BR269" s="950"/>
      <c r="BS269" s="950"/>
      <c r="BT269" s="950"/>
      <c r="BU269" s="950"/>
      <c r="BV269" s="950"/>
      <c r="BW269" s="950"/>
      <c r="BX269" s="950"/>
      <c r="BY269" s="950">
        <v>2000</v>
      </c>
      <c r="BZ269" s="950">
        <v>1000</v>
      </c>
      <c r="CA269" s="718">
        <f t="shared" si="407"/>
        <v>3497.9516</v>
      </c>
      <c r="CB269" s="951"/>
      <c r="CC269" s="950">
        <v>16751.1</v>
      </c>
      <c r="CD269" s="702">
        <f t="shared" si="410"/>
        <v>174897.58</v>
      </c>
      <c r="CE269" s="731">
        <f t="shared" si="413"/>
        <v>56442.9064</v>
      </c>
      <c r="CF269" s="739">
        <f t="shared" si="411"/>
        <v>118454.6736</v>
      </c>
      <c r="CG269" s="952">
        <f t="shared" si="408"/>
        <v>56442.9064</v>
      </c>
      <c r="CH269" s="953"/>
      <c r="CI269" s="954"/>
      <c r="CJ269" s="955"/>
      <c r="CK269" s="964"/>
      <c r="CL269" s="965"/>
      <c r="CM269" s="954"/>
      <c r="CN269" s="955"/>
      <c r="CO269" s="955"/>
      <c r="CP269" s="955"/>
      <c r="CQ269" s="955"/>
      <c r="CR269" s="955"/>
      <c r="CS269" s="955"/>
      <c r="CT269" s="970"/>
      <c r="CU269" s="971"/>
      <c r="CV269" s="972"/>
      <c r="CW269" s="973"/>
      <c r="CX269" s="974"/>
      <c r="CY269" s="975"/>
      <c r="CZ269" s="976"/>
      <c r="DA269" s="991"/>
      <c r="DB269" s="992"/>
    </row>
    <row r="270" ht="236" customHeight="1" spans="1:106">
      <c r="A270" s="673">
        <v>593</v>
      </c>
      <c r="B270" s="926" t="s">
        <v>1348</v>
      </c>
      <c r="C270" s="927" t="s">
        <v>1527</v>
      </c>
      <c r="D270" s="927" t="s">
        <v>1769</v>
      </c>
      <c r="E270" s="927" t="s">
        <v>127</v>
      </c>
      <c r="F270" s="1458" t="s">
        <v>1349</v>
      </c>
      <c r="G270" s="927" t="s">
        <v>1585</v>
      </c>
      <c r="H270" s="928"/>
      <c r="I270" s="935"/>
      <c r="J270" s="935"/>
      <c r="K270" s="936"/>
      <c r="L270" s="937"/>
      <c r="M270" s="937"/>
      <c r="N270" s="938"/>
      <c r="O270" s="938"/>
      <c r="P270" s="938"/>
      <c r="Q270" s="938"/>
      <c r="R270" s="938"/>
      <c r="S270" s="938">
        <v>169897.58</v>
      </c>
      <c r="T270" s="938"/>
      <c r="U270" s="938"/>
      <c r="V270" s="938"/>
      <c r="W270" s="938"/>
      <c r="X270" s="938"/>
      <c r="Y270" s="938"/>
      <c r="Z270" s="938"/>
      <c r="AA270" s="938"/>
      <c r="AB270" s="938"/>
      <c r="AC270" s="938">
        <v>2500</v>
      </c>
      <c r="AD270" s="938"/>
      <c r="AE270" s="938"/>
      <c r="AF270" s="938"/>
      <c r="AG270" s="938"/>
      <c r="AH270" s="938"/>
      <c r="AI270" s="938"/>
      <c r="AJ270" s="938">
        <v>2500</v>
      </c>
      <c r="AK270" s="938"/>
      <c r="AL270" s="938"/>
      <c r="AM270" s="938"/>
      <c r="AN270" s="938"/>
      <c r="AO270" s="938"/>
      <c r="AP270" s="938"/>
      <c r="AQ270" s="938"/>
      <c r="AR270" s="938"/>
      <c r="AS270" s="938"/>
      <c r="AT270" s="938"/>
      <c r="AU270" s="938">
        <f t="shared" si="412"/>
        <v>6795.9032</v>
      </c>
      <c r="AV270" s="938"/>
      <c r="AW270" s="938">
        <v>3000</v>
      </c>
      <c r="AX270" s="718">
        <f t="shared" si="401"/>
        <v>3397.9516</v>
      </c>
      <c r="AY270" s="947"/>
      <c r="AZ270" s="947"/>
      <c r="BA270" s="938"/>
      <c r="BB270" s="938"/>
      <c r="BC270" s="938"/>
      <c r="BD270" s="948"/>
      <c r="BE270" s="948"/>
      <c r="BF270" s="938"/>
      <c r="BG270" s="938"/>
      <c r="BH270" s="949"/>
      <c r="BI270" s="938"/>
      <c r="BJ270" s="938"/>
      <c r="BK270" s="938"/>
      <c r="BL270" s="938"/>
      <c r="BM270" s="938"/>
      <c r="BN270" s="938"/>
      <c r="BO270" s="938">
        <v>0</v>
      </c>
      <c r="BP270" s="938"/>
      <c r="BQ270" s="938"/>
      <c r="BR270" s="950"/>
      <c r="BS270" s="950"/>
      <c r="BT270" s="950"/>
      <c r="BU270" s="950"/>
      <c r="BV270" s="950"/>
      <c r="BW270" s="950"/>
      <c r="BX270" s="950">
        <v>10000</v>
      </c>
      <c r="BY270" s="950"/>
      <c r="BZ270" s="950">
        <v>1000</v>
      </c>
      <c r="CA270" s="718">
        <f t="shared" si="407"/>
        <v>3497.9516</v>
      </c>
      <c r="CB270" s="951"/>
      <c r="CC270" s="950">
        <v>16751.1</v>
      </c>
      <c r="CD270" s="702">
        <f t="shared" si="410"/>
        <v>174897.58</v>
      </c>
      <c r="CE270" s="731">
        <f t="shared" si="413"/>
        <v>44442.9064</v>
      </c>
      <c r="CF270" s="739">
        <f t="shared" si="411"/>
        <v>130454.6736</v>
      </c>
      <c r="CG270" s="952">
        <f t="shared" si="408"/>
        <v>44442.9064</v>
      </c>
      <c r="CH270" s="953"/>
      <c r="CI270" s="954"/>
      <c r="CJ270" s="955"/>
      <c r="CK270" s="964"/>
      <c r="CL270" s="965"/>
      <c r="CM270" s="954"/>
      <c r="CN270" s="955"/>
      <c r="CO270" s="955"/>
      <c r="CP270" s="955"/>
      <c r="CQ270" s="955"/>
      <c r="CR270" s="955"/>
      <c r="CS270" s="955"/>
      <c r="CT270" s="970"/>
      <c r="CU270" s="971"/>
      <c r="CV270" s="972"/>
      <c r="CW270" s="973"/>
      <c r="CX270" s="974"/>
      <c r="CY270" s="975"/>
      <c r="CZ270" s="976"/>
      <c r="DA270" s="991"/>
      <c r="DB270" s="992"/>
    </row>
    <row r="271" ht="236" customHeight="1" spans="1:106">
      <c r="A271" s="675">
        <v>594</v>
      </c>
      <c r="B271" s="926" t="s">
        <v>1350</v>
      </c>
      <c r="C271" s="927" t="s">
        <v>1770</v>
      </c>
      <c r="D271" s="927" t="s">
        <v>1771</v>
      </c>
      <c r="E271" s="927" t="s">
        <v>93</v>
      </c>
      <c r="F271" s="1458" t="s">
        <v>1351</v>
      </c>
      <c r="G271" s="927" t="s">
        <v>1585</v>
      </c>
      <c r="H271" s="928"/>
      <c r="I271" s="935"/>
      <c r="J271" s="935"/>
      <c r="K271" s="936"/>
      <c r="L271" s="937"/>
      <c r="M271" s="937"/>
      <c r="N271" s="938"/>
      <c r="O271" s="938"/>
      <c r="P271" s="938"/>
      <c r="Q271" s="938"/>
      <c r="R271" s="938"/>
      <c r="S271" s="938">
        <v>169897.58</v>
      </c>
      <c r="T271" s="938"/>
      <c r="U271" s="938"/>
      <c r="V271" s="938"/>
      <c r="W271" s="938"/>
      <c r="X271" s="938"/>
      <c r="Y271" s="938"/>
      <c r="Z271" s="938"/>
      <c r="AA271" s="938"/>
      <c r="AB271" s="938"/>
      <c r="AC271" s="938">
        <v>2500</v>
      </c>
      <c r="AD271" s="938"/>
      <c r="AE271" s="938"/>
      <c r="AF271" s="938"/>
      <c r="AG271" s="938"/>
      <c r="AH271" s="938"/>
      <c r="AI271" s="938"/>
      <c r="AJ271" s="938">
        <v>2500</v>
      </c>
      <c r="AK271" s="938"/>
      <c r="AL271" s="938"/>
      <c r="AM271" s="938"/>
      <c r="AN271" s="938"/>
      <c r="AO271" s="938"/>
      <c r="AP271" s="938"/>
      <c r="AQ271" s="938"/>
      <c r="AR271" s="938"/>
      <c r="AS271" s="938"/>
      <c r="AT271" s="938"/>
      <c r="AU271" s="938">
        <f t="shared" si="412"/>
        <v>6795.9032</v>
      </c>
      <c r="AV271" s="938"/>
      <c r="AW271" s="938">
        <v>3000</v>
      </c>
      <c r="AX271" s="718">
        <f t="shared" si="401"/>
        <v>3397.9516</v>
      </c>
      <c r="AY271" s="947"/>
      <c r="AZ271" s="947"/>
      <c r="BA271" s="938"/>
      <c r="BB271" s="938"/>
      <c r="BC271" s="938"/>
      <c r="BD271" s="948"/>
      <c r="BE271" s="948"/>
      <c r="BF271" s="938"/>
      <c r="BG271" s="938"/>
      <c r="BH271" s="949"/>
      <c r="BI271" s="938"/>
      <c r="BJ271" s="938"/>
      <c r="BK271" s="938"/>
      <c r="BL271" s="938"/>
      <c r="BM271" s="938"/>
      <c r="BN271" s="938"/>
      <c r="BO271" s="938">
        <v>35000</v>
      </c>
      <c r="BP271" s="938"/>
      <c r="BQ271" s="938"/>
      <c r="BR271" s="950"/>
      <c r="BS271" s="950"/>
      <c r="BT271" s="950"/>
      <c r="BU271" s="950"/>
      <c r="BV271" s="950"/>
      <c r="BW271" s="950"/>
      <c r="BX271" s="950">
        <v>5000</v>
      </c>
      <c r="BY271" s="950"/>
      <c r="BZ271" s="950">
        <v>1000</v>
      </c>
      <c r="CA271" s="718">
        <f t="shared" si="407"/>
        <v>3497.9516</v>
      </c>
      <c r="CB271" s="951"/>
      <c r="CC271" s="950">
        <v>16751.1</v>
      </c>
      <c r="CD271" s="702">
        <f t="shared" si="410"/>
        <v>174897.58</v>
      </c>
      <c r="CE271" s="731">
        <f t="shared" si="413"/>
        <v>74442.9064</v>
      </c>
      <c r="CF271" s="739">
        <f t="shared" si="411"/>
        <v>100454.6736</v>
      </c>
      <c r="CG271" s="952">
        <f t="shared" si="408"/>
        <v>74442.9064</v>
      </c>
      <c r="CH271" s="953"/>
      <c r="CI271" s="954"/>
      <c r="CJ271" s="955"/>
      <c r="CK271" s="964"/>
      <c r="CL271" s="965"/>
      <c r="CM271" s="954"/>
      <c r="CN271" s="955"/>
      <c r="CO271" s="955"/>
      <c r="CP271" s="955"/>
      <c r="CQ271" s="955"/>
      <c r="CR271" s="955"/>
      <c r="CS271" s="955"/>
      <c r="CT271" s="970"/>
      <c r="CU271" s="971"/>
      <c r="CV271" s="972"/>
      <c r="CW271" s="973"/>
      <c r="CX271" s="974"/>
      <c r="CY271" s="975"/>
      <c r="CZ271" s="976"/>
      <c r="DA271" s="991"/>
      <c r="DB271" s="992"/>
    </row>
    <row r="272" s="663" customFormat="1" ht="236" customHeight="1" spans="1:106">
      <c r="A272" s="673">
        <v>595</v>
      </c>
      <c r="B272" s="929" t="s">
        <v>1352</v>
      </c>
      <c r="C272" s="930" t="s">
        <v>1527</v>
      </c>
      <c r="D272" s="930" t="s">
        <v>1772</v>
      </c>
      <c r="E272" s="930" t="s">
        <v>113</v>
      </c>
      <c r="F272" s="1459" t="s">
        <v>1353</v>
      </c>
      <c r="G272" s="930" t="s">
        <v>1585</v>
      </c>
      <c r="H272" s="931"/>
      <c r="I272" s="939"/>
      <c r="J272" s="939"/>
      <c r="K272" s="940"/>
      <c r="L272" s="941"/>
      <c r="M272" s="941"/>
      <c r="N272" s="942"/>
      <c r="O272" s="942"/>
      <c r="P272" s="942"/>
      <c r="Q272" s="942"/>
      <c r="R272" s="942"/>
      <c r="S272" s="938">
        <v>169897.58</v>
      </c>
      <c r="T272" s="938"/>
      <c r="U272" s="938"/>
      <c r="V272" s="938"/>
      <c r="W272" s="938"/>
      <c r="X272" s="938"/>
      <c r="Y272" s="938"/>
      <c r="Z272" s="938"/>
      <c r="AA272" s="938"/>
      <c r="AB272" s="938"/>
      <c r="AC272" s="938">
        <v>2500</v>
      </c>
      <c r="AD272" s="938"/>
      <c r="AE272" s="938"/>
      <c r="AF272" s="938"/>
      <c r="AG272" s="938"/>
      <c r="AH272" s="938"/>
      <c r="AI272" s="938"/>
      <c r="AJ272" s="938">
        <v>2500</v>
      </c>
      <c r="AK272" s="938"/>
      <c r="AL272" s="938"/>
      <c r="AM272" s="938"/>
      <c r="AN272" s="938"/>
      <c r="AO272" s="938"/>
      <c r="AP272" s="938"/>
      <c r="AQ272" s="938"/>
      <c r="AR272" s="938"/>
      <c r="AS272" s="938"/>
      <c r="AT272" s="938"/>
      <c r="AU272" s="938">
        <f t="shared" si="412"/>
        <v>6795.9032</v>
      </c>
      <c r="AV272" s="938"/>
      <c r="AW272" s="938">
        <v>3000</v>
      </c>
      <c r="AX272" s="718">
        <f t="shared" si="401"/>
        <v>3397.9516</v>
      </c>
      <c r="AY272" s="947"/>
      <c r="AZ272" s="947"/>
      <c r="BA272" s="938"/>
      <c r="BB272" s="938"/>
      <c r="BC272" s="938"/>
      <c r="BD272" s="948"/>
      <c r="BE272" s="948"/>
      <c r="BF272" s="938"/>
      <c r="BG272" s="938"/>
      <c r="BH272" s="949"/>
      <c r="BI272" s="938"/>
      <c r="BJ272" s="938"/>
      <c r="BK272" s="938"/>
      <c r="BL272" s="938"/>
      <c r="BM272" s="938"/>
      <c r="BN272" s="938"/>
      <c r="BO272" s="938">
        <v>20000</v>
      </c>
      <c r="BP272" s="938"/>
      <c r="BQ272" s="938"/>
      <c r="BR272" s="950"/>
      <c r="BS272" s="950"/>
      <c r="BT272" s="950"/>
      <c r="BU272" s="950"/>
      <c r="BV272" s="950"/>
      <c r="BW272" s="950"/>
      <c r="BX272" s="950"/>
      <c r="BY272" s="950"/>
      <c r="BZ272" s="950">
        <v>1000</v>
      </c>
      <c r="CA272" s="718">
        <f t="shared" si="407"/>
        <v>3497.9516</v>
      </c>
      <c r="CB272" s="951"/>
      <c r="CC272" s="950">
        <v>16751.1</v>
      </c>
      <c r="CD272" s="702">
        <f t="shared" si="410"/>
        <v>174897.58</v>
      </c>
      <c r="CE272" s="731">
        <f t="shared" si="413"/>
        <v>54442.9064</v>
      </c>
      <c r="CF272" s="739">
        <f t="shared" si="411"/>
        <v>120454.6736</v>
      </c>
      <c r="CG272" s="956">
        <f t="shared" si="408"/>
        <v>54442.9064</v>
      </c>
      <c r="CH272" s="957"/>
      <c r="CI272" s="958"/>
      <c r="CJ272" s="959"/>
      <c r="CK272" s="966"/>
      <c r="CL272" s="967"/>
      <c r="CM272" s="958"/>
      <c r="CN272" s="959"/>
      <c r="CO272" s="959"/>
      <c r="CP272" s="959"/>
      <c r="CQ272" s="959"/>
      <c r="CR272" s="959"/>
      <c r="CS272" s="959"/>
      <c r="CT272" s="977"/>
      <c r="CU272" s="978"/>
      <c r="CV272" s="979"/>
      <c r="CW272" s="980"/>
      <c r="CX272" s="981"/>
      <c r="CY272" s="982"/>
      <c r="CZ272" s="983"/>
      <c r="DA272" s="993"/>
      <c r="DB272" s="994"/>
    </row>
    <row r="273" ht="236" customHeight="1" spans="1:106">
      <c r="A273" s="675">
        <v>596</v>
      </c>
      <c r="B273" s="926" t="s">
        <v>1354</v>
      </c>
      <c r="C273" s="927" t="s">
        <v>1770</v>
      </c>
      <c r="D273" s="927" t="s">
        <v>1773</v>
      </c>
      <c r="E273" s="927" t="s">
        <v>113</v>
      </c>
      <c r="F273" s="927">
        <v>2055382773</v>
      </c>
      <c r="G273" s="927" t="s">
        <v>1585</v>
      </c>
      <c r="H273" s="928"/>
      <c r="I273" s="935"/>
      <c r="J273" s="935"/>
      <c r="K273" s="936"/>
      <c r="L273" s="937"/>
      <c r="M273" s="937"/>
      <c r="N273" s="938"/>
      <c r="O273" s="938"/>
      <c r="P273" s="938"/>
      <c r="Q273" s="938"/>
      <c r="R273" s="938"/>
      <c r="S273" s="938">
        <v>169897.58</v>
      </c>
      <c r="T273" s="938"/>
      <c r="U273" s="938"/>
      <c r="V273" s="938"/>
      <c r="W273" s="938"/>
      <c r="X273" s="938"/>
      <c r="Y273" s="938"/>
      <c r="Z273" s="938"/>
      <c r="AA273" s="938"/>
      <c r="AB273" s="938"/>
      <c r="AC273" s="938">
        <v>2500</v>
      </c>
      <c r="AD273" s="938"/>
      <c r="AE273" s="938"/>
      <c r="AF273" s="938"/>
      <c r="AG273" s="938"/>
      <c r="AH273" s="938"/>
      <c r="AI273" s="938"/>
      <c r="AJ273" s="938">
        <v>2500</v>
      </c>
      <c r="AK273" s="938"/>
      <c r="AL273" s="938"/>
      <c r="AM273" s="938"/>
      <c r="AN273" s="938"/>
      <c r="AO273" s="938"/>
      <c r="AP273" s="938"/>
      <c r="AQ273" s="938"/>
      <c r="AR273" s="938"/>
      <c r="AS273" s="938"/>
      <c r="AT273" s="938"/>
      <c r="AU273" s="938">
        <f t="shared" si="412"/>
        <v>6795.9032</v>
      </c>
      <c r="AV273" s="938"/>
      <c r="AW273" s="938">
        <v>3000</v>
      </c>
      <c r="AX273" s="718">
        <f t="shared" si="401"/>
        <v>3397.9516</v>
      </c>
      <c r="AY273" s="947"/>
      <c r="AZ273" s="947"/>
      <c r="BA273" s="938"/>
      <c r="BB273" s="938"/>
      <c r="BC273" s="938"/>
      <c r="BD273" s="948"/>
      <c r="BE273" s="948"/>
      <c r="BF273" s="938"/>
      <c r="BG273" s="938"/>
      <c r="BH273" s="949"/>
      <c r="BI273" s="938"/>
      <c r="BJ273" s="938"/>
      <c r="BK273" s="938"/>
      <c r="BL273" s="938"/>
      <c r="BM273" s="938"/>
      <c r="BN273" s="938"/>
      <c r="BO273" s="938">
        <v>20000</v>
      </c>
      <c r="BP273" s="938"/>
      <c r="BQ273" s="938"/>
      <c r="BR273" s="950"/>
      <c r="BS273" s="950"/>
      <c r="BT273" s="950"/>
      <c r="BU273" s="950"/>
      <c r="BV273" s="950"/>
      <c r="BW273" s="950"/>
      <c r="BX273" s="950">
        <v>5000</v>
      </c>
      <c r="BY273" s="950"/>
      <c r="BZ273" s="950">
        <v>1000</v>
      </c>
      <c r="CA273" s="718">
        <f t="shared" si="407"/>
        <v>3497.9516</v>
      </c>
      <c r="CB273" s="951"/>
      <c r="CC273" s="950">
        <v>16751.1</v>
      </c>
      <c r="CD273" s="702">
        <f t="shared" si="410"/>
        <v>174897.58</v>
      </c>
      <c r="CE273" s="731">
        <f t="shared" si="413"/>
        <v>59442.9064</v>
      </c>
      <c r="CF273" s="739">
        <f t="shared" si="411"/>
        <v>115454.6736</v>
      </c>
      <c r="CG273" s="952">
        <f t="shared" si="408"/>
        <v>59442.9064</v>
      </c>
      <c r="CH273" s="953"/>
      <c r="CI273" s="954"/>
      <c r="CJ273" s="955"/>
      <c r="CK273" s="964"/>
      <c r="CL273" s="965"/>
      <c r="CM273" s="954"/>
      <c r="CN273" s="955"/>
      <c r="CO273" s="955"/>
      <c r="CP273" s="955"/>
      <c r="CQ273" s="955"/>
      <c r="CR273" s="955"/>
      <c r="CS273" s="955"/>
      <c r="CT273" s="970"/>
      <c r="CU273" s="971"/>
      <c r="CV273" s="972"/>
      <c r="CW273" s="973"/>
      <c r="CX273" s="974"/>
      <c r="CY273" s="975"/>
      <c r="CZ273" s="976"/>
      <c r="DA273" s="991"/>
      <c r="DB273" s="992"/>
    </row>
    <row r="274" ht="236" customHeight="1" spans="1:106">
      <c r="A274" s="673">
        <v>597</v>
      </c>
      <c r="B274" s="926" t="s">
        <v>1355</v>
      </c>
      <c r="C274" s="927" t="s">
        <v>1770</v>
      </c>
      <c r="D274" s="927" t="s">
        <v>1771</v>
      </c>
      <c r="E274" s="927" t="s">
        <v>135</v>
      </c>
      <c r="F274" s="1458" t="s">
        <v>1356</v>
      </c>
      <c r="G274" s="927" t="s">
        <v>1585</v>
      </c>
      <c r="H274" s="928"/>
      <c r="I274" s="935"/>
      <c r="J274" s="935"/>
      <c r="K274" s="936"/>
      <c r="L274" s="937"/>
      <c r="M274" s="937"/>
      <c r="N274" s="938"/>
      <c r="O274" s="938"/>
      <c r="P274" s="938"/>
      <c r="Q274" s="938"/>
      <c r="R274" s="938"/>
      <c r="S274" s="938">
        <v>169897.58</v>
      </c>
      <c r="T274" s="938"/>
      <c r="U274" s="938"/>
      <c r="V274" s="938"/>
      <c r="W274" s="938"/>
      <c r="X274" s="938"/>
      <c r="Y274" s="938"/>
      <c r="Z274" s="938"/>
      <c r="AA274" s="938"/>
      <c r="AB274" s="938"/>
      <c r="AC274" s="938">
        <v>2500</v>
      </c>
      <c r="AD274" s="938"/>
      <c r="AE274" s="938"/>
      <c r="AF274" s="938"/>
      <c r="AG274" s="938"/>
      <c r="AH274" s="938"/>
      <c r="AI274" s="938"/>
      <c r="AJ274" s="938">
        <v>2500</v>
      </c>
      <c r="AK274" s="938"/>
      <c r="AL274" s="938"/>
      <c r="AM274" s="938"/>
      <c r="AN274" s="938"/>
      <c r="AO274" s="938"/>
      <c r="AP274" s="938"/>
      <c r="AQ274" s="938"/>
      <c r="AR274" s="938"/>
      <c r="AS274" s="938"/>
      <c r="AT274" s="938"/>
      <c r="AU274" s="938">
        <f t="shared" si="412"/>
        <v>6795.9032</v>
      </c>
      <c r="AV274" s="938"/>
      <c r="AW274" s="938">
        <v>3000</v>
      </c>
      <c r="AX274" s="718">
        <f t="shared" si="401"/>
        <v>3397.9516</v>
      </c>
      <c r="AY274" s="947"/>
      <c r="AZ274" s="947"/>
      <c r="BA274" s="938"/>
      <c r="BB274" s="938"/>
      <c r="BC274" s="938"/>
      <c r="BD274" s="948"/>
      <c r="BE274" s="948"/>
      <c r="BF274" s="938"/>
      <c r="BG274" s="938"/>
      <c r="BH274" s="949"/>
      <c r="BI274" s="938"/>
      <c r="BJ274" s="938"/>
      <c r="BK274" s="938"/>
      <c r="BL274" s="938"/>
      <c r="BM274" s="938"/>
      <c r="BN274" s="938"/>
      <c r="BO274" s="938">
        <v>0</v>
      </c>
      <c r="BP274" s="938"/>
      <c r="BQ274" s="938"/>
      <c r="BR274" s="950"/>
      <c r="BS274" s="950"/>
      <c r="BT274" s="950"/>
      <c r="BU274" s="950"/>
      <c r="BV274" s="950"/>
      <c r="BW274" s="950"/>
      <c r="BX274" s="950"/>
      <c r="BY274" s="950"/>
      <c r="BZ274" s="950">
        <v>1000</v>
      </c>
      <c r="CA274" s="718">
        <f t="shared" si="407"/>
        <v>3497.9516</v>
      </c>
      <c r="CB274" s="951"/>
      <c r="CC274" s="950">
        <v>16751.1</v>
      </c>
      <c r="CD274" s="702">
        <f t="shared" si="410"/>
        <v>174897.58</v>
      </c>
      <c r="CE274" s="731">
        <f t="shared" si="413"/>
        <v>34442.9064</v>
      </c>
      <c r="CF274" s="739">
        <f t="shared" si="411"/>
        <v>140454.6736</v>
      </c>
      <c r="CG274" s="952">
        <f t="shared" si="408"/>
        <v>34442.9064</v>
      </c>
      <c r="CH274" s="953"/>
      <c r="CI274" s="954"/>
      <c r="CJ274" s="955"/>
      <c r="CK274" s="964"/>
      <c r="CL274" s="965"/>
      <c r="CM274" s="954"/>
      <c r="CN274" s="955"/>
      <c r="CO274" s="955"/>
      <c r="CP274" s="955"/>
      <c r="CQ274" s="955"/>
      <c r="CR274" s="955"/>
      <c r="CS274" s="955"/>
      <c r="CT274" s="970"/>
      <c r="CU274" s="971"/>
      <c r="CV274" s="972"/>
      <c r="CW274" s="973"/>
      <c r="CX274" s="974"/>
      <c r="CY274" s="975"/>
      <c r="CZ274" s="976"/>
      <c r="DA274" s="991"/>
      <c r="DB274" s="992"/>
    </row>
    <row r="275" ht="236" customHeight="1" spans="1:106">
      <c r="A275" s="675">
        <v>598</v>
      </c>
      <c r="B275" s="926" t="s">
        <v>1357</v>
      </c>
      <c r="C275" s="927" t="s">
        <v>1770</v>
      </c>
      <c r="D275" s="927" t="s">
        <v>1771</v>
      </c>
      <c r="E275" s="927" t="s">
        <v>151</v>
      </c>
      <c r="F275" s="927">
        <v>3043097208</v>
      </c>
      <c r="G275" s="927" t="s">
        <v>1585</v>
      </c>
      <c r="H275" s="928"/>
      <c r="I275" s="935"/>
      <c r="J275" s="935"/>
      <c r="K275" s="936"/>
      <c r="L275" s="937"/>
      <c r="M275" s="937"/>
      <c r="N275" s="938"/>
      <c r="O275" s="938"/>
      <c r="P275" s="938"/>
      <c r="Q275" s="938"/>
      <c r="R275" s="938"/>
      <c r="S275" s="938">
        <v>169897.58</v>
      </c>
      <c r="T275" s="938"/>
      <c r="U275" s="938"/>
      <c r="V275" s="938"/>
      <c r="W275" s="938"/>
      <c r="X275" s="938"/>
      <c r="Y275" s="938"/>
      <c r="Z275" s="938"/>
      <c r="AA275" s="938"/>
      <c r="AB275" s="938"/>
      <c r="AC275" s="938">
        <v>2500</v>
      </c>
      <c r="AD275" s="938"/>
      <c r="AE275" s="938"/>
      <c r="AF275" s="938"/>
      <c r="AG275" s="938"/>
      <c r="AH275" s="938"/>
      <c r="AI275" s="938"/>
      <c r="AJ275" s="938">
        <v>2500</v>
      </c>
      <c r="AK275" s="938"/>
      <c r="AL275" s="938"/>
      <c r="AM275" s="938"/>
      <c r="AN275" s="938"/>
      <c r="AO275" s="938"/>
      <c r="AP275" s="938"/>
      <c r="AQ275" s="938"/>
      <c r="AR275" s="938"/>
      <c r="AS275" s="938"/>
      <c r="AT275" s="938"/>
      <c r="AU275" s="938">
        <f t="shared" si="412"/>
        <v>6795.9032</v>
      </c>
      <c r="AV275" s="938"/>
      <c r="AW275" s="938">
        <v>3000</v>
      </c>
      <c r="AX275" s="718">
        <f t="shared" si="401"/>
        <v>3397.9516</v>
      </c>
      <c r="AY275" s="947"/>
      <c r="AZ275" s="947"/>
      <c r="BA275" s="938"/>
      <c r="BB275" s="938"/>
      <c r="BC275" s="938"/>
      <c r="BD275" s="948"/>
      <c r="BE275" s="948"/>
      <c r="BF275" s="938"/>
      <c r="BG275" s="938"/>
      <c r="BH275" s="949"/>
      <c r="BI275" s="938"/>
      <c r="BJ275" s="938"/>
      <c r="BK275" s="938"/>
      <c r="BL275" s="938"/>
      <c r="BM275" s="938"/>
      <c r="BN275" s="938"/>
      <c r="BO275" s="938">
        <v>0</v>
      </c>
      <c r="BP275" s="938"/>
      <c r="BQ275" s="938"/>
      <c r="BR275" s="950"/>
      <c r="BS275" s="950"/>
      <c r="BT275" s="950"/>
      <c r="BU275" s="950"/>
      <c r="BV275" s="950"/>
      <c r="BW275" s="950"/>
      <c r="BX275" s="950">
        <v>5000</v>
      </c>
      <c r="BY275" s="950"/>
      <c r="BZ275" s="950">
        <v>1000</v>
      </c>
      <c r="CA275" s="718">
        <f t="shared" si="407"/>
        <v>3497.9516</v>
      </c>
      <c r="CB275" s="951"/>
      <c r="CC275" s="950">
        <v>16751.1</v>
      </c>
      <c r="CD275" s="702">
        <f t="shared" si="410"/>
        <v>174897.58</v>
      </c>
      <c r="CE275" s="731">
        <f t="shared" si="413"/>
        <v>39442.9064</v>
      </c>
      <c r="CF275" s="739">
        <f t="shared" si="411"/>
        <v>135454.6736</v>
      </c>
      <c r="CG275" s="952">
        <f t="shared" si="408"/>
        <v>39442.9064</v>
      </c>
      <c r="CH275" s="953"/>
      <c r="CI275" s="954"/>
      <c r="CJ275" s="955"/>
      <c r="CK275" s="964"/>
      <c r="CL275" s="965"/>
      <c r="CM275" s="954"/>
      <c r="CN275" s="955"/>
      <c r="CO275" s="955"/>
      <c r="CP275" s="955"/>
      <c r="CQ275" s="955"/>
      <c r="CR275" s="955"/>
      <c r="CS275" s="955"/>
      <c r="CT275" s="970"/>
      <c r="CU275" s="971"/>
      <c r="CV275" s="972"/>
      <c r="CW275" s="973"/>
      <c r="CX275" s="974"/>
      <c r="CY275" s="975"/>
      <c r="CZ275" s="976"/>
      <c r="DA275" s="991"/>
      <c r="DB275" s="992"/>
    </row>
    <row r="276" ht="236" customHeight="1" spans="1:106">
      <c r="A276" s="673">
        <v>599</v>
      </c>
      <c r="B276" s="926" t="s">
        <v>1358</v>
      </c>
      <c r="C276" s="927" t="s">
        <v>1770</v>
      </c>
      <c r="D276" s="927" t="s">
        <v>1771</v>
      </c>
      <c r="E276" s="927" t="s">
        <v>97</v>
      </c>
      <c r="F276" s="1458" t="s">
        <v>1359</v>
      </c>
      <c r="G276" s="927" t="s">
        <v>1585</v>
      </c>
      <c r="H276" s="928"/>
      <c r="I276" s="935"/>
      <c r="J276" s="935"/>
      <c r="K276" s="936"/>
      <c r="L276" s="937"/>
      <c r="M276" s="937"/>
      <c r="N276" s="938"/>
      <c r="O276" s="938"/>
      <c r="P276" s="938"/>
      <c r="Q276" s="938"/>
      <c r="R276" s="938"/>
      <c r="S276" s="938">
        <v>169897.58</v>
      </c>
      <c r="T276" s="938"/>
      <c r="U276" s="938"/>
      <c r="V276" s="938"/>
      <c r="W276" s="938"/>
      <c r="X276" s="938"/>
      <c r="Y276" s="938"/>
      <c r="Z276" s="938"/>
      <c r="AA276" s="938"/>
      <c r="AB276" s="938"/>
      <c r="AC276" s="938">
        <v>2500</v>
      </c>
      <c r="AD276" s="938"/>
      <c r="AE276" s="938"/>
      <c r="AF276" s="938"/>
      <c r="AG276" s="938"/>
      <c r="AH276" s="938"/>
      <c r="AI276" s="938"/>
      <c r="AJ276" s="938">
        <v>2500</v>
      </c>
      <c r="AK276" s="938"/>
      <c r="AL276" s="938"/>
      <c r="AM276" s="938"/>
      <c r="AN276" s="938"/>
      <c r="AO276" s="938"/>
      <c r="AP276" s="938"/>
      <c r="AQ276" s="938"/>
      <c r="AR276" s="938"/>
      <c r="AS276" s="938"/>
      <c r="AT276" s="938"/>
      <c r="AU276" s="938">
        <f t="shared" si="412"/>
        <v>6795.9032</v>
      </c>
      <c r="AV276" s="938"/>
      <c r="AW276" s="938">
        <v>3000</v>
      </c>
      <c r="AX276" s="718">
        <f t="shared" si="401"/>
        <v>3397.9516</v>
      </c>
      <c r="AY276" s="947"/>
      <c r="AZ276" s="947"/>
      <c r="BA276" s="938"/>
      <c r="BB276" s="938"/>
      <c r="BC276" s="938"/>
      <c r="BD276" s="948"/>
      <c r="BE276" s="948"/>
      <c r="BF276" s="938"/>
      <c r="BG276" s="938"/>
      <c r="BH276" s="949"/>
      <c r="BI276" s="938"/>
      <c r="BJ276" s="938"/>
      <c r="BK276" s="938"/>
      <c r="BL276" s="938"/>
      <c r="BM276" s="938"/>
      <c r="BN276" s="938"/>
      <c r="BO276" s="938">
        <v>0</v>
      </c>
      <c r="BP276" s="938"/>
      <c r="BQ276" s="938"/>
      <c r="BR276" s="950"/>
      <c r="BS276" s="950"/>
      <c r="BT276" s="950"/>
      <c r="BU276" s="950"/>
      <c r="BV276" s="950"/>
      <c r="BW276" s="950"/>
      <c r="BX276" s="950"/>
      <c r="BY276" s="950"/>
      <c r="BZ276" s="950">
        <v>1000</v>
      </c>
      <c r="CA276" s="718">
        <f t="shared" si="407"/>
        <v>3497.9516</v>
      </c>
      <c r="CB276" s="951"/>
      <c r="CC276" s="950">
        <v>16751.1</v>
      </c>
      <c r="CD276" s="702">
        <f t="shared" si="410"/>
        <v>174897.58</v>
      </c>
      <c r="CE276" s="731">
        <f t="shared" si="413"/>
        <v>34442.9064</v>
      </c>
      <c r="CF276" s="739">
        <f t="shared" si="411"/>
        <v>140454.6736</v>
      </c>
      <c r="CG276" s="952">
        <f t="shared" si="408"/>
        <v>34442.9064</v>
      </c>
      <c r="CH276" s="953"/>
      <c r="CI276" s="954"/>
      <c r="CJ276" s="955"/>
      <c r="CK276" s="964"/>
      <c r="CL276" s="965"/>
      <c r="CM276" s="954"/>
      <c r="CN276" s="955"/>
      <c r="CO276" s="955"/>
      <c r="CP276" s="955"/>
      <c r="CQ276" s="955"/>
      <c r="CR276" s="955"/>
      <c r="CS276" s="955"/>
      <c r="CT276" s="970"/>
      <c r="CU276" s="971"/>
      <c r="CV276" s="972"/>
      <c r="CW276" s="973"/>
      <c r="CX276" s="974"/>
      <c r="CY276" s="975"/>
      <c r="CZ276" s="976"/>
      <c r="DA276" s="991"/>
      <c r="DB276" s="992"/>
    </row>
    <row r="277" ht="236" customHeight="1" spans="1:106">
      <c r="A277" s="675">
        <v>600</v>
      </c>
      <c r="B277" s="926" t="s">
        <v>1360</v>
      </c>
      <c r="C277" s="927" t="s">
        <v>1770</v>
      </c>
      <c r="D277" s="927" t="s">
        <v>1771</v>
      </c>
      <c r="E277" s="927" t="s">
        <v>97</v>
      </c>
      <c r="F277" s="1458" t="s">
        <v>1361</v>
      </c>
      <c r="G277" s="927" t="s">
        <v>1585</v>
      </c>
      <c r="H277" s="928"/>
      <c r="I277" s="935"/>
      <c r="J277" s="935"/>
      <c r="K277" s="936"/>
      <c r="L277" s="937"/>
      <c r="M277" s="937"/>
      <c r="N277" s="938"/>
      <c r="O277" s="938"/>
      <c r="P277" s="938"/>
      <c r="Q277" s="938"/>
      <c r="R277" s="938"/>
      <c r="S277" s="938">
        <v>169897.58</v>
      </c>
      <c r="T277" s="938"/>
      <c r="U277" s="938"/>
      <c r="V277" s="938"/>
      <c r="W277" s="938"/>
      <c r="X277" s="938"/>
      <c r="Y277" s="938"/>
      <c r="Z277" s="938"/>
      <c r="AA277" s="938"/>
      <c r="AB277" s="938"/>
      <c r="AC277" s="938">
        <v>2500</v>
      </c>
      <c r="AD277" s="938"/>
      <c r="AE277" s="938"/>
      <c r="AF277" s="938"/>
      <c r="AG277" s="938"/>
      <c r="AH277" s="938"/>
      <c r="AI277" s="938"/>
      <c r="AJ277" s="938">
        <v>2500</v>
      </c>
      <c r="AK277" s="938"/>
      <c r="AL277" s="938"/>
      <c r="AM277" s="938"/>
      <c r="AN277" s="938"/>
      <c r="AO277" s="938"/>
      <c r="AP277" s="938"/>
      <c r="AQ277" s="938"/>
      <c r="AR277" s="938"/>
      <c r="AS277" s="938"/>
      <c r="AT277" s="938"/>
      <c r="AU277" s="938">
        <f t="shared" si="412"/>
        <v>6795.9032</v>
      </c>
      <c r="AV277" s="938"/>
      <c r="AW277" s="938">
        <v>3000</v>
      </c>
      <c r="AX277" s="718">
        <f t="shared" si="401"/>
        <v>3397.9516</v>
      </c>
      <c r="AY277" s="947"/>
      <c r="AZ277" s="947"/>
      <c r="BA277" s="938"/>
      <c r="BB277" s="938"/>
      <c r="BC277" s="938"/>
      <c r="BD277" s="948"/>
      <c r="BE277" s="948"/>
      <c r="BF277" s="938"/>
      <c r="BG277" s="938"/>
      <c r="BH277" s="949"/>
      <c r="BI277" s="938"/>
      <c r="BJ277" s="938"/>
      <c r="BK277" s="938"/>
      <c r="BL277" s="938"/>
      <c r="BM277" s="938"/>
      <c r="BN277" s="938"/>
      <c r="BO277" s="938">
        <v>0</v>
      </c>
      <c r="BP277" s="938"/>
      <c r="BQ277" s="938"/>
      <c r="BR277" s="950"/>
      <c r="BS277" s="950"/>
      <c r="BT277" s="950"/>
      <c r="BU277" s="950"/>
      <c r="BV277" s="950"/>
      <c r="BW277" s="950"/>
      <c r="BX277" s="950"/>
      <c r="BY277" s="950"/>
      <c r="BZ277" s="950">
        <v>1000</v>
      </c>
      <c r="CA277" s="718">
        <f t="shared" si="407"/>
        <v>3497.9516</v>
      </c>
      <c r="CB277" s="951"/>
      <c r="CC277" s="950">
        <v>16751.1</v>
      </c>
      <c r="CD277" s="702">
        <f t="shared" si="410"/>
        <v>174897.58</v>
      </c>
      <c r="CE277" s="731">
        <f t="shared" si="413"/>
        <v>34442.9064</v>
      </c>
      <c r="CF277" s="739">
        <f t="shared" si="411"/>
        <v>140454.6736</v>
      </c>
      <c r="CG277" s="952">
        <f t="shared" si="408"/>
        <v>34442.9064</v>
      </c>
      <c r="CH277" s="953"/>
      <c r="CI277" s="954"/>
      <c r="CJ277" s="955"/>
      <c r="CK277" s="964"/>
      <c r="CL277" s="965"/>
      <c r="CM277" s="954"/>
      <c r="CN277" s="955"/>
      <c r="CO277" s="955"/>
      <c r="CP277" s="955"/>
      <c r="CQ277" s="955"/>
      <c r="CR277" s="955"/>
      <c r="CS277" s="955"/>
      <c r="CT277" s="970"/>
      <c r="CU277" s="971"/>
      <c r="CV277" s="972"/>
      <c r="CW277" s="973"/>
      <c r="CX277" s="974"/>
      <c r="CY277" s="975"/>
      <c r="CZ277" s="976"/>
      <c r="DA277" s="991"/>
      <c r="DB277" s="992"/>
    </row>
    <row r="278" ht="236" customHeight="1" spans="1:106">
      <c r="A278" s="673">
        <v>601</v>
      </c>
      <c r="B278" s="926" t="s">
        <v>1362</v>
      </c>
      <c r="C278" s="927" t="s">
        <v>1770</v>
      </c>
      <c r="D278" s="927" t="s">
        <v>1771</v>
      </c>
      <c r="E278" s="927" t="s">
        <v>259</v>
      </c>
      <c r="F278" s="927">
        <v>6977214401</v>
      </c>
      <c r="G278" s="927" t="s">
        <v>1585</v>
      </c>
      <c r="H278" s="928"/>
      <c r="I278" s="935"/>
      <c r="J278" s="935"/>
      <c r="K278" s="936"/>
      <c r="L278" s="937"/>
      <c r="M278" s="937"/>
      <c r="N278" s="938"/>
      <c r="O278" s="938"/>
      <c r="P278" s="938"/>
      <c r="Q278" s="938"/>
      <c r="R278" s="938"/>
      <c r="S278" s="938">
        <v>169897.58</v>
      </c>
      <c r="T278" s="938"/>
      <c r="U278" s="938"/>
      <c r="V278" s="938"/>
      <c r="W278" s="938"/>
      <c r="X278" s="938"/>
      <c r="Y278" s="938"/>
      <c r="Z278" s="938"/>
      <c r="AA278" s="938"/>
      <c r="AB278" s="938"/>
      <c r="AC278" s="938">
        <v>2500</v>
      </c>
      <c r="AD278" s="938"/>
      <c r="AE278" s="938"/>
      <c r="AF278" s="938"/>
      <c r="AG278" s="938"/>
      <c r="AH278" s="938"/>
      <c r="AI278" s="938"/>
      <c r="AJ278" s="938">
        <v>2500</v>
      </c>
      <c r="AK278" s="938"/>
      <c r="AL278" s="938"/>
      <c r="AM278" s="938"/>
      <c r="AN278" s="938"/>
      <c r="AO278" s="938"/>
      <c r="AP278" s="938"/>
      <c r="AQ278" s="938"/>
      <c r="AR278" s="938"/>
      <c r="AS278" s="938"/>
      <c r="AT278" s="938"/>
      <c r="AU278" s="938">
        <f t="shared" si="412"/>
        <v>6795.9032</v>
      </c>
      <c r="AV278" s="938"/>
      <c r="AW278" s="938">
        <v>3000</v>
      </c>
      <c r="AX278" s="718">
        <f t="shared" si="401"/>
        <v>3397.9516</v>
      </c>
      <c r="AY278" s="947"/>
      <c r="AZ278" s="947"/>
      <c r="BA278" s="938"/>
      <c r="BB278" s="938">
        <v>25000</v>
      </c>
      <c r="BC278" s="938"/>
      <c r="BD278" s="948"/>
      <c r="BE278" s="948"/>
      <c r="BF278" s="938"/>
      <c r="BG278" s="938"/>
      <c r="BH278" s="949"/>
      <c r="BI278" s="938"/>
      <c r="BJ278" s="938"/>
      <c r="BK278" s="938"/>
      <c r="BL278" s="938"/>
      <c r="BM278" s="938"/>
      <c r="BN278" s="938"/>
      <c r="BO278" s="938">
        <v>0</v>
      </c>
      <c r="BP278" s="938"/>
      <c r="BQ278" s="938"/>
      <c r="BR278" s="950"/>
      <c r="BS278" s="950"/>
      <c r="BT278" s="950"/>
      <c r="BU278" s="950"/>
      <c r="BV278" s="950"/>
      <c r="BW278" s="950"/>
      <c r="BX278" s="950"/>
      <c r="BY278" s="950">
        <v>2000</v>
      </c>
      <c r="BZ278" s="950">
        <v>1000</v>
      </c>
      <c r="CA278" s="718">
        <f t="shared" si="407"/>
        <v>3497.9516</v>
      </c>
      <c r="CB278" s="951"/>
      <c r="CC278" s="950">
        <v>16751.1</v>
      </c>
      <c r="CD278" s="702">
        <f t="shared" si="410"/>
        <v>174897.58</v>
      </c>
      <c r="CE278" s="731">
        <f t="shared" si="413"/>
        <v>61442.9064</v>
      </c>
      <c r="CF278" s="739">
        <f t="shared" si="411"/>
        <v>113454.6736</v>
      </c>
      <c r="CG278" s="952">
        <f t="shared" si="408"/>
        <v>61442.9064</v>
      </c>
      <c r="CH278" s="953"/>
      <c r="CI278" s="954"/>
      <c r="CJ278" s="955"/>
      <c r="CK278" s="964"/>
      <c r="CL278" s="965"/>
      <c r="CM278" s="954"/>
      <c r="CN278" s="955"/>
      <c r="CO278" s="955"/>
      <c r="CP278" s="955"/>
      <c r="CQ278" s="955"/>
      <c r="CR278" s="955"/>
      <c r="CS278" s="955"/>
      <c r="CT278" s="970"/>
      <c r="CU278" s="971"/>
      <c r="CV278" s="972"/>
      <c r="CW278" s="973"/>
      <c r="CX278" s="974"/>
      <c r="CY278" s="975"/>
      <c r="CZ278" s="976"/>
      <c r="DA278" s="991"/>
      <c r="DB278" s="992"/>
    </row>
    <row r="279" ht="236" customHeight="1" spans="1:106">
      <c r="A279" s="675">
        <v>602</v>
      </c>
      <c r="B279" s="926" t="s">
        <v>1363</v>
      </c>
      <c r="C279" s="927" t="s">
        <v>1770</v>
      </c>
      <c r="D279" s="927" t="s">
        <v>1774</v>
      </c>
      <c r="E279" s="927" t="s">
        <v>127</v>
      </c>
      <c r="F279" s="1458" t="s">
        <v>1364</v>
      </c>
      <c r="G279" s="927" t="s">
        <v>1585</v>
      </c>
      <c r="H279" s="928"/>
      <c r="I279" s="935"/>
      <c r="J279" s="935"/>
      <c r="K279" s="936"/>
      <c r="L279" s="937"/>
      <c r="M279" s="937"/>
      <c r="N279" s="938"/>
      <c r="O279" s="938"/>
      <c r="P279" s="938"/>
      <c r="Q279" s="938"/>
      <c r="R279" s="938"/>
      <c r="S279" s="938">
        <v>169897.58</v>
      </c>
      <c r="T279" s="938"/>
      <c r="U279" s="938"/>
      <c r="V279" s="938"/>
      <c r="W279" s="938"/>
      <c r="X279" s="938"/>
      <c r="Y279" s="938"/>
      <c r="Z279" s="938"/>
      <c r="AA279" s="938"/>
      <c r="AB279" s="938"/>
      <c r="AC279" s="938">
        <v>2500</v>
      </c>
      <c r="AD279" s="938"/>
      <c r="AE279" s="938"/>
      <c r="AF279" s="938"/>
      <c r="AG279" s="938"/>
      <c r="AH279" s="938"/>
      <c r="AI279" s="938"/>
      <c r="AJ279" s="938">
        <v>2500</v>
      </c>
      <c r="AK279" s="938"/>
      <c r="AL279" s="938"/>
      <c r="AM279" s="938"/>
      <c r="AN279" s="938"/>
      <c r="AO279" s="938"/>
      <c r="AP279" s="938"/>
      <c r="AQ279" s="938"/>
      <c r="AR279" s="938"/>
      <c r="AS279" s="938"/>
      <c r="AT279" s="938"/>
      <c r="AU279" s="938">
        <f t="shared" si="412"/>
        <v>6795.9032</v>
      </c>
      <c r="AV279" s="938"/>
      <c r="AW279" s="938">
        <v>3000</v>
      </c>
      <c r="AX279" s="718">
        <f t="shared" si="401"/>
        <v>3397.9516</v>
      </c>
      <c r="AY279" s="947"/>
      <c r="AZ279" s="947"/>
      <c r="BA279" s="938"/>
      <c r="BB279" s="938"/>
      <c r="BC279" s="938"/>
      <c r="BD279" s="948"/>
      <c r="BE279" s="948"/>
      <c r="BF279" s="938"/>
      <c r="BG279" s="938"/>
      <c r="BH279" s="949"/>
      <c r="BI279" s="938"/>
      <c r="BJ279" s="938"/>
      <c r="BK279" s="938"/>
      <c r="BL279" s="938"/>
      <c r="BM279" s="938"/>
      <c r="BN279" s="938"/>
      <c r="BO279" s="938">
        <v>0</v>
      </c>
      <c r="BP279" s="938"/>
      <c r="BQ279" s="938"/>
      <c r="BR279" s="950"/>
      <c r="BS279" s="950"/>
      <c r="BT279" s="950"/>
      <c r="BU279" s="950"/>
      <c r="BV279" s="950"/>
      <c r="BW279" s="950"/>
      <c r="BX279" s="950"/>
      <c r="BY279" s="950"/>
      <c r="BZ279" s="950">
        <v>1000</v>
      </c>
      <c r="CA279" s="718">
        <f t="shared" si="407"/>
        <v>3497.9516</v>
      </c>
      <c r="CB279" s="951"/>
      <c r="CC279" s="950">
        <v>16751.1</v>
      </c>
      <c r="CD279" s="702">
        <f t="shared" si="410"/>
        <v>174897.58</v>
      </c>
      <c r="CE279" s="731">
        <f t="shared" si="413"/>
        <v>34442.9064</v>
      </c>
      <c r="CF279" s="739">
        <f t="shared" si="411"/>
        <v>140454.6736</v>
      </c>
      <c r="CG279" s="952">
        <f t="shared" si="408"/>
        <v>34442.9064</v>
      </c>
      <c r="CH279" s="953"/>
      <c r="CI279" s="954"/>
      <c r="CJ279" s="955"/>
      <c r="CK279" s="964"/>
      <c r="CL279" s="965"/>
      <c r="CM279" s="954"/>
      <c r="CN279" s="955"/>
      <c r="CO279" s="955"/>
      <c r="CP279" s="955"/>
      <c r="CQ279" s="955"/>
      <c r="CR279" s="955"/>
      <c r="CS279" s="955"/>
      <c r="CT279" s="970"/>
      <c r="CU279" s="971"/>
      <c r="CV279" s="972"/>
      <c r="CW279" s="973"/>
      <c r="CX279" s="974"/>
      <c r="CY279" s="975"/>
      <c r="CZ279" s="976"/>
      <c r="DA279" s="991"/>
      <c r="DB279" s="992"/>
    </row>
    <row r="280" ht="236" customHeight="1" spans="1:106">
      <c r="A280" s="673">
        <v>603</v>
      </c>
      <c r="B280" s="926" t="s">
        <v>1365</v>
      </c>
      <c r="C280" s="927" t="s">
        <v>1770</v>
      </c>
      <c r="D280" s="927" t="s">
        <v>1771</v>
      </c>
      <c r="E280" s="927" t="s">
        <v>151</v>
      </c>
      <c r="F280" s="927">
        <v>3052050287</v>
      </c>
      <c r="G280" s="927" t="s">
        <v>1585</v>
      </c>
      <c r="H280" s="928"/>
      <c r="I280" s="935"/>
      <c r="J280" s="935"/>
      <c r="K280" s="936"/>
      <c r="L280" s="937"/>
      <c r="M280" s="937"/>
      <c r="N280" s="938"/>
      <c r="O280" s="938"/>
      <c r="P280" s="938"/>
      <c r="Q280" s="938"/>
      <c r="R280" s="938"/>
      <c r="S280" s="938">
        <v>169897.58</v>
      </c>
      <c r="T280" s="938"/>
      <c r="U280" s="938"/>
      <c r="V280" s="938"/>
      <c r="W280" s="938"/>
      <c r="X280" s="938"/>
      <c r="Y280" s="938"/>
      <c r="Z280" s="938"/>
      <c r="AA280" s="938"/>
      <c r="AB280" s="938"/>
      <c r="AC280" s="938">
        <v>2500</v>
      </c>
      <c r="AD280" s="938"/>
      <c r="AE280" s="938"/>
      <c r="AF280" s="938"/>
      <c r="AG280" s="938"/>
      <c r="AH280" s="938"/>
      <c r="AI280" s="938"/>
      <c r="AJ280" s="938">
        <v>2500</v>
      </c>
      <c r="AK280" s="938"/>
      <c r="AL280" s="938"/>
      <c r="AM280" s="938"/>
      <c r="AN280" s="938"/>
      <c r="AO280" s="938"/>
      <c r="AP280" s="938"/>
      <c r="AQ280" s="938"/>
      <c r="AR280" s="938"/>
      <c r="AS280" s="938"/>
      <c r="AT280" s="938"/>
      <c r="AU280" s="938">
        <f t="shared" si="412"/>
        <v>6795.9032</v>
      </c>
      <c r="AV280" s="938"/>
      <c r="AW280" s="938">
        <v>3000</v>
      </c>
      <c r="AX280" s="718">
        <f t="shared" si="401"/>
        <v>3397.9516</v>
      </c>
      <c r="AY280" s="947"/>
      <c r="AZ280" s="947"/>
      <c r="BA280" s="938"/>
      <c r="BB280" s="938"/>
      <c r="BC280" s="938"/>
      <c r="BD280" s="948"/>
      <c r="BE280" s="948"/>
      <c r="BF280" s="938"/>
      <c r="BG280" s="938"/>
      <c r="BH280" s="949"/>
      <c r="BI280" s="938"/>
      <c r="BJ280" s="938"/>
      <c r="BK280" s="938"/>
      <c r="BL280" s="938"/>
      <c r="BM280" s="938"/>
      <c r="BN280" s="938"/>
      <c r="BO280" s="938">
        <v>0</v>
      </c>
      <c r="BP280" s="938"/>
      <c r="BQ280" s="938"/>
      <c r="BR280" s="950"/>
      <c r="BS280" s="950"/>
      <c r="BT280" s="950"/>
      <c r="BU280" s="950"/>
      <c r="BV280" s="950"/>
      <c r="BW280" s="950"/>
      <c r="BX280" s="950"/>
      <c r="BY280" s="950">
        <v>2000</v>
      </c>
      <c r="BZ280" s="950">
        <v>1000</v>
      </c>
      <c r="CA280" s="718">
        <f t="shared" si="407"/>
        <v>3497.9516</v>
      </c>
      <c r="CB280" s="951"/>
      <c r="CC280" s="950">
        <v>16751.1</v>
      </c>
      <c r="CD280" s="702">
        <f t="shared" si="410"/>
        <v>174897.58</v>
      </c>
      <c r="CE280" s="731">
        <f t="shared" si="413"/>
        <v>36442.9064</v>
      </c>
      <c r="CF280" s="739">
        <f t="shared" si="411"/>
        <v>138454.6736</v>
      </c>
      <c r="CG280" s="952">
        <f t="shared" si="408"/>
        <v>36442.9064</v>
      </c>
      <c r="CH280" s="953"/>
      <c r="CI280" s="954"/>
      <c r="CJ280" s="955"/>
      <c r="CK280" s="964"/>
      <c r="CL280" s="965"/>
      <c r="CM280" s="954"/>
      <c r="CN280" s="955"/>
      <c r="CO280" s="955"/>
      <c r="CP280" s="955"/>
      <c r="CQ280" s="955"/>
      <c r="CR280" s="955"/>
      <c r="CS280" s="955"/>
      <c r="CT280" s="970"/>
      <c r="CU280" s="971"/>
      <c r="CV280" s="972"/>
      <c r="CW280" s="973"/>
      <c r="CX280" s="974"/>
      <c r="CY280" s="975"/>
      <c r="CZ280" s="976"/>
      <c r="DA280" s="991"/>
      <c r="DB280" s="992"/>
    </row>
    <row r="281" ht="236" customHeight="1" spans="1:106">
      <c r="A281" s="675">
        <v>604</v>
      </c>
      <c r="B281" s="926" t="s">
        <v>1366</v>
      </c>
      <c r="C281" s="927" t="s">
        <v>1770</v>
      </c>
      <c r="D281" s="927" t="s">
        <v>1771</v>
      </c>
      <c r="E281" s="927" t="s">
        <v>157</v>
      </c>
      <c r="F281" s="1458" t="s">
        <v>1367</v>
      </c>
      <c r="G281" s="927" t="s">
        <v>1585</v>
      </c>
      <c r="H281" s="928"/>
      <c r="I281" s="935"/>
      <c r="J281" s="935"/>
      <c r="K281" s="936"/>
      <c r="L281" s="937"/>
      <c r="M281" s="937"/>
      <c r="N281" s="938"/>
      <c r="O281" s="938"/>
      <c r="P281" s="938"/>
      <c r="Q281" s="938"/>
      <c r="R281" s="938"/>
      <c r="S281" s="938">
        <v>169897.58</v>
      </c>
      <c r="T281" s="938"/>
      <c r="U281" s="938"/>
      <c r="V281" s="938"/>
      <c r="W281" s="938"/>
      <c r="X281" s="938"/>
      <c r="Y281" s="938"/>
      <c r="Z281" s="938"/>
      <c r="AA281" s="938"/>
      <c r="AB281" s="938"/>
      <c r="AC281" s="938">
        <v>2500</v>
      </c>
      <c r="AD281" s="938"/>
      <c r="AE281" s="938"/>
      <c r="AF281" s="938"/>
      <c r="AG281" s="938"/>
      <c r="AH281" s="938"/>
      <c r="AI281" s="938"/>
      <c r="AJ281" s="938">
        <v>2500</v>
      </c>
      <c r="AK281" s="938"/>
      <c r="AL281" s="938"/>
      <c r="AM281" s="938"/>
      <c r="AN281" s="938"/>
      <c r="AO281" s="938"/>
      <c r="AP281" s="938"/>
      <c r="AQ281" s="938"/>
      <c r="AR281" s="938"/>
      <c r="AS281" s="938"/>
      <c r="AT281" s="938"/>
      <c r="AU281" s="938">
        <f t="shared" si="412"/>
        <v>6795.9032</v>
      </c>
      <c r="AV281" s="938"/>
      <c r="AW281" s="938">
        <v>3000</v>
      </c>
      <c r="AX281" s="718">
        <f t="shared" si="401"/>
        <v>3397.9516</v>
      </c>
      <c r="AY281" s="947"/>
      <c r="AZ281" s="947"/>
      <c r="BA281" s="938"/>
      <c r="BB281" s="938"/>
      <c r="BC281" s="938"/>
      <c r="BD281" s="948"/>
      <c r="BE281" s="948"/>
      <c r="BF281" s="938"/>
      <c r="BG281" s="938"/>
      <c r="BH281" s="949"/>
      <c r="BI281" s="938"/>
      <c r="BJ281" s="938"/>
      <c r="BK281" s="938"/>
      <c r="BL281" s="938"/>
      <c r="BM281" s="938"/>
      <c r="BN281" s="938"/>
      <c r="BO281" s="938">
        <v>0</v>
      </c>
      <c r="BP281" s="938"/>
      <c r="BQ281" s="938"/>
      <c r="BR281" s="950"/>
      <c r="BS281" s="950"/>
      <c r="BT281" s="950"/>
      <c r="BU281" s="950"/>
      <c r="BV281" s="950"/>
      <c r="BW281" s="950"/>
      <c r="BX281" s="950"/>
      <c r="BY281" s="950">
        <v>2000</v>
      </c>
      <c r="BZ281" s="950">
        <v>1000</v>
      </c>
      <c r="CA281" s="718">
        <f t="shared" si="407"/>
        <v>3497.9516</v>
      </c>
      <c r="CB281" s="951"/>
      <c r="CC281" s="950">
        <v>16751.1</v>
      </c>
      <c r="CD281" s="702">
        <f t="shared" si="410"/>
        <v>174897.58</v>
      </c>
      <c r="CE281" s="731">
        <f t="shared" si="413"/>
        <v>36442.9064</v>
      </c>
      <c r="CF281" s="739">
        <f t="shared" si="411"/>
        <v>138454.6736</v>
      </c>
      <c r="CG281" s="952">
        <f t="shared" si="408"/>
        <v>36442.9064</v>
      </c>
      <c r="CH281" s="953"/>
      <c r="CI281" s="954"/>
      <c r="CJ281" s="955"/>
      <c r="CK281" s="964"/>
      <c r="CL281" s="965"/>
      <c r="CM281" s="954"/>
      <c r="CN281" s="955"/>
      <c r="CO281" s="955"/>
      <c r="CP281" s="955"/>
      <c r="CQ281" s="955"/>
      <c r="CR281" s="955"/>
      <c r="CS281" s="955"/>
      <c r="CT281" s="970"/>
      <c r="CU281" s="971"/>
      <c r="CV281" s="972"/>
      <c r="CW281" s="973"/>
      <c r="CX281" s="974"/>
      <c r="CY281" s="975"/>
      <c r="CZ281" s="976"/>
      <c r="DA281" s="991"/>
      <c r="DB281" s="992"/>
    </row>
    <row r="282" ht="236" customHeight="1" spans="1:106">
      <c r="A282" s="673">
        <v>605</v>
      </c>
      <c r="B282" s="926" t="s">
        <v>1368</v>
      </c>
      <c r="C282" s="927" t="s">
        <v>1770</v>
      </c>
      <c r="D282" s="927" t="s">
        <v>1771</v>
      </c>
      <c r="E282" s="927" t="s">
        <v>113</v>
      </c>
      <c r="F282" s="927">
        <v>2313075476</v>
      </c>
      <c r="G282" s="927" t="s">
        <v>1585</v>
      </c>
      <c r="H282" s="928"/>
      <c r="I282" s="935"/>
      <c r="J282" s="935"/>
      <c r="K282" s="936"/>
      <c r="L282" s="937"/>
      <c r="M282" s="937"/>
      <c r="N282" s="938"/>
      <c r="O282" s="938"/>
      <c r="P282" s="938"/>
      <c r="Q282" s="938"/>
      <c r="R282" s="938"/>
      <c r="S282" s="938">
        <v>169897.58</v>
      </c>
      <c r="T282" s="938"/>
      <c r="U282" s="938"/>
      <c r="V282" s="938"/>
      <c r="W282" s="938"/>
      <c r="X282" s="938"/>
      <c r="Y282" s="938"/>
      <c r="Z282" s="938"/>
      <c r="AA282" s="938"/>
      <c r="AB282" s="938"/>
      <c r="AC282" s="938">
        <v>2500</v>
      </c>
      <c r="AD282" s="938"/>
      <c r="AE282" s="938"/>
      <c r="AF282" s="938"/>
      <c r="AG282" s="938"/>
      <c r="AH282" s="938"/>
      <c r="AI282" s="938"/>
      <c r="AJ282" s="938">
        <v>2500</v>
      </c>
      <c r="AK282" s="938"/>
      <c r="AL282" s="938"/>
      <c r="AM282" s="938"/>
      <c r="AN282" s="938"/>
      <c r="AO282" s="938"/>
      <c r="AP282" s="938"/>
      <c r="AQ282" s="938"/>
      <c r="AR282" s="938"/>
      <c r="AS282" s="938"/>
      <c r="AT282" s="938"/>
      <c r="AU282" s="938">
        <f t="shared" si="412"/>
        <v>6795.9032</v>
      </c>
      <c r="AV282" s="938"/>
      <c r="AW282" s="938">
        <v>3000</v>
      </c>
      <c r="AX282" s="718">
        <f t="shared" si="401"/>
        <v>3397.9516</v>
      </c>
      <c r="AY282" s="947"/>
      <c r="AZ282" s="947"/>
      <c r="BA282" s="938"/>
      <c r="BB282" s="938"/>
      <c r="BC282" s="938"/>
      <c r="BD282" s="948"/>
      <c r="BE282" s="948"/>
      <c r="BF282" s="938"/>
      <c r="BG282" s="938"/>
      <c r="BH282" s="949"/>
      <c r="BI282" s="938"/>
      <c r="BJ282" s="938"/>
      <c r="BK282" s="938"/>
      <c r="BL282" s="938"/>
      <c r="BM282" s="938"/>
      <c r="BN282" s="938"/>
      <c r="BO282" s="938">
        <v>0</v>
      </c>
      <c r="BP282" s="938"/>
      <c r="BQ282" s="938"/>
      <c r="BR282" s="950"/>
      <c r="BS282" s="950"/>
      <c r="BT282" s="950">
        <v>34000</v>
      </c>
      <c r="BU282" s="950"/>
      <c r="BV282" s="950"/>
      <c r="BW282" s="950"/>
      <c r="BX282" s="950"/>
      <c r="BY282" s="950">
        <v>2000</v>
      </c>
      <c r="BZ282" s="950">
        <v>1000</v>
      </c>
      <c r="CA282" s="718">
        <f t="shared" si="407"/>
        <v>3497.9516</v>
      </c>
      <c r="CB282" s="951"/>
      <c r="CC282" s="950">
        <v>16751.1</v>
      </c>
      <c r="CD282" s="702">
        <f t="shared" si="410"/>
        <v>174897.58</v>
      </c>
      <c r="CE282" s="731">
        <f t="shared" si="413"/>
        <v>70442.9064</v>
      </c>
      <c r="CF282" s="739">
        <f t="shared" si="411"/>
        <v>104454.6736</v>
      </c>
      <c r="CG282" s="952">
        <f t="shared" si="408"/>
        <v>70442.9064</v>
      </c>
      <c r="CH282" s="953"/>
      <c r="CI282" s="954"/>
      <c r="CJ282" s="955"/>
      <c r="CK282" s="964"/>
      <c r="CL282" s="965"/>
      <c r="CM282" s="954"/>
      <c r="CN282" s="955"/>
      <c r="CO282" s="955"/>
      <c r="CP282" s="955"/>
      <c r="CQ282" s="955"/>
      <c r="CR282" s="955"/>
      <c r="CS282" s="955"/>
      <c r="CT282" s="970"/>
      <c r="CU282" s="971"/>
      <c r="CV282" s="972"/>
      <c r="CW282" s="973"/>
      <c r="CX282" s="974"/>
      <c r="CY282" s="975"/>
      <c r="CZ282" s="976"/>
      <c r="DA282" s="991"/>
      <c r="DB282" s="992"/>
    </row>
    <row r="283" ht="236" customHeight="1" spans="1:106">
      <c r="A283" s="675">
        <v>606</v>
      </c>
      <c r="B283" s="926" t="s">
        <v>1369</v>
      </c>
      <c r="C283" s="927" t="s">
        <v>1770</v>
      </c>
      <c r="D283" s="927" t="s">
        <v>1771</v>
      </c>
      <c r="E283" s="927" t="s">
        <v>97</v>
      </c>
      <c r="F283" s="1458" t="s">
        <v>1370</v>
      </c>
      <c r="G283" s="927" t="s">
        <v>1585</v>
      </c>
      <c r="H283" s="928"/>
      <c r="I283" s="935"/>
      <c r="J283" s="935"/>
      <c r="K283" s="936"/>
      <c r="L283" s="937"/>
      <c r="M283" s="937"/>
      <c r="N283" s="938"/>
      <c r="O283" s="938"/>
      <c r="P283" s="938"/>
      <c r="Q283" s="938"/>
      <c r="R283" s="938"/>
      <c r="S283" s="938">
        <v>169897.58</v>
      </c>
      <c r="T283" s="938"/>
      <c r="U283" s="938"/>
      <c r="V283" s="938"/>
      <c r="W283" s="938"/>
      <c r="X283" s="938"/>
      <c r="Y283" s="938"/>
      <c r="Z283" s="938"/>
      <c r="AA283" s="938"/>
      <c r="AB283" s="938"/>
      <c r="AC283" s="938">
        <v>2500</v>
      </c>
      <c r="AD283" s="938"/>
      <c r="AE283" s="938"/>
      <c r="AF283" s="938"/>
      <c r="AG283" s="938"/>
      <c r="AH283" s="938"/>
      <c r="AI283" s="938"/>
      <c r="AJ283" s="938">
        <v>2500</v>
      </c>
      <c r="AK283" s="938"/>
      <c r="AL283" s="938"/>
      <c r="AM283" s="938"/>
      <c r="AN283" s="938"/>
      <c r="AO283" s="938"/>
      <c r="AP283" s="938"/>
      <c r="AQ283" s="938"/>
      <c r="AR283" s="938"/>
      <c r="AS283" s="938"/>
      <c r="AT283" s="938"/>
      <c r="AU283" s="938">
        <f t="shared" si="412"/>
        <v>6795.9032</v>
      </c>
      <c r="AV283" s="938"/>
      <c r="AW283" s="938">
        <v>3000</v>
      </c>
      <c r="AX283" s="718">
        <f t="shared" si="401"/>
        <v>3397.9516</v>
      </c>
      <c r="AY283" s="947"/>
      <c r="AZ283" s="947"/>
      <c r="BA283" s="938"/>
      <c r="BB283" s="938"/>
      <c r="BC283" s="938"/>
      <c r="BD283" s="948"/>
      <c r="BE283" s="948"/>
      <c r="BF283" s="938"/>
      <c r="BG283" s="938"/>
      <c r="BH283" s="949"/>
      <c r="BI283" s="938"/>
      <c r="BJ283" s="938"/>
      <c r="BK283" s="938"/>
      <c r="BL283" s="938"/>
      <c r="BM283" s="938"/>
      <c r="BN283" s="938"/>
      <c r="BO283" s="938">
        <v>0</v>
      </c>
      <c r="BP283" s="938"/>
      <c r="BQ283" s="938"/>
      <c r="BR283" s="950"/>
      <c r="BS283" s="950"/>
      <c r="BT283" s="950"/>
      <c r="BU283" s="950"/>
      <c r="BV283" s="950"/>
      <c r="BW283" s="950"/>
      <c r="BX283" s="950"/>
      <c r="BY283" s="950">
        <v>2000</v>
      </c>
      <c r="BZ283" s="950">
        <v>1000</v>
      </c>
      <c r="CA283" s="718">
        <f t="shared" si="407"/>
        <v>3497.9516</v>
      </c>
      <c r="CB283" s="951"/>
      <c r="CC283" s="950">
        <v>16751.1</v>
      </c>
      <c r="CD283" s="702">
        <f t="shared" si="410"/>
        <v>174897.58</v>
      </c>
      <c r="CE283" s="731">
        <f t="shared" si="413"/>
        <v>36442.9064</v>
      </c>
      <c r="CF283" s="739">
        <f t="shared" si="411"/>
        <v>138454.6736</v>
      </c>
      <c r="CG283" s="952">
        <f t="shared" si="408"/>
        <v>36442.9064</v>
      </c>
      <c r="CH283" s="953"/>
      <c r="CI283" s="954"/>
      <c r="CJ283" s="955"/>
      <c r="CK283" s="964"/>
      <c r="CL283" s="965"/>
      <c r="CM283" s="954"/>
      <c r="CN283" s="955"/>
      <c r="CO283" s="955"/>
      <c r="CP283" s="955"/>
      <c r="CQ283" s="955"/>
      <c r="CR283" s="955"/>
      <c r="CS283" s="955"/>
      <c r="CT283" s="970"/>
      <c r="CU283" s="971"/>
      <c r="CV283" s="972"/>
      <c r="CW283" s="973"/>
      <c r="CX283" s="974"/>
      <c r="CY283" s="975"/>
      <c r="CZ283" s="976"/>
      <c r="DA283" s="991"/>
      <c r="DB283" s="992"/>
    </row>
    <row r="284" ht="236" customHeight="1" spans="1:106">
      <c r="A284" s="673">
        <v>607</v>
      </c>
      <c r="B284" s="926" t="s">
        <v>1371</v>
      </c>
      <c r="C284" s="927" t="s">
        <v>1770</v>
      </c>
      <c r="D284" s="927" t="s">
        <v>1771</v>
      </c>
      <c r="E284" s="927" t="s">
        <v>97</v>
      </c>
      <c r="F284" s="1458" t="s">
        <v>1372</v>
      </c>
      <c r="G284" s="927" t="s">
        <v>1585</v>
      </c>
      <c r="H284" s="928"/>
      <c r="I284" s="935"/>
      <c r="J284" s="935"/>
      <c r="K284" s="936"/>
      <c r="L284" s="937"/>
      <c r="M284" s="937"/>
      <c r="N284" s="938"/>
      <c r="O284" s="938"/>
      <c r="P284" s="938"/>
      <c r="Q284" s="938"/>
      <c r="R284" s="938"/>
      <c r="S284" s="938">
        <v>169897.58</v>
      </c>
      <c r="T284" s="938"/>
      <c r="U284" s="938"/>
      <c r="V284" s="938"/>
      <c r="W284" s="938"/>
      <c r="X284" s="938"/>
      <c r="Y284" s="938"/>
      <c r="Z284" s="938"/>
      <c r="AA284" s="938"/>
      <c r="AB284" s="938"/>
      <c r="AC284" s="938">
        <v>2500</v>
      </c>
      <c r="AD284" s="938"/>
      <c r="AE284" s="938"/>
      <c r="AF284" s="938"/>
      <c r="AG284" s="938"/>
      <c r="AH284" s="938"/>
      <c r="AI284" s="938"/>
      <c r="AJ284" s="938">
        <v>2500</v>
      </c>
      <c r="AK284" s="938"/>
      <c r="AL284" s="938"/>
      <c r="AM284" s="938"/>
      <c r="AN284" s="938"/>
      <c r="AO284" s="938"/>
      <c r="AP284" s="938"/>
      <c r="AQ284" s="938"/>
      <c r="AR284" s="938"/>
      <c r="AS284" s="938"/>
      <c r="AT284" s="938"/>
      <c r="AU284" s="938">
        <f t="shared" si="412"/>
        <v>6795.9032</v>
      </c>
      <c r="AV284" s="938"/>
      <c r="AW284" s="938">
        <v>3000</v>
      </c>
      <c r="AX284" s="718">
        <f t="shared" si="401"/>
        <v>3397.9516</v>
      </c>
      <c r="AY284" s="947"/>
      <c r="AZ284" s="947"/>
      <c r="BA284" s="938"/>
      <c r="BB284" s="938"/>
      <c r="BC284" s="938"/>
      <c r="BD284" s="948"/>
      <c r="BE284" s="948"/>
      <c r="BF284" s="938"/>
      <c r="BG284" s="938"/>
      <c r="BH284" s="949"/>
      <c r="BI284" s="938"/>
      <c r="BJ284" s="938"/>
      <c r="BK284" s="938"/>
      <c r="BL284" s="938"/>
      <c r="BM284" s="938"/>
      <c r="BN284" s="938"/>
      <c r="BO284" s="938">
        <v>0</v>
      </c>
      <c r="BP284" s="938"/>
      <c r="BQ284" s="938"/>
      <c r="BR284" s="950"/>
      <c r="BS284" s="950"/>
      <c r="BT284" s="950"/>
      <c r="BU284" s="950"/>
      <c r="BV284" s="950"/>
      <c r="BW284" s="950"/>
      <c r="BX284" s="950">
        <v>5000</v>
      </c>
      <c r="BY284" s="950"/>
      <c r="BZ284" s="950">
        <v>1000</v>
      </c>
      <c r="CA284" s="718">
        <f t="shared" si="407"/>
        <v>3497.9516</v>
      </c>
      <c r="CB284" s="951"/>
      <c r="CC284" s="950">
        <v>16751.1</v>
      </c>
      <c r="CD284" s="702">
        <f t="shared" si="410"/>
        <v>174897.58</v>
      </c>
      <c r="CE284" s="731">
        <f t="shared" si="413"/>
        <v>39442.9064</v>
      </c>
      <c r="CF284" s="739">
        <f t="shared" si="411"/>
        <v>135454.6736</v>
      </c>
      <c r="CG284" s="952">
        <f t="shared" si="408"/>
        <v>39442.9064</v>
      </c>
      <c r="CH284" s="953"/>
      <c r="CI284" s="954"/>
      <c r="CJ284" s="955"/>
      <c r="CK284" s="964"/>
      <c r="CL284" s="965"/>
      <c r="CM284" s="954"/>
      <c r="CN284" s="955"/>
      <c r="CO284" s="955"/>
      <c r="CP284" s="955"/>
      <c r="CQ284" s="955"/>
      <c r="CR284" s="955"/>
      <c r="CS284" s="955"/>
      <c r="CT284" s="970"/>
      <c r="CU284" s="971"/>
      <c r="CV284" s="972"/>
      <c r="CW284" s="973"/>
      <c r="CX284" s="974"/>
      <c r="CY284" s="975"/>
      <c r="CZ284" s="976"/>
      <c r="DA284" s="991"/>
      <c r="DB284" s="992"/>
    </row>
    <row r="285" ht="236" customHeight="1" spans="1:106">
      <c r="A285" s="675">
        <v>608</v>
      </c>
      <c r="B285" s="926" t="s">
        <v>1373</v>
      </c>
      <c r="C285" s="927" t="s">
        <v>1770</v>
      </c>
      <c r="D285" s="927" t="s">
        <v>1771</v>
      </c>
      <c r="E285" s="927" t="s">
        <v>127</v>
      </c>
      <c r="F285" s="1458" t="s">
        <v>1374</v>
      </c>
      <c r="G285" s="927" t="s">
        <v>1585</v>
      </c>
      <c r="H285" s="928"/>
      <c r="I285" s="935"/>
      <c r="J285" s="935"/>
      <c r="K285" s="936"/>
      <c r="L285" s="937"/>
      <c r="M285" s="937"/>
      <c r="N285" s="938"/>
      <c r="O285" s="938"/>
      <c r="P285" s="938"/>
      <c r="Q285" s="938"/>
      <c r="R285" s="938"/>
      <c r="S285" s="938">
        <v>169897.58</v>
      </c>
      <c r="T285" s="938"/>
      <c r="U285" s="938"/>
      <c r="V285" s="938"/>
      <c r="W285" s="938"/>
      <c r="X285" s="938"/>
      <c r="Y285" s="938"/>
      <c r="Z285" s="938"/>
      <c r="AA285" s="938"/>
      <c r="AB285" s="938"/>
      <c r="AC285" s="938">
        <v>2500</v>
      </c>
      <c r="AD285" s="938"/>
      <c r="AE285" s="938"/>
      <c r="AF285" s="938"/>
      <c r="AG285" s="938"/>
      <c r="AH285" s="938"/>
      <c r="AI285" s="938"/>
      <c r="AJ285" s="938">
        <v>2500</v>
      </c>
      <c r="AK285" s="938"/>
      <c r="AL285" s="938"/>
      <c r="AM285" s="938"/>
      <c r="AN285" s="938"/>
      <c r="AO285" s="938"/>
      <c r="AP285" s="938"/>
      <c r="AQ285" s="938"/>
      <c r="AR285" s="938"/>
      <c r="AS285" s="938"/>
      <c r="AT285" s="938"/>
      <c r="AU285" s="938">
        <f t="shared" si="412"/>
        <v>6795.9032</v>
      </c>
      <c r="AV285" s="938"/>
      <c r="AW285" s="938">
        <v>3000</v>
      </c>
      <c r="AX285" s="718">
        <f t="shared" si="401"/>
        <v>3397.9516</v>
      </c>
      <c r="AY285" s="947"/>
      <c r="AZ285" s="947"/>
      <c r="BA285" s="938"/>
      <c r="BB285" s="938"/>
      <c r="BC285" s="938"/>
      <c r="BD285" s="948"/>
      <c r="BE285" s="948"/>
      <c r="BF285" s="938"/>
      <c r="BG285" s="938"/>
      <c r="BH285" s="949"/>
      <c r="BI285" s="938"/>
      <c r="BJ285" s="938"/>
      <c r="BK285" s="938"/>
      <c r="BL285" s="938"/>
      <c r="BM285" s="938"/>
      <c r="BN285" s="938"/>
      <c r="BO285" s="938">
        <v>10000</v>
      </c>
      <c r="BP285" s="938"/>
      <c r="BQ285" s="938"/>
      <c r="BR285" s="950"/>
      <c r="BS285" s="950"/>
      <c r="BT285" s="950"/>
      <c r="BU285" s="950"/>
      <c r="BV285" s="950"/>
      <c r="BW285" s="950"/>
      <c r="BX285" s="950"/>
      <c r="BY285" s="950">
        <v>2000</v>
      </c>
      <c r="BZ285" s="950">
        <v>1000</v>
      </c>
      <c r="CA285" s="718">
        <f t="shared" si="407"/>
        <v>3497.9516</v>
      </c>
      <c r="CB285" s="951"/>
      <c r="CC285" s="950">
        <v>16751.1</v>
      </c>
      <c r="CD285" s="702">
        <f t="shared" si="410"/>
        <v>174897.58</v>
      </c>
      <c r="CE285" s="731">
        <f t="shared" si="413"/>
        <v>46442.9064</v>
      </c>
      <c r="CF285" s="739">
        <f t="shared" si="411"/>
        <v>128454.6736</v>
      </c>
      <c r="CG285" s="952">
        <f t="shared" si="408"/>
        <v>46442.9064</v>
      </c>
      <c r="CH285" s="953"/>
      <c r="CI285" s="954"/>
      <c r="CJ285" s="955"/>
      <c r="CK285" s="964"/>
      <c r="CL285" s="965"/>
      <c r="CM285" s="954"/>
      <c r="CN285" s="955"/>
      <c r="CO285" s="955"/>
      <c r="CP285" s="955"/>
      <c r="CQ285" s="955"/>
      <c r="CR285" s="955"/>
      <c r="CS285" s="955"/>
      <c r="CT285" s="970"/>
      <c r="CU285" s="971"/>
      <c r="CV285" s="972"/>
      <c r="CW285" s="973"/>
      <c r="CX285" s="974"/>
      <c r="CY285" s="975"/>
      <c r="CZ285" s="976"/>
      <c r="DA285" s="991"/>
      <c r="DB285" s="992"/>
    </row>
    <row r="286" ht="236" customHeight="1" spans="1:106">
      <c r="A286" s="673">
        <v>609</v>
      </c>
      <c r="B286" s="926" t="s">
        <v>1375</v>
      </c>
      <c r="C286" s="927" t="s">
        <v>1770</v>
      </c>
      <c r="D286" s="927" t="s">
        <v>1771</v>
      </c>
      <c r="E286" s="927" t="s">
        <v>127</v>
      </c>
      <c r="F286" s="1458" t="s">
        <v>1376</v>
      </c>
      <c r="G286" s="927" t="s">
        <v>1585</v>
      </c>
      <c r="H286" s="928"/>
      <c r="I286" s="935"/>
      <c r="J286" s="935"/>
      <c r="K286" s="936"/>
      <c r="L286" s="937"/>
      <c r="M286" s="937"/>
      <c r="N286" s="938"/>
      <c r="O286" s="938"/>
      <c r="P286" s="938"/>
      <c r="Q286" s="938"/>
      <c r="R286" s="938"/>
      <c r="S286" s="938">
        <v>169897.58</v>
      </c>
      <c r="T286" s="938"/>
      <c r="U286" s="938"/>
      <c r="V286" s="938"/>
      <c r="W286" s="938"/>
      <c r="X286" s="938"/>
      <c r="Y286" s="938"/>
      <c r="Z286" s="938"/>
      <c r="AA286" s="938"/>
      <c r="AB286" s="938"/>
      <c r="AC286" s="938">
        <v>2500</v>
      </c>
      <c r="AD286" s="938"/>
      <c r="AE286" s="938"/>
      <c r="AF286" s="938"/>
      <c r="AG286" s="938"/>
      <c r="AH286" s="938"/>
      <c r="AI286" s="938"/>
      <c r="AJ286" s="938">
        <v>2500</v>
      </c>
      <c r="AK286" s="938"/>
      <c r="AL286" s="938"/>
      <c r="AM286" s="938"/>
      <c r="AN286" s="938"/>
      <c r="AO286" s="938"/>
      <c r="AP286" s="938"/>
      <c r="AQ286" s="938"/>
      <c r="AR286" s="938"/>
      <c r="AS286" s="938"/>
      <c r="AT286" s="938"/>
      <c r="AU286" s="938">
        <f t="shared" si="412"/>
        <v>6795.9032</v>
      </c>
      <c r="AV286" s="938"/>
      <c r="AW286" s="938">
        <v>3000</v>
      </c>
      <c r="AX286" s="718">
        <f t="shared" si="401"/>
        <v>3397.9516</v>
      </c>
      <c r="AY286" s="947"/>
      <c r="AZ286" s="947"/>
      <c r="BA286" s="938"/>
      <c r="BB286" s="938"/>
      <c r="BC286" s="938"/>
      <c r="BD286" s="948"/>
      <c r="BE286" s="948"/>
      <c r="BF286" s="938"/>
      <c r="BG286" s="938"/>
      <c r="BH286" s="949"/>
      <c r="BI286" s="938"/>
      <c r="BJ286" s="938"/>
      <c r="BK286" s="938"/>
      <c r="BL286" s="938"/>
      <c r="BM286" s="938"/>
      <c r="BN286" s="938"/>
      <c r="BO286" s="938">
        <v>15000</v>
      </c>
      <c r="BP286" s="938"/>
      <c r="BQ286" s="938"/>
      <c r="BR286" s="950"/>
      <c r="BS286" s="950"/>
      <c r="BT286" s="950"/>
      <c r="BU286" s="950"/>
      <c r="BV286" s="950"/>
      <c r="BW286" s="950"/>
      <c r="BX286" s="950"/>
      <c r="BY286" s="950"/>
      <c r="BZ286" s="950">
        <v>1000</v>
      </c>
      <c r="CA286" s="718">
        <f t="shared" si="407"/>
        <v>3497.9516</v>
      </c>
      <c r="CB286" s="951"/>
      <c r="CC286" s="950">
        <v>16751.1</v>
      </c>
      <c r="CD286" s="702">
        <f t="shared" si="410"/>
        <v>174897.58</v>
      </c>
      <c r="CE286" s="731">
        <f t="shared" si="413"/>
        <v>49442.9064</v>
      </c>
      <c r="CF286" s="739">
        <f t="shared" si="411"/>
        <v>125454.6736</v>
      </c>
      <c r="CG286" s="952">
        <f t="shared" si="408"/>
        <v>49442.9064</v>
      </c>
      <c r="CH286" s="953"/>
      <c r="CI286" s="954"/>
      <c r="CJ286" s="955"/>
      <c r="CK286" s="964"/>
      <c r="CL286" s="965"/>
      <c r="CM286" s="954"/>
      <c r="CN286" s="955"/>
      <c r="CO286" s="955"/>
      <c r="CP286" s="955"/>
      <c r="CQ286" s="955"/>
      <c r="CR286" s="955"/>
      <c r="CS286" s="955"/>
      <c r="CT286" s="970"/>
      <c r="CU286" s="971"/>
      <c r="CV286" s="972"/>
      <c r="CW286" s="973"/>
      <c r="CX286" s="974"/>
      <c r="CY286" s="975"/>
      <c r="CZ286" s="976"/>
      <c r="DA286" s="991"/>
      <c r="DB286" s="992"/>
    </row>
    <row r="287" ht="236" customHeight="1" spans="1:106">
      <c r="A287" s="675">
        <v>610</v>
      </c>
      <c r="B287" s="926" t="s">
        <v>1377</v>
      </c>
      <c r="C287" s="927" t="s">
        <v>1770</v>
      </c>
      <c r="D287" s="927" t="s">
        <v>1775</v>
      </c>
      <c r="E287" s="927" t="s">
        <v>97</v>
      </c>
      <c r="F287" s="1458" t="s">
        <v>1378</v>
      </c>
      <c r="G287" s="927" t="s">
        <v>1585</v>
      </c>
      <c r="H287" s="928"/>
      <c r="I287" s="935"/>
      <c r="J287" s="935"/>
      <c r="K287" s="936"/>
      <c r="L287" s="937"/>
      <c r="M287" s="937"/>
      <c r="N287" s="938"/>
      <c r="O287" s="938"/>
      <c r="P287" s="938"/>
      <c r="Q287" s="938"/>
      <c r="R287" s="938"/>
      <c r="S287" s="938">
        <v>169897.58</v>
      </c>
      <c r="T287" s="938"/>
      <c r="U287" s="938"/>
      <c r="V287" s="938"/>
      <c r="W287" s="938"/>
      <c r="X287" s="938"/>
      <c r="Y287" s="938"/>
      <c r="Z287" s="938"/>
      <c r="AA287" s="938"/>
      <c r="AB287" s="938"/>
      <c r="AC287" s="938">
        <v>2500</v>
      </c>
      <c r="AD287" s="938"/>
      <c r="AE287" s="938"/>
      <c r="AF287" s="938"/>
      <c r="AG287" s="938"/>
      <c r="AH287" s="938"/>
      <c r="AI287" s="938"/>
      <c r="AJ287" s="938">
        <v>2500</v>
      </c>
      <c r="AK287" s="938"/>
      <c r="AL287" s="938"/>
      <c r="AM287" s="938"/>
      <c r="AN287" s="938"/>
      <c r="AO287" s="938"/>
      <c r="AP287" s="938"/>
      <c r="AQ287" s="938"/>
      <c r="AR287" s="938"/>
      <c r="AS287" s="938"/>
      <c r="AT287" s="938"/>
      <c r="AU287" s="938">
        <f t="shared" si="412"/>
        <v>6795.9032</v>
      </c>
      <c r="AV287" s="938"/>
      <c r="AW287" s="938">
        <v>3000</v>
      </c>
      <c r="AX287" s="718">
        <f t="shared" si="401"/>
        <v>3397.9516</v>
      </c>
      <c r="AY287" s="947"/>
      <c r="AZ287" s="947"/>
      <c r="BA287" s="938"/>
      <c r="BB287" s="938"/>
      <c r="BC287" s="938"/>
      <c r="BD287" s="948"/>
      <c r="BE287" s="948"/>
      <c r="BF287" s="938"/>
      <c r="BG287" s="938">
        <v>55570</v>
      </c>
      <c r="BH287" s="949"/>
      <c r="BI287" s="938"/>
      <c r="BJ287" s="938"/>
      <c r="BK287" s="938"/>
      <c r="BL287" s="938"/>
      <c r="BM287" s="938"/>
      <c r="BN287" s="938"/>
      <c r="BO287" s="938">
        <v>0</v>
      </c>
      <c r="BP287" s="938"/>
      <c r="BQ287" s="938"/>
      <c r="BR287" s="950"/>
      <c r="BS287" s="950"/>
      <c r="BT287" s="950"/>
      <c r="BU287" s="950"/>
      <c r="BV287" s="950"/>
      <c r="BW287" s="950"/>
      <c r="BX287" s="950"/>
      <c r="BY287" s="950">
        <v>2000</v>
      </c>
      <c r="BZ287" s="950">
        <v>1000</v>
      </c>
      <c r="CA287" s="718">
        <f t="shared" si="407"/>
        <v>3497.9516</v>
      </c>
      <c r="CB287" s="951"/>
      <c r="CC287" s="950">
        <v>16751.1</v>
      </c>
      <c r="CD287" s="702">
        <f t="shared" si="410"/>
        <v>174897.58</v>
      </c>
      <c r="CE287" s="731">
        <f t="shared" si="413"/>
        <v>92012.9064</v>
      </c>
      <c r="CF287" s="739">
        <f t="shared" si="411"/>
        <v>82884.6736</v>
      </c>
      <c r="CG287" s="952">
        <f t="shared" si="408"/>
        <v>92012.9064</v>
      </c>
      <c r="CH287" s="953"/>
      <c r="CI287" s="954"/>
      <c r="CJ287" s="955"/>
      <c r="CK287" s="964"/>
      <c r="CL287" s="965"/>
      <c r="CM287" s="954"/>
      <c r="CN287" s="955"/>
      <c r="CO287" s="955"/>
      <c r="CP287" s="955"/>
      <c r="CQ287" s="955"/>
      <c r="CR287" s="955"/>
      <c r="CS287" s="955"/>
      <c r="CT287" s="970"/>
      <c r="CU287" s="971"/>
      <c r="CV287" s="972"/>
      <c r="CW287" s="973"/>
      <c r="CX287" s="974"/>
      <c r="CY287" s="975"/>
      <c r="CZ287" s="976"/>
      <c r="DA287" s="991"/>
      <c r="DB287" s="992"/>
    </row>
    <row r="288" ht="236" customHeight="1" spans="1:106">
      <c r="A288" s="673">
        <v>611</v>
      </c>
      <c r="B288" s="926" t="s">
        <v>1379</v>
      </c>
      <c r="C288" s="927" t="s">
        <v>1561</v>
      </c>
      <c r="D288" s="927" t="s">
        <v>1769</v>
      </c>
      <c r="E288" s="927" t="s">
        <v>127</v>
      </c>
      <c r="F288" s="1458" t="s">
        <v>1380</v>
      </c>
      <c r="G288" s="927" t="s">
        <v>1585</v>
      </c>
      <c r="H288" s="928"/>
      <c r="I288" s="935"/>
      <c r="J288" s="935"/>
      <c r="K288" s="936"/>
      <c r="L288" s="937"/>
      <c r="M288" s="937"/>
      <c r="N288" s="938"/>
      <c r="O288" s="938"/>
      <c r="P288" s="938"/>
      <c r="Q288" s="938"/>
      <c r="R288" s="938"/>
      <c r="S288" s="938">
        <v>169897.58</v>
      </c>
      <c r="T288" s="938"/>
      <c r="U288" s="938"/>
      <c r="V288" s="938"/>
      <c r="W288" s="938"/>
      <c r="X288" s="938"/>
      <c r="Y288" s="938"/>
      <c r="Z288" s="938"/>
      <c r="AA288" s="938"/>
      <c r="AB288" s="938"/>
      <c r="AC288" s="938">
        <v>2500</v>
      </c>
      <c r="AD288" s="938"/>
      <c r="AE288" s="938"/>
      <c r="AF288" s="938"/>
      <c r="AG288" s="938"/>
      <c r="AH288" s="938"/>
      <c r="AI288" s="938"/>
      <c r="AJ288" s="938">
        <v>2500</v>
      </c>
      <c r="AK288" s="938"/>
      <c r="AL288" s="938"/>
      <c r="AM288" s="938"/>
      <c r="AN288" s="938"/>
      <c r="AO288" s="938"/>
      <c r="AP288" s="938"/>
      <c r="AQ288" s="938"/>
      <c r="AR288" s="938"/>
      <c r="AS288" s="938"/>
      <c r="AT288" s="938"/>
      <c r="AU288" s="938">
        <f t="shared" si="412"/>
        <v>6795.9032</v>
      </c>
      <c r="AV288" s="938"/>
      <c r="AW288" s="938"/>
      <c r="AX288" s="718">
        <f t="shared" si="401"/>
        <v>3397.9516</v>
      </c>
      <c r="AY288" s="947"/>
      <c r="AZ288" s="947"/>
      <c r="BA288" s="938"/>
      <c r="BB288" s="938"/>
      <c r="BC288" s="938"/>
      <c r="BD288" s="948"/>
      <c r="BE288" s="948"/>
      <c r="BF288" s="938"/>
      <c r="BG288" s="938"/>
      <c r="BH288" s="949"/>
      <c r="BI288" s="938"/>
      <c r="BJ288" s="938"/>
      <c r="BK288" s="938"/>
      <c r="BL288" s="938"/>
      <c r="BM288" s="938"/>
      <c r="BN288" s="938"/>
      <c r="BO288" s="938">
        <v>0</v>
      </c>
      <c r="BP288" s="938"/>
      <c r="BQ288" s="938"/>
      <c r="BR288" s="950"/>
      <c r="BS288" s="950"/>
      <c r="BT288" s="950"/>
      <c r="BU288" s="950"/>
      <c r="BV288" s="950"/>
      <c r="BW288" s="950"/>
      <c r="BX288" s="950"/>
      <c r="BY288" s="950"/>
      <c r="BZ288" s="950">
        <v>1000</v>
      </c>
      <c r="CA288" s="718">
        <f t="shared" si="407"/>
        <v>3497.9516</v>
      </c>
      <c r="CB288" s="951"/>
      <c r="CC288" s="950">
        <v>16751.1</v>
      </c>
      <c r="CD288" s="702">
        <f t="shared" si="410"/>
        <v>174897.58</v>
      </c>
      <c r="CE288" s="731">
        <f t="shared" si="413"/>
        <v>31442.9064</v>
      </c>
      <c r="CF288" s="739">
        <f t="shared" si="411"/>
        <v>143454.6736</v>
      </c>
      <c r="CG288" s="952">
        <f t="shared" si="408"/>
        <v>31442.9064</v>
      </c>
      <c r="CH288" s="953"/>
      <c r="CI288" s="954"/>
      <c r="CJ288" s="955"/>
      <c r="CK288" s="964"/>
      <c r="CL288" s="965"/>
      <c r="CM288" s="954"/>
      <c r="CN288" s="955"/>
      <c r="CO288" s="955"/>
      <c r="CP288" s="955"/>
      <c r="CQ288" s="955"/>
      <c r="CR288" s="955"/>
      <c r="CS288" s="955"/>
      <c r="CT288" s="970"/>
      <c r="CU288" s="971"/>
      <c r="CV288" s="972"/>
      <c r="CW288" s="973"/>
      <c r="CX288" s="974"/>
      <c r="CY288" s="975"/>
      <c r="CZ288" s="976"/>
      <c r="DA288" s="991"/>
      <c r="DB288" s="992"/>
    </row>
    <row r="289" ht="236" customHeight="1" spans="1:106">
      <c r="A289" s="675">
        <v>612</v>
      </c>
      <c r="B289" s="926" t="s">
        <v>1381</v>
      </c>
      <c r="C289" s="927" t="s">
        <v>1770</v>
      </c>
      <c r="D289" s="927" t="s">
        <v>1771</v>
      </c>
      <c r="E289" s="927" t="s">
        <v>93</v>
      </c>
      <c r="F289" s="927">
        <v>3003572134</v>
      </c>
      <c r="G289" s="927" t="s">
        <v>1585</v>
      </c>
      <c r="H289" s="928"/>
      <c r="I289" s="935"/>
      <c r="J289" s="935"/>
      <c r="K289" s="936"/>
      <c r="L289" s="937"/>
      <c r="M289" s="937"/>
      <c r="N289" s="938"/>
      <c r="O289" s="938"/>
      <c r="P289" s="938"/>
      <c r="Q289" s="938"/>
      <c r="R289" s="938"/>
      <c r="S289" s="938">
        <v>169897.58</v>
      </c>
      <c r="T289" s="938"/>
      <c r="U289" s="938"/>
      <c r="V289" s="938"/>
      <c r="W289" s="938"/>
      <c r="X289" s="938"/>
      <c r="Y289" s="938"/>
      <c r="Z289" s="938"/>
      <c r="AA289" s="938"/>
      <c r="AB289" s="938"/>
      <c r="AC289" s="938">
        <v>2500</v>
      </c>
      <c r="AD289" s="938"/>
      <c r="AE289" s="938"/>
      <c r="AF289" s="938"/>
      <c r="AG289" s="938"/>
      <c r="AH289" s="938"/>
      <c r="AI289" s="938"/>
      <c r="AJ289" s="938">
        <v>2500</v>
      </c>
      <c r="AK289" s="938"/>
      <c r="AL289" s="938"/>
      <c r="AM289" s="938"/>
      <c r="AN289" s="938"/>
      <c r="AO289" s="938"/>
      <c r="AP289" s="938"/>
      <c r="AQ289" s="938"/>
      <c r="AR289" s="938"/>
      <c r="AS289" s="938"/>
      <c r="AT289" s="938"/>
      <c r="AU289" s="938">
        <f t="shared" si="412"/>
        <v>6795.9032</v>
      </c>
      <c r="AV289" s="938"/>
      <c r="AW289" s="938">
        <v>3000</v>
      </c>
      <c r="AX289" s="718">
        <f t="shared" si="401"/>
        <v>3397.9516</v>
      </c>
      <c r="AY289" s="947"/>
      <c r="AZ289" s="947"/>
      <c r="BA289" s="938"/>
      <c r="BB289" s="938"/>
      <c r="BC289" s="938"/>
      <c r="BD289" s="948"/>
      <c r="BE289" s="948"/>
      <c r="BF289" s="938"/>
      <c r="BG289" s="938"/>
      <c r="BH289" s="949"/>
      <c r="BI289" s="938"/>
      <c r="BJ289" s="938"/>
      <c r="BK289" s="938"/>
      <c r="BL289" s="938"/>
      <c r="BM289" s="938"/>
      <c r="BN289" s="938"/>
      <c r="BO289" s="938">
        <v>0</v>
      </c>
      <c r="BP289" s="938"/>
      <c r="BQ289" s="938"/>
      <c r="BR289" s="950"/>
      <c r="BS289" s="950"/>
      <c r="BT289" s="950"/>
      <c r="BU289" s="950"/>
      <c r="BV289" s="950"/>
      <c r="BW289" s="950"/>
      <c r="BX289" s="950"/>
      <c r="BY289" s="950"/>
      <c r="BZ289" s="950">
        <v>1000</v>
      </c>
      <c r="CA289" s="718">
        <f t="shared" si="407"/>
        <v>3497.9516</v>
      </c>
      <c r="CB289" s="951"/>
      <c r="CC289" s="950">
        <v>16751.1</v>
      </c>
      <c r="CD289" s="702">
        <f t="shared" si="410"/>
        <v>174897.58</v>
      </c>
      <c r="CE289" s="731">
        <f t="shared" si="413"/>
        <v>34442.9064</v>
      </c>
      <c r="CF289" s="739">
        <f t="shared" si="411"/>
        <v>140454.6736</v>
      </c>
      <c r="CG289" s="952">
        <f t="shared" si="408"/>
        <v>34442.9064</v>
      </c>
      <c r="CH289" s="953"/>
      <c r="CI289" s="954"/>
      <c r="CJ289" s="955"/>
      <c r="CK289" s="964"/>
      <c r="CL289" s="965"/>
      <c r="CM289" s="954"/>
      <c r="CN289" s="955"/>
      <c r="CO289" s="955"/>
      <c r="CP289" s="955"/>
      <c r="CQ289" s="955"/>
      <c r="CR289" s="955"/>
      <c r="CS289" s="955"/>
      <c r="CT289" s="970"/>
      <c r="CU289" s="971"/>
      <c r="CV289" s="972"/>
      <c r="CW289" s="973"/>
      <c r="CX289" s="974"/>
      <c r="CY289" s="975"/>
      <c r="CZ289" s="976"/>
      <c r="DA289" s="991"/>
      <c r="DB289" s="992"/>
    </row>
    <row r="290" ht="236" customHeight="1" spans="1:106">
      <c r="A290" s="673">
        <v>613</v>
      </c>
      <c r="B290" s="926" t="s">
        <v>1382</v>
      </c>
      <c r="C290" s="927" t="s">
        <v>1770</v>
      </c>
      <c r="D290" s="927" t="s">
        <v>1771</v>
      </c>
      <c r="E290" s="927" t="s">
        <v>93</v>
      </c>
      <c r="F290" s="927">
        <v>3199206929</v>
      </c>
      <c r="G290" s="927" t="s">
        <v>1585</v>
      </c>
      <c r="H290" s="928"/>
      <c r="I290" s="935"/>
      <c r="J290" s="935"/>
      <c r="K290" s="936"/>
      <c r="L290" s="937"/>
      <c r="M290" s="937"/>
      <c r="N290" s="938"/>
      <c r="O290" s="938"/>
      <c r="P290" s="938"/>
      <c r="Q290" s="938"/>
      <c r="R290" s="938"/>
      <c r="S290" s="938">
        <v>169897.58</v>
      </c>
      <c r="T290" s="938"/>
      <c r="U290" s="938"/>
      <c r="V290" s="938"/>
      <c r="W290" s="938"/>
      <c r="X290" s="938"/>
      <c r="Y290" s="938"/>
      <c r="Z290" s="938"/>
      <c r="AA290" s="938"/>
      <c r="AB290" s="938"/>
      <c r="AC290" s="938">
        <v>2500</v>
      </c>
      <c r="AD290" s="938"/>
      <c r="AE290" s="938"/>
      <c r="AF290" s="938"/>
      <c r="AG290" s="938"/>
      <c r="AH290" s="938"/>
      <c r="AI290" s="938"/>
      <c r="AJ290" s="938">
        <v>2500</v>
      </c>
      <c r="AK290" s="938"/>
      <c r="AL290" s="938"/>
      <c r="AM290" s="938"/>
      <c r="AN290" s="938"/>
      <c r="AO290" s="938"/>
      <c r="AP290" s="938"/>
      <c r="AQ290" s="938"/>
      <c r="AR290" s="938"/>
      <c r="AS290" s="938"/>
      <c r="AT290" s="938"/>
      <c r="AU290" s="938">
        <f t="shared" si="412"/>
        <v>6795.9032</v>
      </c>
      <c r="AV290" s="938"/>
      <c r="AW290" s="938">
        <v>3000</v>
      </c>
      <c r="AX290" s="718">
        <f t="shared" si="401"/>
        <v>3397.9516</v>
      </c>
      <c r="AY290" s="947"/>
      <c r="AZ290" s="947"/>
      <c r="BA290" s="938"/>
      <c r="BB290" s="938"/>
      <c r="BC290" s="938"/>
      <c r="BD290" s="948"/>
      <c r="BE290" s="948"/>
      <c r="BF290" s="938"/>
      <c r="BG290" s="938"/>
      <c r="BH290" s="949"/>
      <c r="BI290" s="938"/>
      <c r="BJ290" s="938"/>
      <c r="BK290" s="938"/>
      <c r="BL290" s="938"/>
      <c r="BM290" s="938"/>
      <c r="BN290" s="938"/>
      <c r="BO290" s="938">
        <v>0</v>
      </c>
      <c r="BP290" s="938"/>
      <c r="BQ290" s="938"/>
      <c r="BR290" s="950"/>
      <c r="BS290" s="950"/>
      <c r="BT290" s="950"/>
      <c r="BU290" s="950"/>
      <c r="BV290" s="950"/>
      <c r="BW290" s="950"/>
      <c r="BX290" s="950"/>
      <c r="BY290" s="950"/>
      <c r="BZ290" s="950">
        <v>1000</v>
      </c>
      <c r="CA290" s="718">
        <f t="shared" si="407"/>
        <v>3497.9516</v>
      </c>
      <c r="CB290" s="951"/>
      <c r="CC290" s="950">
        <v>16751.1</v>
      </c>
      <c r="CD290" s="702">
        <f t="shared" si="410"/>
        <v>174897.58</v>
      </c>
      <c r="CE290" s="731">
        <f t="shared" si="413"/>
        <v>34442.9064</v>
      </c>
      <c r="CF290" s="739">
        <f t="shared" si="411"/>
        <v>140454.6736</v>
      </c>
      <c r="CG290" s="952">
        <f t="shared" si="408"/>
        <v>34442.9064</v>
      </c>
      <c r="CH290" s="953"/>
      <c r="CI290" s="954"/>
      <c r="CJ290" s="955"/>
      <c r="CK290" s="964"/>
      <c r="CL290" s="965"/>
      <c r="CM290" s="954"/>
      <c r="CN290" s="955"/>
      <c r="CO290" s="955"/>
      <c r="CP290" s="955"/>
      <c r="CQ290" s="955"/>
      <c r="CR290" s="955"/>
      <c r="CS290" s="955"/>
      <c r="CT290" s="970"/>
      <c r="CU290" s="971"/>
      <c r="CV290" s="972"/>
      <c r="CW290" s="973"/>
      <c r="CX290" s="974"/>
      <c r="CY290" s="975"/>
      <c r="CZ290" s="976"/>
      <c r="DA290" s="991"/>
      <c r="DB290" s="992"/>
    </row>
    <row r="291" ht="236" customHeight="1" spans="1:106">
      <c r="A291" s="675">
        <v>614</v>
      </c>
      <c r="B291" s="926" t="s">
        <v>1383</v>
      </c>
      <c r="C291" s="927" t="s">
        <v>1770</v>
      </c>
      <c r="D291" s="927" t="s">
        <v>1771</v>
      </c>
      <c r="E291" s="927" t="s">
        <v>165</v>
      </c>
      <c r="F291" s="1458" t="s">
        <v>950</v>
      </c>
      <c r="G291" s="927" t="s">
        <v>1585</v>
      </c>
      <c r="H291" s="928"/>
      <c r="I291" s="935"/>
      <c r="J291" s="935"/>
      <c r="K291" s="936"/>
      <c r="L291" s="937"/>
      <c r="M291" s="937"/>
      <c r="N291" s="938"/>
      <c r="O291" s="938"/>
      <c r="P291" s="938"/>
      <c r="Q291" s="938"/>
      <c r="R291" s="938"/>
      <c r="S291" s="938">
        <v>169897.58</v>
      </c>
      <c r="T291" s="938"/>
      <c r="U291" s="938"/>
      <c r="V291" s="938"/>
      <c r="W291" s="938"/>
      <c r="X291" s="938"/>
      <c r="Y291" s="938"/>
      <c r="Z291" s="938"/>
      <c r="AA291" s="938"/>
      <c r="AB291" s="938"/>
      <c r="AC291" s="938">
        <v>2500</v>
      </c>
      <c r="AD291" s="938"/>
      <c r="AE291" s="938"/>
      <c r="AF291" s="938"/>
      <c r="AG291" s="938"/>
      <c r="AH291" s="938"/>
      <c r="AI291" s="938"/>
      <c r="AJ291" s="938">
        <v>2500</v>
      </c>
      <c r="AK291" s="938"/>
      <c r="AL291" s="938"/>
      <c r="AM291" s="938"/>
      <c r="AN291" s="938"/>
      <c r="AO291" s="938"/>
      <c r="AP291" s="938"/>
      <c r="AQ291" s="938"/>
      <c r="AR291" s="938"/>
      <c r="AS291" s="938"/>
      <c r="AT291" s="938"/>
      <c r="AU291" s="938">
        <f t="shared" si="412"/>
        <v>6795.9032</v>
      </c>
      <c r="AV291" s="938"/>
      <c r="AW291" s="938">
        <v>3000</v>
      </c>
      <c r="AX291" s="718">
        <f t="shared" si="401"/>
        <v>3397.9516</v>
      </c>
      <c r="AY291" s="947"/>
      <c r="AZ291" s="947"/>
      <c r="BA291" s="938"/>
      <c r="BB291" s="938"/>
      <c r="BC291" s="938"/>
      <c r="BD291" s="948"/>
      <c r="BE291" s="948"/>
      <c r="BF291" s="938"/>
      <c r="BG291" s="938"/>
      <c r="BH291" s="949"/>
      <c r="BI291" s="938"/>
      <c r="BJ291" s="938"/>
      <c r="BK291" s="938"/>
      <c r="BL291" s="938"/>
      <c r="BM291" s="938"/>
      <c r="BN291" s="938"/>
      <c r="BO291" s="938">
        <v>0</v>
      </c>
      <c r="BP291" s="938"/>
      <c r="BQ291" s="938"/>
      <c r="BR291" s="950"/>
      <c r="BS291" s="950"/>
      <c r="BT291" s="950"/>
      <c r="BU291" s="950"/>
      <c r="BV291" s="950"/>
      <c r="BW291" s="950"/>
      <c r="BX291" s="950">
        <v>5000</v>
      </c>
      <c r="BY291" s="950"/>
      <c r="BZ291" s="950">
        <v>1000</v>
      </c>
      <c r="CA291" s="718">
        <f t="shared" si="407"/>
        <v>3497.9516</v>
      </c>
      <c r="CB291" s="951"/>
      <c r="CC291" s="950">
        <v>16751.1</v>
      </c>
      <c r="CD291" s="702">
        <f t="shared" si="410"/>
        <v>174897.58</v>
      </c>
      <c r="CE291" s="731">
        <f t="shared" si="413"/>
        <v>39442.9064</v>
      </c>
      <c r="CF291" s="739">
        <f t="shared" si="411"/>
        <v>135454.6736</v>
      </c>
      <c r="CG291" s="952">
        <f t="shared" si="408"/>
        <v>39442.9064</v>
      </c>
      <c r="CH291" s="953"/>
      <c r="CI291" s="954"/>
      <c r="CJ291" s="955"/>
      <c r="CK291" s="964"/>
      <c r="CL291" s="965"/>
      <c r="CM291" s="954"/>
      <c r="CN291" s="955"/>
      <c r="CO291" s="955"/>
      <c r="CP291" s="955"/>
      <c r="CQ291" s="955"/>
      <c r="CR291" s="955"/>
      <c r="CS291" s="955"/>
      <c r="CT291" s="970"/>
      <c r="CU291" s="971"/>
      <c r="CV291" s="972"/>
      <c r="CW291" s="973"/>
      <c r="CX291" s="974"/>
      <c r="CY291" s="975"/>
      <c r="CZ291" s="976"/>
      <c r="DA291" s="991"/>
      <c r="DB291" s="992"/>
    </row>
    <row r="292" ht="236" customHeight="1" spans="1:106">
      <c r="A292" s="673">
        <v>615</v>
      </c>
      <c r="B292" s="926" t="s">
        <v>1384</v>
      </c>
      <c r="C292" s="927" t="s">
        <v>1770</v>
      </c>
      <c r="D292" s="927" t="s">
        <v>1776</v>
      </c>
      <c r="E292" s="927" t="s">
        <v>259</v>
      </c>
      <c r="F292" s="927">
        <v>6013258606</v>
      </c>
      <c r="G292" s="927" t="s">
        <v>1585</v>
      </c>
      <c r="H292" s="928"/>
      <c r="I292" s="935"/>
      <c r="J292" s="935"/>
      <c r="K292" s="936"/>
      <c r="L292" s="937"/>
      <c r="M292" s="937"/>
      <c r="N292" s="938"/>
      <c r="O292" s="938"/>
      <c r="P292" s="938"/>
      <c r="Q292" s="938"/>
      <c r="R292" s="938"/>
      <c r="S292" s="938">
        <v>169897.58</v>
      </c>
      <c r="T292" s="938"/>
      <c r="U292" s="938"/>
      <c r="V292" s="938"/>
      <c r="W292" s="938"/>
      <c r="X292" s="938"/>
      <c r="Y292" s="938"/>
      <c r="Z292" s="938"/>
      <c r="AA292" s="938"/>
      <c r="AB292" s="938"/>
      <c r="AC292" s="938">
        <v>2500</v>
      </c>
      <c r="AD292" s="938"/>
      <c r="AE292" s="938"/>
      <c r="AF292" s="938"/>
      <c r="AG292" s="938"/>
      <c r="AH292" s="938"/>
      <c r="AI292" s="938"/>
      <c r="AJ292" s="938">
        <v>2500</v>
      </c>
      <c r="AK292" s="938"/>
      <c r="AL292" s="938"/>
      <c r="AM292" s="938"/>
      <c r="AN292" s="938"/>
      <c r="AO292" s="938"/>
      <c r="AP292" s="938"/>
      <c r="AQ292" s="938"/>
      <c r="AR292" s="938"/>
      <c r="AS292" s="938"/>
      <c r="AT292" s="938"/>
      <c r="AU292" s="938">
        <f t="shared" si="412"/>
        <v>6795.9032</v>
      </c>
      <c r="AV292" s="938"/>
      <c r="AW292" s="938">
        <v>3000</v>
      </c>
      <c r="AX292" s="718">
        <f t="shared" si="401"/>
        <v>3397.9516</v>
      </c>
      <c r="AY292" s="947"/>
      <c r="AZ292" s="947"/>
      <c r="BA292" s="938"/>
      <c r="BB292" s="938"/>
      <c r="BC292" s="938"/>
      <c r="BD292" s="948"/>
      <c r="BE292" s="948"/>
      <c r="BF292" s="938"/>
      <c r="BG292" s="938"/>
      <c r="BH292" s="949"/>
      <c r="BI292" s="938"/>
      <c r="BJ292" s="938"/>
      <c r="BK292" s="938"/>
      <c r="BL292" s="938"/>
      <c r="BM292" s="938"/>
      <c r="BN292" s="938"/>
      <c r="BO292" s="938">
        <v>10000</v>
      </c>
      <c r="BP292" s="938"/>
      <c r="BQ292" s="938"/>
      <c r="BR292" s="950"/>
      <c r="BS292" s="950"/>
      <c r="BT292" s="950"/>
      <c r="BU292" s="950"/>
      <c r="BV292" s="950"/>
      <c r="BW292" s="950"/>
      <c r="BX292" s="950"/>
      <c r="BY292" s="950"/>
      <c r="BZ292" s="950">
        <v>1000</v>
      </c>
      <c r="CA292" s="718">
        <f t="shared" si="407"/>
        <v>3497.9516</v>
      </c>
      <c r="CB292" s="951"/>
      <c r="CC292" s="950">
        <v>16751.1</v>
      </c>
      <c r="CD292" s="702">
        <f t="shared" si="410"/>
        <v>174897.58</v>
      </c>
      <c r="CE292" s="731">
        <f t="shared" si="413"/>
        <v>44442.9064</v>
      </c>
      <c r="CF292" s="739">
        <f t="shared" si="411"/>
        <v>130454.6736</v>
      </c>
      <c r="CG292" s="952">
        <f t="shared" si="408"/>
        <v>44442.9064</v>
      </c>
      <c r="CH292" s="953"/>
      <c r="CI292" s="954"/>
      <c r="CJ292" s="955"/>
      <c r="CK292" s="964"/>
      <c r="CL292" s="965"/>
      <c r="CM292" s="954"/>
      <c r="CN292" s="955"/>
      <c r="CO292" s="955"/>
      <c r="CP292" s="955"/>
      <c r="CQ292" s="955"/>
      <c r="CR292" s="955"/>
      <c r="CS292" s="955"/>
      <c r="CT292" s="970"/>
      <c r="CU292" s="971"/>
      <c r="CV292" s="972"/>
      <c r="CW292" s="973"/>
      <c r="CX292" s="974"/>
      <c r="CY292" s="975"/>
      <c r="CZ292" s="976"/>
      <c r="DA292" s="991"/>
      <c r="DB292" s="992"/>
    </row>
    <row r="293" ht="236" customHeight="1" spans="1:106">
      <c r="A293" s="675">
        <v>616</v>
      </c>
      <c r="B293" s="926" t="s">
        <v>1385</v>
      </c>
      <c r="C293" s="927" t="s">
        <v>1770</v>
      </c>
      <c r="D293" s="927" t="s">
        <v>1775</v>
      </c>
      <c r="E293" s="927" t="s">
        <v>122</v>
      </c>
      <c r="F293" s="927">
        <v>9304210749</v>
      </c>
      <c r="G293" s="927" t="s">
        <v>1585</v>
      </c>
      <c r="H293" s="928"/>
      <c r="I293" s="935"/>
      <c r="J293" s="935"/>
      <c r="K293" s="936"/>
      <c r="L293" s="937"/>
      <c r="M293" s="937"/>
      <c r="N293" s="938"/>
      <c r="O293" s="938"/>
      <c r="P293" s="938"/>
      <c r="Q293" s="938"/>
      <c r="R293" s="938"/>
      <c r="S293" s="938">
        <v>169897.58</v>
      </c>
      <c r="T293" s="938"/>
      <c r="U293" s="938"/>
      <c r="V293" s="938"/>
      <c r="W293" s="938"/>
      <c r="X293" s="938"/>
      <c r="Y293" s="938"/>
      <c r="Z293" s="938"/>
      <c r="AA293" s="938"/>
      <c r="AB293" s="938"/>
      <c r="AC293" s="938">
        <v>2500</v>
      </c>
      <c r="AD293" s="938"/>
      <c r="AE293" s="938"/>
      <c r="AF293" s="938"/>
      <c r="AG293" s="938"/>
      <c r="AH293" s="938"/>
      <c r="AI293" s="938"/>
      <c r="AJ293" s="938">
        <v>2500</v>
      </c>
      <c r="AK293" s="938"/>
      <c r="AL293" s="938"/>
      <c r="AM293" s="938"/>
      <c r="AN293" s="938"/>
      <c r="AO293" s="938"/>
      <c r="AP293" s="938"/>
      <c r="AQ293" s="938"/>
      <c r="AR293" s="938"/>
      <c r="AS293" s="938"/>
      <c r="AT293" s="938"/>
      <c r="AU293" s="938">
        <f t="shared" si="412"/>
        <v>6795.9032</v>
      </c>
      <c r="AV293" s="938"/>
      <c r="AW293" s="938">
        <v>3000</v>
      </c>
      <c r="AX293" s="718">
        <f t="shared" si="401"/>
        <v>3397.9516</v>
      </c>
      <c r="AY293" s="947"/>
      <c r="AZ293" s="947"/>
      <c r="BA293" s="938"/>
      <c r="BB293" s="938"/>
      <c r="BC293" s="938"/>
      <c r="BD293" s="948"/>
      <c r="BE293" s="948"/>
      <c r="BF293" s="938"/>
      <c r="BG293" s="938"/>
      <c r="BH293" s="949"/>
      <c r="BI293" s="938"/>
      <c r="BJ293" s="938"/>
      <c r="BK293" s="938"/>
      <c r="BL293" s="938"/>
      <c r="BM293" s="938"/>
      <c r="BN293" s="938"/>
      <c r="BO293" s="938">
        <v>10000</v>
      </c>
      <c r="BP293" s="938"/>
      <c r="BQ293" s="938"/>
      <c r="BR293" s="950"/>
      <c r="BS293" s="950"/>
      <c r="BT293" s="950"/>
      <c r="BU293" s="950"/>
      <c r="BV293" s="950"/>
      <c r="BW293" s="950"/>
      <c r="BX293" s="950"/>
      <c r="BY293" s="950">
        <v>2000</v>
      </c>
      <c r="BZ293" s="950">
        <v>1000</v>
      </c>
      <c r="CA293" s="718">
        <f t="shared" si="407"/>
        <v>3497.9516</v>
      </c>
      <c r="CB293" s="951"/>
      <c r="CC293" s="950">
        <v>16751.1</v>
      </c>
      <c r="CD293" s="702">
        <f t="shared" si="410"/>
        <v>174897.58</v>
      </c>
      <c r="CE293" s="731">
        <f t="shared" si="413"/>
        <v>46442.9064</v>
      </c>
      <c r="CF293" s="739">
        <f t="shared" si="411"/>
        <v>128454.6736</v>
      </c>
      <c r="CG293" s="952">
        <f t="shared" si="408"/>
        <v>46442.9064</v>
      </c>
      <c r="CH293" s="953"/>
      <c r="CI293" s="954"/>
      <c r="CJ293" s="955"/>
      <c r="CK293" s="964"/>
      <c r="CL293" s="965"/>
      <c r="CM293" s="954"/>
      <c r="CN293" s="955"/>
      <c r="CO293" s="955"/>
      <c r="CP293" s="955"/>
      <c r="CQ293" s="955"/>
      <c r="CR293" s="955"/>
      <c r="CS293" s="955"/>
      <c r="CT293" s="970"/>
      <c r="CU293" s="971"/>
      <c r="CV293" s="972"/>
      <c r="CW293" s="973"/>
      <c r="CX293" s="974"/>
      <c r="CY293" s="975"/>
      <c r="CZ293" s="976"/>
      <c r="DA293" s="991"/>
      <c r="DB293" s="992"/>
    </row>
    <row r="294" ht="236" customHeight="1" spans="1:106">
      <c r="A294" s="673">
        <v>617</v>
      </c>
      <c r="B294" s="926" t="s">
        <v>1386</v>
      </c>
      <c r="C294" s="927" t="s">
        <v>1770</v>
      </c>
      <c r="D294" s="927" t="s">
        <v>1775</v>
      </c>
      <c r="E294" s="927" t="s">
        <v>93</v>
      </c>
      <c r="F294" s="927">
        <v>3061002932</v>
      </c>
      <c r="G294" s="927" t="s">
        <v>1585</v>
      </c>
      <c r="H294" s="928"/>
      <c r="I294" s="935"/>
      <c r="J294" s="935"/>
      <c r="K294" s="936"/>
      <c r="L294" s="937"/>
      <c r="M294" s="937"/>
      <c r="N294" s="938"/>
      <c r="O294" s="938"/>
      <c r="P294" s="938"/>
      <c r="Q294" s="938"/>
      <c r="R294" s="938"/>
      <c r="S294" s="938">
        <v>169897.58</v>
      </c>
      <c r="T294" s="938"/>
      <c r="U294" s="938"/>
      <c r="V294" s="938"/>
      <c r="W294" s="938"/>
      <c r="X294" s="938"/>
      <c r="Y294" s="938"/>
      <c r="Z294" s="938"/>
      <c r="AA294" s="938"/>
      <c r="AB294" s="938"/>
      <c r="AC294" s="938">
        <v>2500</v>
      </c>
      <c r="AD294" s="938"/>
      <c r="AE294" s="938"/>
      <c r="AF294" s="938"/>
      <c r="AG294" s="938"/>
      <c r="AH294" s="938"/>
      <c r="AI294" s="938"/>
      <c r="AJ294" s="938">
        <v>2500</v>
      </c>
      <c r="AK294" s="938"/>
      <c r="AL294" s="938"/>
      <c r="AM294" s="938"/>
      <c r="AN294" s="938"/>
      <c r="AO294" s="938"/>
      <c r="AP294" s="938"/>
      <c r="AQ294" s="938"/>
      <c r="AR294" s="938"/>
      <c r="AS294" s="938"/>
      <c r="AT294" s="938"/>
      <c r="AU294" s="938">
        <f t="shared" si="412"/>
        <v>6795.9032</v>
      </c>
      <c r="AV294" s="938"/>
      <c r="AW294" s="938">
        <v>3000</v>
      </c>
      <c r="AX294" s="718">
        <f t="shared" si="401"/>
        <v>3397.9516</v>
      </c>
      <c r="AY294" s="947"/>
      <c r="AZ294" s="947"/>
      <c r="BA294" s="938"/>
      <c r="BB294" s="938"/>
      <c r="BC294" s="938"/>
      <c r="BD294" s="948"/>
      <c r="BE294" s="948"/>
      <c r="BF294" s="938"/>
      <c r="BG294" s="938"/>
      <c r="BH294" s="949"/>
      <c r="BI294" s="938"/>
      <c r="BJ294" s="938"/>
      <c r="BK294" s="938"/>
      <c r="BL294" s="938"/>
      <c r="BM294" s="938"/>
      <c r="BN294" s="938"/>
      <c r="BO294" s="938">
        <v>0</v>
      </c>
      <c r="BP294" s="938"/>
      <c r="BQ294" s="938"/>
      <c r="BR294" s="950"/>
      <c r="BS294" s="950">
        <v>40277</v>
      </c>
      <c r="BT294" s="950"/>
      <c r="BU294" s="950"/>
      <c r="BV294" s="950"/>
      <c r="BW294" s="950"/>
      <c r="BX294" s="950"/>
      <c r="BY294" s="950"/>
      <c r="BZ294" s="950">
        <v>1000</v>
      </c>
      <c r="CA294" s="718">
        <f t="shared" si="407"/>
        <v>3497.9516</v>
      </c>
      <c r="CB294" s="951"/>
      <c r="CC294" s="950">
        <v>16751.1</v>
      </c>
      <c r="CD294" s="702">
        <f t="shared" si="410"/>
        <v>174897.58</v>
      </c>
      <c r="CE294" s="731">
        <f t="shared" si="413"/>
        <v>74719.9064</v>
      </c>
      <c r="CF294" s="739">
        <f t="shared" si="411"/>
        <v>100177.6736</v>
      </c>
      <c r="CG294" s="952">
        <f t="shared" si="408"/>
        <v>74719.9064</v>
      </c>
      <c r="CH294" s="953"/>
      <c r="CI294" s="954"/>
      <c r="CJ294" s="955"/>
      <c r="CK294" s="964"/>
      <c r="CL294" s="965"/>
      <c r="CM294" s="954"/>
      <c r="CN294" s="955"/>
      <c r="CO294" s="955"/>
      <c r="CP294" s="955"/>
      <c r="CQ294" s="955"/>
      <c r="CR294" s="955"/>
      <c r="CS294" s="955"/>
      <c r="CT294" s="970"/>
      <c r="CU294" s="971"/>
      <c r="CV294" s="972"/>
      <c r="CW294" s="973"/>
      <c r="CX294" s="974"/>
      <c r="CY294" s="975"/>
      <c r="CZ294" s="976"/>
      <c r="DA294" s="991"/>
      <c r="DB294" s="992"/>
    </row>
    <row r="295" ht="236" customHeight="1" spans="1:106">
      <c r="A295" s="675">
        <v>618</v>
      </c>
      <c r="B295" s="926" t="s">
        <v>1387</v>
      </c>
      <c r="C295" s="927" t="s">
        <v>1770</v>
      </c>
      <c r="D295" s="927" t="s">
        <v>1775</v>
      </c>
      <c r="E295" s="927" t="s">
        <v>313</v>
      </c>
      <c r="F295" s="927">
        <v>2873298015</v>
      </c>
      <c r="G295" s="927" t="s">
        <v>1585</v>
      </c>
      <c r="H295" s="928"/>
      <c r="I295" s="935"/>
      <c r="J295" s="935"/>
      <c r="K295" s="936"/>
      <c r="L295" s="937"/>
      <c r="M295" s="937"/>
      <c r="N295" s="938"/>
      <c r="O295" s="938"/>
      <c r="P295" s="938"/>
      <c r="Q295" s="938"/>
      <c r="R295" s="938"/>
      <c r="S295" s="938">
        <v>169897.58</v>
      </c>
      <c r="T295" s="938"/>
      <c r="U295" s="938"/>
      <c r="V295" s="938"/>
      <c r="W295" s="938"/>
      <c r="X295" s="938"/>
      <c r="Y295" s="938"/>
      <c r="Z295" s="938"/>
      <c r="AA295" s="938"/>
      <c r="AB295" s="938"/>
      <c r="AC295" s="938">
        <v>2500</v>
      </c>
      <c r="AD295" s="938"/>
      <c r="AE295" s="938"/>
      <c r="AF295" s="938"/>
      <c r="AG295" s="938"/>
      <c r="AH295" s="938"/>
      <c r="AI295" s="938"/>
      <c r="AJ295" s="938">
        <v>2500</v>
      </c>
      <c r="AK295" s="938"/>
      <c r="AL295" s="938"/>
      <c r="AM295" s="938"/>
      <c r="AN295" s="938"/>
      <c r="AO295" s="938"/>
      <c r="AP295" s="938"/>
      <c r="AQ295" s="938"/>
      <c r="AR295" s="938"/>
      <c r="AS295" s="938"/>
      <c r="AT295" s="938"/>
      <c r="AU295" s="938">
        <f t="shared" si="412"/>
        <v>6795.9032</v>
      </c>
      <c r="AV295" s="938"/>
      <c r="AW295" s="938">
        <v>3000</v>
      </c>
      <c r="AX295" s="718">
        <f t="shared" si="401"/>
        <v>3397.9516</v>
      </c>
      <c r="AY295" s="947"/>
      <c r="AZ295" s="947"/>
      <c r="BA295" s="938"/>
      <c r="BB295" s="938"/>
      <c r="BC295" s="938"/>
      <c r="BD295" s="948"/>
      <c r="BE295" s="948"/>
      <c r="BF295" s="938"/>
      <c r="BG295" s="938"/>
      <c r="BH295" s="949"/>
      <c r="BI295" s="938"/>
      <c r="BJ295" s="938"/>
      <c r="BK295" s="938"/>
      <c r="BL295" s="938"/>
      <c r="BM295" s="938"/>
      <c r="BN295" s="938"/>
      <c r="BO295" s="938">
        <v>0</v>
      </c>
      <c r="BP295" s="938"/>
      <c r="BQ295" s="938"/>
      <c r="BR295" s="950"/>
      <c r="BS295" s="950"/>
      <c r="BT295" s="950"/>
      <c r="BU295" s="950"/>
      <c r="BV295" s="950"/>
      <c r="BW295" s="950"/>
      <c r="BX295" s="950"/>
      <c r="BY295" s="950"/>
      <c r="BZ295" s="950">
        <v>1000</v>
      </c>
      <c r="CA295" s="718">
        <f t="shared" si="407"/>
        <v>3497.9516</v>
      </c>
      <c r="CB295" s="951"/>
      <c r="CC295" s="950">
        <v>16751.1</v>
      </c>
      <c r="CD295" s="702">
        <f t="shared" si="410"/>
        <v>174897.58</v>
      </c>
      <c r="CE295" s="731">
        <f t="shared" si="413"/>
        <v>34442.9064</v>
      </c>
      <c r="CF295" s="739">
        <f t="shared" si="411"/>
        <v>140454.6736</v>
      </c>
      <c r="CG295" s="952">
        <f t="shared" si="408"/>
        <v>34442.9064</v>
      </c>
      <c r="CH295" s="953"/>
      <c r="CI295" s="954"/>
      <c r="CJ295" s="955"/>
      <c r="CK295" s="964"/>
      <c r="CL295" s="965"/>
      <c r="CM295" s="954"/>
      <c r="CN295" s="955"/>
      <c r="CO295" s="955"/>
      <c r="CP295" s="955"/>
      <c r="CQ295" s="955"/>
      <c r="CR295" s="955"/>
      <c r="CS295" s="955"/>
      <c r="CT295" s="970"/>
      <c r="CU295" s="971"/>
      <c r="CV295" s="972"/>
      <c r="CW295" s="973"/>
      <c r="CX295" s="974"/>
      <c r="CY295" s="975"/>
      <c r="CZ295" s="976"/>
      <c r="DA295" s="991"/>
      <c r="DB295" s="992"/>
    </row>
    <row r="296" ht="236" customHeight="1" spans="1:106">
      <c r="A296" s="673">
        <v>619</v>
      </c>
      <c r="B296" s="926" t="s">
        <v>1388</v>
      </c>
      <c r="C296" s="927" t="s">
        <v>1770</v>
      </c>
      <c r="D296" s="927" t="s">
        <v>1771</v>
      </c>
      <c r="E296" s="927" t="s">
        <v>165</v>
      </c>
      <c r="F296" s="927">
        <v>2392989615</v>
      </c>
      <c r="G296" s="927" t="s">
        <v>1585</v>
      </c>
      <c r="H296" s="928"/>
      <c r="I296" s="935"/>
      <c r="J296" s="935"/>
      <c r="K296" s="936"/>
      <c r="L296" s="937"/>
      <c r="M296" s="937"/>
      <c r="N296" s="938"/>
      <c r="O296" s="938"/>
      <c r="P296" s="938"/>
      <c r="Q296" s="938"/>
      <c r="R296" s="938"/>
      <c r="S296" s="938">
        <v>169897.58</v>
      </c>
      <c r="T296" s="938"/>
      <c r="U296" s="938"/>
      <c r="V296" s="938"/>
      <c r="W296" s="938"/>
      <c r="X296" s="938"/>
      <c r="Y296" s="938"/>
      <c r="Z296" s="938"/>
      <c r="AA296" s="938"/>
      <c r="AB296" s="938"/>
      <c r="AC296" s="938">
        <v>2500</v>
      </c>
      <c r="AD296" s="938"/>
      <c r="AE296" s="938"/>
      <c r="AF296" s="938"/>
      <c r="AG296" s="938"/>
      <c r="AH296" s="938"/>
      <c r="AI296" s="938"/>
      <c r="AJ296" s="938">
        <v>2500</v>
      </c>
      <c r="AK296" s="938"/>
      <c r="AL296" s="938"/>
      <c r="AM296" s="938"/>
      <c r="AN296" s="938"/>
      <c r="AO296" s="938"/>
      <c r="AP296" s="938"/>
      <c r="AQ296" s="938"/>
      <c r="AR296" s="938"/>
      <c r="AS296" s="938"/>
      <c r="AT296" s="938"/>
      <c r="AU296" s="938">
        <f t="shared" si="412"/>
        <v>6795.9032</v>
      </c>
      <c r="AV296" s="938"/>
      <c r="AW296" s="938">
        <v>3000</v>
      </c>
      <c r="AX296" s="718">
        <f t="shared" si="401"/>
        <v>3397.9516</v>
      </c>
      <c r="AY296" s="947"/>
      <c r="AZ296" s="947"/>
      <c r="BA296" s="938"/>
      <c r="BB296" s="938"/>
      <c r="BC296" s="938"/>
      <c r="BD296" s="948"/>
      <c r="BE296" s="948"/>
      <c r="BF296" s="938"/>
      <c r="BG296" s="938"/>
      <c r="BH296" s="949"/>
      <c r="BI296" s="938"/>
      <c r="BJ296" s="938"/>
      <c r="BK296" s="938"/>
      <c r="BL296" s="938"/>
      <c r="BM296" s="938"/>
      <c r="BN296" s="938"/>
      <c r="BO296" s="938">
        <v>0</v>
      </c>
      <c r="BP296" s="938"/>
      <c r="BQ296" s="938"/>
      <c r="BR296" s="950"/>
      <c r="BS296" s="950"/>
      <c r="BT296" s="950"/>
      <c r="BU296" s="950"/>
      <c r="BV296" s="950"/>
      <c r="BW296" s="950"/>
      <c r="BX296" s="950"/>
      <c r="BY296" s="950">
        <v>2000</v>
      </c>
      <c r="BZ296" s="950">
        <v>1000</v>
      </c>
      <c r="CA296" s="718">
        <f t="shared" si="407"/>
        <v>3497.9516</v>
      </c>
      <c r="CB296" s="951"/>
      <c r="CC296" s="950">
        <v>16751.1</v>
      </c>
      <c r="CD296" s="702">
        <f t="shared" si="410"/>
        <v>174897.58</v>
      </c>
      <c r="CE296" s="731">
        <f t="shared" si="413"/>
        <v>36442.9064</v>
      </c>
      <c r="CF296" s="739">
        <f t="shared" si="411"/>
        <v>138454.6736</v>
      </c>
      <c r="CG296" s="952">
        <f t="shared" si="408"/>
        <v>36442.9064</v>
      </c>
      <c r="CH296" s="953"/>
      <c r="CI296" s="954"/>
      <c r="CJ296" s="955"/>
      <c r="CK296" s="964"/>
      <c r="CL296" s="965"/>
      <c r="CM296" s="954"/>
      <c r="CN296" s="955"/>
      <c r="CO296" s="955"/>
      <c r="CP296" s="955"/>
      <c r="CQ296" s="955"/>
      <c r="CR296" s="955"/>
      <c r="CS296" s="955"/>
      <c r="CT296" s="970"/>
      <c r="CU296" s="971"/>
      <c r="CV296" s="972"/>
      <c r="CW296" s="973"/>
      <c r="CX296" s="974"/>
      <c r="CY296" s="975"/>
      <c r="CZ296" s="976"/>
      <c r="DA296" s="991"/>
      <c r="DB296" s="992"/>
    </row>
    <row r="297" ht="236" customHeight="1" spans="1:106">
      <c r="A297" s="675">
        <v>620</v>
      </c>
      <c r="B297" s="926" t="s">
        <v>1389</v>
      </c>
      <c r="C297" s="927" t="s">
        <v>1770</v>
      </c>
      <c r="D297" s="927" t="s">
        <v>1775</v>
      </c>
      <c r="E297" s="927" t="s">
        <v>165</v>
      </c>
      <c r="F297" s="927">
        <v>2836364444</v>
      </c>
      <c r="G297" s="927" t="s">
        <v>1585</v>
      </c>
      <c r="H297" s="928"/>
      <c r="I297" s="935"/>
      <c r="J297" s="935"/>
      <c r="K297" s="936"/>
      <c r="L297" s="937"/>
      <c r="M297" s="937"/>
      <c r="N297" s="938"/>
      <c r="O297" s="938"/>
      <c r="P297" s="938"/>
      <c r="Q297" s="938"/>
      <c r="R297" s="938"/>
      <c r="S297" s="938">
        <v>169897.58</v>
      </c>
      <c r="T297" s="938"/>
      <c r="U297" s="938"/>
      <c r="V297" s="938"/>
      <c r="W297" s="938"/>
      <c r="X297" s="938"/>
      <c r="Y297" s="938"/>
      <c r="Z297" s="938"/>
      <c r="AA297" s="938"/>
      <c r="AB297" s="938"/>
      <c r="AC297" s="938">
        <v>2500</v>
      </c>
      <c r="AD297" s="938"/>
      <c r="AE297" s="938"/>
      <c r="AF297" s="938"/>
      <c r="AG297" s="938"/>
      <c r="AH297" s="938"/>
      <c r="AI297" s="938"/>
      <c r="AJ297" s="938">
        <v>2500</v>
      </c>
      <c r="AK297" s="938"/>
      <c r="AL297" s="938"/>
      <c r="AM297" s="938"/>
      <c r="AN297" s="938"/>
      <c r="AO297" s="938"/>
      <c r="AP297" s="938"/>
      <c r="AQ297" s="938"/>
      <c r="AR297" s="938"/>
      <c r="AS297" s="938"/>
      <c r="AT297" s="938"/>
      <c r="AU297" s="938">
        <f t="shared" si="412"/>
        <v>6795.9032</v>
      </c>
      <c r="AV297" s="938"/>
      <c r="AW297" s="938">
        <v>3000</v>
      </c>
      <c r="AX297" s="718">
        <f t="shared" si="401"/>
        <v>3397.9516</v>
      </c>
      <c r="AY297" s="947"/>
      <c r="AZ297" s="947"/>
      <c r="BA297" s="938"/>
      <c r="BB297" s="938"/>
      <c r="BC297" s="938"/>
      <c r="BD297" s="948"/>
      <c r="BE297" s="948"/>
      <c r="BF297" s="938"/>
      <c r="BG297" s="938"/>
      <c r="BH297" s="949"/>
      <c r="BI297" s="938"/>
      <c r="BJ297" s="938"/>
      <c r="BK297" s="938"/>
      <c r="BL297" s="938"/>
      <c r="BM297" s="938"/>
      <c r="BN297" s="938"/>
      <c r="BO297" s="938">
        <v>0</v>
      </c>
      <c r="BP297" s="938"/>
      <c r="BQ297" s="938"/>
      <c r="BR297" s="950"/>
      <c r="BS297" s="950"/>
      <c r="BT297" s="950"/>
      <c r="BU297" s="950"/>
      <c r="BV297" s="950"/>
      <c r="BW297" s="950"/>
      <c r="BX297" s="950">
        <v>5000</v>
      </c>
      <c r="BY297" s="950"/>
      <c r="BZ297" s="950">
        <v>1000</v>
      </c>
      <c r="CA297" s="718">
        <f t="shared" si="407"/>
        <v>3497.9516</v>
      </c>
      <c r="CB297" s="951"/>
      <c r="CC297" s="950">
        <v>16751.1</v>
      </c>
      <c r="CD297" s="702">
        <f t="shared" si="410"/>
        <v>174897.58</v>
      </c>
      <c r="CE297" s="731">
        <f t="shared" si="413"/>
        <v>39442.9064</v>
      </c>
      <c r="CF297" s="739">
        <f t="shared" si="411"/>
        <v>135454.6736</v>
      </c>
      <c r="CG297" s="952">
        <f t="shared" si="408"/>
        <v>39442.9064</v>
      </c>
      <c r="CH297" s="953"/>
      <c r="CI297" s="954"/>
      <c r="CJ297" s="955"/>
      <c r="CK297" s="964"/>
      <c r="CL297" s="965"/>
      <c r="CM297" s="954"/>
      <c r="CN297" s="955"/>
      <c r="CO297" s="955"/>
      <c r="CP297" s="955"/>
      <c r="CQ297" s="955"/>
      <c r="CR297" s="955"/>
      <c r="CS297" s="955"/>
      <c r="CT297" s="970"/>
      <c r="CU297" s="971"/>
      <c r="CV297" s="972"/>
      <c r="CW297" s="973"/>
      <c r="CX297" s="974"/>
      <c r="CY297" s="975"/>
      <c r="CZ297" s="976"/>
      <c r="DA297" s="991"/>
      <c r="DB297" s="992"/>
    </row>
    <row r="298" ht="236" customHeight="1" spans="1:106">
      <c r="A298" s="673">
        <v>621</v>
      </c>
      <c r="B298" s="926" t="s">
        <v>1390</v>
      </c>
      <c r="C298" s="927" t="s">
        <v>1770</v>
      </c>
      <c r="D298" s="927" t="s">
        <v>1775</v>
      </c>
      <c r="E298" s="927" t="s">
        <v>113</v>
      </c>
      <c r="F298" s="927">
        <v>2147647827</v>
      </c>
      <c r="G298" s="927" t="s">
        <v>1585</v>
      </c>
      <c r="H298" s="928"/>
      <c r="I298" s="935"/>
      <c r="J298" s="935"/>
      <c r="K298" s="936"/>
      <c r="L298" s="937"/>
      <c r="M298" s="937"/>
      <c r="N298" s="938"/>
      <c r="O298" s="938"/>
      <c r="P298" s="938"/>
      <c r="Q298" s="938"/>
      <c r="R298" s="938"/>
      <c r="S298" s="938">
        <v>169897.58</v>
      </c>
      <c r="T298" s="938"/>
      <c r="U298" s="938"/>
      <c r="V298" s="938"/>
      <c r="W298" s="938"/>
      <c r="X298" s="938"/>
      <c r="Y298" s="938"/>
      <c r="Z298" s="938"/>
      <c r="AA298" s="938"/>
      <c r="AB298" s="938"/>
      <c r="AC298" s="938">
        <v>2500</v>
      </c>
      <c r="AD298" s="938"/>
      <c r="AE298" s="938"/>
      <c r="AF298" s="938"/>
      <c r="AG298" s="938"/>
      <c r="AH298" s="938"/>
      <c r="AI298" s="938"/>
      <c r="AJ298" s="938">
        <v>2500</v>
      </c>
      <c r="AK298" s="938"/>
      <c r="AL298" s="938"/>
      <c r="AM298" s="938"/>
      <c r="AN298" s="938"/>
      <c r="AO298" s="938"/>
      <c r="AP298" s="938"/>
      <c r="AQ298" s="938"/>
      <c r="AR298" s="938"/>
      <c r="AS298" s="938"/>
      <c r="AT298" s="938"/>
      <c r="AU298" s="938">
        <f t="shared" si="412"/>
        <v>6795.9032</v>
      </c>
      <c r="AV298" s="938"/>
      <c r="AW298" s="938">
        <v>3000</v>
      </c>
      <c r="AX298" s="718">
        <f t="shared" si="401"/>
        <v>3397.9516</v>
      </c>
      <c r="AY298" s="947"/>
      <c r="AZ298" s="947"/>
      <c r="BA298" s="938"/>
      <c r="BB298" s="938"/>
      <c r="BC298" s="938"/>
      <c r="BD298" s="948"/>
      <c r="BE298" s="948"/>
      <c r="BF298" s="938"/>
      <c r="BG298" s="938"/>
      <c r="BH298" s="949"/>
      <c r="BI298" s="938"/>
      <c r="BJ298" s="938"/>
      <c r="BK298" s="938"/>
      <c r="BL298" s="938"/>
      <c r="BM298" s="938"/>
      <c r="BN298" s="938"/>
      <c r="BO298" s="938">
        <v>35000</v>
      </c>
      <c r="BP298" s="938"/>
      <c r="BQ298" s="938"/>
      <c r="BR298" s="950"/>
      <c r="BS298" s="950"/>
      <c r="BT298" s="950"/>
      <c r="BU298" s="950"/>
      <c r="BV298" s="950"/>
      <c r="BW298" s="950"/>
      <c r="BX298" s="950"/>
      <c r="BY298" s="950">
        <v>2000</v>
      </c>
      <c r="BZ298" s="950">
        <v>1000</v>
      </c>
      <c r="CA298" s="718">
        <f t="shared" si="407"/>
        <v>3497.9516</v>
      </c>
      <c r="CB298" s="951"/>
      <c r="CC298" s="950">
        <v>16751.1</v>
      </c>
      <c r="CD298" s="702">
        <f t="shared" si="410"/>
        <v>174897.58</v>
      </c>
      <c r="CE298" s="731">
        <f t="shared" si="413"/>
        <v>71442.9064</v>
      </c>
      <c r="CF298" s="739">
        <f t="shared" si="411"/>
        <v>103454.6736</v>
      </c>
      <c r="CG298" s="952">
        <f t="shared" si="408"/>
        <v>71442.9064</v>
      </c>
      <c r="CH298" s="953"/>
      <c r="CI298" s="954"/>
      <c r="CJ298" s="955"/>
      <c r="CK298" s="964"/>
      <c r="CL298" s="965"/>
      <c r="CM298" s="954"/>
      <c r="CN298" s="955"/>
      <c r="CO298" s="955"/>
      <c r="CP298" s="955"/>
      <c r="CQ298" s="955"/>
      <c r="CR298" s="955"/>
      <c r="CS298" s="955"/>
      <c r="CT298" s="970"/>
      <c r="CU298" s="971"/>
      <c r="CV298" s="972"/>
      <c r="CW298" s="973"/>
      <c r="CX298" s="974"/>
      <c r="CY298" s="975"/>
      <c r="CZ298" s="976"/>
      <c r="DA298" s="991"/>
      <c r="DB298" s="992"/>
    </row>
    <row r="299" ht="236" customHeight="1" spans="1:106">
      <c r="A299" s="675">
        <v>622</v>
      </c>
      <c r="B299" s="926" t="s">
        <v>1391</v>
      </c>
      <c r="C299" s="927" t="s">
        <v>1770</v>
      </c>
      <c r="D299" s="927" t="s">
        <v>1775</v>
      </c>
      <c r="E299" s="927" t="s">
        <v>93</v>
      </c>
      <c r="F299" s="927">
        <v>3098088459</v>
      </c>
      <c r="G299" s="927" t="s">
        <v>1585</v>
      </c>
      <c r="H299" s="928"/>
      <c r="I299" s="935"/>
      <c r="J299" s="935"/>
      <c r="K299" s="936"/>
      <c r="L299" s="937"/>
      <c r="M299" s="937"/>
      <c r="N299" s="938"/>
      <c r="O299" s="938"/>
      <c r="P299" s="938"/>
      <c r="Q299" s="938"/>
      <c r="R299" s="938"/>
      <c r="S299" s="938">
        <v>169897.58</v>
      </c>
      <c r="T299" s="938"/>
      <c r="U299" s="938"/>
      <c r="V299" s="938"/>
      <c r="W299" s="938"/>
      <c r="X299" s="938"/>
      <c r="Y299" s="938"/>
      <c r="Z299" s="938"/>
      <c r="AA299" s="938"/>
      <c r="AB299" s="938"/>
      <c r="AC299" s="938">
        <v>2500</v>
      </c>
      <c r="AD299" s="938"/>
      <c r="AE299" s="938"/>
      <c r="AF299" s="938"/>
      <c r="AG299" s="938"/>
      <c r="AH299" s="938"/>
      <c r="AI299" s="938"/>
      <c r="AJ299" s="938">
        <v>2500</v>
      </c>
      <c r="AK299" s="938"/>
      <c r="AL299" s="938"/>
      <c r="AM299" s="938"/>
      <c r="AN299" s="938"/>
      <c r="AO299" s="938"/>
      <c r="AP299" s="938"/>
      <c r="AQ299" s="938"/>
      <c r="AR299" s="938"/>
      <c r="AS299" s="938"/>
      <c r="AT299" s="938"/>
      <c r="AU299" s="938">
        <f t="shared" si="412"/>
        <v>6795.9032</v>
      </c>
      <c r="AV299" s="938"/>
      <c r="AW299" s="938">
        <v>3000</v>
      </c>
      <c r="AX299" s="718">
        <f t="shared" si="401"/>
        <v>3397.9516</v>
      </c>
      <c r="AY299" s="947"/>
      <c r="AZ299" s="947"/>
      <c r="BA299" s="938"/>
      <c r="BB299" s="938"/>
      <c r="BC299" s="938"/>
      <c r="BD299" s="948"/>
      <c r="BE299" s="948"/>
      <c r="BF299" s="938"/>
      <c r="BG299" s="938"/>
      <c r="BH299" s="949"/>
      <c r="BI299" s="938"/>
      <c r="BJ299" s="938"/>
      <c r="BK299" s="938"/>
      <c r="BL299" s="938"/>
      <c r="BM299" s="938"/>
      <c r="BN299" s="938"/>
      <c r="BO299" s="938">
        <v>0</v>
      </c>
      <c r="BP299" s="938"/>
      <c r="BQ299" s="938"/>
      <c r="BR299" s="950"/>
      <c r="BS299" s="950"/>
      <c r="BT299" s="950"/>
      <c r="BU299" s="950"/>
      <c r="BV299" s="950"/>
      <c r="BW299" s="950"/>
      <c r="BX299" s="950"/>
      <c r="BY299" s="950"/>
      <c r="BZ299" s="950">
        <v>1000</v>
      </c>
      <c r="CA299" s="718">
        <f t="shared" si="407"/>
        <v>3497.9516</v>
      </c>
      <c r="CB299" s="951"/>
      <c r="CC299" s="950">
        <v>16751.1</v>
      </c>
      <c r="CD299" s="702">
        <f t="shared" si="410"/>
        <v>174897.58</v>
      </c>
      <c r="CE299" s="731">
        <f t="shared" si="413"/>
        <v>34442.9064</v>
      </c>
      <c r="CF299" s="739">
        <f t="shared" si="411"/>
        <v>140454.6736</v>
      </c>
      <c r="CG299" s="952">
        <f t="shared" si="408"/>
        <v>34442.9064</v>
      </c>
      <c r="CH299" s="953"/>
      <c r="CI299" s="954"/>
      <c r="CJ299" s="955"/>
      <c r="CK299" s="964"/>
      <c r="CL299" s="965"/>
      <c r="CM299" s="954"/>
      <c r="CN299" s="955"/>
      <c r="CO299" s="955"/>
      <c r="CP299" s="955"/>
      <c r="CQ299" s="955"/>
      <c r="CR299" s="955"/>
      <c r="CS299" s="955"/>
      <c r="CT299" s="970"/>
      <c r="CU299" s="971"/>
      <c r="CV299" s="972"/>
      <c r="CW299" s="973"/>
      <c r="CX299" s="974"/>
      <c r="CY299" s="975"/>
      <c r="CZ299" s="976"/>
      <c r="DA299" s="991"/>
      <c r="DB299" s="992"/>
    </row>
    <row r="300" ht="236" customHeight="1" spans="1:106">
      <c r="A300" s="673">
        <v>623</v>
      </c>
      <c r="B300" s="926" t="s">
        <v>1392</v>
      </c>
      <c r="C300" s="927" t="s">
        <v>1770</v>
      </c>
      <c r="D300" s="927" t="s">
        <v>1775</v>
      </c>
      <c r="E300" s="927" t="s">
        <v>915</v>
      </c>
      <c r="F300" s="1458" t="s">
        <v>1393</v>
      </c>
      <c r="G300" s="927" t="s">
        <v>1585</v>
      </c>
      <c r="H300" s="928"/>
      <c r="I300" s="935"/>
      <c r="J300" s="935"/>
      <c r="K300" s="936"/>
      <c r="L300" s="937"/>
      <c r="M300" s="937"/>
      <c r="N300" s="938"/>
      <c r="O300" s="938"/>
      <c r="P300" s="938"/>
      <c r="Q300" s="938"/>
      <c r="R300" s="938"/>
      <c r="S300" s="938">
        <v>169897.58</v>
      </c>
      <c r="T300" s="938"/>
      <c r="U300" s="938"/>
      <c r="V300" s="938"/>
      <c r="W300" s="938"/>
      <c r="X300" s="938"/>
      <c r="Y300" s="938"/>
      <c r="Z300" s="938"/>
      <c r="AA300" s="938"/>
      <c r="AB300" s="938"/>
      <c r="AC300" s="938">
        <v>2500</v>
      </c>
      <c r="AD300" s="938"/>
      <c r="AE300" s="938"/>
      <c r="AF300" s="938"/>
      <c r="AG300" s="938"/>
      <c r="AH300" s="938"/>
      <c r="AI300" s="938"/>
      <c r="AJ300" s="938">
        <v>2500</v>
      </c>
      <c r="AK300" s="938"/>
      <c r="AL300" s="938"/>
      <c r="AM300" s="938"/>
      <c r="AN300" s="938"/>
      <c r="AO300" s="938"/>
      <c r="AP300" s="938"/>
      <c r="AQ300" s="938"/>
      <c r="AR300" s="938"/>
      <c r="AS300" s="938"/>
      <c r="AT300" s="938"/>
      <c r="AU300" s="938">
        <f t="shared" si="412"/>
        <v>6795.9032</v>
      </c>
      <c r="AV300" s="938"/>
      <c r="AW300" s="938">
        <v>3000</v>
      </c>
      <c r="AX300" s="718">
        <f t="shared" si="401"/>
        <v>3397.9516</v>
      </c>
      <c r="AY300" s="947"/>
      <c r="AZ300" s="947"/>
      <c r="BA300" s="938"/>
      <c r="BB300" s="938"/>
      <c r="BC300" s="938"/>
      <c r="BD300" s="948"/>
      <c r="BE300" s="948"/>
      <c r="BF300" s="938"/>
      <c r="BG300" s="938"/>
      <c r="BH300" s="949"/>
      <c r="BI300" s="938"/>
      <c r="BJ300" s="938"/>
      <c r="BK300" s="938"/>
      <c r="BL300" s="938"/>
      <c r="BM300" s="938"/>
      <c r="BN300" s="938"/>
      <c r="BO300" s="938">
        <v>23333.3333333333</v>
      </c>
      <c r="BP300" s="938"/>
      <c r="BQ300" s="938"/>
      <c r="BR300" s="950"/>
      <c r="BS300" s="950"/>
      <c r="BT300" s="950"/>
      <c r="BU300" s="950"/>
      <c r="BV300" s="950"/>
      <c r="BW300" s="950"/>
      <c r="BX300" s="950">
        <v>5000</v>
      </c>
      <c r="BY300" s="950">
        <v>2000</v>
      </c>
      <c r="BZ300" s="950">
        <v>1000</v>
      </c>
      <c r="CA300" s="718">
        <f t="shared" si="407"/>
        <v>3497.9516</v>
      </c>
      <c r="CB300" s="951"/>
      <c r="CC300" s="950">
        <v>16751.1</v>
      </c>
      <c r="CD300" s="702">
        <f t="shared" si="410"/>
        <v>174897.58</v>
      </c>
      <c r="CE300" s="731">
        <f t="shared" si="413"/>
        <v>64776.2397333333</v>
      </c>
      <c r="CF300" s="739">
        <f t="shared" si="411"/>
        <v>110121.340266667</v>
      </c>
      <c r="CG300" s="952">
        <f t="shared" si="408"/>
        <v>64776.2397333333</v>
      </c>
      <c r="CH300" s="953"/>
      <c r="CI300" s="954"/>
      <c r="CJ300" s="955"/>
      <c r="CK300" s="964"/>
      <c r="CL300" s="965"/>
      <c r="CM300" s="954"/>
      <c r="CN300" s="955"/>
      <c r="CO300" s="955"/>
      <c r="CP300" s="955"/>
      <c r="CQ300" s="955"/>
      <c r="CR300" s="955"/>
      <c r="CS300" s="955"/>
      <c r="CT300" s="970"/>
      <c r="CU300" s="971"/>
      <c r="CV300" s="972"/>
      <c r="CW300" s="973"/>
      <c r="CX300" s="974"/>
      <c r="CY300" s="975"/>
      <c r="CZ300" s="976"/>
      <c r="DA300" s="991"/>
      <c r="DB300" s="992"/>
    </row>
    <row r="301" ht="236" customHeight="1" spans="1:106">
      <c r="A301" s="675">
        <v>624</v>
      </c>
      <c r="B301" s="926" t="s">
        <v>1394</v>
      </c>
      <c r="C301" s="927" t="s">
        <v>1770</v>
      </c>
      <c r="D301" s="927" t="s">
        <v>1775</v>
      </c>
      <c r="E301" s="927" t="s">
        <v>93</v>
      </c>
      <c r="F301" s="927">
        <v>3128038087</v>
      </c>
      <c r="G301" s="927" t="s">
        <v>1585</v>
      </c>
      <c r="H301" s="928"/>
      <c r="I301" s="935"/>
      <c r="J301" s="935"/>
      <c r="K301" s="936"/>
      <c r="L301" s="937"/>
      <c r="M301" s="937"/>
      <c r="N301" s="938"/>
      <c r="O301" s="938"/>
      <c r="P301" s="938"/>
      <c r="Q301" s="938"/>
      <c r="R301" s="938"/>
      <c r="S301" s="938">
        <v>169897.58</v>
      </c>
      <c r="T301" s="938"/>
      <c r="U301" s="938"/>
      <c r="V301" s="938"/>
      <c r="W301" s="938"/>
      <c r="X301" s="938"/>
      <c r="Y301" s="938"/>
      <c r="Z301" s="938"/>
      <c r="AA301" s="938"/>
      <c r="AB301" s="938"/>
      <c r="AC301" s="938">
        <v>2500</v>
      </c>
      <c r="AD301" s="938"/>
      <c r="AE301" s="938"/>
      <c r="AF301" s="938"/>
      <c r="AG301" s="938"/>
      <c r="AH301" s="938"/>
      <c r="AI301" s="938"/>
      <c r="AJ301" s="938">
        <v>2500</v>
      </c>
      <c r="AK301" s="938"/>
      <c r="AL301" s="938"/>
      <c r="AM301" s="938"/>
      <c r="AN301" s="938"/>
      <c r="AO301" s="938"/>
      <c r="AP301" s="938"/>
      <c r="AQ301" s="938"/>
      <c r="AR301" s="938"/>
      <c r="AS301" s="938"/>
      <c r="AT301" s="938"/>
      <c r="AU301" s="938">
        <f t="shared" si="412"/>
        <v>6795.9032</v>
      </c>
      <c r="AV301" s="938"/>
      <c r="AW301" s="938">
        <v>3000</v>
      </c>
      <c r="AX301" s="718">
        <f t="shared" si="401"/>
        <v>3397.9516</v>
      </c>
      <c r="AY301" s="947"/>
      <c r="AZ301" s="947"/>
      <c r="BA301" s="938"/>
      <c r="BB301" s="938"/>
      <c r="BC301" s="938"/>
      <c r="BD301" s="948"/>
      <c r="BE301" s="948"/>
      <c r="BF301" s="938"/>
      <c r="BG301" s="938"/>
      <c r="BH301" s="949"/>
      <c r="BI301" s="938"/>
      <c r="BJ301" s="938"/>
      <c r="BK301" s="938"/>
      <c r="BL301" s="938"/>
      <c r="BM301" s="938"/>
      <c r="BN301" s="938"/>
      <c r="BO301" s="938">
        <v>0</v>
      </c>
      <c r="BP301" s="938"/>
      <c r="BQ301" s="938"/>
      <c r="BR301" s="950"/>
      <c r="BS301" s="950"/>
      <c r="BT301" s="950"/>
      <c r="BU301" s="950"/>
      <c r="BV301" s="950"/>
      <c r="BW301" s="950"/>
      <c r="BX301" s="950"/>
      <c r="BY301" s="950">
        <v>2000</v>
      </c>
      <c r="BZ301" s="950">
        <v>1000</v>
      </c>
      <c r="CA301" s="718">
        <f t="shared" si="407"/>
        <v>3497.9516</v>
      </c>
      <c r="CB301" s="951"/>
      <c r="CC301" s="950">
        <v>16751.1</v>
      </c>
      <c r="CD301" s="702">
        <f t="shared" si="410"/>
        <v>174897.58</v>
      </c>
      <c r="CE301" s="731">
        <f t="shared" si="413"/>
        <v>36442.9064</v>
      </c>
      <c r="CF301" s="739">
        <f t="shared" si="411"/>
        <v>138454.6736</v>
      </c>
      <c r="CG301" s="952">
        <f t="shared" si="408"/>
        <v>36442.9064</v>
      </c>
      <c r="CH301" s="953"/>
      <c r="CI301" s="954"/>
      <c r="CJ301" s="955"/>
      <c r="CK301" s="964"/>
      <c r="CL301" s="965"/>
      <c r="CM301" s="954"/>
      <c r="CN301" s="955"/>
      <c r="CO301" s="955"/>
      <c r="CP301" s="955"/>
      <c r="CQ301" s="955"/>
      <c r="CR301" s="955"/>
      <c r="CS301" s="955"/>
      <c r="CT301" s="970"/>
      <c r="CU301" s="971"/>
      <c r="CV301" s="972"/>
      <c r="CW301" s="973"/>
      <c r="CX301" s="974"/>
      <c r="CY301" s="975"/>
      <c r="CZ301" s="976"/>
      <c r="DA301" s="991"/>
      <c r="DB301" s="992"/>
    </row>
    <row r="302" ht="236" customHeight="1" spans="1:106">
      <c r="A302" s="673">
        <v>625</v>
      </c>
      <c r="B302" s="926" t="s">
        <v>1395</v>
      </c>
      <c r="C302" s="927" t="s">
        <v>1770</v>
      </c>
      <c r="D302" s="927" t="s">
        <v>1777</v>
      </c>
      <c r="E302" s="927" t="s">
        <v>97</v>
      </c>
      <c r="F302" s="1458" t="s">
        <v>1396</v>
      </c>
      <c r="G302" s="927" t="s">
        <v>1585</v>
      </c>
      <c r="H302" s="928"/>
      <c r="I302" s="935"/>
      <c r="J302" s="935"/>
      <c r="K302" s="936"/>
      <c r="L302" s="937"/>
      <c r="M302" s="937"/>
      <c r="N302" s="938"/>
      <c r="O302" s="938"/>
      <c r="P302" s="938"/>
      <c r="Q302" s="938"/>
      <c r="R302" s="938"/>
      <c r="S302" s="938">
        <v>169897.58</v>
      </c>
      <c r="T302" s="938"/>
      <c r="U302" s="938"/>
      <c r="V302" s="938"/>
      <c r="W302" s="938"/>
      <c r="X302" s="938"/>
      <c r="Y302" s="938"/>
      <c r="Z302" s="938"/>
      <c r="AA302" s="938"/>
      <c r="AB302" s="938"/>
      <c r="AC302" s="938">
        <v>2500</v>
      </c>
      <c r="AD302" s="938"/>
      <c r="AE302" s="938"/>
      <c r="AF302" s="938"/>
      <c r="AG302" s="938"/>
      <c r="AH302" s="938"/>
      <c r="AI302" s="938"/>
      <c r="AJ302" s="938">
        <v>2500</v>
      </c>
      <c r="AK302" s="938"/>
      <c r="AL302" s="938"/>
      <c r="AM302" s="938"/>
      <c r="AN302" s="938"/>
      <c r="AO302" s="938"/>
      <c r="AP302" s="938"/>
      <c r="AQ302" s="938"/>
      <c r="AR302" s="938"/>
      <c r="AS302" s="938"/>
      <c r="AT302" s="938"/>
      <c r="AU302" s="938">
        <f t="shared" si="412"/>
        <v>6795.9032</v>
      </c>
      <c r="AV302" s="938"/>
      <c r="AW302" s="938">
        <v>3000</v>
      </c>
      <c r="AX302" s="718">
        <f t="shared" ref="AX302:AX341" si="414">S302*0.02</f>
        <v>3397.9516</v>
      </c>
      <c r="AY302" s="947"/>
      <c r="AZ302" s="947"/>
      <c r="BA302" s="938"/>
      <c r="BB302" s="938"/>
      <c r="BC302" s="938"/>
      <c r="BD302" s="948"/>
      <c r="BE302" s="948"/>
      <c r="BF302" s="938"/>
      <c r="BG302" s="938"/>
      <c r="BH302" s="949"/>
      <c r="BI302" s="938"/>
      <c r="BJ302" s="938"/>
      <c r="BK302" s="938"/>
      <c r="BL302" s="938"/>
      <c r="BM302" s="938"/>
      <c r="BN302" s="938"/>
      <c r="BO302" s="938">
        <v>10000</v>
      </c>
      <c r="BP302" s="938"/>
      <c r="BQ302" s="938"/>
      <c r="BR302" s="950"/>
      <c r="BS302" s="950"/>
      <c r="BT302" s="950"/>
      <c r="BU302" s="950"/>
      <c r="BV302" s="950"/>
      <c r="BW302" s="950"/>
      <c r="BX302" s="950">
        <v>5000</v>
      </c>
      <c r="BY302" s="950">
        <v>2000</v>
      </c>
      <c r="BZ302" s="950">
        <v>1000</v>
      </c>
      <c r="CA302" s="718">
        <f t="shared" si="407"/>
        <v>3497.9516</v>
      </c>
      <c r="CB302" s="951"/>
      <c r="CC302" s="950">
        <v>16751.1</v>
      </c>
      <c r="CD302" s="702">
        <f t="shared" si="410"/>
        <v>174897.58</v>
      </c>
      <c r="CE302" s="731">
        <f t="shared" si="413"/>
        <v>51442.9064</v>
      </c>
      <c r="CF302" s="739">
        <f t="shared" si="411"/>
        <v>123454.6736</v>
      </c>
      <c r="CG302" s="952">
        <f t="shared" si="408"/>
        <v>51442.9064</v>
      </c>
      <c r="CH302" s="953"/>
      <c r="CI302" s="954"/>
      <c r="CJ302" s="955"/>
      <c r="CK302" s="964"/>
      <c r="CL302" s="965"/>
      <c r="CM302" s="954"/>
      <c r="CN302" s="955"/>
      <c r="CO302" s="955"/>
      <c r="CP302" s="955"/>
      <c r="CQ302" s="955"/>
      <c r="CR302" s="955"/>
      <c r="CS302" s="955"/>
      <c r="CT302" s="970"/>
      <c r="CU302" s="971"/>
      <c r="CV302" s="972"/>
      <c r="CW302" s="973"/>
      <c r="CX302" s="974"/>
      <c r="CY302" s="975"/>
      <c r="CZ302" s="976"/>
      <c r="DA302" s="991"/>
      <c r="DB302" s="992"/>
    </row>
    <row r="303" ht="236" customHeight="1" spans="1:106">
      <c r="A303" s="675">
        <v>626</v>
      </c>
      <c r="B303" s="926" t="s">
        <v>1397</v>
      </c>
      <c r="C303" s="927" t="s">
        <v>1770</v>
      </c>
      <c r="D303" s="927" t="s">
        <v>1777</v>
      </c>
      <c r="E303" s="927" t="s">
        <v>93</v>
      </c>
      <c r="F303" s="927">
        <v>3096466875</v>
      </c>
      <c r="G303" s="927" t="s">
        <v>1585</v>
      </c>
      <c r="H303" s="928"/>
      <c r="I303" s="935"/>
      <c r="J303" s="935"/>
      <c r="K303" s="936"/>
      <c r="L303" s="937"/>
      <c r="M303" s="937"/>
      <c r="N303" s="938"/>
      <c r="O303" s="938"/>
      <c r="P303" s="938"/>
      <c r="Q303" s="938"/>
      <c r="R303" s="938"/>
      <c r="S303" s="938">
        <v>169897.58</v>
      </c>
      <c r="T303" s="938"/>
      <c r="U303" s="938"/>
      <c r="V303" s="938"/>
      <c r="W303" s="938"/>
      <c r="X303" s="938"/>
      <c r="Y303" s="938"/>
      <c r="Z303" s="938"/>
      <c r="AA303" s="938"/>
      <c r="AB303" s="938"/>
      <c r="AC303" s="938">
        <v>2500</v>
      </c>
      <c r="AD303" s="938"/>
      <c r="AE303" s="938"/>
      <c r="AF303" s="938"/>
      <c r="AG303" s="938"/>
      <c r="AH303" s="938"/>
      <c r="AI303" s="938"/>
      <c r="AJ303" s="938">
        <v>2500</v>
      </c>
      <c r="AK303" s="938"/>
      <c r="AL303" s="938"/>
      <c r="AM303" s="938"/>
      <c r="AN303" s="938"/>
      <c r="AO303" s="938"/>
      <c r="AP303" s="938"/>
      <c r="AQ303" s="938"/>
      <c r="AR303" s="938"/>
      <c r="AS303" s="938"/>
      <c r="AT303" s="938"/>
      <c r="AU303" s="938">
        <f t="shared" si="412"/>
        <v>6795.9032</v>
      </c>
      <c r="AV303" s="938"/>
      <c r="AW303" s="938">
        <v>3000</v>
      </c>
      <c r="AX303" s="718">
        <f t="shared" si="414"/>
        <v>3397.9516</v>
      </c>
      <c r="AY303" s="947"/>
      <c r="AZ303" s="947"/>
      <c r="BA303" s="938"/>
      <c r="BB303" s="938"/>
      <c r="BC303" s="938"/>
      <c r="BD303" s="948"/>
      <c r="BE303" s="948"/>
      <c r="BF303" s="938"/>
      <c r="BG303" s="938"/>
      <c r="BH303" s="949"/>
      <c r="BI303" s="938"/>
      <c r="BJ303" s="938"/>
      <c r="BK303" s="938"/>
      <c r="BL303" s="938"/>
      <c r="BM303" s="938"/>
      <c r="BN303" s="938"/>
      <c r="BO303" s="938">
        <v>20000</v>
      </c>
      <c r="BP303" s="938"/>
      <c r="BQ303" s="938"/>
      <c r="BR303" s="950"/>
      <c r="BS303" s="950"/>
      <c r="BT303" s="950"/>
      <c r="BU303" s="950"/>
      <c r="BV303" s="950"/>
      <c r="BW303" s="950"/>
      <c r="BX303" s="950"/>
      <c r="BY303" s="950">
        <v>2000</v>
      </c>
      <c r="BZ303" s="950">
        <v>1000</v>
      </c>
      <c r="CA303" s="718">
        <f t="shared" si="407"/>
        <v>3497.9516</v>
      </c>
      <c r="CB303" s="951"/>
      <c r="CC303" s="950">
        <v>16751.1</v>
      </c>
      <c r="CD303" s="702">
        <f t="shared" si="410"/>
        <v>174897.58</v>
      </c>
      <c r="CE303" s="731">
        <f t="shared" si="413"/>
        <v>56442.9064</v>
      </c>
      <c r="CF303" s="739">
        <f t="shared" si="411"/>
        <v>118454.6736</v>
      </c>
      <c r="CG303" s="952">
        <f t="shared" si="408"/>
        <v>56442.9064</v>
      </c>
      <c r="CH303" s="953"/>
      <c r="CI303" s="954"/>
      <c r="CJ303" s="955"/>
      <c r="CK303" s="964"/>
      <c r="CL303" s="965"/>
      <c r="CM303" s="954"/>
      <c r="CN303" s="955"/>
      <c r="CO303" s="955"/>
      <c r="CP303" s="955"/>
      <c r="CQ303" s="955"/>
      <c r="CR303" s="955"/>
      <c r="CS303" s="955"/>
      <c r="CT303" s="970"/>
      <c r="CU303" s="971"/>
      <c r="CV303" s="972"/>
      <c r="CW303" s="973"/>
      <c r="CX303" s="974"/>
      <c r="CY303" s="975"/>
      <c r="CZ303" s="976"/>
      <c r="DA303" s="991"/>
      <c r="DB303" s="992"/>
    </row>
    <row r="304" ht="236" customHeight="1" spans="1:106">
      <c r="A304" s="673">
        <v>627</v>
      </c>
      <c r="B304" s="926" t="s">
        <v>1398</v>
      </c>
      <c r="C304" s="927" t="s">
        <v>1770</v>
      </c>
      <c r="D304" s="927" t="s">
        <v>1777</v>
      </c>
      <c r="E304" s="927" t="s">
        <v>97</v>
      </c>
      <c r="F304" s="1458" t="s">
        <v>1399</v>
      </c>
      <c r="G304" s="927" t="s">
        <v>1585</v>
      </c>
      <c r="H304" s="928"/>
      <c r="I304" s="935"/>
      <c r="J304" s="935"/>
      <c r="K304" s="936"/>
      <c r="L304" s="937"/>
      <c r="M304" s="937"/>
      <c r="N304" s="938"/>
      <c r="O304" s="938"/>
      <c r="P304" s="938"/>
      <c r="Q304" s="938"/>
      <c r="R304" s="938"/>
      <c r="S304" s="938">
        <v>169897.58</v>
      </c>
      <c r="T304" s="938"/>
      <c r="U304" s="938"/>
      <c r="V304" s="938"/>
      <c r="W304" s="938"/>
      <c r="X304" s="938"/>
      <c r="Y304" s="938"/>
      <c r="Z304" s="938"/>
      <c r="AA304" s="938"/>
      <c r="AB304" s="938"/>
      <c r="AC304" s="938">
        <v>2500</v>
      </c>
      <c r="AD304" s="938"/>
      <c r="AE304" s="938"/>
      <c r="AF304" s="938"/>
      <c r="AG304" s="938"/>
      <c r="AH304" s="938"/>
      <c r="AI304" s="938"/>
      <c r="AJ304" s="938">
        <v>2500</v>
      </c>
      <c r="AK304" s="938"/>
      <c r="AL304" s="938"/>
      <c r="AM304" s="938"/>
      <c r="AN304" s="938"/>
      <c r="AO304" s="938"/>
      <c r="AP304" s="938"/>
      <c r="AQ304" s="938"/>
      <c r="AR304" s="938"/>
      <c r="AS304" s="938"/>
      <c r="AT304" s="938"/>
      <c r="AU304" s="938">
        <f t="shared" si="412"/>
        <v>6795.9032</v>
      </c>
      <c r="AV304" s="938"/>
      <c r="AW304" s="938">
        <v>3000</v>
      </c>
      <c r="AX304" s="718">
        <f t="shared" si="414"/>
        <v>3397.9516</v>
      </c>
      <c r="AY304" s="947"/>
      <c r="AZ304" s="947"/>
      <c r="BA304" s="938"/>
      <c r="BB304" s="938"/>
      <c r="BC304" s="938"/>
      <c r="BD304" s="948"/>
      <c r="BE304" s="948"/>
      <c r="BF304" s="938"/>
      <c r="BG304" s="938"/>
      <c r="BH304" s="949"/>
      <c r="BI304" s="938"/>
      <c r="BJ304" s="938"/>
      <c r="BK304" s="938"/>
      <c r="BL304" s="938"/>
      <c r="BM304" s="938"/>
      <c r="BN304" s="938"/>
      <c r="BO304" s="938">
        <v>10000</v>
      </c>
      <c r="BP304" s="938"/>
      <c r="BQ304" s="938"/>
      <c r="BR304" s="950"/>
      <c r="BS304" s="950"/>
      <c r="BT304" s="950"/>
      <c r="BU304" s="950"/>
      <c r="BV304" s="950"/>
      <c r="BW304" s="950"/>
      <c r="BX304" s="950"/>
      <c r="BY304" s="950">
        <v>2000</v>
      </c>
      <c r="BZ304" s="950">
        <v>1000</v>
      </c>
      <c r="CA304" s="718">
        <f t="shared" si="407"/>
        <v>3497.9516</v>
      </c>
      <c r="CB304" s="951"/>
      <c r="CC304" s="950">
        <v>16751.1</v>
      </c>
      <c r="CD304" s="702">
        <f t="shared" si="410"/>
        <v>174897.58</v>
      </c>
      <c r="CE304" s="731">
        <f t="shared" si="413"/>
        <v>46442.9064</v>
      </c>
      <c r="CF304" s="739">
        <f t="shared" si="411"/>
        <v>128454.6736</v>
      </c>
      <c r="CG304" s="952">
        <f t="shared" si="408"/>
        <v>46442.9064</v>
      </c>
      <c r="CH304" s="953"/>
      <c r="CI304" s="954"/>
      <c r="CJ304" s="955"/>
      <c r="CK304" s="964"/>
      <c r="CL304" s="965"/>
      <c r="CM304" s="954"/>
      <c r="CN304" s="955"/>
      <c r="CO304" s="955"/>
      <c r="CP304" s="955"/>
      <c r="CQ304" s="955"/>
      <c r="CR304" s="955"/>
      <c r="CS304" s="955"/>
      <c r="CT304" s="970"/>
      <c r="CU304" s="971"/>
      <c r="CV304" s="972"/>
      <c r="CW304" s="973"/>
      <c r="CX304" s="974"/>
      <c r="CY304" s="975"/>
      <c r="CZ304" s="976"/>
      <c r="DA304" s="991"/>
      <c r="DB304" s="992"/>
    </row>
    <row r="305" ht="236" customHeight="1" spans="1:106">
      <c r="A305" s="675">
        <v>628</v>
      </c>
      <c r="B305" s="926" t="s">
        <v>1400</v>
      </c>
      <c r="C305" s="927" t="s">
        <v>1527</v>
      </c>
      <c r="D305" s="927" t="s">
        <v>1778</v>
      </c>
      <c r="E305" s="927" t="s">
        <v>1401</v>
      </c>
      <c r="F305" s="927">
        <v>3132681938</v>
      </c>
      <c r="G305" s="927" t="s">
        <v>1585</v>
      </c>
      <c r="H305" s="928"/>
      <c r="I305" s="935"/>
      <c r="J305" s="935"/>
      <c r="K305" s="936"/>
      <c r="L305" s="937"/>
      <c r="M305" s="937"/>
      <c r="N305" s="938"/>
      <c r="O305" s="938"/>
      <c r="P305" s="938"/>
      <c r="Q305" s="938"/>
      <c r="R305" s="938"/>
      <c r="S305" s="938">
        <v>169897.58</v>
      </c>
      <c r="T305" s="938"/>
      <c r="U305" s="938"/>
      <c r="V305" s="938"/>
      <c r="W305" s="938"/>
      <c r="X305" s="938"/>
      <c r="Y305" s="938"/>
      <c r="Z305" s="938"/>
      <c r="AA305" s="938"/>
      <c r="AB305" s="938"/>
      <c r="AC305" s="938">
        <v>2500</v>
      </c>
      <c r="AD305" s="938"/>
      <c r="AE305" s="938"/>
      <c r="AF305" s="938"/>
      <c r="AG305" s="938"/>
      <c r="AH305" s="938"/>
      <c r="AI305" s="938"/>
      <c r="AJ305" s="938">
        <v>2500</v>
      </c>
      <c r="AK305" s="938"/>
      <c r="AL305" s="938"/>
      <c r="AM305" s="938"/>
      <c r="AN305" s="938"/>
      <c r="AO305" s="938"/>
      <c r="AP305" s="938"/>
      <c r="AQ305" s="938"/>
      <c r="AR305" s="938"/>
      <c r="AS305" s="938"/>
      <c r="AT305" s="938"/>
      <c r="AU305" s="938">
        <f t="shared" si="412"/>
        <v>6795.9032</v>
      </c>
      <c r="AV305" s="938"/>
      <c r="AW305" s="938">
        <v>3000</v>
      </c>
      <c r="AX305" s="718">
        <f t="shared" si="414"/>
        <v>3397.9516</v>
      </c>
      <c r="AY305" s="947"/>
      <c r="AZ305" s="947"/>
      <c r="BA305" s="938"/>
      <c r="BB305" s="938"/>
      <c r="BC305" s="938"/>
      <c r="BD305" s="948"/>
      <c r="BE305" s="948"/>
      <c r="BF305" s="938"/>
      <c r="BG305" s="938"/>
      <c r="BH305" s="949"/>
      <c r="BI305" s="938"/>
      <c r="BJ305" s="938"/>
      <c r="BK305" s="938"/>
      <c r="BL305" s="938"/>
      <c r="BM305" s="938"/>
      <c r="BN305" s="938"/>
      <c r="BO305" s="938">
        <v>0</v>
      </c>
      <c r="BP305" s="938"/>
      <c r="BQ305" s="938"/>
      <c r="BR305" s="950"/>
      <c r="BS305" s="950"/>
      <c r="BT305" s="950"/>
      <c r="BU305" s="950"/>
      <c r="BV305" s="950"/>
      <c r="BW305" s="950"/>
      <c r="BX305" s="950"/>
      <c r="BY305" s="950">
        <v>2000</v>
      </c>
      <c r="BZ305" s="950">
        <v>1000</v>
      </c>
      <c r="CA305" s="718">
        <f t="shared" si="407"/>
        <v>3497.9516</v>
      </c>
      <c r="CB305" s="951"/>
      <c r="CC305" s="950">
        <v>16751.1</v>
      </c>
      <c r="CD305" s="702">
        <f t="shared" si="410"/>
        <v>174897.58</v>
      </c>
      <c r="CE305" s="731">
        <f t="shared" si="413"/>
        <v>36442.9064</v>
      </c>
      <c r="CF305" s="739">
        <f t="shared" si="411"/>
        <v>138454.6736</v>
      </c>
      <c r="CG305" s="952">
        <f t="shared" si="408"/>
        <v>36442.9064</v>
      </c>
      <c r="CH305" s="953"/>
      <c r="CI305" s="954"/>
      <c r="CJ305" s="955"/>
      <c r="CK305" s="964"/>
      <c r="CL305" s="965"/>
      <c r="CM305" s="954"/>
      <c r="CN305" s="955"/>
      <c r="CO305" s="955"/>
      <c r="CP305" s="955"/>
      <c r="CQ305" s="955"/>
      <c r="CR305" s="955"/>
      <c r="CS305" s="955"/>
      <c r="CT305" s="970"/>
      <c r="CU305" s="971"/>
      <c r="CV305" s="972"/>
      <c r="CW305" s="973"/>
      <c r="CX305" s="974"/>
      <c r="CY305" s="975"/>
      <c r="CZ305" s="976"/>
      <c r="DA305" s="991"/>
      <c r="DB305" s="992"/>
    </row>
    <row r="306" ht="236" customHeight="1" spans="1:106">
      <c r="A306" s="673">
        <v>629</v>
      </c>
      <c r="B306" s="926" t="s">
        <v>1402</v>
      </c>
      <c r="C306" s="927" t="s">
        <v>1527</v>
      </c>
      <c r="D306" s="927" t="s">
        <v>1778</v>
      </c>
      <c r="E306" s="927" t="s">
        <v>1403</v>
      </c>
      <c r="F306" s="1458" t="s">
        <v>1404</v>
      </c>
      <c r="G306" s="927" t="s">
        <v>1585</v>
      </c>
      <c r="H306" s="928"/>
      <c r="I306" s="935"/>
      <c r="J306" s="935"/>
      <c r="K306" s="936"/>
      <c r="L306" s="937"/>
      <c r="M306" s="937"/>
      <c r="N306" s="938"/>
      <c r="O306" s="938"/>
      <c r="P306" s="938"/>
      <c r="Q306" s="938"/>
      <c r="R306" s="938"/>
      <c r="S306" s="938">
        <v>169897.58</v>
      </c>
      <c r="T306" s="938"/>
      <c r="U306" s="938"/>
      <c r="V306" s="938"/>
      <c r="W306" s="938"/>
      <c r="X306" s="938"/>
      <c r="Y306" s="938"/>
      <c r="Z306" s="938"/>
      <c r="AA306" s="938"/>
      <c r="AB306" s="938"/>
      <c r="AC306" s="938">
        <v>2500</v>
      </c>
      <c r="AD306" s="938"/>
      <c r="AE306" s="938"/>
      <c r="AF306" s="938"/>
      <c r="AG306" s="938"/>
      <c r="AH306" s="938"/>
      <c r="AI306" s="938"/>
      <c r="AJ306" s="938">
        <v>2500</v>
      </c>
      <c r="AK306" s="938"/>
      <c r="AL306" s="938"/>
      <c r="AM306" s="938"/>
      <c r="AN306" s="938"/>
      <c r="AO306" s="938"/>
      <c r="AP306" s="938"/>
      <c r="AQ306" s="938"/>
      <c r="AR306" s="938"/>
      <c r="AS306" s="938"/>
      <c r="AT306" s="938"/>
      <c r="AU306" s="938">
        <f t="shared" si="412"/>
        <v>6795.9032</v>
      </c>
      <c r="AV306" s="938"/>
      <c r="AW306" s="938">
        <v>3000</v>
      </c>
      <c r="AX306" s="718">
        <f t="shared" si="414"/>
        <v>3397.9516</v>
      </c>
      <c r="AY306" s="947"/>
      <c r="AZ306" s="947"/>
      <c r="BA306" s="938"/>
      <c r="BB306" s="938"/>
      <c r="BC306" s="938"/>
      <c r="BD306" s="948"/>
      <c r="BE306" s="948"/>
      <c r="BF306" s="938"/>
      <c r="BG306" s="938"/>
      <c r="BH306" s="949"/>
      <c r="BI306" s="938"/>
      <c r="BJ306" s="938"/>
      <c r="BK306" s="938"/>
      <c r="BL306" s="938"/>
      <c r="BM306" s="938"/>
      <c r="BN306" s="938"/>
      <c r="BO306" s="938">
        <v>0</v>
      </c>
      <c r="BP306" s="938"/>
      <c r="BQ306" s="938"/>
      <c r="BR306" s="950"/>
      <c r="BS306" s="950"/>
      <c r="BT306" s="950"/>
      <c r="BU306" s="950"/>
      <c r="BV306" s="950"/>
      <c r="BW306" s="950"/>
      <c r="BX306" s="950"/>
      <c r="BY306" s="950">
        <v>2000</v>
      </c>
      <c r="BZ306" s="950">
        <v>1000</v>
      </c>
      <c r="CA306" s="718">
        <f t="shared" si="407"/>
        <v>3497.9516</v>
      </c>
      <c r="CB306" s="951"/>
      <c r="CC306" s="950">
        <v>16751.1</v>
      </c>
      <c r="CD306" s="702">
        <f t="shared" si="410"/>
        <v>174897.58</v>
      </c>
      <c r="CE306" s="731">
        <f t="shared" si="413"/>
        <v>36442.9064</v>
      </c>
      <c r="CF306" s="739">
        <f t="shared" si="411"/>
        <v>138454.6736</v>
      </c>
      <c r="CG306" s="952">
        <f t="shared" si="408"/>
        <v>36442.9064</v>
      </c>
      <c r="CH306" s="953"/>
      <c r="CI306" s="954"/>
      <c r="CJ306" s="955"/>
      <c r="CK306" s="964"/>
      <c r="CL306" s="965"/>
      <c r="CM306" s="954"/>
      <c r="CN306" s="955"/>
      <c r="CO306" s="955"/>
      <c r="CP306" s="955"/>
      <c r="CQ306" s="955"/>
      <c r="CR306" s="955"/>
      <c r="CS306" s="955"/>
      <c r="CT306" s="970"/>
      <c r="CU306" s="971"/>
      <c r="CV306" s="972"/>
      <c r="CW306" s="973"/>
      <c r="CX306" s="974"/>
      <c r="CY306" s="975"/>
      <c r="CZ306" s="976"/>
      <c r="DA306" s="991"/>
      <c r="DB306" s="992"/>
    </row>
    <row r="307" ht="236" customHeight="1" spans="1:106">
      <c r="A307" s="675">
        <v>630</v>
      </c>
      <c r="B307" s="926" t="s">
        <v>1405</v>
      </c>
      <c r="C307" s="927" t="s">
        <v>1527</v>
      </c>
      <c r="D307" s="927" t="s">
        <v>1778</v>
      </c>
      <c r="E307" s="927" t="s">
        <v>101</v>
      </c>
      <c r="F307" s="927">
        <v>4951059378</v>
      </c>
      <c r="G307" s="927" t="s">
        <v>1585</v>
      </c>
      <c r="H307" s="928"/>
      <c r="I307" s="935"/>
      <c r="J307" s="935"/>
      <c r="K307" s="936"/>
      <c r="L307" s="937"/>
      <c r="M307" s="937"/>
      <c r="N307" s="938"/>
      <c r="O307" s="938"/>
      <c r="P307" s="938"/>
      <c r="Q307" s="938"/>
      <c r="R307" s="938"/>
      <c r="S307" s="938">
        <v>169897.58</v>
      </c>
      <c r="T307" s="938"/>
      <c r="U307" s="938"/>
      <c r="V307" s="938"/>
      <c r="W307" s="938"/>
      <c r="X307" s="938"/>
      <c r="Y307" s="938"/>
      <c r="Z307" s="938"/>
      <c r="AA307" s="938"/>
      <c r="AB307" s="938"/>
      <c r="AC307" s="938">
        <v>2500</v>
      </c>
      <c r="AD307" s="938"/>
      <c r="AE307" s="938"/>
      <c r="AF307" s="938"/>
      <c r="AG307" s="938"/>
      <c r="AH307" s="938"/>
      <c r="AI307" s="938"/>
      <c r="AJ307" s="938">
        <v>2500</v>
      </c>
      <c r="AK307" s="938"/>
      <c r="AL307" s="938"/>
      <c r="AM307" s="938"/>
      <c r="AN307" s="938"/>
      <c r="AO307" s="938"/>
      <c r="AP307" s="938"/>
      <c r="AQ307" s="938"/>
      <c r="AR307" s="938"/>
      <c r="AS307" s="938"/>
      <c r="AT307" s="938"/>
      <c r="AU307" s="938">
        <f t="shared" si="412"/>
        <v>6795.9032</v>
      </c>
      <c r="AV307" s="938"/>
      <c r="AW307" s="938">
        <v>3000</v>
      </c>
      <c r="AX307" s="718">
        <f t="shared" si="414"/>
        <v>3397.9516</v>
      </c>
      <c r="AY307" s="947"/>
      <c r="AZ307" s="947"/>
      <c r="BA307" s="938"/>
      <c r="BB307" s="938"/>
      <c r="BC307" s="938"/>
      <c r="BD307" s="948"/>
      <c r="BE307" s="948"/>
      <c r="BF307" s="938"/>
      <c r="BG307" s="938"/>
      <c r="BH307" s="949"/>
      <c r="BI307" s="938"/>
      <c r="BJ307" s="938"/>
      <c r="BK307" s="938"/>
      <c r="BL307" s="938"/>
      <c r="BM307" s="938"/>
      <c r="BN307" s="938"/>
      <c r="BO307" s="938">
        <v>10000</v>
      </c>
      <c r="BP307" s="938"/>
      <c r="BQ307" s="938"/>
      <c r="BR307" s="950"/>
      <c r="BS307" s="950"/>
      <c r="BT307" s="950"/>
      <c r="BU307" s="950"/>
      <c r="BV307" s="950"/>
      <c r="BW307" s="950"/>
      <c r="BX307" s="950"/>
      <c r="BY307" s="950"/>
      <c r="BZ307" s="950">
        <v>1000</v>
      </c>
      <c r="CA307" s="718">
        <f t="shared" si="407"/>
        <v>3497.9516</v>
      </c>
      <c r="CB307" s="951"/>
      <c r="CC307" s="950">
        <v>16751.1</v>
      </c>
      <c r="CD307" s="702">
        <f t="shared" si="410"/>
        <v>174897.58</v>
      </c>
      <c r="CE307" s="731">
        <f t="shared" si="413"/>
        <v>44442.9064</v>
      </c>
      <c r="CF307" s="739">
        <f t="shared" si="411"/>
        <v>130454.6736</v>
      </c>
      <c r="CG307" s="952">
        <f t="shared" si="408"/>
        <v>44442.9064</v>
      </c>
      <c r="CH307" s="953"/>
      <c r="CI307" s="954"/>
      <c r="CJ307" s="955"/>
      <c r="CK307" s="964"/>
      <c r="CL307" s="965"/>
      <c r="CM307" s="954"/>
      <c r="CN307" s="955"/>
      <c r="CO307" s="955"/>
      <c r="CP307" s="955"/>
      <c r="CQ307" s="955"/>
      <c r="CR307" s="955"/>
      <c r="CS307" s="955"/>
      <c r="CT307" s="970"/>
      <c r="CU307" s="971"/>
      <c r="CV307" s="972"/>
      <c r="CW307" s="973"/>
      <c r="CX307" s="974"/>
      <c r="CY307" s="975"/>
      <c r="CZ307" s="976"/>
      <c r="DA307" s="991"/>
      <c r="DB307" s="992"/>
    </row>
    <row r="308" ht="236" customHeight="1" spans="1:106">
      <c r="A308" s="673">
        <v>631</v>
      </c>
      <c r="B308" s="926" t="s">
        <v>1406</v>
      </c>
      <c r="C308" s="927" t="s">
        <v>1527</v>
      </c>
      <c r="D308" s="927" t="s">
        <v>1778</v>
      </c>
      <c r="E308" s="927" t="s">
        <v>873</v>
      </c>
      <c r="F308" s="1458" t="s">
        <v>1407</v>
      </c>
      <c r="G308" s="927" t="s">
        <v>1585</v>
      </c>
      <c r="H308" s="928"/>
      <c r="I308" s="935"/>
      <c r="J308" s="935"/>
      <c r="K308" s="936"/>
      <c r="L308" s="937"/>
      <c r="M308" s="937"/>
      <c r="N308" s="938"/>
      <c r="O308" s="938"/>
      <c r="P308" s="938"/>
      <c r="Q308" s="938"/>
      <c r="R308" s="938"/>
      <c r="S308" s="938">
        <v>169897.58</v>
      </c>
      <c r="T308" s="938"/>
      <c r="U308" s="938"/>
      <c r="V308" s="938"/>
      <c r="W308" s="938"/>
      <c r="X308" s="938"/>
      <c r="Y308" s="938"/>
      <c r="Z308" s="938"/>
      <c r="AA308" s="938"/>
      <c r="AB308" s="938"/>
      <c r="AC308" s="938">
        <v>2500</v>
      </c>
      <c r="AD308" s="938"/>
      <c r="AE308" s="938"/>
      <c r="AF308" s="938"/>
      <c r="AG308" s="938"/>
      <c r="AH308" s="938"/>
      <c r="AI308" s="938"/>
      <c r="AJ308" s="938">
        <v>2500</v>
      </c>
      <c r="AK308" s="938"/>
      <c r="AL308" s="938"/>
      <c r="AM308" s="938"/>
      <c r="AN308" s="938"/>
      <c r="AO308" s="938"/>
      <c r="AP308" s="938"/>
      <c r="AQ308" s="938"/>
      <c r="AR308" s="938"/>
      <c r="AS308" s="938"/>
      <c r="AT308" s="938"/>
      <c r="AU308" s="938">
        <f t="shared" si="412"/>
        <v>6795.9032</v>
      </c>
      <c r="AV308" s="938"/>
      <c r="AW308" s="938">
        <v>3000</v>
      </c>
      <c r="AX308" s="718">
        <f t="shared" si="414"/>
        <v>3397.9516</v>
      </c>
      <c r="AY308" s="947"/>
      <c r="AZ308" s="947"/>
      <c r="BA308" s="938"/>
      <c r="BB308" s="938"/>
      <c r="BC308" s="938"/>
      <c r="BD308" s="948"/>
      <c r="BE308" s="948"/>
      <c r="BF308" s="938"/>
      <c r="BG308" s="938"/>
      <c r="BH308" s="949"/>
      <c r="BI308" s="938"/>
      <c r="BJ308" s="938"/>
      <c r="BK308" s="938"/>
      <c r="BL308" s="938"/>
      <c r="BM308" s="938"/>
      <c r="BN308" s="938"/>
      <c r="BO308" s="938">
        <v>0</v>
      </c>
      <c r="BP308" s="938"/>
      <c r="BQ308" s="938"/>
      <c r="BR308" s="950"/>
      <c r="BS308" s="950"/>
      <c r="BT308" s="950"/>
      <c r="BU308" s="950"/>
      <c r="BV308" s="950"/>
      <c r="BW308" s="950"/>
      <c r="BX308" s="950"/>
      <c r="BY308" s="950"/>
      <c r="BZ308" s="950">
        <v>1000</v>
      </c>
      <c r="CA308" s="718">
        <f t="shared" si="407"/>
        <v>3497.9516</v>
      </c>
      <c r="CB308" s="951"/>
      <c r="CC308" s="950">
        <v>16751.1</v>
      </c>
      <c r="CD308" s="702">
        <f t="shared" si="410"/>
        <v>174897.58</v>
      </c>
      <c r="CE308" s="731">
        <f t="shared" si="413"/>
        <v>34442.9064</v>
      </c>
      <c r="CF308" s="739">
        <f t="shared" si="411"/>
        <v>140454.6736</v>
      </c>
      <c r="CG308" s="952">
        <f t="shared" si="408"/>
        <v>34442.9064</v>
      </c>
      <c r="CH308" s="953"/>
      <c r="CI308" s="954"/>
      <c r="CJ308" s="955"/>
      <c r="CK308" s="964"/>
      <c r="CL308" s="965"/>
      <c r="CM308" s="954"/>
      <c r="CN308" s="955"/>
      <c r="CO308" s="955"/>
      <c r="CP308" s="955"/>
      <c r="CQ308" s="955"/>
      <c r="CR308" s="955"/>
      <c r="CS308" s="955"/>
      <c r="CT308" s="970"/>
      <c r="CU308" s="971"/>
      <c r="CV308" s="972"/>
      <c r="CW308" s="973"/>
      <c r="CX308" s="974"/>
      <c r="CY308" s="975"/>
      <c r="CZ308" s="976"/>
      <c r="DA308" s="991"/>
      <c r="DB308" s="992"/>
    </row>
    <row r="309" ht="236" customHeight="1" spans="1:106">
      <c r="A309" s="675">
        <v>632</v>
      </c>
      <c r="B309" s="926" t="s">
        <v>1408</v>
      </c>
      <c r="C309" s="927" t="s">
        <v>1527</v>
      </c>
      <c r="D309" s="927" t="s">
        <v>1778</v>
      </c>
      <c r="E309" s="927" t="s">
        <v>1409</v>
      </c>
      <c r="F309" s="1458" t="s">
        <v>1410</v>
      </c>
      <c r="G309" s="927" t="s">
        <v>1585</v>
      </c>
      <c r="H309" s="928"/>
      <c r="I309" s="935"/>
      <c r="J309" s="935"/>
      <c r="K309" s="936"/>
      <c r="L309" s="937"/>
      <c r="M309" s="937"/>
      <c r="N309" s="938"/>
      <c r="O309" s="938"/>
      <c r="P309" s="938"/>
      <c r="Q309" s="938"/>
      <c r="R309" s="938"/>
      <c r="S309" s="938">
        <v>169897.58</v>
      </c>
      <c r="T309" s="938"/>
      <c r="U309" s="938"/>
      <c r="V309" s="938"/>
      <c r="W309" s="938"/>
      <c r="X309" s="938"/>
      <c r="Y309" s="938"/>
      <c r="Z309" s="938"/>
      <c r="AA309" s="938"/>
      <c r="AB309" s="938"/>
      <c r="AC309" s="938">
        <v>2500</v>
      </c>
      <c r="AD309" s="938"/>
      <c r="AE309" s="938"/>
      <c r="AF309" s="938"/>
      <c r="AG309" s="938"/>
      <c r="AH309" s="938"/>
      <c r="AI309" s="938"/>
      <c r="AJ309" s="938">
        <v>2500</v>
      </c>
      <c r="AK309" s="938"/>
      <c r="AL309" s="938"/>
      <c r="AM309" s="938"/>
      <c r="AN309" s="938"/>
      <c r="AO309" s="938"/>
      <c r="AP309" s="938"/>
      <c r="AQ309" s="938"/>
      <c r="AR309" s="938"/>
      <c r="AS309" s="938"/>
      <c r="AT309" s="938"/>
      <c r="AU309" s="938">
        <f t="shared" si="412"/>
        <v>6795.9032</v>
      </c>
      <c r="AV309" s="938"/>
      <c r="AW309" s="938">
        <v>3000</v>
      </c>
      <c r="AX309" s="718">
        <f t="shared" si="414"/>
        <v>3397.9516</v>
      </c>
      <c r="AY309" s="947"/>
      <c r="AZ309" s="947"/>
      <c r="BA309" s="938"/>
      <c r="BB309" s="938"/>
      <c r="BC309" s="938"/>
      <c r="BD309" s="948"/>
      <c r="BE309" s="948"/>
      <c r="BF309" s="938"/>
      <c r="BG309" s="938"/>
      <c r="BH309" s="949"/>
      <c r="BI309" s="938"/>
      <c r="BJ309" s="938"/>
      <c r="BK309" s="938"/>
      <c r="BL309" s="938"/>
      <c r="BM309" s="938"/>
      <c r="BN309" s="938"/>
      <c r="BO309" s="938">
        <v>20000</v>
      </c>
      <c r="BP309" s="938"/>
      <c r="BQ309" s="938"/>
      <c r="BR309" s="950"/>
      <c r="BS309" s="950"/>
      <c r="BT309" s="950"/>
      <c r="BU309" s="950"/>
      <c r="BV309" s="950"/>
      <c r="BW309" s="950"/>
      <c r="BX309" s="950"/>
      <c r="BY309" s="950"/>
      <c r="BZ309" s="950">
        <v>1000</v>
      </c>
      <c r="CA309" s="718">
        <f t="shared" si="407"/>
        <v>3497.9516</v>
      </c>
      <c r="CB309" s="951"/>
      <c r="CC309" s="950">
        <v>16751.1</v>
      </c>
      <c r="CD309" s="702">
        <f t="shared" si="410"/>
        <v>174897.58</v>
      </c>
      <c r="CE309" s="731">
        <f t="shared" si="413"/>
        <v>54442.9064</v>
      </c>
      <c r="CF309" s="739">
        <f t="shared" si="411"/>
        <v>120454.6736</v>
      </c>
      <c r="CG309" s="952">
        <f t="shared" si="408"/>
        <v>54442.9064</v>
      </c>
      <c r="CH309" s="953"/>
      <c r="CI309" s="954"/>
      <c r="CJ309" s="955"/>
      <c r="CK309" s="964"/>
      <c r="CL309" s="965"/>
      <c r="CM309" s="954"/>
      <c r="CN309" s="955"/>
      <c r="CO309" s="955"/>
      <c r="CP309" s="955"/>
      <c r="CQ309" s="955"/>
      <c r="CR309" s="955"/>
      <c r="CS309" s="955"/>
      <c r="CT309" s="970"/>
      <c r="CU309" s="971"/>
      <c r="CV309" s="972"/>
      <c r="CW309" s="973"/>
      <c r="CX309" s="974"/>
      <c r="CY309" s="975"/>
      <c r="CZ309" s="976"/>
      <c r="DA309" s="991"/>
      <c r="DB309" s="992"/>
    </row>
    <row r="310" ht="236" customHeight="1" spans="1:106">
      <c r="A310" s="673">
        <v>633</v>
      </c>
      <c r="B310" s="926" t="s">
        <v>1411</v>
      </c>
      <c r="C310" s="927" t="s">
        <v>1527</v>
      </c>
      <c r="D310" s="927" t="s">
        <v>1778</v>
      </c>
      <c r="E310" s="927" t="s">
        <v>165</v>
      </c>
      <c r="F310" s="927">
        <v>2407381355</v>
      </c>
      <c r="G310" s="927" t="s">
        <v>1585</v>
      </c>
      <c r="H310" s="928"/>
      <c r="I310" s="935"/>
      <c r="J310" s="935"/>
      <c r="K310" s="936"/>
      <c r="L310" s="937"/>
      <c r="M310" s="937"/>
      <c r="N310" s="938"/>
      <c r="O310" s="938"/>
      <c r="P310" s="938"/>
      <c r="Q310" s="938"/>
      <c r="R310" s="938"/>
      <c r="S310" s="938">
        <v>169897.58</v>
      </c>
      <c r="T310" s="938"/>
      <c r="U310" s="938"/>
      <c r="V310" s="938"/>
      <c r="W310" s="938"/>
      <c r="X310" s="938"/>
      <c r="Y310" s="938"/>
      <c r="Z310" s="938"/>
      <c r="AA310" s="938"/>
      <c r="AB310" s="938"/>
      <c r="AC310" s="938">
        <v>2500</v>
      </c>
      <c r="AD310" s="938"/>
      <c r="AE310" s="938"/>
      <c r="AF310" s="938"/>
      <c r="AG310" s="938"/>
      <c r="AH310" s="938"/>
      <c r="AI310" s="938"/>
      <c r="AJ310" s="938">
        <v>2500</v>
      </c>
      <c r="AK310" s="938"/>
      <c r="AL310" s="938"/>
      <c r="AM310" s="938"/>
      <c r="AN310" s="938"/>
      <c r="AO310" s="938"/>
      <c r="AP310" s="938"/>
      <c r="AQ310" s="938"/>
      <c r="AR310" s="938"/>
      <c r="AS310" s="938"/>
      <c r="AT310" s="938"/>
      <c r="AU310" s="938">
        <f t="shared" si="412"/>
        <v>6795.9032</v>
      </c>
      <c r="AV310" s="938"/>
      <c r="AW310" s="938">
        <v>3000</v>
      </c>
      <c r="AX310" s="718">
        <f t="shared" si="414"/>
        <v>3397.9516</v>
      </c>
      <c r="AY310" s="947"/>
      <c r="AZ310" s="947"/>
      <c r="BA310" s="938"/>
      <c r="BB310" s="938"/>
      <c r="BC310" s="938"/>
      <c r="BD310" s="948"/>
      <c r="BE310" s="948"/>
      <c r="BF310" s="938"/>
      <c r="BG310" s="938"/>
      <c r="BH310" s="949"/>
      <c r="BI310" s="938"/>
      <c r="BJ310" s="938"/>
      <c r="BK310" s="938"/>
      <c r="BL310" s="938"/>
      <c r="BM310" s="938"/>
      <c r="BN310" s="938"/>
      <c r="BO310" s="938">
        <v>10000</v>
      </c>
      <c r="BP310" s="938"/>
      <c r="BQ310" s="938"/>
      <c r="BR310" s="950"/>
      <c r="BS310" s="950"/>
      <c r="BT310" s="950"/>
      <c r="BU310" s="950"/>
      <c r="BV310" s="950"/>
      <c r="BW310" s="950"/>
      <c r="BX310" s="950"/>
      <c r="BY310" s="950"/>
      <c r="BZ310" s="950">
        <v>1000</v>
      </c>
      <c r="CA310" s="718">
        <f t="shared" si="407"/>
        <v>3497.9516</v>
      </c>
      <c r="CB310" s="951"/>
      <c r="CC310" s="950">
        <v>16751.1</v>
      </c>
      <c r="CD310" s="702">
        <f t="shared" si="410"/>
        <v>174897.58</v>
      </c>
      <c r="CE310" s="731">
        <f t="shared" si="413"/>
        <v>44442.9064</v>
      </c>
      <c r="CF310" s="739">
        <f t="shared" si="411"/>
        <v>130454.6736</v>
      </c>
      <c r="CG310" s="952">
        <f t="shared" si="408"/>
        <v>44442.9064</v>
      </c>
      <c r="CH310" s="953"/>
      <c r="CI310" s="954"/>
      <c r="CJ310" s="955"/>
      <c r="CK310" s="964"/>
      <c r="CL310" s="965"/>
      <c r="CM310" s="954"/>
      <c r="CN310" s="955"/>
      <c r="CO310" s="955"/>
      <c r="CP310" s="955"/>
      <c r="CQ310" s="955"/>
      <c r="CR310" s="955"/>
      <c r="CS310" s="955"/>
      <c r="CT310" s="970"/>
      <c r="CU310" s="971"/>
      <c r="CV310" s="972"/>
      <c r="CW310" s="973"/>
      <c r="CX310" s="974"/>
      <c r="CY310" s="975"/>
      <c r="CZ310" s="976"/>
      <c r="DA310" s="991"/>
      <c r="DB310" s="992"/>
    </row>
    <row r="311" ht="236" customHeight="1" spans="1:106">
      <c r="A311" s="675">
        <v>634</v>
      </c>
      <c r="B311" s="926" t="s">
        <v>1412</v>
      </c>
      <c r="C311" s="927" t="s">
        <v>1527</v>
      </c>
      <c r="D311" s="927" t="s">
        <v>1779</v>
      </c>
      <c r="E311" s="927" t="s">
        <v>1401</v>
      </c>
      <c r="F311" s="927">
        <v>3148934626</v>
      </c>
      <c r="G311" s="927" t="s">
        <v>1585</v>
      </c>
      <c r="H311" s="928"/>
      <c r="I311" s="935"/>
      <c r="J311" s="935"/>
      <c r="K311" s="936"/>
      <c r="L311" s="937"/>
      <c r="M311" s="937"/>
      <c r="N311" s="938"/>
      <c r="O311" s="938"/>
      <c r="P311" s="938"/>
      <c r="Q311" s="938"/>
      <c r="R311" s="938"/>
      <c r="S311" s="938">
        <v>169897.58</v>
      </c>
      <c r="T311" s="938"/>
      <c r="U311" s="938"/>
      <c r="V311" s="938"/>
      <c r="W311" s="938"/>
      <c r="X311" s="938"/>
      <c r="Y311" s="938"/>
      <c r="Z311" s="938"/>
      <c r="AA311" s="938"/>
      <c r="AB311" s="938"/>
      <c r="AC311" s="938">
        <v>2500</v>
      </c>
      <c r="AD311" s="938"/>
      <c r="AE311" s="938"/>
      <c r="AF311" s="938"/>
      <c r="AG311" s="938"/>
      <c r="AH311" s="938">
        <v>34500</v>
      </c>
      <c r="AI311" s="938"/>
      <c r="AJ311" s="938">
        <v>2500</v>
      </c>
      <c r="AK311" s="938"/>
      <c r="AL311" s="938"/>
      <c r="AM311" s="938"/>
      <c r="AN311" s="938"/>
      <c r="AO311" s="938"/>
      <c r="AP311" s="938"/>
      <c r="AQ311" s="938"/>
      <c r="AR311" s="938"/>
      <c r="AS311" s="938"/>
      <c r="AT311" s="938"/>
      <c r="AU311" s="938">
        <f t="shared" si="412"/>
        <v>6795.9032</v>
      </c>
      <c r="AV311" s="938"/>
      <c r="AW311" s="938">
        <v>3000</v>
      </c>
      <c r="AX311" s="718">
        <f t="shared" si="414"/>
        <v>3397.9516</v>
      </c>
      <c r="AY311" s="947"/>
      <c r="AZ311" s="947"/>
      <c r="BA311" s="938"/>
      <c r="BB311" s="938"/>
      <c r="BC311" s="938"/>
      <c r="BD311" s="948"/>
      <c r="BE311" s="948"/>
      <c r="BF311" s="938"/>
      <c r="BG311" s="938"/>
      <c r="BH311" s="949"/>
      <c r="BI311" s="938"/>
      <c r="BJ311" s="938"/>
      <c r="BK311" s="938"/>
      <c r="BL311" s="938"/>
      <c r="BM311" s="938"/>
      <c r="BN311" s="938"/>
      <c r="BO311" s="938">
        <v>10000</v>
      </c>
      <c r="BP311" s="938"/>
      <c r="BQ311" s="938"/>
      <c r="BR311" s="950"/>
      <c r="BS311" s="950"/>
      <c r="BT311" s="950"/>
      <c r="BU311" s="950"/>
      <c r="BV311" s="950"/>
      <c r="BW311" s="950"/>
      <c r="BX311" s="950"/>
      <c r="BY311" s="950">
        <v>2000</v>
      </c>
      <c r="BZ311" s="950">
        <v>1000</v>
      </c>
      <c r="CA311" s="718">
        <f t="shared" si="407"/>
        <v>4187.9516</v>
      </c>
      <c r="CB311" s="951"/>
      <c r="CC311" s="950">
        <v>22345.46</v>
      </c>
      <c r="CD311" s="702">
        <f t="shared" si="410"/>
        <v>209397.58</v>
      </c>
      <c r="CE311" s="731">
        <f t="shared" si="413"/>
        <v>52727.2664</v>
      </c>
      <c r="CF311" s="739">
        <f t="shared" si="411"/>
        <v>156670.3136</v>
      </c>
      <c r="CG311" s="952">
        <f t="shared" si="408"/>
        <v>52727.2664</v>
      </c>
      <c r="CH311" s="953"/>
      <c r="CI311" s="954"/>
      <c r="CJ311" s="955"/>
      <c r="CK311" s="964"/>
      <c r="CL311" s="965"/>
      <c r="CM311" s="954"/>
      <c r="CN311" s="955"/>
      <c r="CO311" s="955"/>
      <c r="CP311" s="955"/>
      <c r="CQ311" s="955"/>
      <c r="CR311" s="955"/>
      <c r="CS311" s="955"/>
      <c r="CT311" s="970"/>
      <c r="CU311" s="971"/>
      <c r="CV311" s="972"/>
      <c r="CW311" s="973"/>
      <c r="CX311" s="974"/>
      <c r="CY311" s="975"/>
      <c r="CZ311" s="976"/>
      <c r="DA311" s="991"/>
      <c r="DB311" s="992"/>
    </row>
    <row r="312" ht="236" customHeight="1" spans="1:106">
      <c r="A312" s="673">
        <v>635</v>
      </c>
      <c r="B312" s="926" t="s">
        <v>1413</v>
      </c>
      <c r="C312" s="927" t="s">
        <v>1550</v>
      </c>
      <c r="D312" s="927" t="s">
        <v>1780</v>
      </c>
      <c r="E312" s="927" t="s">
        <v>1096</v>
      </c>
      <c r="F312" s="1458" t="s">
        <v>1414</v>
      </c>
      <c r="G312" s="927" t="s">
        <v>1585</v>
      </c>
      <c r="H312" s="928"/>
      <c r="I312" s="935"/>
      <c r="J312" s="935"/>
      <c r="K312" s="936"/>
      <c r="L312" s="937"/>
      <c r="M312" s="937"/>
      <c r="N312" s="938"/>
      <c r="O312" s="938"/>
      <c r="P312" s="938"/>
      <c r="Q312" s="938"/>
      <c r="R312" s="938"/>
      <c r="S312" s="938">
        <v>169897.58</v>
      </c>
      <c r="T312" s="938"/>
      <c r="U312" s="938"/>
      <c r="V312" s="938"/>
      <c r="W312" s="938"/>
      <c r="X312" s="938"/>
      <c r="Y312" s="938"/>
      <c r="Z312" s="938"/>
      <c r="AA312" s="938"/>
      <c r="AB312" s="938"/>
      <c r="AC312" s="938">
        <v>2500</v>
      </c>
      <c r="AD312" s="938"/>
      <c r="AE312" s="938"/>
      <c r="AF312" s="938"/>
      <c r="AG312" s="938"/>
      <c r="AH312" s="938">
        <v>34500</v>
      </c>
      <c r="AI312" s="938"/>
      <c r="AJ312" s="938">
        <v>2500</v>
      </c>
      <c r="AK312" s="938"/>
      <c r="AL312" s="938"/>
      <c r="AM312" s="938"/>
      <c r="AN312" s="938"/>
      <c r="AO312" s="938"/>
      <c r="AP312" s="938"/>
      <c r="AQ312" s="938"/>
      <c r="AR312" s="938"/>
      <c r="AS312" s="938"/>
      <c r="AT312" s="938"/>
      <c r="AU312" s="938">
        <f t="shared" si="412"/>
        <v>6795.9032</v>
      </c>
      <c r="AV312" s="938"/>
      <c r="AW312" s="938">
        <v>0</v>
      </c>
      <c r="AX312" s="718">
        <f t="shared" si="414"/>
        <v>3397.9516</v>
      </c>
      <c r="AY312" s="947"/>
      <c r="AZ312" s="947"/>
      <c r="BA312" s="938"/>
      <c r="BB312" s="938">
        <v>40000</v>
      </c>
      <c r="BC312" s="938"/>
      <c r="BD312" s="948"/>
      <c r="BE312" s="948"/>
      <c r="BF312" s="938"/>
      <c r="BG312" s="938"/>
      <c r="BH312" s="949"/>
      <c r="BI312" s="938"/>
      <c r="BJ312" s="938"/>
      <c r="BK312" s="938"/>
      <c r="BL312" s="938"/>
      <c r="BM312" s="938"/>
      <c r="BN312" s="938"/>
      <c r="BO312" s="938">
        <v>10000</v>
      </c>
      <c r="BP312" s="938"/>
      <c r="BQ312" s="938"/>
      <c r="BR312" s="950"/>
      <c r="BS312" s="950">
        <v>16800</v>
      </c>
      <c r="BT312" s="950"/>
      <c r="BU312" s="950"/>
      <c r="BV312" s="950"/>
      <c r="BW312" s="950"/>
      <c r="BX312" s="950"/>
      <c r="BY312" s="950"/>
      <c r="BZ312" s="950">
        <v>1000</v>
      </c>
      <c r="CA312" s="718">
        <f t="shared" si="407"/>
        <v>4187.9516</v>
      </c>
      <c r="CB312" s="951"/>
      <c r="CC312" s="950">
        <v>22345.46</v>
      </c>
      <c r="CD312" s="702">
        <f t="shared" si="410"/>
        <v>209397.58</v>
      </c>
      <c r="CE312" s="731">
        <f t="shared" si="413"/>
        <v>104527.2664</v>
      </c>
      <c r="CF312" s="739">
        <f t="shared" si="411"/>
        <v>104870.3136</v>
      </c>
      <c r="CG312" s="952">
        <f t="shared" si="408"/>
        <v>104527.2664</v>
      </c>
      <c r="CH312" s="953"/>
      <c r="CI312" s="954"/>
      <c r="CJ312" s="955"/>
      <c r="CK312" s="964"/>
      <c r="CL312" s="965"/>
      <c r="CM312" s="954"/>
      <c r="CN312" s="955"/>
      <c r="CO312" s="955"/>
      <c r="CP312" s="955"/>
      <c r="CQ312" s="955"/>
      <c r="CR312" s="955"/>
      <c r="CS312" s="955"/>
      <c r="CT312" s="970"/>
      <c r="CU312" s="971"/>
      <c r="CV312" s="972"/>
      <c r="CW312" s="973"/>
      <c r="CX312" s="974"/>
      <c r="CY312" s="975"/>
      <c r="CZ312" s="976"/>
      <c r="DA312" s="991"/>
      <c r="DB312" s="992"/>
    </row>
    <row r="313" ht="236" customHeight="1" spans="1:106">
      <c r="A313" s="675">
        <v>636</v>
      </c>
      <c r="B313" s="926" t="s">
        <v>1415</v>
      </c>
      <c r="C313" s="927" t="s">
        <v>1527</v>
      </c>
      <c r="D313" s="927" t="s">
        <v>1777</v>
      </c>
      <c r="E313" s="927" t="s">
        <v>1409</v>
      </c>
      <c r="F313" s="1458" t="s">
        <v>1416</v>
      </c>
      <c r="G313" s="927" t="s">
        <v>1585</v>
      </c>
      <c r="H313" s="928"/>
      <c r="I313" s="935"/>
      <c r="J313" s="935"/>
      <c r="K313" s="936"/>
      <c r="L313" s="937"/>
      <c r="M313" s="937"/>
      <c r="N313" s="938"/>
      <c r="O313" s="938"/>
      <c r="P313" s="938"/>
      <c r="Q313" s="938"/>
      <c r="R313" s="938"/>
      <c r="S313" s="938">
        <v>169897.58</v>
      </c>
      <c r="T313" s="938"/>
      <c r="U313" s="938"/>
      <c r="V313" s="938"/>
      <c r="W313" s="938"/>
      <c r="X313" s="938"/>
      <c r="Y313" s="938"/>
      <c r="Z313" s="938"/>
      <c r="AA313" s="938"/>
      <c r="AB313" s="938"/>
      <c r="AC313" s="938">
        <v>2500</v>
      </c>
      <c r="AD313" s="938"/>
      <c r="AE313" s="938"/>
      <c r="AF313" s="938"/>
      <c r="AG313" s="938"/>
      <c r="AH313" s="938"/>
      <c r="AI313" s="938"/>
      <c r="AJ313" s="938">
        <v>2500</v>
      </c>
      <c r="AK313" s="938"/>
      <c r="AL313" s="938"/>
      <c r="AM313" s="938"/>
      <c r="AN313" s="938"/>
      <c r="AO313" s="938"/>
      <c r="AP313" s="938"/>
      <c r="AQ313" s="938"/>
      <c r="AR313" s="938"/>
      <c r="AS313" s="938"/>
      <c r="AT313" s="938"/>
      <c r="AU313" s="938">
        <f t="shared" si="412"/>
        <v>6795.9032</v>
      </c>
      <c r="AV313" s="938"/>
      <c r="AW313" s="938">
        <v>3000</v>
      </c>
      <c r="AX313" s="718">
        <f t="shared" si="414"/>
        <v>3397.9516</v>
      </c>
      <c r="AY313" s="947"/>
      <c r="AZ313" s="947"/>
      <c r="BA313" s="938"/>
      <c r="BB313" s="938"/>
      <c r="BC313" s="938"/>
      <c r="BD313" s="948"/>
      <c r="BE313" s="948"/>
      <c r="BF313" s="938"/>
      <c r="BG313" s="938"/>
      <c r="BH313" s="949"/>
      <c r="BI313" s="938"/>
      <c r="BJ313" s="938"/>
      <c r="BK313" s="938"/>
      <c r="BL313" s="938"/>
      <c r="BM313" s="938"/>
      <c r="BN313" s="938"/>
      <c r="BO313" s="938">
        <v>10000</v>
      </c>
      <c r="BP313" s="938"/>
      <c r="BQ313" s="938"/>
      <c r="BR313" s="950"/>
      <c r="BS313" s="950"/>
      <c r="BT313" s="950"/>
      <c r="BU313" s="950"/>
      <c r="BV313" s="950"/>
      <c r="BW313" s="950"/>
      <c r="BX313" s="950"/>
      <c r="BY313" s="950">
        <v>2000</v>
      </c>
      <c r="BZ313" s="950">
        <v>1000</v>
      </c>
      <c r="CA313" s="718">
        <f t="shared" si="407"/>
        <v>3497.9516</v>
      </c>
      <c r="CB313" s="951"/>
      <c r="CC313" s="950">
        <v>16751.1</v>
      </c>
      <c r="CD313" s="702">
        <f t="shared" si="410"/>
        <v>174897.58</v>
      </c>
      <c r="CE313" s="731">
        <f t="shared" si="413"/>
        <v>46442.9064</v>
      </c>
      <c r="CF313" s="739">
        <f t="shared" si="411"/>
        <v>128454.6736</v>
      </c>
      <c r="CG313" s="952">
        <f t="shared" si="408"/>
        <v>46442.9064</v>
      </c>
      <c r="CH313" s="953"/>
      <c r="CI313" s="954"/>
      <c r="CJ313" s="955"/>
      <c r="CK313" s="964"/>
      <c r="CL313" s="965"/>
      <c r="CM313" s="954"/>
      <c r="CN313" s="955"/>
      <c r="CO313" s="955"/>
      <c r="CP313" s="955"/>
      <c r="CQ313" s="955"/>
      <c r="CR313" s="955"/>
      <c r="CS313" s="955"/>
      <c r="CT313" s="970"/>
      <c r="CU313" s="971"/>
      <c r="CV313" s="972"/>
      <c r="CW313" s="973"/>
      <c r="CX313" s="974"/>
      <c r="CY313" s="975"/>
      <c r="CZ313" s="976"/>
      <c r="DA313" s="991"/>
      <c r="DB313" s="992"/>
    </row>
    <row r="314" ht="236" customHeight="1" spans="1:106">
      <c r="A314" s="673">
        <v>637</v>
      </c>
      <c r="B314" s="926" t="s">
        <v>1417</v>
      </c>
      <c r="C314" s="927" t="s">
        <v>1527</v>
      </c>
      <c r="D314" s="927" t="s">
        <v>1772</v>
      </c>
      <c r="E314" s="927" t="s">
        <v>113</v>
      </c>
      <c r="F314" s="927">
        <v>2046255873</v>
      </c>
      <c r="G314" s="927" t="s">
        <v>1585</v>
      </c>
      <c r="H314" s="928"/>
      <c r="I314" s="935"/>
      <c r="J314" s="935"/>
      <c r="K314" s="936"/>
      <c r="L314" s="937"/>
      <c r="M314" s="937"/>
      <c r="N314" s="938"/>
      <c r="O314" s="938"/>
      <c r="P314" s="938"/>
      <c r="Q314" s="938"/>
      <c r="R314" s="938"/>
      <c r="S314" s="938">
        <v>169897.58</v>
      </c>
      <c r="T314" s="938"/>
      <c r="U314" s="938"/>
      <c r="V314" s="938"/>
      <c r="W314" s="938"/>
      <c r="X314" s="938"/>
      <c r="Y314" s="938"/>
      <c r="Z314" s="938"/>
      <c r="AA314" s="938"/>
      <c r="AB314" s="938"/>
      <c r="AC314" s="938">
        <v>2500</v>
      </c>
      <c r="AD314" s="938"/>
      <c r="AE314" s="938"/>
      <c r="AF314" s="938"/>
      <c r="AG314" s="938"/>
      <c r="AH314" s="938"/>
      <c r="AI314" s="938"/>
      <c r="AJ314" s="938">
        <v>2500</v>
      </c>
      <c r="AK314" s="938"/>
      <c r="AL314" s="938"/>
      <c r="AM314" s="938"/>
      <c r="AN314" s="938"/>
      <c r="AO314" s="938"/>
      <c r="AP314" s="938"/>
      <c r="AQ314" s="938"/>
      <c r="AR314" s="938"/>
      <c r="AS314" s="938"/>
      <c r="AT314" s="938"/>
      <c r="AU314" s="938">
        <f t="shared" si="412"/>
        <v>6795.9032</v>
      </c>
      <c r="AV314" s="938"/>
      <c r="AW314" s="938">
        <v>3000</v>
      </c>
      <c r="AX314" s="718">
        <f t="shared" si="414"/>
        <v>3397.9516</v>
      </c>
      <c r="AY314" s="947"/>
      <c r="AZ314" s="947"/>
      <c r="BA314" s="938"/>
      <c r="BB314" s="938"/>
      <c r="BC314" s="938"/>
      <c r="BD314" s="948"/>
      <c r="BE314" s="948"/>
      <c r="BF314" s="938"/>
      <c r="BG314" s="938"/>
      <c r="BH314" s="949"/>
      <c r="BI314" s="938"/>
      <c r="BJ314" s="938"/>
      <c r="BK314" s="938"/>
      <c r="BL314" s="938"/>
      <c r="BM314" s="938"/>
      <c r="BN314" s="938"/>
      <c r="BO314" s="938">
        <v>21000</v>
      </c>
      <c r="BP314" s="938"/>
      <c r="BQ314" s="938"/>
      <c r="BR314" s="950"/>
      <c r="BS314" s="950"/>
      <c r="BT314" s="950"/>
      <c r="BU314" s="950"/>
      <c r="BV314" s="950"/>
      <c r="BW314" s="950"/>
      <c r="BX314" s="950"/>
      <c r="BY314" s="950"/>
      <c r="BZ314" s="950">
        <v>1000</v>
      </c>
      <c r="CA314" s="718">
        <f t="shared" si="407"/>
        <v>3497.9516</v>
      </c>
      <c r="CB314" s="951"/>
      <c r="CC314" s="950">
        <v>16751.1</v>
      </c>
      <c r="CD314" s="702">
        <f t="shared" si="410"/>
        <v>174897.58</v>
      </c>
      <c r="CE314" s="731">
        <f t="shared" si="413"/>
        <v>55442.9064</v>
      </c>
      <c r="CF314" s="739">
        <f t="shared" si="411"/>
        <v>119454.6736</v>
      </c>
      <c r="CG314" s="952">
        <f t="shared" si="408"/>
        <v>55442.9064</v>
      </c>
      <c r="CH314" s="953"/>
      <c r="CI314" s="954"/>
      <c r="CJ314" s="955"/>
      <c r="CK314" s="964"/>
      <c r="CL314" s="965"/>
      <c r="CM314" s="954"/>
      <c r="CN314" s="955"/>
      <c r="CO314" s="955"/>
      <c r="CP314" s="955"/>
      <c r="CQ314" s="955"/>
      <c r="CR314" s="955"/>
      <c r="CS314" s="955"/>
      <c r="CT314" s="970"/>
      <c r="CU314" s="971"/>
      <c r="CV314" s="972"/>
      <c r="CW314" s="973"/>
      <c r="CX314" s="974"/>
      <c r="CY314" s="975"/>
      <c r="CZ314" s="976"/>
      <c r="DA314" s="991"/>
      <c r="DB314" s="992"/>
    </row>
    <row r="315" ht="236" customHeight="1" spans="1:106">
      <c r="A315" s="675">
        <v>638</v>
      </c>
      <c r="B315" s="926" t="s">
        <v>1418</v>
      </c>
      <c r="C315" s="927" t="s">
        <v>1527</v>
      </c>
      <c r="D315" s="927" t="s">
        <v>1777</v>
      </c>
      <c r="E315" s="927" t="s">
        <v>145</v>
      </c>
      <c r="F315" s="1458" t="s">
        <v>1419</v>
      </c>
      <c r="G315" s="927" t="s">
        <v>1585</v>
      </c>
      <c r="H315" s="928"/>
      <c r="I315" s="935"/>
      <c r="J315" s="935"/>
      <c r="K315" s="936"/>
      <c r="L315" s="937"/>
      <c r="M315" s="937"/>
      <c r="N315" s="938"/>
      <c r="O315" s="938"/>
      <c r="P315" s="938"/>
      <c r="Q315" s="938"/>
      <c r="R315" s="938"/>
      <c r="S315" s="938">
        <v>169897.58</v>
      </c>
      <c r="T315" s="938"/>
      <c r="U315" s="938"/>
      <c r="V315" s="938"/>
      <c r="W315" s="938"/>
      <c r="X315" s="938"/>
      <c r="Y315" s="938"/>
      <c r="Z315" s="938"/>
      <c r="AA315" s="938"/>
      <c r="AB315" s="938"/>
      <c r="AC315" s="938">
        <v>2500</v>
      </c>
      <c r="AD315" s="938"/>
      <c r="AE315" s="938"/>
      <c r="AF315" s="938"/>
      <c r="AG315" s="938"/>
      <c r="AH315" s="938"/>
      <c r="AI315" s="938"/>
      <c r="AJ315" s="938">
        <v>2500</v>
      </c>
      <c r="AK315" s="938"/>
      <c r="AL315" s="938"/>
      <c r="AM315" s="938"/>
      <c r="AN315" s="938"/>
      <c r="AO315" s="938"/>
      <c r="AP315" s="938"/>
      <c r="AQ315" s="938"/>
      <c r="AR315" s="938"/>
      <c r="AS315" s="938"/>
      <c r="AT315" s="938"/>
      <c r="AU315" s="938">
        <f t="shared" si="412"/>
        <v>6795.9032</v>
      </c>
      <c r="AV315" s="938"/>
      <c r="AW315" s="938">
        <v>3000</v>
      </c>
      <c r="AX315" s="718">
        <f t="shared" si="414"/>
        <v>3397.9516</v>
      </c>
      <c r="AY315" s="947"/>
      <c r="AZ315" s="947"/>
      <c r="BA315" s="938"/>
      <c r="BB315" s="938"/>
      <c r="BC315" s="938"/>
      <c r="BD315" s="948"/>
      <c r="BE315" s="948"/>
      <c r="BF315" s="938"/>
      <c r="BG315" s="938"/>
      <c r="BH315" s="949"/>
      <c r="BI315" s="938"/>
      <c r="BJ315" s="938"/>
      <c r="BK315" s="938"/>
      <c r="BL315" s="938"/>
      <c r="BM315" s="938"/>
      <c r="BN315" s="938"/>
      <c r="BO315" s="938">
        <v>20000</v>
      </c>
      <c r="BP315" s="938"/>
      <c r="BQ315" s="938"/>
      <c r="BR315" s="950"/>
      <c r="BS315" s="950"/>
      <c r="BT315" s="950"/>
      <c r="BU315" s="950"/>
      <c r="BV315" s="950"/>
      <c r="BW315" s="950"/>
      <c r="BX315" s="950"/>
      <c r="BY315" s="950">
        <v>2000</v>
      </c>
      <c r="BZ315" s="950">
        <v>1000</v>
      </c>
      <c r="CA315" s="718">
        <f t="shared" si="407"/>
        <v>3497.9516</v>
      </c>
      <c r="CB315" s="951"/>
      <c r="CC315" s="950">
        <v>16751.1</v>
      </c>
      <c r="CD315" s="702">
        <f t="shared" si="410"/>
        <v>174897.58</v>
      </c>
      <c r="CE315" s="731">
        <f t="shared" si="413"/>
        <v>56442.9064</v>
      </c>
      <c r="CF315" s="739">
        <f t="shared" si="411"/>
        <v>118454.6736</v>
      </c>
      <c r="CG315" s="952">
        <f t="shared" si="408"/>
        <v>56442.9064</v>
      </c>
      <c r="CH315" s="953"/>
      <c r="CI315" s="954"/>
      <c r="CJ315" s="955"/>
      <c r="CK315" s="964"/>
      <c r="CL315" s="965"/>
      <c r="CM315" s="954"/>
      <c r="CN315" s="955"/>
      <c r="CO315" s="955"/>
      <c r="CP315" s="955"/>
      <c r="CQ315" s="955"/>
      <c r="CR315" s="955"/>
      <c r="CS315" s="955"/>
      <c r="CT315" s="970"/>
      <c r="CU315" s="971"/>
      <c r="CV315" s="972"/>
      <c r="CW315" s="973"/>
      <c r="CX315" s="974"/>
      <c r="CY315" s="975"/>
      <c r="CZ315" s="976"/>
      <c r="DA315" s="991"/>
      <c r="DB315" s="992"/>
    </row>
    <row r="316" s="661" customFormat="1" ht="236" customHeight="1" spans="1:106">
      <c r="A316" s="673">
        <v>639</v>
      </c>
      <c r="B316" s="932" t="s">
        <v>1420</v>
      </c>
      <c r="C316" s="933" t="s">
        <v>1527</v>
      </c>
      <c r="D316" s="933" t="s">
        <v>1777</v>
      </c>
      <c r="E316" s="933"/>
      <c r="F316" s="933"/>
      <c r="G316" s="933" t="s">
        <v>1585</v>
      </c>
      <c r="H316" s="934"/>
      <c r="I316" s="943"/>
      <c r="J316" s="943"/>
      <c r="K316" s="944"/>
      <c r="L316" s="945"/>
      <c r="M316" s="945"/>
      <c r="N316" s="946"/>
      <c r="O316" s="946"/>
      <c r="P316" s="946"/>
      <c r="Q316" s="946"/>
      <c r="R316" s="946"/>
      <c r="S316" s="938">
        <v>169897.58</v>
      </c>
      <c r="T316" s="938"/>
      <c r="U316" s="938"/>
      <c r="V316" s="938"/>
      <c r="W316" s="938"/>
      <c r="X316" s="938"/>
      <c r="Y316" s="938"/>
      <c r="Z316" s="938"/>
      <c r="AA316" s="938"/>
      <c r="AB316" s="938"/>
      <c r="AC316" s="938">
        <v>2500</v>
      </c>
      <c r="AD316" s="938"/>
      <c r="AE316" s="938"/>
      <c r="AF316" s="938"/>
      <c r="AG316" s="938"/>
      <c r="AH316" s="938"/>
      <c r="AI316" s="938"/>
      <c r="AJ316" s="938">
        <v>2500</v>
      </c>
      <c r="AK316" s="938"/>
      <c r="AL316" s="938"/>
      <c r="AM316" s="938"/>
      <c r="AN316" s="938"/>
      <c r="AO316" s="938"/>
      <c r="AP316" s="938"/>
      <c r="AQ316" s="938"/>
      <c r="AR316" s="938"/>
      <c r="AS316" s="938"/>
      <c r="AT316" s="938"/>
      <c r="AU316" s="938">
        <f t="shared" si="412"/>
        <v>6795.9032</v>
      </c>
      <c r="AV316" s="938"/>
      <c r="AW316" s="938">
        <v>3000</v>
      </c>
      <c r="AX316" s="718">
        <f t="shared" si="414"/>
        <v>3397.9516</v>
      </c>
      <c r="AY316" s="947"/>
      <c r="AZ316" s="947"/>
      <c r="BA316" s="938"/>
      <c r="BB316" s="938"/>
      <c r="BC316" s="938"/>
      <c r="BD316" s="948"/>
      <c r="BE316" s="948"/>
      <c r="BF316" s="938"/>
      <c r="BG316" s="938"/>
      <c r="BH316" s="949"/>
      <c r="BI316" s="938"/>
      <c r="BJ316" s="938"/>
      <c r="BK316" s="938"/>
      <c r="BL316" s="938"/>
      <c r="BM316" s="938"/>
      <c r="BN316" s="938"/>
      <c r="BO316" s="938">
        <v>0</v>
      </c>
      <c r="BP316" s="938"/>
      <c r="BQ316" s="938"/>
      <c r="BR316" s="950"/>
      <c r="BS316" s="950"/>
      <c r="BT316" s="950"/>
      <c r="BU316" s="950"/>
      <c r="BV316" s="950"/>
      <c r="BW316" s="950"/>
      <c r="BX316" s="950"/>
      <c r="BY316" s="950">
        <v>2000</v>
      </c>
      <c r="BZ316" s="950">
        <v>1000</v>
      </c>
      <c r="CA316" s="718">
        <f t="shared" si="407"/>
        <v>3497.9516</v>
      </c>
      <c r="CB316" s="951"/>
      <c r="CC316" s="950">
        <v>16751.1</v>
      </c>
      <c r="CD316" s="702">
        <f t="shared" si="410"/>
        <v>174897.58</v>
      </c>
      <c r="CE316" s="731">
        <f t="shared" si="413"/>
        <v>36442.9064</v>
      </c>
      <c r="CF316" s="739">
        <f t="shared" si="411"/>
        <v>138454.6736</v>
      </c>
      <c r="CG316" s="960">
        <f t="shared" si="408"/>
        <v>36442.9064</v>
      </c>
      <c r="CH316" s="961"/>
      <c r="CI316" s="962"/>
      <c r="CJ316" s="963"/>
      <c r="CK316" s="968"/>
      <c r="CL316" s="969"/>
      <c r="CM316" s="962"/>
      <c r="CN316" s="963"/>
      <c r="CO316" s="963"/>
      <c r="CP316" s="963"/>
      <c r="CQ316" s="963"/>
      <c r="CR316" s="963"/>
      <c r="CS316" s="963"/>
      <c r="CT316" s="984"/>
      <c r="CU316" s="985"/>
      <c r="CV316" s="986"/>
      <c r="CW316" s="987"/>
      <c r="CX316" s="988"/>
      <c r="CY316" s="989"/>
      <c r="CZ316" s="990"/>
      <c r="DA316" s="995"/>
      <c r="DB316" s="996"/>
    </row>
    <row r="317" ht="236" customHeight="1" spans="1:106">
      <c r="A317" s="675">
        <v>640</v>
      </c>
      <c r="B317" s="926" t="s">
        <v>1421</v>
      </c>
      <c r="C317" s="927" t="s">
        <v>1770</v>
      </c>
      <c r="D317" s="927" t="s">
        <v>1781</v>
      </c>
      <c r="E317" s="927" t="s">
        <v>97</v>
      </c>
      <c r="F317" s="1458" t="s">
        <v>1422</v>
      </c>
      <c r="G317" s="927" t="s">
        <v>1615</v>
      </c>
      <c r="H317" s="928"/>
      <c r="I317" s="935"/>
      <c r="J317" s="935"/>
      <c r="K317" s="936"/>
      <c r="L317" s="937"/>
      <c r="M317" s="937"/>
      <c r="N317" s="938"/>
      <c r="O317" s="938"/>
      <c r="P317" s="938"/>
      <c r="Q317" s="938"/>
      <c r="R317" s="938"/>
      <c r="S317" s="938">
        <v>192576.5</v>
      </c>
      <c r="T317" s="938"/>
      <c r="U317" s="938"/>
      <c r="V317" s="938"/>
      <c r="W317" s="938"/>
      <c r="X317" s="938"/>
      <c r="Y317" s="938"/>
      <c r="Z317" s="938"/>
      <c r="AA317" s="938"/>
      <c r="AB317" s="938"/>
      <c r="AC317" s="938">
        <v>2500</v>
      </c>
      <c r="AD317" s="938"/>
      <c r="AE317" s="938"/>
      <c r="AF317" s="938"/>
      <c r="AG317" s="938"/>
      <c r="AH317" s="938"/>
      <c r="AI317" s="938"/>
      <c r="AJ317" s="938">
        <v>2500</v>
      </c>
      <c r="AK317" s="938"/>
      <c r="AL317" s="938"/>
      <c r="AM317" s="938"/>
      <c r="AN317" s="938"/>
      <c r="AO317" s="938"/>
      <c r="AP317" s="938"/>
      <c r="AQ317" s="938"/>
      <c r="AR317" s="938"/>
      <c r="AS317" s="938"/>
      <c r="AT317" s="938"/>
      <c r="AU317" s="938">
        <f t="shared" si="412"/>
        <v>7703.06</v>
      </c>
      <c r="AV317" s="938"/>
      <c r="AW317" s="938">
        <v>3000</v>
      </c>
      <c r="AX317" s="718">
        <f t="shared" si="414"/>
        <v>3851.53</v>
      </c>
      <c r="AY317" s="947"/>
      <c r="AZ317" s="947"/>
      <c r="BA317" s="938"/>
      <c r="BB317" s="938"/>
      <c r="BC317" s="938"/>
      <c r="BD317" s="948"/>
      <c r="BE317" s="948"/>
      <c r="BF317" s="938"/>
      <c r="BG317" s="938"/>
      <c r="BH317" s="949"/>
      <c r="BI317" s="938"/>
      <c r="BJ317" s="938"/>
      <c r="BK317" s="938"/>
      <c r="BL317" s="938"/>
      <c r="BM317" s="938"/>
      <c r="BN317" s="938"/>
      <c r="BO317" s="938">
        <v>0</v>
      </c>
      <c r="BP317" s="938"/>
      <c r="BQ317" s="938"/>
      <c r="BR317" s="950"/>
      <c r="BS317" s="950"/>
      <c r="BT317" s="950"/>
      <c r="BU317" s="950"/>
      <c r="BV317" s="950"/>
      <c r="BW317" s="950"/>
      <c r="BX317" s="950"/>
      <c r="BY317" s="950">
        <v>2000</v>
      </c>
      <c r="BZ317" s="950">
        <v>1500</v>
      </c>
      <c r="CA317" s="718">
        <f t="shared" si="407"/>
        <v>3951.53</v>
      </c>
      <c r="CB317" s="951"/>
      <c r="CC317" s="950">
        <v>20359.52</v>
      </c>
      <c r="CD317" s="702">
        <f t="shared" si="410"/>
        <v>197576.5</v>
      </c>
      <c r="CE317" s="731">
        <f t="shared" si="413"/>
        <v>42365.64</v>
      </c>
      <c r="CF317" s="739">
        <f t="shared" si="411"/>
        <v>155210.86</v>
      </c>
      <c r="CG317" s="952">
        <f t="shared" si="408"/>
        <v>42365.64</v>
      </c>
      <c r="CH317" s="953"/>
      <c r="CI317" s="954"/>
      <c r="CJ317" s="955"/>
      <c r="CK317" s="964"/>
      <c r="CL317" s="965"/>
      <c r="CM317" s="954"/>
      <c r="CN317" s="955"/>
      <c r="CO317" s="955"/>
      <c r="CP317" s="955"/>
      <c r="CQ317" s="955"/>
      <c r="CR317" s="955"/>
      <c r="CS317" s="955"/>
      <c r="CT317" s="970"/>
      <c r="CU317" s="971"/>
      <c r="CV317" s="972"/>
      <c r="CW317" s="973"/>
      <c r="CX317" s="974"/>
      <c r="CY317" s="975"/>
      <c r="CZ317" s="976"/>
      <c r="DA317" s="991"/>
      <c r="DB317" s="992"/>
    </row>
    <row r="318" ht="236" customHeight="1" spans="1:106">
      <c r="A318" s="673">
        <v>641</v>
      </c>
      <c r="B318" s="926" t="s">
        <v>1423</v>
      </c>
      <c r="C318" s="927" t="s">
        <v>1770</v>
      </c>
      <c r="D318" s="927" t="s">
        <v>1781</v>
      </c>
      <c r="E318" s="927" t="s">
        <v>127</v>
      </c>
      <c r="F318" s="1458" t="s">
        <v>1424</v>
      </c>
      <c r="G318" s="927" t="s">
        <v>1615</v>
      </c>
      <c r="H318" s="928"/>
      <c r="I318" s="935"/>
      <c r="J318" s="935"/>
      <c r="K318" s="936"/>
      <c r="L318" s="937"/>
      <c r="M318" s="937"/>
      <c r="N318" s="938"/>
      <c r="O318" s="938"/>
      <c r="P318" s="938"/>
      <c r="Q318" s="938"/>
      <c r="R318" s="938"/>
      <c r="S318" s="938">
        <v>192576.5</v>
      </c>
      <c r="T318" s="938"/>
      <c r="U318" s="938"/>
      <c r="V318" s="938"/>
      <c r="W318" s="938"/>
      <c r="X318" s="938"/>
      <c r="Y318" s="938"/>
      <c r="Z318" s="938"/>
      <c r="AA318" s="938"/>
      <c r="AB318" s="938"/>
      <c r="AC318" s="938">
        <v>2500</v>
      </c>
      <c r="AD318" s="938"/>
      <c r="AE318" s="938"/>
      <c r="AF318" s="938"/>
      <c r="AG318" s="938"/>
      <c r="AH318" s="938"/>
      <c r="AI318" s="938"/>
      <c r="AJ318" s="938">
        <v>2500</v>
      </c>
      <c r="AK318" s="938"/>
      <c r="AL318" s="938"/>
      <c r="AM318" s="938"/>
      <c r="AN318" s="938"/>
      <c r="AO318" s="938"/>
      <c r="AP318" s="938"/>
      <c r="AQ318" s="938"/>
      <c r="AR318" s="938"/>
      <c r="AS318" s="938"/>
      <c r="AT318" s="938"/>
      <c r="AU318" s="938">
        <f t="shared" si="412"/>
        <v>7703.06</v>
      </c>
      <c r="AV318" s="938"/>
      <c r="AW318" s="938">
        <v>3000</v>
      </c>
      <c r="AX318" s="718">
        <f t="shared" si="414"/>
        <v>3851.53</v>
      </c>
      <c r="AY318" s="947"/>
      <c r="AZ318" s="947"/>
      <c r="BA318" s="938"/>
      <c r="BB318" s="938"/>
      <c r="BC318" s="938"/>
      <c r="BD318" s="948"/>
      <c r="BE318" s="948"/>
      <c r="BF318" s="938"/>
      <c r="BG318" s="938"/>
      <c r="BH318" s="949"/>
      <c r="BI318" s="938"/>
      <c r="BJ318" s="938"/>
      <c r="BK318" s="938"/>
      <c r="BL318" s="938"/>
      <c r="BM318" s="938"/>
      <c r="BN318" s="938"/>
      <c r="BO318" s="938">
        <v>0</v>
      </c>
      <c r="BP318" s="938"/>
      <c r="BQ318" s="938"/>
      <c r="BR318" s="950"/>
      <c r="BS318" s="950"/>
      <c r="BT318" s="950"/>
      <c r="BU318" s="950"/>
      <c r="BV318" s="950"/>
      <c r="BW318" s="950"/>
      <c r="BX318" s="950"/>
      <c r="BY318" s="950">
        <v>2000</v>
      </c>
      <c r="BZ318" s="950">
        <v>1500</v>
      </c>
      <c r="CA318" s="718">
        <f t="shared" si="407"/>
        <v>3951.53</v>
      </c>
      <c r="CB318" s="951"/>
      <c r="CC318" s="950">
        <v>20359.52</v>
      </c>
      <c r="CD318" s="702">
        <f t="shared" si="410"/>
        <v>197576.5</v>
      </c>
      <c r="CE318" s="731">
        <f t="shared" si="413"/>
        <v>42365.64</v>
      </c>
      <c r="CF318" s="739">
        <f t="shared" si="411"/>
        <v>155210.86</v>
      </c>
      <c r="CG318" s="952">
        <f t="shared" si="408"/>
        <v>42365.64</v>
      </c>
      <c r="CH318" s="953"/>
      <c r="CI318" s="954"/>
      <c r="CJ318" s="955"/>
      <c r="CK318" s="964"/>
      <c r="CL318" s="965"/>
      <c r="CM318" s="954"/>
      <c r="CN318" s="955"/>
      <c r="CO318" s="955"/>
      <c r="CP318" s="955"/>
      <c r="CQ318" s="955"/>
      <c r="CR318" s="955"/>
      <c r="CS318" s="955"/>
      <c r="CT318" s="970"/>
      <c r="CU318" s="971"/>
      <c r="CV318" s="972"/>
      <c r="CW318" s="973"/>
      <c r="CX318" s="974"/>
      <c r="CY318" s="975"/>
      <c r="CZ318" s="976"/>
      <c r="DA318" s="991"/>
      <c r="DB318" s="992"/>
    </row>
    <row r="319" ht="236" customHeight="1" spans="1:106">
      <c r="A319" s="675">
        <v>642</v>
      </c>
      <c r="B319" s="926" t="s">
        <v>1425</v>
      </c>
      <c r="C319" s="927" t="s">
        <v>1770</v>
      </c>
      <c r="D319" s="927" t="s">
        <v>1781</v>
      </c>
      <c r="E319" s="927" t="s">
        <v>165</v>
      </c>
      <c r="F319" s="927">
        <v>2117993479</v>
      </c>
      <c r="G319" s="927" t="s">
        <v>1615</v>
      </c>
      <c r="H319" s="928"/>
      <c r="I319" s="935"/>
      <c r="J319" s="935"/>
      <c r="K319" s="936"/>
      <c r="L319" s="937"/>
      <c r="M319" s="937"/>
      <c r="N319" s="938"/>
      <c r="O319" s="938"/>
      <c r="P319" s="938"/>
      <c r="Q319" s="938"/>
      <c r="R319" s="938"/>
      <c r="S319" s="938">
        <v>192576.5</v>
      </c>
      <c r="T319" s="938"/>
      <c r="U319" s="938"/>
      <c r="V319" s="938"/>
      <c r="W319" s="938"/>
      <c r="X319" s="938"/>
      <c r="Y319" s="938"/>
      <c r="Z319" s="938"/>
      <c r="AA319" s="938"/>
      <c r="AB319" s="938"/>
      <c r="AC319" s="938">
        <v>2500</v>
      </c>
      <c r="AD319" s="938"/>
      <c r="AE319" s="938"/>
      <c r="AF319" s="938"/>
      <c r="AG319" s="938"/>
      <c r="AH319" s="938"/>
      <c r="AI319" s="938"/>
      <c r="AJ319" s="938">
        <v>2500</v>
      </c>
      <c r="AK319" s="938"/>
      <c r="AL319" s="938"/>
      <c r="AM319" s="938"/>
      <c r="AN319" s="938"/>
      <c r="AO319" s="938"/>
      <c r="AP319" s="938"/>
      <c r="AQ319" s="938"/>
      <c r="AR319" s="938"/>
      <c r="AS319" s="938"/>
      <c r="AT319" s="938"/>
      <c r="AU319" s="938">
        <f t="shared" si="412"/>
        <v>7703.06</v>
      </c>
      <c r="AV319" s="938"/>
      <c r="AW319" s="938">
        <v>3000</v>
      </c>
      <c r="AX319" s="718">
        <f t="shared" si="414"/>
        <v>3851.53</v>
      </c>
      <c r="AY319" s="947"/>
      <c r="AZ319" s="947"/>
      <c r="BA319" s="938"/>
      <c r="BB319" s="938"/>
      <c r="BC319" s="938"/>
      <c r="BD319" s="948"/>
      <c r="BE319" s="948"/>
      <c r="BF319" s="938"/>
      <c r="BG319" s="938"/>
      <c r="BH319" s="949"/>
      <c r="BI319" s="938"/>
      <c r="BJ319" s="938"/>
      <c r="BK319" s="938"/>
      <c r="BL319" s="938"/>
      <c r="BM319" s="938"/>
      <c r="BN319" s="938"/>
      <c r="BO319" s="938">
        <v>0</v>
      </c>
      <c r="BP319" s="938"/>
      <c r="BQ319" s="938"/>
      <c r="BR319" s="950"/>
      <c r="BS319" s="950"/>
      <c r="BT319" s="950"/>
      <c r="BU319" s="950"/>
      <c r="BV319" s="950"/>
      <c r="BW319" s="950"/>
      <c r="BX319" s="950"/>
      <c r="BY319" s="950"/>
      <c r="BZ319" s="950">
        <v>1500</v>
      </c>
      <c r="CA319" s="718">
        <f t="shared" si="407"/>
        <v>3951.53</v>
      </c>
      <c r="CB319" s="951"/>
      <c r="CC319" s="950">
        <v>20359.52</v>
      </c>
      <c r="CD319" s="702">
        <f t="shared" si="410"/>
        <v>197576.5</v>
      </c>
      <c r="CE319" s="731">
        <f t="shared" si="413"/>
        <v>40365.64</v>
      </c>
      <c r="CF319" s="739">
        <f t="shared" si="411"/>
        <v>157210.86</v>
      </c>
      <c r="CG319" s="952">
        <f t="shared" si="408"/>
        <v>40365.64</v>
      </c>
      <c r="CH319" s="953"/>
      <c r="CI319" s="954"/>
      <c r="CJ319" s="955"/>
      <c r="CK319" s="964"/>
      <c r="CL319" s="965"/>
      <c r="CM319" s="954"/>
      <c r="CN319" s="955"/>
      <c r="CO319" s="955"/>
      <c r="CP319" s="955"/>
      <c r="CQ319" s="955"/>
      <c r="CR319" s="955"/>
      <c r="CS319" s="955"/>
      <c r="CT319" s="970"/>
      <c r="CU319" s="971"/>
      <c r="CV319" s="972"/>
      <c r="CW319" s="973"/>
      <c r="CX319" s="974"/>
      <c r="CY319" s="975"/>
      <c r="CZ319" s="976"/>
      <c r="DA319" s="991"/>
      <c r="DB319" s="992"/>
    </row>
    <row r="320" ht="236" customHeight="1" spans="1:106">
      <c r="A320" s="673">
        <v>643</v>
      </c>
      <c r="B320" s="926" t="s">
        <v>1426</v>
      </c>
      <c r="C320" s="927" t="s">
        <v>1527</v>
      </c>
      <c r="D320" s="927" t="s">
        <v>1781</v>
      </c>
      <c r="E320" s="927" t="s">
        <v>113</v>
      </c>
      <c r="F320" s="927">
        <v>2113777097</v>
      </c>
      <c r="G320" s="927" t="s">
        <v>1615</v>
      </c>
      <c r="H320" s="928"/>
      <c r="I320" s="935"/>
      <c r="J320" s="935"/>
      <c r="K320" s="936"/>
      <c r="L320" s="937"/>
      <c r="M320" s="937"/>
      <c r="N320" s="938"/>
      <c r="O320" s="938"/>
      <c r="P320" s="938"/>
      <c r="Q320" s="938"/>
      <c r="R320" s="938"/>
      <c r="S320" s="938">
        <v>192576.5</v>
      </c>
      <c r="T320" s="938"/>
      <c r="U320" s="938"/>
      <c r="V320" s="938"/>
      <c r="W320" s="938"/>
      <c r="X320" s="938"/>
      <c r="Y320" s="938"/>
      <c r="Z320" s="938"/>
      <c r="AA320" s="938"/>
      <c r="AB320" s="938"/>
      <c r="AC320" s="938">
        <v>2500</v>
      </c>
      <c r="AD320" s="938"/>
      <c r="AE320" s="938"/>
      <c r="AF320" s="938"/>
      <c r="AG320" s="938"/>
      <c r="AH320" s="938"/>
      <c r="AI320" s="938"/>
      <c r="AJ320" s="938">
        <v>2500</v>
      </c>
      <c r="AK320" s="938"/>
      <c r="AL320" s="938"/>
      <c r="AM320" s="938"/>
      <c r="AN320" s="938"/>
      <c r="AO320" s="938"/>
      <c r="AP320" s="938"/>
      <c r="AQ320" s="938"/>
      <c r="AR320" s="938"/>
      <c r="AS320" s="938"/>
      <c r="AT320" s="938"/>
      <c r="AU320" s="938">
        <f t="shared" si="412"/>
        <v>7703.06</v>
      </c>
      <c r="AV320" s="938"/>
      <c r="AW320" s="938">
        <v>3000</v>
      </c>
      <c r="AX320" s="718">
        <f t="shared" si="414"/>
        <v>3851.53</v>
      </c>
      <c r="AY320" s="947"/>
      <c r="AZ320" s="947"/>
      <c r="BA320" s="938"/>
      <c r="BB320" s="938"/>
      <c r="BC320" s="938"/>
      <c r="BD320" s="948"/>
      <c r="BE320" s="948"/>
      <c r="BF320" s="938"/>
      <c r="BG320" s="938"/>
      <c r="BH320" s="949"/>
      <c r="BI320" s="938"/>
      <c r="BJ320" s="938"/>
      <c r="BK320" s="938"/>
      <c r="BL320" s="938"/>
      <c r="BM320" s="938"/>
      <c r="BN320" s="938"/>
      <c r="BO320" s="938">
        <v>0</v>
      </c>
      <c r="BP320" s="938"/>
      <c r="BQ320" s="938"/>
      <c r="BR320" s="950"/>
      <c r="BS320" s="950"/>
      <c r="BT320" s="950"/>
      <c r="BU320" s="950"/>
      <c r="BV320" s="950"/>
      <c r="BW320" s="950"/>
      <c r="BX320" s="950"/>
      <c r="BY320" s="950">
        <v>2000</v>
      </c>
      <c r="BZ320" s="950">
        <v>1500</v>
      </c>
      <c r="CA320" s="718">
        <f t="shared" ref="CA320:CA341" si="415">CD320*0.02</f>
        <v>3951.53</v>
      </c>
      <c r="CB320" s="951"/>
      <c r="CC320" s="950">
        <v>20359.52</v>
      </c>
      <c r="CD320" s="702">
        <f t="shared" si="410"/>
        <v>197576.5</v>
      </c>
      <c r="CE320" s="731">
        <f t="shared" si="413"/>
        <v>42365.64</v>
      </c>
      <c r="CF320" s="739">
        <f t="shared" si="411"/>
        <v>155210.86</v>
      </c>
      <c r="CG320" s="952">
        <f t="shared" si="408"/>
        <v>42365.64</v>
      </c>
      <c r="CH320" s="953"/>
      <c r="CI320" s="954"/>
      <c r="CJ320" s="955"/>
      <c r="CK320" s="964"/>
      <c r="CL320" s="965"/>
      <c r="CM320" s="954"/>
      <c r="CN320" s="955"/>
      <c r="CO320" s="955"/>
      <c r="CP320" s="955"/>
      <c r="CQ320" s="955"/>
      <c r="CR320" s="955"/>
      <c r="CS320" s="955"/>
      <c r="CT320" s="970"/>
      <c r="CU320" s="971"/>
      <c r="CV320" s="972"/>
      <c r="CW320" s="973"/>
      <c r="CX320" s="974"/>
      <c r="CY320" s="975"/>
      <c r="CZ320" s="976"/>
      <c r="DA320" s="991"/>
      <c r="DB320" s="992"/>
    </row>
    <row r="321" ht="236" customHeight="1" spans="1:106">
      <c r="A321" s="675">
        <v>644</v>
      </c>
      <c r="B321" s="926" t="s">
        <v>1427</v>
      </c>
      <c r="C321" s="927" t="s">
        <v>1770</v>
      </c>
      <c r="D321" s="927" t="s">
        <v>1781</v>
      </c>
      <c r="E321" s="927" t="s">
        <v>165</v>
      </c>
      <c r="F321" s="927">
        <v>2193378762</v>
      </c>
      <c r="G321" s="927" t="s">
        <v>1615</v>
      </c>
      <c r="H321" s="928"/>
      <c r="I321" s="935"/>
      <c r="J321" s="935"/>
      <c r="K321" s="936"/>
      <c r="L321" s="937"/>
      <c r="M321" s="937"/>
      <c r="N321" s="938"/>
      <c r="O321" s="938"/>
      <c r="P321" s="938"/>
      <c r="Q321" s="938"/>
      <c r="R321" s="938"/>
      <c r="S321" s="938">
        <v>192576.5</v>
      </c>
      <c r="T321" s="938"/>
      <c r="U321" s="938"/>
      <c r="V321" s="938"/>
      <c r="W321" s="938"/>
      <c r="X321" s="938"/>
      <c r="Y321" s="938"/>
      <c r="Z321" s="938"/>
      <c r="AA321" s="938"/>
      <c r="AB321" s="938"/>
      <c r="AC321" s="938">
        <v>2500</v>
      </c>
      <c r="AD321" s="938"/>
      <c r="AE321" s="938"/>
      <c r="AF321" s="938"/>
      <c r="AG321" s="938"/>
      <c r="AH321" s="938"/>
      <c r="AI321" s="938"/>
      <c r="AJ321" s="938">
        <v>2500</v>
      </c>
      <c r="AK321" s="938"/>
      <c r="AL321" s="938"/>
      <c r="AM321" s="938"/>
      <c r="AN321" s="938"/>
      <c r="AO321" s="938"/>
      <c r="AP321" s="938"/>
      <c r="AQ321" s="938"/>
      <c r="AR321" s="938"/>
      <c r="AS321" s="938"/>
      <c r="AT321" s="938"/>
      <c r="AU321" s="938">
        <f t="shared" si="412"/>
        <v>7703.06</v>
      </c>
      <c r="AV321" s="938"/>
      <c r="AW321" s="938">
        <v>3000</v>
      </c>
      <c r="AX321" s="718">
        <f t="shared" si="414"/>
        <v>3851.53</v>
      </c>
      <c r="AY321" s="947"/>
      <c r="AZ321" s="947"/>
      <c r="BA321" s="938"/>
      <c r="BB321" s="938"/>
      <c r="BC321" s="938"/>
      <c r="BD321" s="948"/>
      <c r="BE321" s="948"/>
      <c r="BF321" s="938"/>
      <c r="BG321" s="938"/>
      <c r="BH321" s="949"/>
      <c r="BI321" s="938"/>
      <c r="BJ321" s="938"/>
      <c r="BK321" s="938"/>
      <c r="BL321" s="938"/>
      <c r="BM321" s="938"/>
      <c r="BN321" s="938"/>
      <c r="BO321" s="938">
        <v>0</v>
      </c>
      <c r="BP321" s="938"/>
      <c r="BQ321" s="938"/>
      <c r="BR321" s="950"/>
      <c r="BS321" s="950"/>
      <c r="BT321" s="950"/>
      <c r="BU321" s="950"/>
      <c r="BV321" s="950"/>
      <c r="BW321" s="950"/>
      <c r="BX321" s="950"/>
      <c r="BY321" s="950">
        <v>2000</v>
      </c>
      <c r="BZ321" s="950">
        <v>1500</v>
      </c>
      <c r="CA321" s="718">
        <f t="shared" si="415"/>
        <v>3951.53</v>
      </c>
      <c r="CB321" s="951"/>
      <c r="CC321" s="950">
        <v>20359.52</v>
      </c>
      <c r="CD321" s="702">
        <f t="shared" si="410"/>
        <v>197576.5</v>
      </c>
      <c r="CE321" s="731">
        <f t="shared" si="413"/>
        <v>42365.64</v>
      </c>
      <c r="CF321" s="739">
        <f t="shared" si="411"/>
        <v>155210.86</v>
      </c>
      <c r="CG321" s="952">
        <f t="shared" si="408"/>
        <v>42365.64</v>
      </c>
      <c r="CH321" s="953"/>
      <c r="CI321" s="954"/>
      <c r="CJ321" s="955"/>
      <c r="CK321" s="964"/>
      <c r="CL321" s="965"/>
      <c r="CM321" s="954"/>
      <c r="CN321" s="955"/>
      <c r="CO321" s="955"/>
      <c r="CP321" s="955"/>
      <c r="CQ321" s="955"/>
      <c r="CR321" s="955"/>
      <c r="CS321" s="955"/>
      <c r="CT321" s="970"/>
      <c r="CU321" s="971"/>
      <c r="CV321" s="972"/>
      <c r="CW321" s="973"/>
      <c r="CX321" s="974"/>
      <c r="CY321" s="975"/>
      <c r="CZ321" s="976"/>
      <c r="DA321" s="991"/>
      <c r="DB321" s="992"/>
    </row>
    <row r="322" s="664" customFormat="1" ht="236" customHeight="1" spans="1:106">
      <c r="A322" s="673">
        <v>645</v>
      </c>
      <c r="B322" s="997" t="s">
        <v>1428</v>
      </c>
      <c r="C322" s="998" t="s">
        <v>1770</v>
      </c>
      <c r="D322" s="998" t="s">
        <v>1782</v>
      </c>
      <c r="E322" s="998" t="s">
        <v>354</v>
      </c>
      <c r="F322" s="998">
        <v>6006204037</v>
      </c>
      <c r="G322" s="998"/>
      <c r="H322" s="999"/>
      <c r="I322" s="1015"/>
      <c r="J322" s="1015"/>
      <c r="K322" s="1016"/>
      <c r="L322" s="1017"/>
      <c r="M322" s="1017"/>
      <c r="N322" s="1018"/>
      <c r="O322" s="1018"/>
      <c r="P322" s="1018"/>
      <c r="Q322" s="1018"/>
      <c r="R322" s="1018"/>
      <c r="S322" s="938"/>
      <c r="T322" s="938"/>
      <c r="U322" s="938"/>
      <c r="V322" s="938"/>
      <c r="W322" s="938"/>
      <c r="X322" s="938"/>
      <c r="Y322" s="938"/>
      <c r="Z322" s="938"/>
      <c r="AA322" s="938"/>
      <c r="AB322" s="938"/>
      <c r="AC322" s="938"/>
      <c r="AD322" s="938"/>
      <c r="AE322" s="938"/>
      <c r="AF322" s="938"/>
      <c r="AG322" s="938"/>
      <c r="AH322" s="938"/>
      <c r="AI322" s="938"/>
      <c r="AJ322" s="938"/>
      <c r="AK322" s="938"/>
      <c r="AL322" s="938"/>
      <c r="AM322" s="938"/>
      <c r="AN322" s="938"/>
      <c r="AO322" s="938"/>
      <c r="AP322" s="938"/>
      <c r="AQ322" s="938"/>
      <c r="AR322" s="938"/>
      <c r="AS322" s="938"/>
      <c r="AT322" s="938"/>
      <c r="AU322" s="938"/>
      <c r="AV322" s="938"/>
      <c r="AW322" s="938"/>
      <c r="AX322" s="718"/>
      <c r="AY322" s="947"/>
      <c r="AZ322" s="947"/>
      <c r="BA322" s="938"/>
      <c r="BB322" s="938"/>
      <c r="BC322" s="938"/>
      <c r="BD322" s="948"/>
      <c r="BE322" s="948"/>
      <c r="BF322" s="938"/>
      <c r="BG322" s="938"/>
      <c r="BH322" s="949"/>
      <c r="BI322" s="938"/>
      <c r="BJ322" s="938"/>
      <c r="BK322" s="938"/>
      <c r="BL322" s="938"/>
      <c r="BM322" s="938"/>
      <c r="BN322" s="938"/>
      <c r="BO322" s="938"/>
      <c r="BP322" s="938"/>
      <c r="BQ322" s="938"/>
      <c r="BR322" s="950"/>
      <c r="BS322" s="950"/>
      <c r="BT322" s="950"/>
      <c r="BU322" s="950"/>
      <c r="BV322" s="950"/>
      <c r="BW322" s="950"/>
      <c r="BX322" s="950"/>
      <c r="BY322" s="950"/>
      <c r="BZ322" s="950"/>
      <c r="CA322" s="718"/>
      <c r="CB322" s="951"/>
      <c r="CC322" s="950"/>
      <c r="CD322" s="702">
        <f t="shared" si="410"/>
        <v>0</v>
      </c>
      <c r="CE322" s="731"/>
      <c r="CF322" s="739"/>
      <c r="CG322" s="1044"/>
      <c r="CH322" s="1045"/>
      <c r="CI322" s="1046"/>
      <c r="CJ322" s="1047"/>
      <c r="CK322" s="1053"/>
      <c r="CL322" s="1054"/>
      <c r="CM322" s="1046"/>
      <c r="CN322" s="1047"/>
      <c r="CO322" s="1047"/>
      <c r="CP322" s="1047"/>
      <c r="CQ322" s="1047"/>
      <c r="CR322" s="1047"/>
      <c r="CS322" s="1047"/>
      <c r="CT322" s="1056"/>
      <c r="CU322" s="1057"/>
      <c r="CV322" s="1058"/>
      <c r="CW322" s="1059"/>
      <c r="CX322" s="1060"/>
      <c r="CY322" s="1061"/>
      <c r="CZ322" s="1062"/>
      <c r="DA322" s="1064"/>
      <c r="DB322" s="1065" t="s">
        <v>1783</v>
      </c>
    </row>
    <row r="323" ht="236" customHeight="1" spans="1:106">
      <c r="A323" s="675">
        <v>646</v>
      </c>
      <c r="B323" s="926" t="s">
        <v>1429</v>
      </c>
      <c r="C323" s="927" t="s">
        <v>537</v>
      </c>
      <c r="D323" s="927" t="s">
        <v>1784</v>
      </c>
      <c r="E323" s="927" t="s">
        <v>122</v>
      </c>
      <c r="F323" s="1458" t="s">
        <v>1430</v>
      </c>
      <c r="G323" s="927" t="s">
        <v>1615</v>
      </c>
      <c r="H323" s="928"/>
      <c r="I323" s="935"/>
      <c r="J323" s="935"/>
      <c r="K323" s="936"/>
      <c r="L323" s="937"/>
      <c r="M323" s="937"/>
      <c r="N323" s="938"/>
      <c r="O323" s="938"/>
      <c r="P323" s="938"/>
      <c r="Q323" s="938"/>
      <c r="R323" s="938"/>
      <c r="S323" s="938">
        <v>192576.5</v>
      </c>
      <c r="T323" s="938"/>
      <c r="U323" s="938"/>
      <c r="V323" s="938"/>
      <c r="W323" s="938"/>
      <c r="X323" s="938"/>
      <c r="Y323" s="938"/>
      <c r="Z323" s="938"/>
      <c r="AA323" s="938"/>
      <c r="AB323" s="938"/>
      <c r="AC323" s="938">
        <v>2500</v>
      </c>
      <c r="AD323" s="938"/>
      <c r="AE323" s="938"/>
      <c r="AF323" s="938"/>
      <c r="AG323" s="938"/>
      <c r="AH323" s="938"/>
      <c r="AI323" s="938"/>
      <c r="AJ323" s="938">
        <v>2500</v>
      </c>
      <c r="AK323" s="938"/>
      <c r="AL323" s="938"/>
      <c r="AM323" s="938"/>
      <c r="AN323" s="938"/>
      <c r="AO323" s="938"/>
      <c r="AP323" s="938"/>
      <c r="AQ323" s="938"/>
      <c r="AR323" s="938"/>
      <c r="AS323" s="938"/>
      <c r="AT323" s="938"/>
      <c r="AU323" s="938">
        <f t="shared" si="412"/>
        <v>7703.06</v>
      </c>
      <c r="AV323" s="938"/>
      <c r="AW323" s="938">
        <v>0</v>
      </c>
      <c r="AX323" s="718">
        <f t="shared" si="414"/>
        <v>3851.53</v>
      </c>
      <c r="AY323" s="947"/>
      <c r="AZ323" s="947"/>
      <c r="BA323" s="938"/>
      <c r="BB323" s="938"/>
      <c r="BC323" s="938"/>
      <c r="BD323" s="948"/>
      <c r="BE323" s="948"/>
      <c r="BF323" s="938"/>
      <c r="BG323" s="938"/>
      <c r="BH323" s="949"/>
      <c r="BI323" s="938"/>
      <c r="BJ323" s="938"/>
      <c r="BK323" s="938"/>
      <c r="BL323" s="938"/>
      <c r="BM323" s="938"/>
      <c r="BN323" s="938"/>
      <c r="BO323" s="938"/>
      <c r="BP323" s="938"/>
      <c r="BQ323" s="938"/>
      <c r="BR323" s="950"/>
      <c r="BS323" s="950"/>
      <c r="BT323" s="950"/>
      <c r="BU323" s="950"/>
      <c r="BV323" s="950"/>
      <c r="BW323" s="950"/>
      <c r="BX323" s="950"/>
      <c r="BY323" s="950"/>
      <c r="BZ323" s="950">
        <v>1500</v>
      </c>
      <c r="CA323" s="718">
        <f t="shared" si="415"/>
        <v>3951.53</v>
      </c>
      <c r="CB323" s="951"/>
      <c r="CC323" s="950">
        <v>20359.52</v>
      </c>
      <c r="CD323" s="702">
        <f t="shared" si="410"/>
        <v>197576.5</v>
      </c>
      <c r="CE323" s="731">
        <f t="shared" si="413"/>
        <v>37365.64</v>
      </c>
      <c r="CF323" s="739">
        <f t="shared" si="411"/>
        <v>160210.86</v>
      </c>
      <c r="CG323" s="952">
        <f t="shared" ref="CG323:CG341" si="416">CD323-CF323</f>
        <v>37365.64</v>
      </c>
      <c r="CH323" s="953"/>
      <c r="CI323" s="954"/>
      <c r="CJ323" s="955"/>
      <c r="CK323" s="964"/>
      <c r="CL323" s="965"/>
      <c r="CM323" s="954"/>
      <c r="CN323" s="955"/>
      <c r="CO323" s="955"/>
      <c r="CP323" s="955"/>
      <c r="CQ323" s="955"/>
      <c r="CR323" s="955"/>
      <c r="CS323" s="955"/>
      <c r="CT323" s="970"/>
      <c r="CU323" s="971"/>
      <c r="CV323" s="972"/>
      <c r="CW323" s="973"/>
      <c r="CX323" s="974"/>
      <c r="CY323" s="975"/>
      <c r="CZ323" s="976"/>
      <c r="DA323" s="991"/>
      <c r="DB323" s="992"/>
    </row>
    <row r="324" ht="236" customHeight="1" spans="1:106">
      <c r="A324" s="673">
        <v>647</v>
      </c>
      <c r="B324" s="926" t="s">
        <v>1431</v>
      </c>
      <c r="C324" s="927" t="s">
        <v>537</v>
      </c>
      <c r="D324" s="927" t="s">
        <v>1784</v>
      </c>
      <c r="E324" s="927" t="s">
        <v>113</v>
      </c>
      <c r="F324" s="927">
        <v>2066152639</v>
      </c>
      <c r="G324" s="927" t="s">
        <v>1615</v>
      </c>
      <c r="H324" s="928"/>
      <c r="I324" s="935"/>
      <c r="J324" s="935"/>
      <c r="K324" s="936"/>
      <c r="L324" s="937"/>
      <c r="M324" s="937"/>
      <c r="N324" s="938"/>
      <c r="O324" s="938"/>
      <c r="P324" s="938"/>
      <c r="Q324" s="938"/>
      <c r="R324" s="938"/>
      <c r="S324" s="938">
        <v>192576.5</v>
      </c>
      <c r="T324" s="938"/>
      <c r="U324" s="938"/>
      <c r="V324" s="938"/>
      <c r="W324" s="938"/>
      <c r="X324" s="938"/>
      <c r="Y324" s="938"/>
      <c r="Z324" s="938"/>
      <c r="AA324" s="938"/>
      <c r="AB324" s="938"/>
      <c r="AC324" s="938">
        <v>2500</v>
      </c>
      <c r="AD324" s="938"/>
      <c r="AE324" s="938"/>
      <c r="AF324" s="938"/>
      <c r="AG324" s="938"/>
      <c r="AH324" s="938"/>
      <c r="AI324" s="938"/>
      <c r="AJ324" s="938">
        <v>2500</v>
      </c>
      <c r="AK324" s="938"/>
      <c r="AL324" s="938"/>
      <c r="AM324" s="938"/>
      <c r="AN324" s="938"/>
      <c r="AO324" s="938"/>
      <c r="AP324" s="938"/>
      <c r="AQ324" s="938"/>
      <c r="AR324" s="938"/>
      <c r="AS324" s="938"/>
      <c r="AT324" s="938"/>
      <c r="AU324" s="938">
        <f t="shared" si="412"/>
        <v>7703.06</v>
      </c>
      <c r="AV324" s="938"/>
      <c r="AW324" s="938"/>
      <c r="AX324" s="718">
        <f t="shared" si="414"/>
        <v>3851.53</v>
      </c>
      <c r="AY324" s="947"/>
      <c r="AZ324" s="947"/>
      <c r="BA324" s="938"/>
      <c r="BB324" s="938"/>
      <c r="BC324" s="938"/>
      <c r="BD324" s="948"/>
      <c r="BE324" s="948"/>
      <c r="BF324" s="938"/>
      <c r="BG324" s="938"/>
      <c r="BH324" s="949"/>
      <c r="BI324" s="938"/>
      <c r="BJ324" s="938"/>
      <c r="BK324" s="938"/>
      <c r="BL324" s="938"/>
      <c r="BM324" s="938"/>
      <c r="BN324" s="938"/>
      <c r="BO324" s="938">
        <v>0</v>
      </c>
      <c r="BP324" s="938"/>
      <c r="BQ324" s="938"/>
      <c r="BR324" s="950"/>
      <c r="BS324" s="950"/>
      <c r="BT324" s="950"/>
      <c r="BU324" s="950"/>
      <c r="BV324" s="950"/>
      <c r="BW324" s="950"/>
      <c r="BX324" s="950">
        <v>5000</v>
      </c>
      <c r="BY324" s="950">
        <v>2000</v>
      </c>
      <c r="BZ324" s="950">
        <v>1500</v>
      </c>
      <c r="CA324" s="718">
        <f t="shared" si="415"/>
        <v>3951.53</v>
      </c>
      <c r="CB324" s="951"/>
      <c r="CC324" s="950">
        <v>20359.52</v>
      </c>
      <c r="CD324" s="702">
        <f t="shared" si="410"/>
        <v>197576.5</v>
      </c>
      <c r="CE324" s="731">
        <f t="shared" si="413"/>
        <v>44365.64</v>
      </c>
      <c r="CF324" s="739">
        <f t="shared" si="411"/>
        <v>153210.86</v>
      </c>
      <c r="CG324" s="952">
        <f t="shared" si="416"/>
        <v>44365.64</v>
      </c>
      <c r="CH324" s="953"/>
      <c r="CI324" s="954"/>
      <c r="CJ324" s="955"/>
      <c r="CK324" s="964"/>
      <c r="CL324" s="965"/>
      <c r="CM324" s="954"/>
      <c r="CN324" s="955"/>
      <c r="CO324" s="955"/>
      <c r="CP324" s="955"/>
      <c r="CQ324" s="955"/>
      <c r="CR324" s="955"/>
      <c r="CS324" s="955"/>
      <c r="CT324" s="970"/>
      <c r="CU324" s="971"/>
      <c r="CV324" s="972"/>
      <c r="CW324" s="973"/>
      <c r="CX324" s="974"/>
      <c r="CY324" s="975"/>
      <c r="CZ324" s="976"/>
      <c r="DA324" s="991"/>
      <c r="DB324" s="992"/>
    </row>
    <row r="325" ht="236" customHeight="1" spans="1:106">
      <c r="A325" s="675">
        <v>648</v>
      </c>
      <c r="B325" s="926" t="s">
        <v>1432</v>
      </c>
      <c r="C325" s="927" t="s">
        <v>1550</v>
      </c>
      <c r="D325" s="927" t="s">
        <v>1780</v>
      </c>
      <c r="E325" s="927" t="s">
        <v>113</v>
      </c>
      <c r="F325" s="927">
        <v>2017278489</v>
      </c>
      <c r="G325" s="927" t="s">
        <v>1615</v>
      </c>
      <c r="H325" s="928"/>
      <c r="I325" s="935"/>
      <c r="J325" s="935"/>
      <c r="K325" s="936"/>
      <c r="L325" s="937"/>
      <c r="M325" s="937"/>
      <c r="N325" s="938"/>
      <c r="O325" s="938"/>
      <c r="P325" s="938"/>
      <c r="Q325" s="938"/>
      <c r="R325" s="938"/>
      <c r="S325" s="938">
        <v>192576.5</v>
      </c>
      <c r="T325" s="938"/>
      <c r="U325" s="938"/>
      <c r="V325" s="938"/>
      <c r="W325" s="938"/>
      <c r="X325" s="938"/>
      <c r="Y325" s="938"/>
      <c r="Z325" s="938"/>
      <c r="AA325" s="938"/>
      <c r="AB325" s="938"/>
      <c r="AC325" s="938">
        <v>2500</v>
      </c>
      <c r="AD325" s="938"/>
      <c r="AE325" s="938"/>
      <c r="AF325" s="938"/>
      <c r="AG325" s="938"/>
      <c r="AH325" s="938">
        <v>34500</v>
      </c>
      <c r="AI325" s="938"/>
      <c r="AJ325" s="938">
        <v>2500</v>
      </c>
      <c r="AK325" s="938"/>
      <c r="AL325" s="938"/>
      <c r="AM325" s="938"/>
      <c r="AN325" s="938"/>
      <c r="AO325" s="938"/>
      <c r="AP325" s="938"/>
      <c r="AQ325" s="938"/>
      <c r="AR325" s="938"/>
      <c r="AS325" s="938"/>
      <c r="AT325" s="938"/>
      <c r="AU325" s="938">
        <f t="shared" si="412"/>
        <v>7703.06</v>
      </c>
      <c r="AV325" s="938"/>
      <c r="AW325" s="938"/>
      <c r="AX325" s="718">
        <f t="shared" si="414"/>
        <v>3851.53</v>
      </c>
      <c r="AY325" s="947"/>
      <c r="AZ325" s="947"/>
      <c r="BA325" s="938"/>
      <c r="BB325" s="938"/>
      <c r="BC325" s="938"/>
      <c r="BD325" s="948"/>
      <c r="BE325" s="948"/>
      <c r="BF325" s="938"/>
      <c r="BG325" s="938"/>
      <c r="BH325" s="949">
        <v>3000</v>
      </c>
      <c r="BI325" s="938"/>
      <c r="BJ325" s="938"/>
      <c r="BK325" s="938"/>
      <c r="BL325" s="938"/>
      <c r="BM325" s="938"/>
      <c r="BN325" s="938"/>
      <c r="BO325" s="938">
        <v>0</v>
      </c>
      <c r="BP325" s="938"/>
      <c r="BQ325" s="938"/>
      <c r="BR325" s="950"/>
      <c r="BS325" s="950"/>
      <c r="BT325" s="950"/>
      <c r="BU325" s="950"/>
      <c r="BV325" s="950"/>
      <c r="BW325" s="950"/>
      <c r="BX325" s="950"/>
      <c r="BY325" s="950"/>
      <c r="BZ325" s="950">
        <v>1500</v>
      </c>
      <c r="CA325" s="718">
        <f t="shared" si="415"/>
        <v>4641.53</v>
      </c>
      <c r="CB325" s="951"/>
      <c r="CC325" s="950">
        <v>26155.52</v>
      </c>
      <c r="CD325" s="702">
        <f t="shared" si="410"/>
        <v>232076.5</v>
      </c>
      <c r="CE325" s="731">
        <f t="shared" si="413"/>
        <v>46851.64</v>
      </c>
      <c r="CF325" s="739">
        <f t="shared" si="411"/>
        <v>185224.86</v>
      </c>
      <c r="CG325" s="952">
        <f t="shared" si="416"/>
        <v>46851.64</v>
      </c>
      <c r="CH325" s="953"/>
      <c r="CI325" s="954"/>
      <c r="CJ325" s="955"/>
      <c r="CK325" s="964"/>
      <c r="CL325" s="965"/>
      <c r="CM325" s="954"/>
      <c r="CN325" s="955"/>
      <c r="CO325" s="955"/>
      <c r="CP325" s="955"/>
      <c r="CQ325" s="955"/>
      <c r="CR325" s="955"/>
      <c r="CS325" s="955"/>
      <c r="CT325" s="970"/>
      <c r="CU325" s="971"/>
      <c r="CV325" s="972"/>
      <c r="CW325" s="973"/>
      <c r="CX325" s="974"/>
      <c r="CY325" s="975"/>
      <c r="CZ325" s="976"/>
      <c r="DA325" s="991"/>
      <c r="DB325" s="992"/>
    </row>
    <row r="326" ht="236" customHeight="1" spans="1:106">
      <c r="A326" s="673">
        <v>649</v>
      </c>
      <c r="B326" s="926" t="s">
        <v>1433</v>
      </c>
      <c r="C326" s="927" t="s">
        <v>1527</v>
      </c>
      <c r="D326" s="927" t="s">
        <v>1777</v>
      </c>
      <c r="E326" s="927" t="s">
        <v>165</v>
      </c>
      <c r="F326" s="927">
        <v>2265116917</v>
      </c>
      <c r="G326" s="927" t="s">
        <v>1615</v>
      </c>
      <c r="H326" s="928"/>
      <c r="I326" s="935"/>
      <c r="J326" s="935"/>
      <c r="K326" s="936"/>
      <c r="L326" s="937"/>
      <c r="M326" s="937"/>
      <c r="N326" s="938"/>
      <c r="O326" s="938"/>
      <c r="P326" s="938"/>
      <c r="Q326" s="938"/>
      <c r="R326" s="938"/>
      <c r="S326" s="938">
        <v>192576.5</v>
      </c>
      <c r="T326" s="938"/>
      <c r="U326" s="938"/>
      <c r="V326" s="938"/>
      <c r="W326" s="938"/>
      <c r="X326" s="938"/>
      <c r="Y326" s="938"/>
      <c r="Z326" s="938"/>
      <c r="AA326" s="938"/>
      <c r="AB326" s="938"/>
      <c r="AC326" s="938">
        <v>2500</v>
      </c>
      <c r="AD326" s="938"/>
      <c r="AE326" s="938"/>
      <c r="AF326" s="938"/>
      <c r="AG326" s="938"/>
      <c r="AH326" s="938"/>
      <c r="AI326" s="938"/>
      <c r="AJ326" s="938">
        <v>2500</v>
      </c>
      <c r="AK326" s="938"/>
      <c r="AL326" s="938"/>
      <c r="AM326" s="938"/>
      <c r="AN326" s="938"/>
      <c r="AO326" s="938"/>
      <c r="AP326" s="938"/>
      <c r="AQ326" s="938"/>
      <c r="AR326" s="938"/>
      <c r="AS326" s="938"/>
      <c r="AT326" s="938"/>
      <c r="AU326" s="938">
        <f t="shared" ref="AU326:AU341" si="417">S326*0.04</f>
        <v>7703.06</v>
      </c>
      <c r="AV326" s="938"/>
      <c r="AW326" s="938">
        <v>3000</v>
      </c>
      <c r="AX326" s="718">
        <f t="shared" si="414"/>
        <v>3851.53</v>
      </c>
      <c r="AY326" s="947"/>
      <c r="AZ326" s="947"/>
      <c r="BA326" s="938"/>
      <c r="BB326" s="938"/>
      <c r="BC326" s="938"/>
      <c r="BD326" s="948"/>
      <c r="BE326" s="948"/>
      <c r="BF326" s="938"/>
      <c r="BG326" s="938"/>
      <c r="BH326" s="949"/>
      <c r="BI326" s="938"/>
      <c r="BJ326" s="938"/>
      <c r="BK326" s="938"/>
      <c r="BL326" s="938"/>
      <c r="BM326" s="938"/>
      <c r="BN326" s="938"/>
      <c r="BO326" s="938">
        <v>0</v>
      </c>
      <c r="BP326" s="938"/>
      <c r="BQ326" s="938"/>
      <c r="BR326" s="950"/>
      <c r="BS326" s="950"/>
      <c r="BT326" s="950"/>
      <c r="BU326" s="950"/>
      <c r="BV326" s="950"/>
      <c r="BW326" s="950"/>
      <c r="BX326" s="950"/>
      <c r="BY326" s="950"/>
      <c r="BZ326" s="950">
        <v>1000</v>
      </c>
      <c r="CA326" s="718">
        <f t="shared" si="415"/>
        <v>3951.53</v>
      </c>
      <c r="CB326" s="951"/>
      <c r="CC326" s="950">
        <v>20359.52</v>
      </c>
      <c r="CD326" s="702">
        <f t="shared" ref="CD326:CD341" si="418">AR326+AJ326+AH326+AG326+AE326+AF326+AD326+AC326+AB326+AA326+Z326+Y326+X326+W326+V326+U326+U326+T326+S326</f>
        <v>197576.5</v>
      </c>
      <c r="CE326" s="731">
        <f t="shared" si="413"/>
        <v>39865.64</v>
      </c>
      <c r="CF326" s="739">
        <f t="shared" ref="CF326:CF341" si="419">CD326-CE326</f>
        <v>157710.86</v>
      </c>
      <c r="CG326" s="952">
        <f t="shared" si="416"/>
        <v>39865.64</v>
      </c>
      <c r="CH326" s="953"/>
      <c r="CI326" s="954"/>
      <c r="CJ326" s="955"/>
      <c r="CK326" s="964"/>
      <c r="CL326" s="965"/>
      <c r="CM326" s="954"/>
      <c r="CN326" s="955"/>
      <c r="CO326" s="955"/>
      <c r="CP326" s="955"/>
      <c r="CQ326" s="955"/>
      <c r="CR326" s="955"/>
      <c r="CS326" s="955"/>
      <c r="CT326" s="970"/>
      <c r="CU326" s="971"/>
      <c r="CV326" s="972"/>
      <c r="CW326" s="973"/>
      <c r="CX326" s="974"/>
      <c r="CY326" s="975"/>
      <c r="CZ326" s="976"/>
      <c r="DA326" s="991"/>
      <c r="DB326" s="992"/>
    </row>
    <row r="327" ht="236" customHeight="1" spans="1:106">
      <c r="A327" s="675">
        <v>650</v>
      </c>
      <c r="B327" s="926" t="s">
        <v>1434</v>
      </c>
      <c r="C327" s="927" t="s">
        <v>1550</v>
      </c>
      <c r="D327" s="927" t="s">
        <v>1780</v>
      </c>
      <c r="E327" s="927" t="s">
        <v>157</v>
      </c>
      <c r="F327" s="1458" t="s">
        <v>1435</v>
      </c>
      <c r="G327" s="927" t="s">
        <v>1615</v>
      </c>
      <c r="H327" s="928"/>
      <c r="I327" s="935"/>
      <c r="J327" s="935"/>
      <c r="K327" s="936"/>
      <c r="L327" s="937"/>
      <c r="M327" s="937"/>
      <c r="N327" s="938"/>
      <c r="O327" s="938"/>
      <c r="P327" s="938"/>
      <c r="Q327" s="938"/>
      <c r="R327" s="938"/>
      <c r="S327" s="938">
        <v>192576.5</v>
      </c>
      <c r="T327" s="938"/>
      <c r="U327" s="938"/>
      <c r="V327" s="938"/>
      <c r="W327" s="938"/>
      <c r="X327" s="938"/>
      <c r="Y327" s="938"/>
      <c r="Z327" s="938"/>
      <c r="AA327" s="938"/>
      <c r="AB327" s="938"/>
      <c r="AC327" s="938">
        <v>2500</v>
      </c>
      <c r="AD327" s="938"/>
      <c r="AE327" s="938"/>
      <c r="AF327" s="938"/>
      <c r="AG327" s="938"/>
      <c r="AH327" s="938">
        <v>34500</v>
      </c>
      <c r="AI327" s="938"/>
      <c r="AJ327" s="938">
        <v>2500</v>
      </c>
      <c r="AK327" s="938"/>
      <c r="AL327" s="938"/>
      <c r="AM327" s="938"/>
      <c r="AN327" s="938"/>
      <c r="AO327" s="938"/>
      <c r="AP327" s="938"/>
      <c r="AQ327" s="938"/>
      <c r="AR327" s="938"/>
      <c r="AS327" s="938"/>
      <c r="AT327" s="938"/>
      <c r="AU327" s="938">
        <f t="shared" si="417"/>
        <v>7703.06</v>
      </c>
      <c r="AV327" s="938"/>
      <c r="AW327" s="938"/>
      <c r="AX327" s="718">
        <f t="shared" si="414"/>
        <v>3851.53</v>
      </c>
      <c r="AY327" s="947"/>
      <c r="AZ327" s="947"/>
      <c r="BA327" s="938"/>
      <c r="BB327" s="938"/>
      <c r="BC327" s="938"/>
      <c r="BD327" s="948"/>
      <c r="BE327" s="948"/>
      <c r="BF327" s="938"/>
      <c r="BG327" s="938"/>
      <c r="BH327" s="949">
        <v>3000</v>
      </c>
      <c r="BI327" s="938"/>
      <c r="BJ327" s="938"/>
      <c r="BK327" s="938"/>
      <c r="BL327" s="938"/>
      <c r="BM327" s="938"/>
      <c r="BN327" s="938"/>
      <c r="BO327" s="938">
        <v>0</v>
      </c>
      <c r="BP327" s="938"/>
      <c r="BQ327" s="938"/>
      <c r="BR327" s="950"/>
      <c r="BS327" s="950"/>
      <c r="BT327" s="950"/>
      <c r="BU327" s="950"/>
      <c r="BV327" s="950"/>
      <c r="BW327" s="950"/>
      <c r="BX327" s="950"/>
      <c r="BY327" s="950">
        <v>2000</v>
      </c>
      <c r="BZ327" s="950">
        <v>1500</v>
      </c>
      <c r="CA327" s="718">
        <f t="shared" si="415"/>
        <v>4641.53</v>
      </c>
      <c r="CB327" s="951"/>
      <c r="CC327" s="950">
        <v>26155.52</v>
      </c>
      <c r="CD327" s="702">
        <f t="shared" si="418"/>
        <v>232076.5</v>
      </c>
      <c r="CE327" s="731">
        <f t="shared" ref="CE327:CE341" si="420">SUM(AU327:CC327)+AT327</f>
        <v>48851.64</v>
      </c>
      <c r="CF327" s="739">
        <f t="shared" si="419"/>
        <v>183224.86</v>
      </c>
      <c r="CG327" s="952">
        <f t="shared" si="416"/>
        <v>48851.64</v>
      </c>
      <c r="CH327" s="953"/>
      <c r="CI327" s="954"/>
      <c r="CJ327" s="955"/>
      <c r="CK327" s="964"/>
      <c r="CL327" s="965"/>
      <c r="CM327" s="954"/>
      <c r="CN327" s="955"/>
      <c r="CO327" s="955"/>
      <c r="CP327" s="955"/>
      <c r="CQ327" s="955"/>
      <c r="CR327" s="955"/>
      <c r="CS327" s="955"/>
      <c r="CT327" s="970"/>
      <c r="CU327" s="971"/>
      <c r="CV327" s="972"/>
      <c r="CW327" s="973"/>
      <c r="CX327" s="974"/>
      <c r="CY327" s="975"/>
      <c r="CZ327" s="976"/>
      <c r="DA327" s="991"/>
      <c r="DB327" s="992"/>
    </row>
    <row r="328" ht="236" customHeight="1" spans="1:106">
      <c r="A328" s="673">
        <v>651</v>
      </c>
      <c r="B328" s="926" t="s">
        <v>1436</v>
      </c>
      <c r="C328" s="927" t="s">
        <v>1527</v>
      </c>
      <c r="D328" s="927" t="s">
        <v>1785</v>
      </c>
      <c r="E328" s="927" t="s">
        <v>1437</v>
      </c>
      <c r="F328" s="1458" t="s">
        <v>1438</v>
      </c>
      <c r="G328" s="927" t="s">
        <v>1615</v>
      </c>
      <c r="H328" s="928"/>
      <c r="I328" s="935"/>
      <c r="J328" s="935"/>
      <c r="K328" s="936"/>
      <c r="L328" s="937"/>
      <c r="M328" s="937"/>
      <c r="N328" s="938"/>
      <c r="O328" s="938"/>
      <c r="P328" s="938"/>
      <c r="Q328" s="938"/>
      <c r="R328" s="938"/>
      <c r="S328" s="938">
        <v>192576.5</v>
      </c>
      <c r="T328" s="938"/>
      <c r="U328" s="938"/>
      <c r="V328" s="938"/>
      <c r="W328" s="938"/>
      <c r="X328" s="938"/>
      <c r="Y328" s="938"/>
      <c r="Z328" s="938"/>
      <c r="AA328" s="938"/>
      <c r="AB328" s="938"/>
      <c r="AC328" s="938">
        <v>2500</v>
      </c>
      <c r="AD328" s="938"/>
      <c r="AE328" s="938"/>
      <c r="AF328" s="938"/>
      <c r="AG328" s="938"/>
      <c r="AH328" s="938"/>
      <c r="AI328" s="938"/>
      <c r="AJ328" s="938">
        <v>2500</v>
      </c>
      <c r="AK328" s="938"/>
      <c r="AL328" s="938"/>
      <c r="AM328" s="938"/>
      <c r="AN328" s="938"/>
      <c r="AO328" s="938"/>
      <c r="AP328" s="938"/>
      <c r="AQ328" s="938"/>
      <c r="AR328" s="938"/>
      <c r="AS328" s="938"/>
      <c r="AT328" s="938"/>
      <c r="AU328" s="938">
        <f t="shared" si="417"/>
        <v>7703.06</v>
      </c>
      <c r="AV328" s="938"/>
      <c r="AW328" s="938">
        <v>3000</v>
      </c>
      <c r="AX328" s="718">
        <f t="shared" si="414"/>
        <v>3851.53</v>
      </c>
      <c r="AY328" s="947"/>
      <c r="AZ328" s="947"/>
      <c r="BA328" s="938"/>
      <c r="BB328" s="938"/>
      <c r="BC328" s="938"/>
      <c r="BD328" s="948"/>
      <c r="BE328" s="948"/>
      <c r="BF328" s="938"/>
      <c r="BG328" s="938"/>
      <c r="BH328" s="949"/>
      <c r="BI328" s="938"/>
      <c r="BJ328" s="938"/>
      <c r="BK328" s="938"/>
      <c r="BL328" s="938"/>
      <c r="BM328" s="938"/>
      <c r="BN328" s="938"/>
      <c r="BO328" s="938">
        <v>0</v>
      </c>
      <c r="BP328" s="938"/>
      <c r="BQ328" s="938"/>
      <c r="BR328" s="950"/>
      <c r="BS328" s="950"/>
      <c r="BT328" s="950"/>
      <c r="BU328" s="950"/>
      <c r="BV328" s="950"/>
      <c r="BW328" s="950"/>
      <c r="BX328" s="950"/>
      <c r="BY328" s="950"/>
      <c r="BZ328" s="950">
        <v>1500</v>
      </c>
      <c r="CA328" s="718">
        <f t="shared" si="415"/>
        <v>3951.53</v>
      </c>
      <c r="CB328" s="951"/>
      <c r="CC328" s="950">
        <v>20359.52</v>
      </c>
      <c r="CD328" s="702">
        <f t="shared" si="418"/>
        <v>197576.5</v>
      </c>
      <c r="CE328" s="731">
        <f t="shared" si="420"/>
        <v>40365.64</v>
      </c>
      <c r="CF328" s="739">
        <f t="shared" si="419"/>
        <v>157210.86</v>
      </c>
      <c r="CG328" s="952">
        <f t="shared" si="416"/>
        <v>40365.64</v>
      </c>
      <c r="CH328" s="953"/>
      <c r="CI328" s="954"/>
      <c r="CJ328" s="955"/>
      <c r="CK328" s="964"/>
      <c r="CL328" s="965"/>
      <c r="CM328" s="954"/>
      <c r="CN328" s="955"/>
      <c r="CO328" s="955"/>
      <c r="CP328" s="955"/>
      <c r="CQ328" s="955"/>
      <c r="CR328" s="955"/>
      <c r="CS328" s="955"/>
      <c r="CT328" s="970"/>
      <c r="CU328" s="971"/>
      <c r="CV328" s="972"/>
      <c r="CW328" s="973"/>
      <c r="CX328" s="974"/>
      <c r="CY328" s="975"/>
      <c r="CZ328" s="976"/>
      <c r="DA328" s="991"/>
      <c r="DB328" s="992"/>
    </row>
    <row r="329" ht="236" customHeight="1" spans="1:106">
      <c r="A329" s="675">
        <v>652</v>
      </c>
      <c r="B329" s="926" t="s">
        <v>1439</v>
      </c>
      <c r="C329" s="927" t="s">
        <v>1527</v>
      </c>
      <c r="D329" s="927" t="s">
        <v>1781</v>
      </c>
      <c r="E329" s="927" t="s">
        <v>135</v>
      </c>
      <c r="F329" s="1458" t="s">
        <v>1440</v>
      </c>
      <c r="G329" s="927" t="s">
        <v>1615</v>
      </c>
      <c r="H329" s="928"/>
      <c r="I329" s="935"/>
      <c r="J329" s="935"/>
      <c r="K329" s="936"/>
      <c r="L329" s="937"/>
      <c r="M329" s="937"/>
      <c r="N329" s="938"/>
      <c r="O329" s="938"/>
      <c r="P329" s="938"/>
      <c r="Q329" s="938"/>
      <c r="R329" s="938"/>
      <c r="S329" s="938">
        <v>192576.5</v>
      </c>
      <c r="T329" s="938"/>
      <c r="U329" s="938"/>
      <c r="V329" s="938"/>
      <c r="W329" s="938"/>
      <c r="X329" s="938"/>
      <c r="Y329" s="938"/>
      <c r="Z329" s="938"/>
      <c r="AA329" s="938"/>
      <c r="AB329" s="938"/>
      <c r="AC329" s="938">
        <v>2500</v>
      </c>
      <c r="AD329" s="938"/>
      <c r="AE329" s="938"/>
      <c r="AF329" s="938"/>
      <c r="AG329" s="938"/>
      <c r="AH329" s="938"/>
      <c r="AI329" s="938"/>
      <c r="AJ329" s="938">
        <v>2500</v>
      </c>
      <c r="AK329" s="938"/>
      <c r="AL329" s="938"/>
      <c r="AM329" s="938"/>
      <c r="AN329" s="938"/>
      <c r="AO329" s="938"/>
      <c r="AP329" s="938"/>
      <c r="AQ329" s="938"/>
      <c r="AR329" s="938"/>
      <c r="AS329" s="938"/>
      <c r="AT329" s="938"/>
      <c r="AU329" s="938">
        <f t="shared" si="417"/>
        <v>7703.06</v>
      </c>
      <c r="AV329" s="938"/>
      <c r="AW329" s="938">
        <v>3000</v>
      </c>
      <c r="AX329" s="718">
        <f t="shared" si="414"/>
        <v>3851.53</v>
      </c>
      <c r="AY329" s="947"/>
      <c r="AZ329" s="947"/>
      <c r="BA329" s="938"/>
      <c r="BB329" s="938"/>
      <c r="BC329" s="938"/>
      <c r="BD329" s="948"/>
      <c r="BE329" s="948"/>
      <c r="BF329" s="938"/>
      <c r="BG329" s="938"/>
      <c r="BH329" s="949"/>
      <c r="BI329" s="938"/>
      <c r="BJ329" s="938"/>
      <c r="BK329" s="938"/>
      <c r="BL329" s="938"/>
      <c r="BM329" s="938"/>
      <c r="BN329" s="938"/>
      <c r="BO329" s="938">
        <v>0</v>
      </c>
      <c r="BP329" s="938"/>
      <c r="BQ329" s="938"/>
      <c r="BR329" s="950"/>
      <c r="BS329" s="950"/>
      <c r="BT329" s="950"/>
      <c r="BU329" s="950"/>
      <c r="BV329" s="950"/>
      <c r="BW329" s="950"/>
      <c r="BX329" s="950"/>
      <c r="BY329" s="950"/>
      <c r="BZ329" s="950">
        <v>1500</v>
      </c>
      <c r="CA329" s="718">
        <f t="shared" si="415"/>
        <v>3951.53</v>
      </c>
      <c r="CB329" s="951"/>
      <c r="CC329" s="950">
        <v>20359.52</v>
      </c>
      <c r="CD329" s="702">
        <f t="shared" si="418"/>
        <v>197576.5</v>
      </c>
      <c r="CE329" s="731">
        <f t="shared" si="420"/>
        <v>40365.64</v>
      </c>
      <c r="CF329" s="739">
        <f t="shared" si="419"/>
        <v>157210.86</v>
      </c>
      <c r="CG329" s="952">
        <f t="shared" si="416"/>
        <v>40365.64</v>
      </c>
      <c r="CH329" s="953"/>
      <c r="CI329" s="954"/>
      <c r="CJ329" s="955"/>
      <c r="CK329" s="964"/>
      <c r="CL329" s="965"/>
      <c r="CM329" s="954"/>
      <c r="CN329" s="955"/>
      <c r="CO329" s="955"/>
      <c r="CP329" s="955"/>
      <c r="CQ329" s="955"/>
      <c r="CR329" s="955"/>
      <c r="CS329" s="955"/>
      <c r="CT329" s="970"/>
      <c r="CU329" s="971"/>
      <c r="CV329" s="972"/>
      <c r="CW329" s="973"/>
      <c r="CX329" s="974"/>
      <c r="CY329" s="975"/>
      <c r="CZ329" s="976"/>
      <c r="DA329" s="991"/>
      <c r="DB329" s="992"/>
    </row>
    <row r="330" ht="236" customHeight="1" spans="1:106">
      <c r="A330" s="673">
        <v>653</v>
      </c>
      <c r="B330" s="926" t="s">
        <v>1441</v>
      </c>
      <c r="C330" s="927" t="s">
        <v>1579</v>
      </c>
      <c r="D330" s="927" t="s">
        <v>1645</v>
      </c>
      <c r="E330" s="927" t="s">
        <v>1442</v>
      </c>
      <c r="F330" s="1458" t="s">
        <v>1443</v>
      </c>
      <c r="G330" s="927" t="s">
        <v>1642</v>
      </c>
      <c r="H330" s="928"/>
      <c r="I330" s="935"/>
      <c r="J330" s="935"/>
      <c r="K330" s="936"/>
      <c r="L330" s="937"/>
      <c r="M330" s="937"/>
      <c r="N330" s="938"/>
      <c r="O330" s="938"/>
      <c r="P330" s="938"/>
      <c r="Q330" s="938"/>
      <c r="R330" s="938"/>
      <c r="S330" s="938">
        <v>251604.42</v>
      </c>
      <c r="T330" s="938"/>
      <c r="U330" s="938"/>
      <c r="V330" s="938"/>
      <c r="W330" s="938"/>
      <c r="X330" s="938"/>
      <c r="Y330" s="938"/>
      <c r="Z330" s="938"/>
      <c r="AA330" s="938"/>
      <c r="AB330" s="938"/>
      <c r="AC330" s="938">
        <v>2500</v>
      </c>
      <c r="AD330" s="938"/>
      <c r="AE330" s="938"/>
      <c r="AF330" s="938"/>
      <c r="AG330" s="938"/>
      <c r="AH330" s="938"/>
      <c r="AI330" s="938"/>
      <c r="AJ330" s="938">
        <v>2500</v>
      </c>
      <c r="AK330" s="938"/>
      <c r="AL330" s="938"/>
      <c r="AM330" s="938"/>
      <c r="AN330" s="938"/>
      <c r="AO330" s="938"/>
      <c r="AP330" s="938"/>
      <c r="AQ330" s="938"/>
      <c r="AR330" s="938"/>
      <c r="AS330" s="938"/>
      <c r="AT330" s="938"/>
      <c r="AU330" s="938">
        <f t="shared" si="417"/>
        <v>10064.1768</v>
      </c>
      <c r="AV330" s="938"/>
      <c r="AW330" s="938"/>
      <c r="AX330" s="718">
        <f t="shared" si="414"/>
        <v>5032.0884</v>
      </c>
      <c r="AY330" s="947"/>
      <c r="AZ330" s="947"/>
      <c r="BA330" s="938"/>
      <c r="BB330" s="938">
        <v>20833.33</v>
      </c>
      <c r="BC330" s="938"/>
      <c r="BD330" s="948"/>
      <c r="BE330" s="948"/>
      <c r="BF330" s="938"/>
      <c r="BG330" s="938"/>
      <c r="BH330" s="949"/>
      <c r="BI330" s="938"/>
      <c r="BJ330" s="938"/>
      <c r="BK330" s="938"/>
      <c r="BL330" s="938"/>
      <c r="BM330" s="938"/>
      <c r="BN330" s="938"/>
      <c r="BO330" s="938">
        <v>0</v>
      </c>
      <c r="BP330" s="938"/>
      <c r="BQ330" s="938"/>
      <c r="BR330" s="950"/>
      <c r="BS330" s="950"/>
      <c r="BT330" s="950"/>
      <c r="BU330" s="950"/>
      <c r="BV330" s="950"/>
      <c r="BW330" s="950"/>
      <c r="BX330" s="950">
        <v>5000</v>
      </c>
      <c r="BY330" s="950"/>
      <c r="BZ330" s="950">
        <v>1500</v>
      </c>
      <c r="CA330" s="718">
        <f t="shared" si="415"/>
        <v>5132.0884</v>
      </c>
      <c r="CB330" s="951"/>
      <c r="CC330" s="950">
        <v>30276.21</v>
      </c>
      <c r="CD330" s="702">
        <f t="shared" si="418"/>
        <v>256604.42</v>
      </c>
      <c r="CE330" s="731">
        <f t="shared" si="420"/>
        <v>77837.8936</v>
      </c>
      <c r="CF330" s="739">
        <f t="shared" si="419"/>
        <v>178766.5264</v>
      </c>
      <c r="CG330" s="952">
        <f t="shared" si="416"/>
        <v>77837.8936</v>
      </c>
      <c r="CH330" s="953"/>
      <c r="CI330" s="954"/>
      <c r="CJ330" s="955"/>
      <c r="CK330" s="964"/>
      <c r="CL330" s="965"/>
      <c r="CM330" s="954"/>
      <c r="CN330" s="955"/>
      <c r="CO330" s="955"/>
      <c r="CP330" s="955"/>
      <c r="CQ330" s="955"/>
      <c r="CR330" s="955"/>
      <c r="CS330" s="955"/>
      <c r="CT330" s="970"/>
      <c r="CU330" s="971"/>
      <c r="CV330" s="972"/>
      <c r="CW330" s="973"/>
      <c r="CX330" s="974"/>
      <c r="CY330" s="975"/>
      <c r="CZ330" s="976"/>
      <c r="DA330" s="991"/>
      <c r="DB330" s="992" t="s">
        <v>1786</v>
      </c>
    </row>
    <row r="331" ht="236" customHeight="1" spans="1:106">
      <c r="A331" s="675">
        <v>654</v>
      </c>
      <c r="B331" s="926" t="s">
        <v>1444</v>
      </c>
      <c r="C331" s="927" t="s">
        <v>1550</v>
      </c>
      <c r="D331" s="927" t="s">
        <v>1667</v>
      </c>
      <c r="E331" s="927" t="s">
        <v>97</v>
      </c>
      <c r="F331" s="1458" t="s">
        <v>1445</v>
      </c>
      <c r="G331" s="927" t="s">
        <v>1585</v>
      </c>
      <c r="H331" s="928"/>
      <c r="I331" s="935"/>
      <c r="J331" s="935"/>
      <c r="K331" s="936"/>
      <c r="L331" s="937"/>
      <c r="M331" s="937"/>
      <c r="N331" s="938"/>
      <c r="O331" s="938"/>
      <c r="P331" s="938"/>
      <c r="Q331" s="938"/>
      <c r="R331" s="938"/>
      <c r="S331" s="938">
        <v>169897.58</v>
      </c>
      <c r="T331" s="938"/>
      <c r="U331" s="938"/>
      <c r="V331" s="938"/>
      <c r="W331" s="938"/>
      <c r="X331" s="938"/>
      <c r="Y331" s="938"/>
      <c r="Z331" s="938"/>
      <c r="AA331" s="938"/>
      <c r="AB331" s="938"/>
      <c r="AC331" s="938">
        <v>2500</v>
      </c>
      <c r="AD331" s="938"/>
      <c r="AE331" s="938"/>
      <c r="AF331" s="938"/>
      <c r="AG331" s="938"/>
      <c r="AH331" s="938">
        <v>34500</v>
      </c>
      <c r="AI331" s="938"/>
      <c r="AJ331" s="938">
        <v>2500</v>
      </c>
      <c r="AK331" s="938"/>
      <c r="AL331" s="938"/>
      <c r="AM331" s="938"/>
      <c r="AN331" s="938"/>
      <c r="AO331" s="938"/>
      <c r="AP331" s="938"/>
      <c r="AQ331" s="938"/>
      <c r="AR331" s="938"/>
      <c r="AS331" s="938"/>
      <c r="AT331" s="938"/>
      <c r="AU331" s="938">
        <f t="shared" si="417"/>
        <v>6795.9032</v>
      </c>
      <c r="AV331" s="938"/>
      <c r="AW331" s="938"/>
      <c r="AX331" s="718">
        <f t="shared" si="414"/>
        <v>3397.9516</v>
      </c>
      <c r="AY331" s="947"/>
      <c r="AZ331" s="947"/>
      <c r="BA331" s="938"/>
      <c r="BB331" s="938">
        <v>40000</v>
      </c>
      <c r="BC331" s="938"/>
      <c r="BD331" s="948"/>
      <c r="BE331" s="948"/>
      <c r="BF331" s="938"/>
      <c r="BG331" s="938"/>
      <c r="BH331" s="949">
        <v>3000</v>
      </c>
      <c r="BI331" s="938"/>
      <c r="BJ331" s="938"/>
      <c r="BK331" s="938"/>
      <c r="BL331" s="938"/>
      <c r="BM331" s="938"/>
      <c r="BN331" s="938"/>
      <c r="BO331" s="938">
        <v>10000</v>
      </c>
      <c r="BP331" s="938"/>
      <c r="BQ331" s="938"/>
      <c r="BR331" s="950"/>
      <c r="BS331" s="950"/>
      <c r="BT331" s="950"/>
      <c r="BU331" s="950"/>
      <c r="BV331" s="950"/>
      <c r="BW331" s="950"/>
      <c r="BX331" s="950"/>
      <c r="BY331" s="950"/>
      <c r="BZ331" s="950">
        <v>1000</v>
      </c>
      <c r="CA331" s="718">
        <f t="shared" si="415"/>
        <v>4187.9516</v>
      </c>
      <c r="CB331" s="951"/>
      <c r="CC331" s="950">
        <v>22345.46</v>
      </c>
      <c r="CD331" s="702">
        <f t="shared" si="418"/>
        <v>209397.58</v>
      </c>
      <c r="CE331" s="731">
        <f t="shared" si="420"/>
        <v>90727.2664</v>
      </c>
      <c r="CF331" s="739">
        <f t="shared" si="419"/>
        <v>118670.3136</v>
      </c>
      <c r="CG331" s="952">
        <f t="shared" si="416"/>
        <v>90727.2664</v>
      </c>
      <c r="CH331" s="953"/>
      <c r="CI331" s="954"/>
      <c r="CJ331" s="955"/>
      <c r="CK331" s="964"/>
      <c r="CL331" s="965"/>
      <c r="CM331" s="954"/>
      <c r="CN331" s="955"/>
      <c r="CO331" s="955"/>
      <c r="CP331" s="955"/>
      <c r="CQ331" s="955"/>
      <c r="CR331" s="955"/>
      <c r="CS331" s="955"/>
      <c r="CT331" s="970"/>
      <c r="CU331" s="971"/>
      <c r="CV331" s="972"/>
      <c r="CW331" s="973"/>
      <c r="CX331" s="974"/>
      <c r="CY331" s="975"/>
      <c r="CZ331" s="976"/>
      <c r="DA331" s="991"/>
      <c r="DB331" s="992"/>
    </row>
    <row r="332" ht="236" customHeight="1" spans="1:106">
      <c r="A332" s="673">
        <v>655</v>
      </c>
      <c r="B332" s="926" t="s">
        <v>1446</v>
      </c>
      <c r="C332" s="927" t="s">
        <v>1594</v>
      </c>
      <c r="D332" s="927" t="s">
        <v>1625</v>
      </c>
      <c r="E332" s="927" t="s">
        <v>97</v>
      </c>
      <c r="F332" s="1458" t="s">
        <v>1447</v>
      </c>
      <c r="G332" s="927" t="s">
        <v>1787</v>
      </c>
      <c r="H332" s="928"/>
      <c r="I332" s="935"/>
      <c r="J332" s="935"/>
      <c r="K332" s="936"/>
      <c r="L332" s="937"/>
      <c r="M332" s="937"/>
      <c r="N332" s="938"/>
      <c r="O332" s="938"/>
      <c r="P332" s="938"/>
      <c r="Q332" s="938"/>
      <c r="R332" s="938"/>
      <c r="S332" s="938">
        <v>149928</v>
      </c>
      <c r="T332" s="938">
        <v>11193.3208333333</v>
      </c>
      <c r="U332" s="938"/>
      <c r="V332" s="938"/>
      <c r="W332" s="938"/>
      <c r="X332" s="938"/>
      <c r="Y332" s="938"/>
      <c r="Z332" s="938"/>
      <c r="AA332" s="938"/>
      <c r="AB332" s="938"/>
      <c r="AC332" s="938">
        <v>2500</v>
      </c>
      <c r="AD332" s="938"/>
      <c r="AE332" s="938">
        <v>30000</v>
      </c>
      <c r="AF332" s="938"/>
      <c r="AG332" s="938"/>
      <c r="AH332" s="938"/>
      <c r="AI332" s="938"/>
      <c r="AJ332" s="938">
        <v>2500</v>
      </c>
      <c r="AK332" s="938"/>
      <c r="AL332" s="938"/>
      <c r="AM332" s="938"/>
      <c r="AN332" s="938"/>
      <c r="AO332" s="938"/>
      <c r="AP332" s="938"/>
      <c r="AQ332" s="938"/>
      <c r="AR332" s="938"/>
      <c r="AS332" s="938"/>
      <c r="AT332" s="938"/>
      <c r="AU332" s="938">
        <f t="shared" si="417"/>
        <v>5997.12</v>
      </c>
      <c r="AV332" s="938"/>
      <c r="AW332" s="938"/>
      <c r="AX332" s="718">
        <f t="shared" si="414"/>
        <v>2998.56</v>
      </c>
      <c r="AY332" s="947"/>
      <c r="AZ332" s="947"/>
      <c r="BA332" s="938"/>
      <c r="BB332" s="938"/>
      <c r="BC332" s="938"/>
      <c r="BD332" s="948"/>
      <c r="BE332" s="948"/>
      <c r="BF332" s="938"/>
      <c r="BG332" s="938"/>
      <c r="BH332" s="949"/>
      <c r="BI332" s="938"/>
      <c r="BJ332" s="938"/>
      <c r="BK332" s="938"/>
      <c r="BL332" s="938"/>
      <c r="BM332" s="938"/>
      <c r="BN332" s="938"/>
      <c r="BO332" s="938">
        <v>0</v>
      </c>
      <c r="BP332" s="938"/>
      <c r="BQ332" s="938"/>
      <c r="BR332" s="950"/>
      <c r="BS332" s="950"/>
      <c r="BT332" s="950"/>
      <c r="BU332" s="950"/>
      <c r="BV332" s="950"/>
      <c r="BW332" s="950"/>
      <c r="BX332" s="950">
        <v>5000</v>
      </c>
      <c r="BY332" s="950">
        <v>2000</v>
      </c>
      <c r="BZ332" s="950">
        <v>1000</v>
      </c>
      <c r="CA332" s="718">
        <f t="shared" si="415"/>
        <v>3922.42641666667</v>
      </c>
      <c r="CB332" s="951"/>
      <c r="CC332" s="950">
        <v>20115.05</v>
      </c>
      <c r="CD332" s="702">
        <f t="shared" si="418"/>
        <v>196121.320833333</v>
      </c>
      <c r="CE332" s="731">
        <f t="shared" si="420"/>
        <v>41033.1564166667</v>
      </c>
      <c r="CF332" s="739">
        <f t="shared" si="419"/>
        <v>155088.164416667</v>
      </c>
      <c r="CG332" s="952">
        <f t="shared" si="416"/>
        <v>41033.1564166667</v>
      </c>
      <c r="CH332" s="953"/>
      <c r="CI332" s="954"/>
      <c r="CJ332" s="955"/>
      <c r="CK332" s="964"/>
      <c r="CL332" s="965"/>
      <c r="CM332" s="954"/>
      <c r="CN332" s="955"/>
      <c r="CO332" s="955"/>
      <c r="CP332" s="955"/>
      <c r="CQ332" s="955"/>
      <c r="CR332" s="955"/>
      <c r="CS332" s="955"/>
      <c r="CT332" s="970"/>
      <c r="CU332" s="971"/>
      <c r="CV332" s="972"/>
      <c r="CW332" s="973"/>
      <c r="CX332" s="974"/>
      <c r="CY332" s="975"/>
      <c r="CZ332" s="976"/>
      <c r="DA332" s="991"/>
      <c r="DB332" s="992"/>
    </row>
    <row r="333" ht="236" customHeight="1" spans="1:106">
      <c r="A333" s="675">
        <v>656</v>
      </c>
      <c r="B333" s="926" t="s">
        <v>1448</v>
      </c>
      <c r="C333" s="927" t="s">
        <v>1594</v>
      </c>
      <c r="D333" s="927" t="s">
        <v>1625</v>
      </c>
      <c r="E333" s="927" t="s">
        <v>97</v>
      </c>
      <c r="F333" s="1458" t="s">
        <v>1449</v>
      </c>
      <c r="G333" s="927" t="s">
        <v>1787</v>
      </c>
      <c r="H333" s="928"/>
      <c r="I333" s="935"/>
      <c r="J333" s="935"/>
      <c r="K333" s="936"/>
      <c r="L333" s="937"/>
      <c r="M333" s="937"/>
      <c r="N333" s="938"/>
      <c r="O333" s="938"/>
      <c r="P333" s="938"/>
      <c r="Q333" s="938"/>
      <c r="R333" s="938"/>
      <c r="S333" s="938">
        <v>149928</v>
      </c>
      <c r="T333" s="938">
        <v>11193.3208333333</v>
      </c>
      <c r="U333" s="938"/>
      <c r="V333" s="938"/>
      <c r="W333" s="938"/>
      <c r="X333" s="938"/>
      <c r="Y333" s="938"/>
      <c r="Z333" s="938"/>
      <c r="AA333" s="938"/>
      <c r="AB333" s="938"/>
      <c r="AC333" s="938">
        <v>2500</v>
      </c>
      <c r="AD333" s="938"/>
      <c r="AE333" s="938">
        <v>30000</v>
      </c>
      <c r="AF333" s="938"/>
      <c r="AG333" s="938"/>
      <c r="AH333" s="938"/>
      <c r="AI333" s="938"/>
      <c r="AJ333" s="938">
        <v>2500</v>
      </c>
      <c r="AK333" s="938"/>
      <c r="AL333" s="938"/>
      <c r="AM333" s="938"/>
      <c r="AN333" s="938"/>
      <c r="AO333" s="938"/>
      <c r="AP333" s="938"/>
      <c r="AQ333" s="938"/>
      <c r="AR333" s="938"/>
      <c r="AS333" s="938"/>
      <c r="AT333" s="938"/>
      <c r="AU333" s="938">
        <f t="shared" si="417"/>
        <v>5997.12</v>
      </c>
      <c r="AV333" s="938"/>
      <c r="AW333" s="938"/>
      <c r="AX333" s="718">
        <f t="shared" si="414"/>
        <v>2998.56</v>
      </c>
      <c r="AY333" s="947"/>
      <c r="AZ333" s="947"/>
      <c r="BA333" s="938"/>
      <c r="BB333" s="938"/>
      <c r="BC333" s="938"/>
      <c r="BD333" s="948"/>
      <c r="BE333" s="948"/>
      <c r="BF333" s="938"/>
      <c r="BG333" s="938"/>
      <c r="BH333" s="949"/>
      <c r="BI333" s="938"/>
      <c r="BJ333" s="938"/>
      <c r="BK333" s="938"/>
      <c r="BL333" s="938"/>
      <c r="BM333" s="938"/>
      <c r="BN333" s="938"/>
      <c r="BO333" s="938">
        <v>0</v>
      </c>
      <c r="BP333" s="938"/>
      <c r="BQ333" s="938"/>
      <c r="BR333" s="950"/>
      <c r="BS333" s="950"/>
      <c r="BT333" s="950"/>
      <c r="BU333" s="950"/>
      <c r="BV333" s="950"/>
      <c r="BW333" s="950"/>
      <c r="BX333" s="950">
        <v>5000</v>
      </c>
      <c r="BY333" s="950"/>
      <c r="BZ333" s="950">
        <v>1000</v>
      </c>
      <c r="CA333" s="718">
        <f t="shared" si="415"/>
        <v>3922.42641666667</v>
      </c>
      <c r="CB333" s="951"/>
      <c r="CC333" s="950">
        <v>20115.05</v>
      </c>
      <c r="CD333" s="702">
        <f t="shared" si="418"/>
        <v>196121.320833333</v>
      </c>
      <c r="CE333" s="731">
        <f t="shared" si="420"/>
        <v>39033.1564166667</v>
      </c>
      <c r="CF333" s="739">
        <f t="shared" si="419"/>
        <v>157088.164416667</v>
      </c>
      <c r="CG333" s="952">
        <f t="shared" si="416"/>
        <v>39033.1564166667</v>
      </c>
      <c r="CH333" s="953"/>
      <c r="CI333" s="954"/>
      <c r="CJ333" s="955"/>
      <c r="CK333" s="964"/>
      <c r="CL333" s="965"/>
      <c r="CM333" s="954"/>
      <c r="CN333" s="955"/>
      <c r="CO333" s="955"/>
      <c r="CP333" s="955"/>
      <c r="CQ333" s="955"/>
      <c r="CR333" s="955"/>
      <c r="CS333" s="955"/>
      <c r="CT333" s="970"/>
      <c r="CU333" s="971"/>
      <c r="CV333" s="972"/>
      <c r="CW333" s="973"/>
      <c r="CX333" s="974"/>
      <c r="CY333" s="975"/>
      <c r="CZ333" s="976"/>
      <c r="DA333" s="991"/>
      <c r="DB333" s="992"/>
    </row>
    <row r="334" ht="236" customHeight="1" spans="1:106">
      <c r="A334" s="673">
        <v>657</v>
      </c>
      <c r="B334" s="926" t="s">
        <v>1450</v>
      </c>
      <c r="C334" s="927" t="s">
        <v>1527</v>
      </c>
      <c r="D334" s="927" t="s">
        <v>1788</v>
      </c>
      <c r="E334" s="927" t="s">
        <v>675</v>
      </c>
      <c r="F334" s="927">
        <v>3119084228</v>
      </c>
      <c r="G334" s="927" t="s">
        <v>1789</v>
      </c>
      <c r="H334" s="928"/>
      <c r="I334" s="935"/>
      <c r="J334" s="935"/>
      <c r="K334" s="936"/>
      <c r="L334" s="937"/>
      <c r="M334" s="937"/>
      <c r="N334" s="938"/>
      <c r="O334" s="938"/>
      <c r="P334" s="938"/>
      <c r="Q334" s="938"/>
      <c r="R334" s="938"/>
      <c r="S334" s="938">
        <v>169897.58</v>
      </c>
      <c r="T334" s="938"/>
      <c r="U334" s="938"/>
      <c r="V334" s="938"/>
      <c r="W334" s="938"/>
      <c r="X334" s="938"/>
      <c r="Y334" s="938"/>
      <c r="Z334" s="938"/>
      <c r="AA334" s="938"/>
      <c r="AB334" s="938"/>
      <c r="AC334" s="938">
        <v>2500</v>
      </c>
      <c r="AD334" s="938"/>
      <c r="AE334" s="938"/>
      <c r="AF334" s="938"/>
      <c r="AG334" s="938"/>
      <c r="AH334" s="938"/>
      <c r="AI334" s="938"/>
      <c r="AJ334" s="938">
        <v>2500</v>
      </c>
      <c r="AK334" s="938"/>
      <c r="AL334" s="938"/>
      <c r="AM334" s="938"/>
      <c r="AN334" s="938"/>
      <c r="AO334" s="938"/>
      <c r="AP334" s="938"/>
      <c r="AQ334" s="938"/>
      <c r="AR334" s="938"/>
      <c r="AS334" s="938"/>
      <c r="AT334" s="938"/>
      <c r="AU334" s="938">
        <f t="shared" si="417"/>
        <v>6795.9032</v>
      </c>
      <c r="AV334" s="938"/>
      <c r="AW334" s="938">
        <v>3000</v>
      </c>
      <c r="AX334" s="718">
        <f t="shared" si="414"/>
        <v>3397.9516</v>
      </c>
      <c r="AY334" s="947"/>
      <c r="AZ334" s="947"/>
      <c r="BA334" s="938"/>
      <c r="BB334" s="938"/>
      <c r="BC334" s="938"/>
      <c r="BD334" s="948"/>
      <c r="BE334" s="948"/>
      <c r="BF334" s="938"/>
      <c r="BG334" s="938"/>
      <c r="BH334" s="949"/>
      <c r="BI334" s="938"/>
      <c r="BJ334" s="938"/>
      <c r="BK334" s="938"/>
      <c r="BL334" s="938"/>
      <c r="BM334" s="938"/>
      <c r="BN334" s="938"/>
      <c r="BO334" s="938">
        <v>0</v>
      </c>
      <c r="BP334" s="938"/>
      <c r="BQ334" s="938"/>
      <c r="BR334" s="950"/>
      <c r="BS334" s="950"/>
      <c r="BT334" s="950"/>
      <c r="BU334" s="950"/>
      <c r="BV334" s="950"/>
      <c r="BW334" s="950"/>
      <c r="BX334" s="950"/>
      <c r="BY334" s="950"/>
      <c r="BZ334" s="950">
        <v>1000</v>
      </c>
      <c r="CA334" s="718">
        <f t="shared" si="415"/>
        <v>3497.9516</v>
      </c>
      <c r="CB334" s="951"/>
      <c r="CC334" s="950">
        <v>16751.1</v>
      </c>
      <c r="CD334" s="702">
        <f t="shared" si="418"/>
        <v>174897.58</v>
      </c>
      <c r="CE334" s="731">
        <f t="shared" si="420"/>
        <v>34442.9064</v>
      </c>
      <c r="CF334" s="739">
        <f t="shared" si="419"/>
        <v>140454.6736</v>
      </c>
      <c r="CG334" s="952">
        <f t="shared" si="416"/>
        <v>34442.9064</v>
      </c>
      <c r="CH334" s="953"/>
      <c r="CI334" s="954"/>
      <c r="CJ334" s="955"/>
      <c r="CK334" s="964"/>
      <c r="CL334" s="965"/>
      <c r="CM334" s="954"/>
      <c r="CN334" s="955"/>
      <c r="CO334" s="955"/>
      <c r="CP334" s="955"/>
      <c r="CQ334" s="955"/>
      <c r="CR334" s="955"/>
      <c r="CS334" s="955"/>
      <c r="CT334" s="970"/>
      <c r="CU334" s="971"/>
      <c r="CV334" s="972"/>
      <c r="CW334" s="973"/>
      <c r="CX334" s="974"/>
      <c r="CY334" s="975"/>
      <c r="CZ334" s="976"/>
      <c r="DA334" s="991"/>
      <c r="DB334" s="992"/>
    </row>
    <row r="335" ht="236" customHeight="1" spans="1:106">
      <c r="A335" s="675">
        <v>658</v>
      </c>
      <c r="B335" s="926" t="s">
        <v>1451</v>
      </c>
      <c r="C335" s="927" t="s">
        <v>1770</v>
      </c>
      <c r="D335" s="927" t="s">
        <v>1777</v>
      </c>
      <c r="E335" s="927" t="s">
        <v>165</v>
      </c>
      <c r="F335" s="927">
        <v>2001471962</v>
      </c>
      <c r="G335" s="927" t="s">
        <v>1789</v>
      </c>
      <c r="H335" s="928"/>
      <c r="I335" s="935"/>
      <c r="J335" s="935"/>
      <c r="K335" s="936"/>
      <c r="L335" s="937"/>
      <c r="M335" s="937"/>
      <c r="N335" s="938"/>
      <c r="O335" s="938"/>
      <c r="P335" s="938"/>
      <c r="Q335" s="938"/>
      <c r="R335" s="938"/>
      <c r="S335" s="938">
        <v>169897.58</v>
      </c>
      <c r="T335" s="938"/>
      <c r="U335" s="938"/>
      <c r="V335" s="938"/>
      <c r="W335" s="938"/>
      <c r="X335" s="938"/>
      <c r="Y335" s="938"/>
      <c r="Z335" s="938"/>
      <c r="AA335" s="938"/>
      <c r="AB335" s="938"/>
      <c r="AC335" s="938">
        <v>2500</v>
      </c>
      <c r="AD335" s="938"/>
      <c r="AE335" s="938"/>
      <c r="AF335" s="938"/>
      <c r="AG335" s="938"/>
      <c r="AH335" s="938">
        <v>34500</v>
      </c>
      <c r="AI335" s="938"/>
      <c r="AJ335" s="938">
        <v>2500</v>
      </c>
      <c r="AK335" s="938"/>
      <c r="AL335" s="938"/>
      <c r="AM335" s="938"/>
      <c r="AN335" s="938"/>
      <c r="AO335" s="938"/>
      <c r="AP335" s="938"/>
      <c r="AQ335" s="938"/>
      <c r="AR335" s="938"/>
      <c r="AS335" s="938"/>
      <c r="AT335" s="938"/>
      <c r="AU335" s="938">
        <f t="shared" si="417"/>
        <v>6795.9032</v>
      </c>
      <c r="AV335" s="938"/>
      <c r="AW335" s="938">
        <v>3000</v>
      </c>
      <c r="AX335" s="718">
        <f t="shared" si="414"/>
        <v>3397.9516</v>
      </c>
      <c r="AY335" s="947"/>
      <c r="AZ335" s="947"/>
      <c r="BA335" s="938"/>
      <c r="BB335" s="938">
        <v>30000</v>
      </c>
      <c r="BC335" s="938"/>
      <c r="BD335" s="948"/>
      <c r="BE335" s="948"/>
      <c r="BF335" s="938"/>
      <c r="BG335" s="938"/>
      <c r="BH335" s="949">
        <v>3000</v>
      </c>
      <c r="BI335" s="938"/>
      <c r="BJ335" s="938"/>
      <c r="BK335" s="938"/>
      <c r="BL335" s="938"/>
      <c r="BM335" s="938"/>
      <c r="BN335" s="938"/>
      <c r="BO335" s="938">
        <v>20000</v>
      </c>
      <c r="BP335" s="938"/>
      <c r="BQ335" s="938"/>
      <c r="BR335" s="950"/>
      <c r="BS335" s="950"/>
      <c r="BT335" s="950"/>
      <c r="BU335" s="950"/>
      <c r="BV335" s="950"/>
      <c r="BW335" s="950"/>
      <c r="BX335" s="950"/>
      <c r="BY335" s="950"/>
      <c r="BZ335" s="950">
        <v>1000</v>
      </c>
      <c r="CA335" s="718">
        <f t="shared" si="415"/>
        <v>4187.9516</v>
      </c>
      <c r="CB335" s="951"/>
      <c r="CC335" s="950">
        <v>22345.46</v>
      </c>
      <c r="CD335" s="702">
        <f t="shared" si="418"/>
        <v>209397.58</v>
      </c>
      <c r="CE335" s="731">
        <f t="shared" si="420"/>
        <v>93727.2664</v>
      </c>
      <c r="CF335" s="739">
        <f t="shared" si="419"/>
        <v>115670.3136</v>
      </c>
      <c r="CG335" s="952">
        <f t="shared" si="416"/>
        <v>93727.2664</v>
      </c>
      <c r="CH335" s="953"/>
      <c r="CI335" s="954"/>
      <c r="CJ335" s="955"/>
      <c r="CK335" s="964"/>
      <c r="CL335" s="965"/>
      <c r="CM335" s="954"/>
      <c r="CN335" s="955"/>
      <c r="CO335" s="955"/>
      <c r="CP335" s="955"/>
      <c r="CQ335" s="955"/>
      <c r="CR335" s="955"/>
      <c r="CS335" s="955"/>
      <c r="CT335" s="970"/>
      <c r="CU335" s="971"/>
      <c r="CV335" s="972"/>
      <c r="CW335" s="973"/>
      <c r="CX335" s="974"/>
      <c r="CY335" s="975"/>
      <c r="CZ335" s="976"/>
      <c r="DA335" s="991"/>
      <c r="DB335" s="992"/>
    </row>
    <row r="336" ht="236" customHeight="1" spans="1:106">
      <c r="A336" s="673">
        <v>659</v>
      </c>
      <c r="B336" s="926" t="s">
        <v>1452</v>
      </c>
      <c r="C336" s="927" t="s">
        <v>1594</v>
      </c>
      <c r="D336" s="927" t="s">
        <v>1625</v>
      </c>
      <c r="E336" s="927" t="s">
        <v>135</v>
      </c>
      <c r="F336" s="1458" t="s">
        <v>1453</v>
      </c>
      <c r="G336" s="927" t="s">
        <v>1790</v>
      </c>
      <c r="H336" s="928"/>
      <c r="I336" s="935"/>
      <c r="J336" s="935"/>
      <c r="K336" s="936"/>
      <c r="L336" s="937"/>
      <c r="M336" s="937"/>
      <c r="N336" s="938"/>
      <c r="O336" s="938"/>
      <c r="P336" s="938"/>
      <c r="Q336" s="938"/>
      <c r="R336" s="938"/>
      <c r="S336" s="938">
        <v>153866.67</v>
      </c>
      <c r="T336" s="938">
        <v>11193.3208333333</v>
      </c>
      <c r="U336" s="938"/>
      <c r="V336" s="938"/>
      <c r="W336" s="938"/>
      <c r="X336" s="938"/>
      <c r="Y336" s="938"/>
      <c r="Z336" s="938"/>
      <c r="AA336" s="938"/>
      <c r="AB336" s="938"/>
      <c r="AC336" s="938">
        <v>2500</v>
      </c>
      <c r="AD336" s="938"/>
      <c r="AE336" s="938">
        <v>30000</v>
      </c>
      <c r="AF336" s="938">
        <v>30000</v>
      </c>
      <c r="AG336" s="938"/>
      <c r="AH336" s="938"/>
      <c r="AI336" s="938"/>
      <c r="AJ336" s="938">
        <v>2500</v>
      </c>
      <c r="AK336" s="938"/>
      <c r="AL336" s="938"/>
      <c r="AM336" s="938"/>
      <c r="AN336" s="938"/>
      <c r="AO336" s="938"/>
      <c r="AP336" s="938"/>
      <c r="AQ336" s="938"/>
      <c r="AR336" s="938"/>
      <c r="AS336" s="938"/>
      <c r="AT336" s="938"/>
      <c r="AU336" s="938">
        <f t="shared" si="417"/>
        <v>6154.6668</v>
      </c>
      <c r="AV336" s="938"/>
      <c r="AW336" s="938"/>
      <c r="AX336" s="718">
        <f t="shared" si="414"/>
        <v>3077.3334</v>
      </c>
      <c r="AY336" s="947"/>
      <c r="AZ336" s="947"/>
      <c r="BA336" s="938"/>
      <c r="BB336" s="938"/>
      <c r="BC336" s="938"/>
      <c r="BD336" s="948"/>
      <c r="BE336" s="948"/>
      <c r="BF336" s="938"/>
      <c r="BG336" s="938"/>
      <c r="BH336" s="949"/>
      <c r="BI336" s="938"/>
      <c r="BJ336" s="938"/>
      <c r="BK336" s="938"/>
      <c r="BL336" s="938"/>
      <c r="BM336" s="938"/>
      <c r="BN336" s="938"/>
      <c r="BO336" s="938">
        <v>0</v>
      </c>
      <c r="BP336" s="938"/>
      <c r="BQ336" s="938"/>
      <c r="BR336" s="950"/>
      <c r="BS336" s="950"/>
      <c r="BT336" s="950"/>
      <c r="BU336" s="950"/>
      <c r="BV336" s="950"/>
      <c r="BW336" s="950"/>
      <c r="BX336" s="950"/>
      <c r="BY336" s="950">
        <v>2000</v>
      </c>
      <c r="BZ336" s="950">
        <v>1000</v>
      </c>
      <c r="CA336" s="718">
        <f t="shared" si="415"/>
        <v>4601.19981666667</v>
      </c>
      <c r="CB336" s="951"/>
      <c r="CC336" s="950">
        <v>28509.94</v>
      </c>
      <c r="CD336" s="702">
        <f t="shared" si="418"/>
        <v>230059.990833333</v>
      </c>
      <c r="CE336" s="731">
        <f t="shared" si="420"/>
        <v>45343.1400166667</v>
      </c>
      <c r="CF336" s="739">
        <f t="shared" si="419"/>
        <v>184716.850816667</v>
      </c>
      <c r="CG336" s="952">
        <f t="shared" si="416"/>
        <v>45343.1400166667</v>
      </c>
      <c r="CH336" s="953"/>
      <c r="CI336" s="954"/>
      <c r="CJ336" s="955"/>
      <c r="CK336" s="964"/>
      <c r="CL336" s="965"/>
      <c r="CM336" s="954"/>
      <c r="CN336" s="955"/>
      <c r="CO336" s="955"/>
      <c r="CP336" s="955"/>
      <c r="CQ336" s="955"/>
      <c r="CR336" s="955"/>
      <c r="CS336" s="955"/>
      <c r="CT336" s="970"/>
      <c r="CU336" s="971"/>
      <c r="CV336" s="972"/>
      <c r="CW336" s="973"/>
      <c r="CX336" s="974"/>
      <c r="CY336" s="975"/>
      <c r="CZ336" s="976"/>
      <c r="DA336" s="991"/>
      <c r="DB336" s="992"/>
    </row>
    <row r="337" ht="236" customHeight="1" spans="1:106">
      <c r="A337" s="675">
        <v>660</v>
      </c>
      <c r="B337" s="676" t="s">
        <v>1454</v>
      </c>
      <c r="C337" s="677" t="s">
        <v>1594</v>
      </c>
      <c r="D337" s="677" t="s">
        <v>1634</v>
      </c>
      <c r="E337" s="677" t="s">
        <v>259</v>
      </c>
      <c r="F337" s="1452" t="s">
        <v>1455</v>
      </c>
      <c r="G337" s="677" t="s">
        <v>1791</v>
      </c>
      <c r="H337" s="679"/>
      <c r="I337" s="33"/>
      <c r="J337" s="33"/>
      <c r="K337" s="687"/>
      <c r="L337" s="688"/>
      <c r="M337" s="688"/>
      <c r="N337" s="689"/>
      <c r="O337" s="689"/>
      <c r="P337" s="689"/>
      <c r="Q337" s="689"/>
      <c r="R337" s="689"/>
      <c r="S337" s="689">
        <v>193491.42</v>
      </c>
      <c r="T337" s="689">
        <v>11193.3208333333</v>
      </c>
      <c r="U337" s="689"/>
      <c r="V337" s="689"/>
      <c r="W337" s="689"/>
      <c r="X337" s="689"/>
      <c r="Y337" s="689"/>
      <c r="Z337" s="689"/>
      <c r="AA337" s="689"/>
      <c r="AB337" s="689"/>
      <c r="AC337" s="689">
        <v>2500</v>
      </c>
      <c r="AD337" s="689"/>
      <c r="AE337" s="689">
        <v>30000</v>
      </c>
      <c r="AF337" s="689">
        <v>30000</v>
      </c>
      <c r="AG337" s="689"/>
      <c r="AH337" s="689"/>
      <c r="AI337" s="689"/>
      <c r="AJ337" s="689">
        <v>2500</v>
      </c>
      <c r="AK337" s="689"/>
      <c r="AL337" s="689"/>
      <c r="AM337" s="689"/>
      <c r="AN337" s="689"/>
      <c r="AO337" s="689"/>
      <c r="AP337" s="689"/>
      <c r="AQ337" s="689"/>
      <c r="AR337" s="689"/>
      <c r="AS337" s="689"/>
      <c r="AT337" s="689"/>
      <c r="AU337" s="689">
        <f t="shared" si="417"/>
        <v>7739.6568</v>
      </c>
      <c r="AV337" s="689"/>
      <c r="AW337" s="689"/>
      <c r="AX337" s="718">
        <f t="shared" si="414"/>
        <v>3869.8284</v>
      </c>
      <c r="AY337" s="718"/>
      <c r="AZ337" s="718"/>
      <c r="BA337" s="689"/>
      <c r="BB337" s="689"/>
      <c r="BC337" s="689"/>
      <c r="BD337" s="689"/>
      <c r="BE337" s="689"/>
      <c r="BF337" s="689"/>
      <c r="BG337" s="689"/>
      <c r="BH337" s="689"/>
      <c r="BI337" s="689"/>
      <c r="BJ337" s="689"/>
      <c r="BK337" s="689"/>
      <c r="BL337" s="689"/>
      <c r="BM337" s="689"/>
      <c r="BN337" s="689"/>
      <c r="BO337" s="689">
        <v>20000</v>
      </c>
      <c r="BP337" s="689"/>
      <c r="BQ337" s="689"/>
      <c r="BR337" s="731"/>
      <c r="BS337" s="731"/>
      <c r="BT337" s="731"/>
      <c r="BU337" s="731"/>
      <c r="BV337" s="731"/>
      <c r="BW337" s="731"/>
      <c r="BX337" s="731">
        <v>10000</v>
      </c>
      <c r="BY337" s="731">
        <v>2000</v>
      </c>
      <c r="BZ337" s="731">
        <v>1500</v>
      </c>
      <c r="CA337" s="718">
        <f t="shared" si="415"/>
        <v>5393.69481666667</v>
      </c>
      <c r="CB337" s="735"/>
      <c r="CC337" s="731">
        <v>35605.84</v>
      </c>
      <c r="CD337" s="702">
        <f t="shared" si="418"/>
        <v>269684.740833333</v>
      </c>
      <c r="CE337" s="731">
        <f t="shared" si="420"/>
        <v>86109.0200166667</v>
      </c>
      <c r="CF337" s="739">
        <f t="shared" si="419"/>
        <v>183575.720816667</v>
      </c>
      <c r="CG337" s="742">
        <f t="shared" si="416"/>
        <v>86109.0200166667</v>
      </c>
      <c r="CH337" s="743"/>
      <c r="CI337" s="744"/>
      <c r="CJ337" s="745"/>
      <c r="CK337" s="748"/>
      <c r="CL337" s="749"/>
      <c r="CM337" s="744"/>
      <c r="CN337" s="745"/>
      <c r="CO337" s="745"/>
      <c r="CP337" s="745"/>
      <c r="CQ337" s="745"/>
      <c r="CR337" s="745"/>
      <c r="CS337" s="745"/>
      <c r="CT337" s="754"/>
      <c r="CU337" s="755"/>
      <c r="CV337" s="756"/>
      <c r="CW337" s="757"/>
      <c r="CX337" s="758"/>
      <c r="CY337" s="759"/>
      <c r="CZ337" s="760"/>
      <c r="DA337" s="760"/>
      <c r="DB337" s="770"/>
    </row>
    <row r="338" ht="236" customHeight="1" spans="1:106">
      <c r="A338" s="673">
        <v>661</v>
      </c>
      <c r="B338" s="676" t="s">
        <v>1456</v>
      </c>
      <c r="C338" s="677" t="s">
        <v>1594</v>
      </c>
      <c r="D338" s="677" t="s">
        <v>1792</v>
      </c>
      <c r="E338" s="677" t="s">
        <v>93</v>
      </c>
      <c r="F338" s="1452" t="s">
        <v>1457</v>
      </c>
      <c r="G338" s="677" t="s">
        <v>1793</v>
      </c>
      <c r="H338" s="679"/>
      <c r="I338" s="33"/>
      <c r="J338" s="33"/>
      <c r="K338" s="687"/>
      <c r="L338" s="688"/>
      <c r="M338" s="688"/>
      <c r="N338" s="689"/>
      <c r="O338" s="689"/>
      <c r="P338" s="689"/>
      <c r="Q338" s="689"/>
      <c r="R338" s="689"/>
      <c r="S338" s="689">
        <v>193491.42</v>
      </c>
      <c r="T338" s="689">
        <v>16467.4027777778</v>
      </c>
      <c r="U338" s="689"/>
      <c r="V338" s="689"/>
      <c r="W338" s="689"/>
      <c r="X338" s="689"/>
      <c r="Y338" s="689"/>
      <c r="Z338" s="689"/>
      <c r="AA338" s="689"/>
      <c r="AB338" s="689"/>
      <c r="AC338" s="689">
        <v>2500</v>
      </c>
      <c r="AD338" s="689"/>
      <c r="AE338" s="689">
        <v>30000</v>
      </c>
      <c r="AF338" s="689"/>
      <c r="AG338" s="689"/>
      <c r="AH338" s="689"/>
      <c r="AI338" s="689"/>
      <c r="AJ338" s="689">
        <v>2500</v>
      </c>
      <c r="AK338" s="689"/>
      <c r="AL338" s="689"/>
      <c r="AM338" s="689"/>
      <c r="AN338" s="689"/>
      <c r="AO338" s="689"/>
      <c r="AP338" s="689"/>
      <c r="AQ338" s="689"/>
      <c r="AR338" s="689"/>
      <c r="AS338" s="689"/>
      <c r="AT338" s="689"/>
      <c r="AU338" s="689">
        <f t="shared" si="417"/>
        <v>7739.6568</v>
      </c>
      <c r="AV338" s="689"/>
      <c r="AW338" s="689"/>
      <c r="AX338" s="718">
        <f t="shared" si="414"/>
        <v>3869.8284</v>
      </c>
      <c r="AY338" s="718"/>
      <c r="AZ338" s="718"/>
      <c r="BA338" s="689"/>
      <c r="BB338" s="689"/>
      <c r="BC338" s="689"/>
      <c r="BD338" s="689"/>
      <c r="BE338" s="689"/>
      <c r="BF338" s="689"/>
      <c r="BG338" s="689"/>
      <c r="BH338" s="689"/>
      <c r="BI338" s="689"/>
      <c r="BJ338" s="689"/>
      <c r="BK338" s="689"/>
      <c r="BL338" s="689"/>
      <c r="BM338" s="689"/>
      <c r="BN338" s="689"/>
      <c r="BO338" s="689">
        <v>0</v>
      </c>
      <c r="BP338" s="689"/>
      <c r="BQ338" s="689"/>
      <c r="BR338" s="731"/>
      <c r="BS338" s="731"/>
      <c r="BT338" s="731"/>
      <c r="BU338" s="731"/>
      <c r="BV338" s="731"/>
      <c r="BW338" s="731"/>
      <c r="BX338" s="731"/>
      <c r="BY338" s="731">
        <v>2000</v>
      </c>
      <c r="BZ338" s="731">
        <v>1500</v>
      </c>
      <c r="CA338" s="718">
        <f t="shared" si="415"/>
        <v>4899.17645555556</v>
      </c>
      <c r="CB338" s="735"/>
      <c r="CC338" s="731">
        <v>31451.88</v>
      </c>
      <c r="CD338" s="702">
        <f t="shared" si="418"/>
        <v>244958.822777778</v>
      </c>
      <c r="CE338" s="731">
        <f t="shared" si="420"/>
        <v>51460.5416555556</v>
      </c>
      <c r="CF338" s="739">
        <f t="shared" si="419"/>
        <v>193498.281122222</v>
      </c>
      <c r="CG338" s="742">
        <f t="shared" si="416"/>
        <v>51460.5416555555</v>
      </c>
      <c r="CH338" s="743"/>
      <c r="CI338" s="744"/>
      <c r="CJ338" s="745"/>
      <c r="CK338" s="748"/>
      <c r="CL338" s="749"/>
      <c r="CM338" s="744"/>
      <c r="CN338" s="745"/>
      <c r="CO338" s="745"/>
      <c r="CP338" s="745"/>
      <c r="CQ338" s="745"/>
      <c r="CR338" s="745"/>
      <c r="CS338" s="745"/>
      <c r="CT338" s="754"/>
      <c r="CU338" s="755"/>
      <c r="CV338" s="756"/>
      <c r="CW338" s="757"/>
      <c r="CX338" s="758"/>
      <c r="CY338" s="759"/>
      <c r="CZ338" s="760"/>
      <c r="DA338" s="760"/>
      <c r="DB338" s="770"/>
    </row>
    <row r="339" ht="236" customHeight="1" spans="1:106">
      <c r="A339" s="675">
        <v>662</v>
      </c>
      <c r="B339" s="676" t="s">
        <v>1458</v>
      </c>
      <c r="C339" s="677" t="s">
        <v>1594</v>
      </c>
      <c r="D339" s="677" t="s">
        <v>1792</v>
      </c>
      <c r="E339" s="677" t="s">
        <v>259</v>
      </c>
      <c r="F339" s="1452" t="s">
        <v>1459</v>
      </c>
      <c r="G339" s="677" t="s">
        <v>1793</v>
      </c>
      <c r="H339" s="679"/>
      <c r="I339" s="33"/>
      <c r="J339" s="33"/>
      <c r="K339" s="687"/>
      <c r="L339" s="688"/>
      <c r="M339" s="688"/>
      <c r="N339" s="689"/>
      <c r="O339" s="689"/>
      <c r="P339" s="689"/>
      <c r="Q339" s="689"/>
      <c r="R339" s="689"/>
      <c r="S339" s="689">
        <v>193491.42</v>
      </c>
      <c r="T339" s="689">
        <v>16467.4027777778</v>
      </c>
      <c r="U339" s="689"/>
      <c r="V339" s="689"/>
      <c r="W339" s="689"/>
      <c r="X339" s="689"/>
      <c r="Y339" s="689"/>
      <c r="Z339" s="689"/>
      <c r="AA339" s="689"/>
      <c r="AB339" s="689"/>
      <c r="AC339" s="689">
        <v>2500</v>
      </c>
      <c r="AD339" s="689"/>
      <c r="AE339" s="689">
        <v>30000</v>
      </c>
      <c r="AF339" s="689"/>
      <c r="AG339" s="689"/>
      <c r="AH339" s="689"/>
      <c r="AI339" s="689"/>
      <c r="AJ339" s="689">
        <v>2500</v>
      </c>
      <c r="AK339" s="689"/>
      <c r="AL339" s="689"/>
      <c r="AM339" s="689"/>
      <c r="AN339" s="689"/>
      <c r="AO339" s="689"/>
      <c r="AP339" s="689"/>
      <c r="AQ339" s="689"/>
      <c r="AR339" s="689"/>
      <c r="AS339" s="689"/>
      <c r="AT339" s="689"/>
      <c r="AU339" s="689">
        <f t="shared" si="417"/>
        <v>7739.6568</v>
      </c>
      <c r="AV339" s="689"/>
      <c r="AW339" s="689"/>
      <c r="AX339" s="718">
        <f t="shared" si="414"/>
        <v>3869.8284</v>
      </c>
      <c r="AY339" s="718"/>
      <c r="AZ339" s="718"/>
      <c r="BA339" s="689"/>
      <c r="BB339" s="689"/>
      <c r="BC339" s="689"/>
      <c r="BD339" s="689"/>
      <c r="BE339" s="689"/>
      <c r="BF339" s="689"/>
      <c r="BG339" s="689"/>
      <c r="BH339" s="689"/>
      <c r="BI339" s="689"/>
      <c r="BJ339" s="689"/>
      <c r="BK339" s="689"/>
      <c r="BL339" s="689"/>
      <c r="BM339" s="689"/>
      <c r="BN339" s="689"/>
      <c r="BO339" s="689">
        <v>0</v>
      </c>
      <c r="BP339" s="689"/>
      <c r="BQ339" s="689"/>
      <c r="BR339" s="731"/>
      <c r="BS339" s="731"/>
      <c r="BT339" s="731"/>
      <c r="BU339" s="731"/>
      <c r="BV339" s="731"/>
      <c r="BW339" s="731"/>
      <c r="BX339" s="731"/>
      <c r="BY339" s="731"/>
      <c r="BZ339" s="731">
        <v>1500</v>
      </c>
      <c r="CA339" s="718">
        <f t="shared" si="415"/>
        <v>4899.17645555556</v>
      </c>
      <c r="CB339" s="735"/>
      <c r="CC339" s="731">
        <v>31451.88</v>
      </c>
      <c r="CD339" s="702">
        <f t="shared" si="418"/>
        <v>244958.822777778</v>
      </c>
      <c r="CE339" s="731">
        <f t="shared" si="420"/>
        <v>49460.5416555556</v>
      </c>
      <c r="CF339" s="739">
        <f t="shared" si="419"/>
        <v>195498.281122222</v>
      </c>
      <c r="CG339" s="742">
        <f t="shared" si="416"/>
        <v>49460.5416555555</v>
      </c>
      <c r="CH339" s="743"/>
      <c r="CI339" s="744"/>
      <c r="CJ339" s="745"/>
      <c r="CK339" s="748"/>
      <c r="CL339" s="749"/>
      <c r="CM339" s="744"/>
      <c r="CN339" s="745"/>
      <c r="CO339" s="745"/>
      <c r="CP339" s="745"/>
      <c r="CQ339" s="745"/>
      <c r="CR339" s="745"/>
      <c r="CS339" s="745"/>
      <c r="CT339" s="754"/>
      <c r="CU339" s="755"/>
      <c r="CV339" s="756"/>
      <c r="CW339" s="757"/>
      <c r="CX339" s="758"/>
      <c r="CY339" s="759"/>
      <c r="CZ339" s="760"/>
      <c r="DA339" s="760"/>
      <c r="DB339" s="770"/>
    </row>
    <row r="340" ht="236" customHeight="1" spans="1:106">
      <c r="A340" s="673">
        <v>663</v>
      </c>
      <c r="B340" s="676" t="s">
        <v>1460</v>
      </c>
      <c r="C340" s="677" t="s">
        <v>1794</v>
      </c>
      <c r="D340" s="677" t="s">
        <v>1795</v>
      </c>
      <c r="E340" s="677" t="s">
        <v>113</v>
      </c>
      <c r="F340" s="1452" t="s">
        <v>1461</v>
      </c>
      <c r="G340" s="677" t="s">
        <v>1585</v>
      </c>
      <c r="H340" s="679"/>
      <c r="I340" s="33"/>
      <c r="J340" s="33"/>
      <c r="K340" s="687"/>
      <c r="L340" s="688"/>
      <c r="M340" s="688"/>
      <c r="N340" s="689"/>
      <c r="O340" s="689"/>
      <c r="P340" s="689"/>
      <c r="Q340" s="689"/>
      <c r="R340" s="689"/>
      <c r="S340" s="689">
        <v>169897.58</v>
      </c>
      <c r="T340" s="689"/>
      <c r="U340" s="689"/>
      <c r="V340" s="689"/>
      <c r="W340" s="689"/>
      <c r="X340" s="689"/>
      <c r="Y340" s="689"/>
      <c r="Z340" s="689"/>
      <c r="AA340" s="689"/>
      <c r="AB340" s="689"/>
      <c r="AC340" s="689">
        <v>2500</v>
      </c>
      <c r="AD340" s="689"/>
      <c r="AE340" s="689"/>
      <c r="AF340" s="689"/>
      <c r="AG340" s="689"/>
      <c r="AH340" s="689"/>
      <c r="AI340" s="689"/>
      <c r="AJ340" s="689">
        <v>2500</v>
      </c>
      <c r="AK340" s="689"/>
      <c r="AL340" s="689"/>
      <c r="AM340" s="689"/>
      <c r="AN340" s="689"/>
      <c r="AO340" s="689"/>
      <c r="AP340" s="689"/>
      <c r="AQ340" s="689"/>
      <c r="AR340" s="689"/>
      <c r="AS340" s="689"/>
      <c r="AT340" s="689"/>
      <c r="AU340" s="689">
        <f t="shared" si="417"/>
        <v>6795.9032</v>
      </c>
      <c r="AV340" s="689"/>
      <c r="AW340" s="689"/>
      <c r="AX340" s="718">
        <f t="shared" si="414"/>
        <v>3397.9516</v>
      </c>
      <c r="AY340" s="718"/>
      <c r="AZ340" s="718"/>
      <c r="BA340" s="689"/>
      <c r="BB340" s="689"/>
      <c r="BC340" s="689"/>
      <c r="BD340" s="689"/>
      <c r="BE340" s="689"/>
      <c r="BF340" s="689"/>
      <c r="BG340" s="689"/>
      <c r="BH340" s="689"/>
      <c r="BI340" s="689"/>
      <c r="BJ340" s="689"/>
      <c r="BK340" s="689"/>
      <c r="BL340" s="689"/>
      <c r="BM340" s="689"/>
      <c r="BN340" s="689"/>
      <c r="BO340" s="689">
        <v>0</v>
      </c>
      <c r="BP340" s="689"/>
      <c r="BQ340" s="689"/>
      <c r="BR340" s="731"/>
      <c r="BS340" s="731"/>
      <c r="BT340" s="731"/>
      <c r="BU340" s="731"/>
      <c r="BV340" s="731"/>
      <c r="BW340" s="731"/>
      <c r="BX340" s="731"/>
      <c r="BY340" s="731"/>
      <c r="BZ340" s="731">
        <v>1000</v>
      </c>
      <c r="CA340" s="718">
        <f t="shared" si="415"/>
        <v>3497.9516</v>
      </c>
      <c r="CB340" s="735"/>
      <c r="CC340" s="731">
        <v>16751.1</v>
      </c>
      <c r="CD340" s="702">
        <f t="shared" si="418"/>
        <v>174897.58</v>
      </c>
      <c r="CE340" s="731">
        <f t="shared" si="420"/>
        <v>31442.9064</v>
      </c>
      <c r="CF340" s="739">
        <f t="shared" si="419"/>
        <v>143454.6736</v>
      </c>
      <c r="CG340" s="742">
        <f t="shared" si="416"/>
        <v>31442.9064</v>
      </c>
      <c r="CH340" s="743"/>
      <c r="CI340" s="744"/>
      <c r="CJ340" s="745"/>
      <c r="CK340" s="748"/>
      <c r="CL340" s="749"/>
      <c r="CM340" s="744"/>
      <c r="CN340" s="745"/>
      <c r="CO340" s="745"/>
      <c r="CP340" s="745"/>
      <c r="CQ340" s="745"/>
      <c r="CR340" s="745"/>
      <c r="CS340" s="745"/>
      <c r="CT340" s="754"/>
      <c r="CU340" s="755"/>
      <c r="CV340" s="756"/>
      <c r="CW340" s="757"/>
      <c r="CX340" s="758"/>
      <c r="CY340" s="759"/>
      <c r="CZ340" s="760"/>
      <c r="DA340" s="760"/>
      <c r="DB340" s="770"/>
    </row>
    <row r="341" ht="236" customHeight="1" spans="1:106">
      <c r="A341" s="675">
        <v>664</v>
      </c>
      <c r="B341" s="676" t="s">
        <v>1462</v>
      </c>
      <c r="C341" s="677" t="s">
        <v>1794</v>
      </c>
      <c r="D341" s="677" t="s">
        <v>1795</v>
      </c>
      <c r="E341" s="677" t="s">
        <v>113</v>
      </c>
      <c r="F341" s="1452" t="s">
        <v>1463</v>
      </c>
      <c r="G341" s="677" t="s">
        <v>1585</v>
      </c>
      <c r="H341" s="679"/>
      <c r="I341" s="33"/>
      <c r="J341" s="33"/>
      <c r="K341" s="687"/>
      <c r="L341" s="688"/>
      <c r="M341" s="688"/>
      <c r="N341" s="689"/>
      <c r="O341" s="689"/>
      <c r="P341" s="689"/>
      <c r="Q341" s="689"/>
      <c r="R341" s="689"/>
      <c r="S341" s="689">
        <v>169897.58</v>
      </c>
      <c r="T341" s="689"/>
      <c r="U341" s="689"/>
      <c r="V341" s="689"/>
      <c r="W341" s="689"/>
      <c r="X341" s="689"/>
      <c r="Y341" s="689"/>
      <c r="Z341" s="689"/>
      <c r="AA341" s="689"/>
      <c r="AB341" s="689"/>
      <c r="AC341" s="689">
        <v>2500</v>
      </c>
      <c r="AD341" s="689"/>
      <c r="AE341" s="689"/>
      <c r="AF341" s="689"/>
      <c r="AG341" s="689"/>
      <c r="AH341" s="689"/>
      <c r="AI341" s="689"/>
      <c r="AJ341" s="689">
        <v>2500</v>
      </c>
      <c r="AK341" s="689"/>
      <c r="AL341" s="689"/>
      <c r="AM341" s="689"/>
      <c r="AN341" s="689"/>
      <c r="AO341" s="689"/>
      <c r="AP341" s="689"/>
      <c r="AQ341" s="689"/>
      <c r="AR341" s="689"/>
      <c r="AS341" s="689"/>
      <c r="AT341" s="689"/>
      <c r="AU341" s="689">
        <f t="shared" si="417"/>
        <v>6795.9032</v>
      </c>
      <c r="AV341" s="689"/>
      <c r="AW341" s="689"/>
      <c r="AX341" s="718">
        <f t="shared" si="414"/>
        <v>3397.9516</v>
      </c>
      <c r="AY341" s="718"/>
      <c r="AZ341" s="718"/>
      <c r="BA341" s="689"/>
      <c r="BB341" s="689"/>
      <c r="BC341" s="689"/>
      <c r="BD341" s="689"/>
      <c r="BE341" s="689"/>
      <c r="BF341" s="689"/>
      <c r="BG341" s="689"/>
      <c r="BH341" s="689"/>
      <c r="BI341" s="689"/>
      <c r="BJ341" s="689"/>
      <c r="BK341" s="689"/>
      <c r="BL341" s="689"/>
      <c r="BM341" s="689"/>
      <c r="BN341" s="689"/>
      <c r="BO341" s="689">
        <v>0</v>
      </c>
      <c r="BP341" s="689"/>
      <c r="BQ341" s="689"/>
      <c r="BR341" s="731"/>
      <c r="BS341" s="731"/>
      <c r="BT341" s="731"/>
      <c r="BU341" s="731"/>
      <c r="BV341" s="731"/>
      <c r="BW341" s="731"/>
      <c r="BX341" s="731"/>
      <c r="BY341" s="731"/>
      <c r="BZ341" s="731">
        <v>1000</v>
      </c>
      <c r="CA341" s="718">
        <f t="shared" si="415"/>
        <v>3497.9516</v>
      </c>
      <c r="CB341" s="735"/>
      <c r="CC341" s="731">
        <v>16751.1</v>
      </c>
      <c r="CD341" s="702">
        <f t="shared" si="418"/>
        <v>174897.58</v>
      </c>
      <c r="CE341" s="731">
        <f t="shared" si="420"/>
        <v>31442.9064</v>
      </c>
      <c r="CF341" s="739">
        <f t="shared" si="419"/>
        <v>143454.6736</v>
      </c>
      <c r="CG341" s="742">
        <f t="shared" si="416"/>
        <v>31442.9064</v>
      </c>
      <c r="CH341" s="743"/>
      <c r="CI341" s="744"/>
      <c r="CJ341" s="745"/>
      <c r="CK341" s="748"/>
      <c r="CL341" s="749"/>
      <c r="CM341" s="744"/>
      <c r="CN341" s="745"/>
      <c r="CO341" s="745"/>
      <c r="CP341" s="745"/>
      <c r="CQ341" s="745"/>
      <c r="CR341" s="745"/>
      <c r="CS341" s="745"/>
      <c r="CT341" s="754"/>
      <c r="CU341" s="755"/>
      <c r="CV341" s="756"/>
      <c r="CW341" s="757"/>
      <c r="CX341" s="758"/>
      <c r="CY341" s="759"/>
      <c r="CZ341" s="760"/>
      <c r="DA341" s="760"/>
      <c r="DB341" s="770"/>
    </row>
    <row r="342" ht="270" customHeight="1" spans="1:109">
      <c r="A342" s="675"/>
      <c r="B342" s="1000" t="s">
        <v>867</v>
      </c>
      <c r="C342" s="1001"/>
      <c r="D342" s="1001"/>
      <c r="E342" s="1002"/>
      <c r="F342" s="1003"/>
      <c r="G342" s="1004"/>
      <c r="H342" s="1005"/>
      <c r="I342" s="1019"/>
      <c r="J342" s="1019"/>
      <c r="K342" s="1020">
        <f>SUM(K5:K261)</f>
        <v>1147214583778</v>
      </c>
      <c r="L342" s="1021" t="e">
        <f>SUM(L5:L261)</f>
        <v>#REF!</v>
      </c>
      <c r="M342" s="1022" t="e">
        <f>SUM(M5:M261)</f>
        <v>#REF!</v>
      </c>
      <c r="N342" s="1023">
        <f>SUM(N5:N261)</f>
        <v>300298100.84</v>
      </c>
      <c r="O342" s="1023">
        <v>27959022.2233333</v>
      </c>
      <c r="P342" s="1023"/>
      <c r="Q342" s="1023">
        <f>SUM(Q5:Q261)</f>
        <v>6470266.19916665</v>
      </c>
      <c r="R342" s="1023">
        <f>SUM(R5:R261)</f>
        <v>9023519.7466667</v>
      </c>
      <c r="S342" s="1023">
        <f>SUM(S4:S341)</f>
        <v>58921365.2799999</v>
      </c>
      <c r="T342" s="1023">
        <f>SUM(T4:T341)</f>
        <v>281267.434988889</v>
      </c>
      <c r="U342" s="1023">
        <f>SUM(U4:U341)</f>
        <v>181625</v>
      </c>
      <c r="V342" s="1023">
        <f>SUM(V4:V341)</f>
        <v>200000</v>
      </c>
      <c r="W342" s="1023"/>
      <c r="X342" s="1023"/>
      <c r="Y342" s="1023"/>
      <c r="Z342" s="1023">
        <f>SUM(Z4:Z341)</f>
        <v>166605.36</v>
      </c>
      <c r="AA342" s="1023">
        <f>SUM(AA4:AA341)</f>
        <v>827164.598097222</v>
      </c>
      <c r="AB342" s="1023">
        <f>SUM(AB4:AB341)</f>
        <v>1570834.34</v>
      </c>
      <c r="AC342" s="1023">
        <f>SUM(AC4:AC341)</f>
        <v>835001</v>
      </c>
      <c r="AD342" s="1023"/>
      <c r="AE342" s="1023">
        <f t="shared" ref="AE342:AQ342" si="421">SUM(AE4:AE341)</f>
        <v>840000</v>
      </c>
      <c r="AF342" s="1023">
        <f t="shared" si="421"/>
        <v>60000</v>
      </c>
      <c r="AG342" s="1023">
        <f t="shared" si="421"/>
        <v>120000</v>
      </c>
      <c r="AH342" s="1023">
        <f t="shared" si="421"/>
        <v>1699750</v>
      </c>
      <c r="AI342" s="1023">
        <f t="shared" si="421"/>
        <v>122371</v>
      </c>
      <c r="AJ342" s="1023">
        <f t="shared" si="421"/>
        <v>835000</v>
      </c>
      <c r="AK342" s="1023">
        <f t="shared" si="421"/>
        <v>12500</v>
      </c>
      <c r="AL342" s="1023">
        <f t="shared" si="421"/>
        <v>102216.22</v>
      </c>
      <c r="AM342" s="1023">
        <f t="shared" si="421"/>
        <v>140500</v>
      </c>
      <c r="AN342" s="1023">
        <f t="shared" si="421"/>
        <v>12500</v>
      </c>
      <c r="AO342" s="1023">
        <f t="shared" si="421"/>
        <v>12500</v>
      </c>
      <c r="AP342" s="1023">
        <f t="shared" si="421"/>
        <v>12500</v>
      </c>
      <c r="AQ342" s="1023">
        <f t="shared" si="421"/>
        <v>12500</v>
      </c>
      <c r="AR342" s="1023"/>
      <c r="AS342" s="1023"/>
      <c r="AT342" s="1023">
        <f>SUM(AT4:AT341)</f>
        <v>15000</v>
      </c>
      <c r="AU342" s="1031">
        <f>SUM(AU4:AU341)</f>
        <v>2230506.25235</v>
      </c>
      <c r="AV342" s="1031">
        <f>SUM(AV4:AV341)</f>
        <v>0</v>
      </c>
      <c r="AW342" s="1031">
        <f>SUM(AW4:AW341)</f>
        <v>335000</v>
      </c>
      <c r="AX342" s="1031">
        <f>SUM(AX4:AX341)</f>
        <v>849839.196133335</v>
      </c>
      <c r="AY342" s="1024"/>
      <c r="AZ342" s="1031">
        <f>SUM(AZ4:AZ341)</f>
        <v>2000</v>
      </c>
      <c r="BA342" s="1031">
        <f>SUM(BA4:BA341)</f>
        <v>11818.182</v>
      </c>
      <c r="BB342" s="1031">
        <f>SUM(BB4:BB341)</f>
        <v>1380002.01</v>
      </c>
      <c r="BC342" s="1031"/>
      <c r="BD342" s="1031"/>
      <c r="BE342" s="1031">
        <f>SUM(BE4:BE341)</f>
        <v>374952.293308333</v>
      </c>
      <c r="BF342" s="1031"/>
      <c r="BG342" s="1031">
        <f>SUM(BG4:BG341)</f>
        <v>206570</v>
      </c>
      <c r="BH342" s="1031">
        <f>SUM(BH4:BH341)</f>
        <v>47000</v>
      </c>
      <c r="BI342" s="1031">
        <f>SUM(BI4:BI341)</f>
        <v>157934.860733333</v>
      </c>
      <c r="BJ342" s="1031"/>
      <c r="BK342" s="1031">
        <f>SUM(BK4:BK341)</f>
        <v>0</v>
      </c>
      <c r="BL342" s="1031">
        <f>SUM(BL4:BL341)</f>
        <v>484999.99</v>
      </c>
      <c r="BM342" s="1031">
        <f>SUM(BM4:BM341)</f>
        <v>351097</v>
      </c>
      <c r="BN342" s="1031">
        <f>SUM(BN4:BN341)</f>
        <v>50000</v>
      </c>
      <c r="BO342" s="1031">
        <f>SUM(BO4:BO341)</f>
        <v>8092959.40250793</v>
      </c>
      <c r="BP342" s="1031"/>
      <c r="BQ342" s="1031"/>
      <c r="BR342" s="1031"/>
      <c r="BS342" s="1031">
        <f>SUM(BS4:BS341)</f>
        <v>210671</v>
      </c>
      <c r="BT342" s="1031">
        <f>SUM(BT4:BT341)</f>
        <v>270134</v>
      </c>
      <c r="BU342" s="1031"/>
      <c r="BV342" s="1031">
        <f>SUM(BV4:BV341)</f>
        <v>4000</v>
      </c>
      <c r="BW342" s="1031"/>
      <c r="BX342" s="1031">
        <f t="shared" ref="BX342:CG342" si="422">SUM(BX4:BX341)</f>
        <v>320000</v>
      </c>
      <c r="BY342" s="1031">
        <f t="shared" si="422"/>
        <v>214500</v>
      </c>
      <c r="BZ342" s="1031">
        <f t="shared" si="422"/>
        <v>339000</v>
      </c>
      <c r="CA342" s="1041">
        <f t="shared" si="422"/>
        <v>1331013.08687839</v>
      </c>
      <c r="CB342" s="1041">
        <f t="shared" si="422"/>
        <v>13532.5916333333</v>
      </c>
      <c r="CC342" s="1041">
        <f t="shared" si="422"/>
        <v>7307489.96717997</v>
      </c>
      <c r="CD342" s="1041">
        <f t="shared" si="422"/>
        <v>66647671.4347527</v>
      </c>
      <c r="CE342" s="702">
        <f t="shared" si="422"/>
        <v>24599084.2629024</v>
      </c>
      <c r="CF342" s="1041">
        <v>41971920.17</v>
      </c>
      <c r="CG342" s="742">
        <f t="shared" si="422"/>
        <v>24599084.2629024</v>
      </c>
      <c r="CH342" s="1048">
        <f>CD342*12</f>
        <v>799772057.217032</v>
      </c>
      <c r="CI342" s="756">
        <f t="shared" si="368"/>
        <v>160154411.443406</v>
      </c>
      <c r="CJ342" s="754"/>
      <c r="CK342" s="1055"/>
      <c r="CL342" s="762"/>
      <c r="CM342" s="756"/>
      <c r="CN342" s="754"/>
      <c r="CO342" s="754"/>
      <c r="CP342" s="754"/>
      <c r="CQ342" s="754"/>
      <c r="CR342" s="754"/>
      <c r="CS342" s="754"/>
      <c r="CT342" s="754">
        <f t="shared" si="405"/>
        <v>7997720.57217032</v>
      </c>
      <c r="CU342" s="755"/>
      <c r="CV342" s="756">
        <f>CC342</f>
        <v>7307489.96717997</v>
      </c>
      <c r="CW342" s="757"/>
      <c r="CX342" s="758"/>
      <c r="CY342" s="759"/>
      <c r="CZ342" s="760"/>
      <c r="DA342" s="760"/>
      <c r="DB342" s="1066"/>
      <c r="DC342" s="1067"/>
      <c r="DD342" s="771"/>
      <c r="DE342" s="1068"/>
    </row>
    <row r="343" ht="225" customHeight="1" spans="1:107">
      <c r="A343" s="1006"/>
      <c r="B343" s="1001" t="s">
        <v>1465</v>
      </c>
      <c r="C343" s="1001"/>
      <c r="D343" s="1001"/>
      <c r="E343" s="1001"/>
      <c r="F343" s="1001"/>
      <c r="G343" s="1007"/>
      <c r="H343" s="737"/>
      <c r="I343" s="1007"/>
      <c r="J343" s="1007"/>
      <c r="K343" s="737"/>
      <c r="L343" s="737"/>
      <c r="M343" s="737"/>
      <c r="N343" s="1024"/>
      <c r="O343" s="1024" t="e">
        <f>'TEACHING STAFF'!#REF!+O342</f>
        <v>#REF!</v>
      </c>
      <c r="P343" s="1024"/>
      <c r="Q343" s="1024" t="e">
        <f>'TEACHING STAFF'!#REF!+Q342</f>
        <v>#REF!</v>
      </c>
      <c r="R343" s="1024" t="e">
        <f>'TEACHING STAFF'!#REF!+R342</f>
        <v>#REF!</v>
      </c>
      <c r="S343" s="1024">
        <f>S342+'TEACHING STAFF'!M330</f>
        <v>154114639.096333</v>
      </c>
      <c r="T343" s="1024">
        <f>T342</f>
        <v>281267.434988889</v>
      </c>
      <c r="U343" s="1024">
        <f>U342+'TEACHING STAFF'!S330</f>
        <v>947122.704022667</v>
      </c>
      <c r="V343" s="1023">
        <f>V342</f>
        <v>200000</v>
      </c>
      <c r="W343" s="1024">
        <f>'TEACHING STAFF'!O330</f>
        <v>1525833.35</v>
      </c>
      <c r="X343" s="1024">
        <f>'TEACHING STAFF'!U330</f>
        <v>500000</v>
      </c>
      <c r="Y343" s="1024"/>
      <c r="Z343" s="1024">
        <f>Z342+'TEACHING STAFF'!T330</f>
        <v>166605.36</v>
      </c>
      <c r="AA343" s="1024">
        <f>AA342+'TEACHING STAFF'!P330</f>
        <v>2202218.82809722</v>
      </c>
      <c r="AB343" s="1024">
        <f>AB342+'TEACHING STAFF'!P330</f>
        <v>2945888.57</v>
      </c>
      <c r="AC343" s="1024">
        <f>AC342+'TEACHING STAFF'!Z330</f>
        <v>1636251</v>
      </c>
      <c r="AD343" s="1024">
        <f>'TEACHING STAFF'!AA330</f>
        <v>185000</v>
      </c>
      <c r="AE343" s="1024">
        <f>AE342</f>
        <v>840000</v>
      </c>
      <c r="AF343" s="1024"/>
      <c r="AG343" s="1024">
        <f>AG342+'TEACHING STAFF'!AB330</f>
        <v>180000</v>
      </c>
      <c r="AH343" s="1024">
        <f>AH342+'TEACHING STAFF'!Y330</f>
        <v>1782250</v>
      </c>
      <c r="AI343" s="1024"/>
      <c r="AJ343" s="1024">
        <f>AJ342+'TEACHING STAFF'!R330</f>
        <v>1636250</v>
      </c>
      <c r="AK343" s="1029">
        <f t="shared" ref="AK343:AQ343" si="423">SUM(AK342)</f>
        <v>12500</v>
      </c>
      <c r="AL343" s="1024">
        <f t="shared" si="423"/>
        <v>102216.22</v>
      </c>
      <c r="AM343" s="1024">
        <f t="shared" si="423"/>
        <v>140500</v>
      </c>
      <c r="AN343" s="1030">
        <f t="shared" si="423"/>
        <v>12500</v>
      </c>
      <c r="AO343" s="1030">
        <f t="shared" si="423"/>
        <v>12500</v>
      </c>
      <c r="AP343" s="1030">
        <f t="shared" si="423"/>
        <v>12500</v>
      </c>
      <c r="AQ343" s="1030">
        <f t="shared" si="423"/>
        <v>12500</v>
      </c>
      <c r="AR343" s="1032">
        <f>'TEACHING STAFF'!W330</f>
        <v>83302.68</v>
      </c>
      <c r="AS343" s="1032">
        <f>'TEACHING STAFF'!AP330</f>
        <v>3463234.75</v>
      </c>
      <c r="AT343" s="1032">
        <f>AT342+'TEACHING STAFF'!AQ330</f>
        <v>107000</v>
      </c>
      <c r="AU343" s="1024">
        <f>AU342</f>
        <v>2230506.25235</v>
      </c>
      <c r="AV343" s="1024">
        <f>AV342</f>
        <v>0</v>
      </c>
      <c r="AW343" s="1024">
        <f>AW342+'TEACHING STAFF'!AJ330</f>
        <v>335000</v>
      </c>
      <c r="AX343" s="1024">
        <f>SUM(AX342)</f>
        <v>849839.196133335</v>
      </c>
      <c r="AY343" s="1024">
        <f>'TEACHING STAFF'!AZ330</f>
        <v>14000</v>
      </c>
      <c r="AZ343" s="1024">
        <f>AZ342+'TEACHING STAFF'!AS330</f>
        <v>67000</v>
      </c>
      <c r="BA343" s="1024">
        <f>BA342+'TEACHING STAFF'!AU330</f>
        <v>21818.182</v>
      </c>
      <c r="BB343" s="1024">
        <f>BB342+'TEACHING STAFF'!AI330</f>
        <v>1921002.33</v>
      </c>
      <c r="BC343" s="1024">
        <f>'TEACHING STAFF'!AW330</f>
        <v>56000</v>
      </c>
      <c r="BD343" s="1024">
        <f>'TEACHING STAFF'!AX330</f>
        <v>45000</v>
      </c>
      <c r="BE343" s="1031">
        <f>BE342</f>
        <v>374952.293308333</v>
      </c>
      <c r="BF343" s="1031"/>
      <c r="BG343" s="1031">
        <f>BG342+'TEACHING STAFF'!AO330</f>
        <v>226570</v>
      </c>
      <c r="BH343" s="1031">
        <f>BH342</f>
        <v>47000</v>
      </c>
      <c r="BI343" s="1031">
        <f>BI342</f>
        <v>157934.860733333</v>
      </c>
      <c r="BJ343" s="1031">
        <f>'TEACHING STAFF'!BC330</f>
        <v>460264.5396</v>
      </c>
      <c r="BK343" s="1024">
        <f>'TEACHING STAFF'!AM330</f>
        <v>1903865.47632666</v>
      </c>
      <c r="BL343" s="1024">
        <f>BL342+'TEACHING STAFF'!BD330</f>
        <v>1184166.62</v>
      </c>
      <c r="BM343" s="1024">
        <f>BM342+'TEACHING STAFF'!AL330</f>
        <v>537765</v>
      </c>
      <c r="BN343" s="1031">
        <f>BN342+'TEACHING STAFF'!AV333</f>
        <v>50000</v>
      </c>
      <c r="BO343" s="1039">
        <f>BO342+'TEACHING STAFF'!BA330</f>
        <v>17737193.1922554</v>
      </c>
      <c r="BP343" s="1039" t="s">
        <v>1512</v>
      </c>
      <c r="BQ343" s="1039"/>
      <c r="BR343" s="1040"/>
      <c r="BS343" s="1040">
        <f>BS342+'TEACHING STAFF'!BB330</f>
        <v>210671</v>
      </c>
      <c r="BT343" s="1040">
        <f>BT342+'TEACHING STAFF'!AT330</f>
        <v>312134</v>
      </c>
      <c r="BU343" s="1040"/>
      <c r="BV343" s="1040">
        <f>BV342+'TEACHING STAFF'!BG330</f>
        <v>9000</v>
      </c>
      <c r="BW343" s="1040">
        <f>BW342+'TEACHING STAFF'!AN330</f>
        <v>160500</v>
      </c>
      <c r="BX343" s="1040">
        <f>BX342+'TEACHING STAFF'!AV330</f>
        <v>530000</v>
      </c>
      <c r="BY343" s="1024">
        <f>BY342+'TEACHING STAFF'!AY330</f>
        <v>308500</v>
      </c>
      <c r="BZ343" s="1024">
        <f>BZ342+'TEACHING STAFF'!BE330</f>
        <v>794250</v>
      </c>
      <c r="CA343" s="1042">
        <f>CA342+'TEACHING STAFF'!BH330</f>
        <v>3558850.15357251</v>
      </c>
      <c r="CB343" s="1043">
        <f>SUM(CB342)</f>
        <v>13532.5916333333</v>
      </c>
      <c r="CC343" s="1042">
        <f>CC342+'TEACHING STAFF'!BK330</f>
        <v>22191487.7951268</v>
      </c>
      <c r="CD343" s="1042">
        <f>CD342+'TEACHING STAFF'!BL330</f>
        <v>178715852.425356</v>
      </c>
      <c r="CE343" s="1042">
        <f>CE342+'TEACHING STAFF'!BM330</f>
        <v>59867102.6578108</v>
      </c>
      <c r="CF343" s="1049">
        <f>CF342+'TEACHING STAFF'!BP330</f>
        <v>118772082.765695</v>
      </c>
      <c r="CG343" s="1042">
        <f>CG342+'TEACHING STAFF'!BP330</f>
        <v>101399246.858597</v>
      </c>
      <c r="CH343" s="1048">
        <f>CD343*12</f>
        <v>2144590229.10427</v>
      </c>
      <c r="CI343" s="757">
        <f t="shared" si="368"/>
        <v>429118045.820854</v>
      </c>
      <c r="CJ343" s="737"/>
      <c r="CK343" s="737"/>
      <c r="CL343" s="737"/>
      <c r="CM343" s="737"/>
      <c r="CN343" s="737"/>
      <c r="CO343" s="737"/>
      <c r="CP343" s="737"/>
      <c r="CQ343" s="737"/>
      <c r="CR343" s="737"/>
      <c r="CS343" s="737"/>
      <c r="CT343" s="759">
        <f t="shared" si="405"/>
        <v>21445902.2910427</v>
      </c>
      <c r="CU343" s="737"/>
      <c r="CV343" s="737"/>
      <c r="CW343" s="737"/>
      <c r="CX343" s="737"/>
      <c r="CY343" s="737"/>
      <c r="CZ343" s="737"/>
      <c r="DA343" s="737"/>
      <c r="DB343" s="1066"/>
      <c r="DC343" s="771"/>
    </row>
    <row r="344" ht="238" customHeight="1" spans="1:106">
      <c r="A344" s="1008"/>
      <c r="B344" s="1009"/>
      <c r="C344" s="1010"/>
      <c r="D344" s="1011"/>
      <c r="E344" s="1012"/>
      <c r="F344" s="1009"/>
      <c r="G344" s="1012"/>
      <c r="H344" s="1009"/>
      <c r="I344" s="1012"/>
      <c r="J344" s="1012"/>
      <c r="K344" s="1009"/>
      <c r="L344" s="1009"/>
      <c r="M344" s="1009"/>
      <c r="N344" s="1009"/>
      <c r="O344" s="1009"/>
      <c r="P344" s="1009"/>
      <c r="Q344" s="1009"/>
      <c r="R344" s="1009"/>
      <c r="S344" s="1026" t="s">
        <v>14</v>
      </c>
      <c r="T344" s="1026" t="s">
        <v>1476</v>
      </c>
      <c r="U344" s="1026" t="s">
        <v>20</v>
      </c>
      <c r="V344" s="1026" t="s">
        <v>1477</v>
      </c>
      <c r="W344" s="1026" t="s">
        <v>16</v>
      </c>
      <c r="X344" s="1026" t="str">
        <f>'TEACHING STAFF'!U331</f>
        <v>PERSONAL ASSISTANT </v>
      </c>
      <c r="Y344" s="1026" t="s">
        <v>1479</v>
      </c>
      <c r="Z344" s="1028" t="s">
        <v>1480</v>
      </c>
      <c r="AA344" s="1028" t="s">
        <v>15</v>
      </c>
      <c r="AB344" s="1028" t="s">
        <v>17</v>
      </c>
      <c r="AC344" s="1028" t="s">
        <v>26</v>
      </c>
      <c r="AD344" s="1028" t="s">
        <v>1481</v>
      </c>
      <c r="AE344" s="1028" t="s">
        <v>1796</v>
      </c>
      <c r="AF344" s="1028"/>
      <c r="AG344" s="1028" t="s">
        <v>1483</v>
      </c>
      <c r="AH344" s="1028" t="s">
        <v>25</v>
      </c>
      <c r="AI344" s="1028"/>
      <c r="AJ344" s="1028" t="s">
        <v>1484</v>
      </c>
      <c r="AK344" s="1028" t="s">
        <v>1485</v>
      </c>
      <c r="AL344" s="1028" t="s">
        <v>1486</v>
      </c>
      <c r="AM344" s="1028" t="s">
        <v>1483</v>
      </c>
      <c r="AN344" s="1028" t="s">
        <v>1487</v>
      </c>
      <c r="AO344" s="1028" t="s">
        <v>1488</v>
      </c>
      <c r="AP344" s="1028" t="s">
        <v>1489</v>
      </c>
      <c r="AQ344" s="1028" t="s">
        <v>1490</v>
      </c>
      <c r="AR344" s="1028" t="s">
        <v>1491</v>
      </c>
      <c r="AS344" s="1028" t="s">
        <v>1492</v>
      </c>
      <c r="AT344" s="1033" t="s">
        <v>1493</v>
      </c>
      <c r="AU344" s="1034" t="s">
        <v>1797</v>
      </c>
      <c r="AV344" s="1034" t="s">
        <v>1495</v>
      </c>
      <c r="AW344" s="1035" t="s">
        <v>35</v>
      </c>
      <c r="AX344" s="1035" t="s">
        <v>1496</v>
      </c>
      <c r="AY344" s="1036" t="s">
        <v>51</v>
      </c>
      <c r="AZ344" s="1035" t="s">
        <v>1498</v>
      </c>
      <c r="BA344" s="1035" t="s">
        <v>1499</v>
      </c>
      <c r="BB344" s="1037" t="s">
        <v>1500</v>
      </c>
      <c r="BC344" s="1034" t="s">
        <v>1501</v>
      </c>
      <c r="BD344" s="1034" t="s">
        <v>1502</v>
      </c>
      <c r="BE344" s="1034" t="s">
        <v>1503</v>
      </c>
      <c r="BF344" s="1028"/>
      <c r="BG344" s="1038" t="s">
        <v>40</v>
      </c>
      <c r="BH344" s="1038" t="s">
        <v>1505</v>
      </c>
      <c r="BI344" s="1038" t="s">
        <v>1506</v>
      </c>
      <c r="BJ344" s="1038" t="s">
        <v>1798</v>
      </c>
      <c r="BK344" s="1038" t="s">
        <v>38</v>
      </c>
      <c r="BL344" s="1038" t="s">
        <v>1508</v>
      </c>
      <c r="BM344" s="1038" t="s">
        <v>1509</v>
      </c>
      <c r="BN344" s="1038" t="s">
        <v>1510</v>
      </c>
      <c r="BO344" s="1028" t="s">
        <v>1511</v>
      </c>
      <c r="BP344" s="1028" t="s">
        <v>1515</v>
      </c>
      <c r="BQ344" s="1028" t="s">
        <v>1513</v>
      </c>
      <c r="BR344" s="1028" t="s">
        <v>56</v>
      </c>
      <c r="BS344" s="1028" t="s">
        <v>1514</v>
      </c>
      <c r="BT344" s="1034" t="s">
        <v>45</v>
      </c>
      <c r="BU344" s="1035" t="s">
        <v>1515</v>
      </c>
      <c r="BV344" s="1035" t="s">
        <v>1516</v>
      </c>
      <c r="BW344" s="1035" t="s">
        <v>39</v>
      </c>
      <c r="BX344" s="1035" t="s">
        <v>47</v>
      </c>
      <c r="BY344" s="1035" t="s">
        <v>50</v>
      </c>
      <c r="BZ344" s="1034" t="s">
        <v>56</v>
      </c>
      <c r="CA344" s="1034" t="s">
        <v>59</v>
      </c>
      <c r="CB344" s="1034" t="s">
        <v>60</v>
      </c>
      <c r="CC344" s="1034" t="s">
        <v>62</v>
      </c>
      <c r="CD344" s="1034" t="s">
        <v>1799</v>
      </c>
      <c r="CE344" s="1034" t="s">
        <v>64</v>
      </c>
      <c r="CF344" s="1050" t="s">
        <v>1800</v>
      </c>
      <c r="CG344" s="1051" t="s">
        <v>67</v>
      </c>
      <c r="CH344" s="1009"/>
      <c r="CI344" s="1009"/>
      <c r="CJ344" s="1009"/>
      <c r="CK344" s="1009"/>
      <c r="CL344" s="1009"/>
      <c r="CM344" s="1009"/>
      <c r="CN344" s="1009"/>
      <c r="CO344" s="1009"/>
      <c r="CP344" s="1009"/>
      <c r="CQ344" s="1009"/>
      <c r="CR344" s="1009"/>
      <c r="CS344" s="1009"/>
      <c r="CT344" s="1009"/>
      <c r="CU344" s="1009"/>
      <c r="CV344" s="1009"/>
      <c r="CW344" s="1063"/>
      <c r="CX344" s="1063"/>
      <c r="CY344" s="1063"/>
      <c r="CZ344" s="1063"/>
      <c r="DA344" s="1063"/>
      <c r="DB344" s="1069"/>
    </row>
    <row r="345" ht="111" customHeight="1" spans="1:107">
      <c r="A345" s="1013" t="s">
        <v>1801</v>
      </c>
      <c r="B345" s="668"/>
      <c r="C345" s="668"/>
      <c r="D345" s="668"/>
      <c r="E345" s="668"/>
      <c r="F345" s="668"/>
      <c r="G345" s="668"/>
      <c r="H345" s="1014"/>
      <c r="I345" s="1013"/>
      <c r="J345" s="1013"/>
      <c r="K345" s="1025"/>
      <c r="L345" s="1025"/>
      <c r="M345" s="1025"/>
      <c r="N345" s="1025"/>
      <c r="O345" s="1025"/>
      <c r="P345" s="1025"/>
      <c r="Q345" s="1025"/>
      <c r="R345" s="1025"/>
      <c r="S345" s="1025"/>
      <c r="T345" s="1025"/>
      <c r="U345" s="1025"/>
      <c r="V345" s="1025"/>
      <c r="W345" s="1027" t="s">
        <v>1802</v>
      </c>
      <c r="X345" s="1027"/>
      <c r="Y345" s="1027"/>
      <c r="Z345" s="1027"/>
      <c r="AA345" s="1027"/>
      <c r="AB345" s="1027"/>
      <c r="AC345" s="1027"/>
      <c r="AD345" s="1027"/>
      <c r="AE345" s="1027"/>
      <c r="AF345" s="1027"/>
      <c r="AG345" s="1027"/>
      <c r="AH345" s="1027"/>
      <c r="AI345" s="1027"/>
      <c r="AJ345" s="1025"/>
      <c r="AK345" s="1025"/>
      <c r="AL345" s="1025"/>
      <c r="AM345" s="1025"/>
      <c r="AN345" s="1025"/>
      <c r="AO345" s="1025"/>
      <c r="AP345" s="1025"/>
      <c r="AQ345" s="1025"/>
      <c r="AR345" s="1025"/>
      <c r="AS345" s="1025"/>
      <c r="AT345" s="1025"/>
      <c r="AU345" s="1025"/>
      <c r="AV345" s="1025"/>
      <c r="AW345" s="1025"/>
      <c r="AX345" s="1025"/>
      <c r="AY345" s="1025"/>
      <c r="AZ345" s="1025"/>
      <c r="BA345" s="1025"/>
      <c r="BB345" s="1025"/>
      <c r="BC345" s="1025"/>
      <c r="BD345" s="1025"/>
      <c r="BE345" s="1025"/>
      <c r="BF345" s="1025"/>
      <c r="BG345" s="1025"/>
      <c r="BH345" s="1025"/>
      <c r="BI345" s="1025"/>
      <c r="BJ345" s="1025"/>
      <c r="BK345" s="1025"/>
      <c r="BL345" s="1025"/>
      <c r="BM345" s="1025"/>
      <c r="BN345" s="1025"/>
      <c r="BO345" s="1025"/>
      <c r="BP345" s="1025"/>
      <c r="BQ345" s="1025"/>
      <c r="BR345" s="1025"/>
      <c r="BS345" s="1025"/>
      <c r="BT345" s="1025"/>
      <c r="BU345" s="1025"/>
      <c r="BV345" s="1025"/>
      <c r="BW345" s="1025"/>
      <c r="BX345" s="1025"/>
      <c r="BY345" s="1025"/>
      <c r="BZ345" s="1025"/>
      <c r="CA345" s="1025"/>
      <c r="CB345" s="1025"/>
      <c r="CC345" s="1025"/>
      <c r="CD345" s="1025"/>
      <c r="CE345" s="1025"/>
      <c r="CF345" s="1025"/>
      <c r="CG345" s="1025"/>
      <c r="CH345" s="1025"/>
      <c r="CI345" s="1025"/>
      <c r="CJ345" s="1025"/>
      <c r="CK345" s="1025"/>
      <c r="CL345" s="1025"/>
      <c r="CM345" s="1025"/>
      <c r="CN345" s="1025"/>
      <c r="CO345" s="1025"/>
      <c r="CP345" s="1025"/>
      <c r="CQ345" s="1025"/>
      <c r="CR345" s="1025"/>
      <c r="CS345" s="1025"/>
      <c r="CT345" s="1025"/>
      <c r="CU345" s="1025"/>
      <c r="CV345" s="1025"/>
      <c r="CW345" s="668"/>
      <c r="CX345" s="668"/>
      <c r="CY345" s="668"/>
      <c r="CZ345" s="668"/>
      <c r="DA345" s="668"/>
      <c r="DC345" s="668"/>
    </row>
    <row r="346" ht="32.25" spans="58:106">
      <c r="BF346" s="666"/>
      <c r="BG346" s="666"/>
      <c r="CF346" s="1052"/>
      <c r="DB346" s="1070"/>
    </row>
    <row r="347" ht="31.5" spans="58:106">
      <c r="BF347" s="666"/>
      <c r="BG347" s="666"/>
      <c r="CF347" s="1052"/>
      <c r="DB347" s="1070"/>
    </row>
    <row r="348" ht="31.5" spans="58:106">
      <c r="BF348" s="666"/>
      <c r="BG348" s="666"/>
      <c r="CF348" s="1052"/>
      <c r="DB348" s="1070"/>
    </row>
    <row r="349" ht="31.5" spans="58:106">
      <c r="BF349" s="666"/>
      <c r="BG349" s="666"/>
      <c r="CF349" s="1052"/>
      <c r="DB349" s="1070"/>
    </row>
    <row r="350" ht="31.5" spans="58:106">
      <c r="BF350" s="666"/>
      <c r="BG350" s="666"/>
      <c r="CF350" s="1052"/>
      <c r="DB350" s="1070"/>
    </row>
    <row r="351" ht="31.5" spans="58:106">
      <c r="BF351" s="666"/>
      <c r="BG351" s="666"/>
      <c r="CF351" s="1052"/>
      <c r="DB351" s="1070"/>
    </row>
    <row r="352" ht="31.5" spans="58:106">
      <c r="BF352" s="666"/>
      <c r="BG352" s="666"/>
      <c r="CF352" s="1052"/>
      <c r="DB352" s="1070"/>
    </row>
    <row r="353" ht="31.5" spans="58:106">
      <c r="BF353" s="666"/>
      <c r="BG353" s="666"/>
      <c r="CF353" s="1052"/>
      <c r="DB353" s="1070"/>
    </row>
    <row r="354" ht="31.5" spans="58:106">
      <c r="BF354" s="666"/>
      <c r="BG354" s="666"/>
      <c r="CF354" s="1052"/>
      <c r="DB354" s="1070"/>
    </row>
    <row r="355" ht="31.5" spans="58:106">
      <c r="BF355" s="666"/>
      <c r="BG355" s="666"/>
      <c r="CF355" s="1052"/>
      <c r="DB355" s="1070"/>
    </row>
    <row r="356" ht="31.5" spans="58:106">
      <c r="BF356" s="666"/>
      <c r="BG356" s="666"/>
      <c r="CF356" s="1052"/>
      <c r="DB356" s="1070"/>
    </row>
    <row r="357" ht="31.5" spans="58:106">
      <c r="BF357" s="666"/>
      <c r="BG357" s="666"/>
      <c r="CF357" s="1052"/>
      <c r="DB357" s="1070"/>
    </row>
    <row r="358" ht="31.5" spans="58:106">
      <c r="BF358" s="666"/>
      <c r="BG358" s="666"/>
      <c r="CF358" s="1052"/>
      <c r="DB358" s="1070"/>
    </row>
    <row r="359" ht="31.5" spans="58:106">
      <c r="BF359" s="666"/>
      <c r="BG359" s="666"/>
      <c r="CF359" s="1052"/>
      <c r="DB359" s="1070"/>
    </row>
    <row r="360" ht="31.5" spans="58:106">
      <c r="BF360" s="666"/>
      <c r="BG360" s="666"/>
      <c r="CF360" s="1052"/>
      <c r="DB360" s="1070"/>
    </row>
    <row r="361" ht="31.5" spans="58:106">
      <c r="BF361" s="666"/>
      <c r="BG361" s="666"/>
      <c r="CF361" s="1052"/>
      <c r="DB361" s="1070"/>
    </row>
    <row r="362" ht="31.5" spans="58:106">
      <c r="BF362" s="666"/>
      <c r="BG362" s="666"/>
      <c r="CF362" s="1052"/>
      <c r="DB362" s="1070"/>
    </row>
    <row r="363" ht="31.5" spans="58:106">
      <c r="BF363" s="666"/>
      <c r="BG363" s="666"/>
      <c r="CF363" s="1052"/>
      <c r="DB363" s="1070"/>
    </row>
    <row r="364" ht="31.5" spans="58:106">
      <c r="BF364" s="666"/>
      <c r="BG364" s="666"/>
      <c r="CF364" s="1052"/>
      <c r="DB364" s="1070"/>
    </row>
    <row r="365" ht="31.5" spans="58:106">
      <c r="BF365" s="666"/>
      <c r="BG365" s="666"/>
      <c r="CF365" s="1052"/>
      <c r="DB365" s="1070"/>
    </row>
    <row r="366" ht="31.5" spans="58:106">
      <c r="BF366" s="666"/>
      <c r="BG366" s="666"/>
      <c r="CF366" s="1052"/>
      <c r="DB366" s="1070"/>
    </row>
    <row r="367" ht="31.5" spans="58:106">
      <c r="BF367" s="666"/>
      <c r="BG367" s="666"/>
      <c r="CF367" s="1052"/>
      <c r="DB367" s="1070"/>
    </row>
    <row r="368" ht="31.5" spans="58:106">
      <c r="BF368" s="666"/>
      <c r="BG368" s="666"/>
      <c r="CF368" s="1052"/>
      <c r="DB368" s="1070"/>
    </row>
    <row r="369" ht="31.5" spans="58:106">
      <c r="BF369" s="666"/>
      <c r="BG369" s="666"/>
      <c r="CF369" s="1052"/>
      <c r="DB369" s="1070"/>
    </row>
    <row r="370" ht="31.5" spans="58:106">
      <c r="BF370" s="666"/>
      <c r="BG370" s="666"/>
      <c r="CF370" s="1052"/>
      <c r="DB370" s="1070"/>
    </row>
    <row r="371" ht="31.5" spans="58:106">
      <c r="BF371" s="666"/>
      <c r="BG371" s="666"/>
      <c r="CF371" s="1052"/>
      <c r="DB371" s="1070"/>
    </row>
    <row r="372" ht="31.5" spans="58:106">
      <c r="BF372" s="666"/>
      <c r="BG372" s="666"/>
      <c r="CF372" s="1052"/>
      <c r="DB372" s="1070"/>
    </row>
    <row r="373" ht="31.5" spans="58:106">
      <c r="BF373" s="666"/>
      <c r="BG373" s="666"/>
      <c r="CF373" s="1052"/>
      <c r="DB373" s="1070"/>
    </row>
    <row r="374" ht="31.5" spans="58:106">
      <c r="BF374" s="666"/>
      <c r="BG374" s="666"/>
      <c r="CF374" s="1052"/>
      <c r="DB374" s="1070"/>
    </row>
    <row r="375" ht="31.5" spans="58:106">
      <c r="BF375" s="666"/>
      <c r="BG375" s="666"/>
      <c r="CF375" s="1052"/>
      <c r="DB375" s="1070"/>
    </row>
    <row r="376" ht="31.5" spans="58:106">
      <c r="BF376" s="666"/>
      <c r="BG376" s="666"/>
      <c r="CF376" s="1052"/>
      <c r="DB376" s="1070"/>
    </row>
    <row r="377" ht="31.5" spans="58:106">
      <c r="BF377" s="666"/>
      <c r="BG377" s="666"/>
      <c r="CF377" s="1052"/>
      <c r="DB377" s="1070"/>
    </row>
    <row r="378" ht="31.5" spans="58:106">
      <c r="BF378" s="666"/>
      <c r="BG378" s="666"/>
      <c r="CF378" s="1052"/>
      <c r="DB378" s="1070"/>
    </row>
    <row r="379" ht="31.5" spans="58:106">
      <c r="BF379" s="666"/>
      <c r="BG379" s="666"/>
      <c r="CF379" s="1052"/>
      <c r="DB379" s="1070"/>
    </row>
    <row r="380" ht="31.5" spans="58:106">
      <c r="BF380" s="666"/>
      <c r="BG380" s="666"/>
      <c r="CF380" s="1052"/>
      <c r="DB380" s="1070"/>
    </row>
    <row r="381" ht="31.5" spans="58:106">
      <c r="BF381" s="666"/>
      <c r="BG381" s="666"/>
      <c r="CF381" s="1052"/>
      <c r="DB381" s="1070"/>
    </row>
    <row r="382" ht="31.5" spans="58:106">
      <c r="BF382" s="666"/>
      <c r="BG382" s="666"/>
      <c r="CF382" s="1052"/>
      <c r="DB382" s="1070"/>
    </row>
    <row r="383" ht="31.5" spans="58:106">
      <c r="BF383" s="666"/>
      <c r="BG383" s="666"/>
      <c r="CF383" s="1052"/>
      <c r="DB383" s="1070"/>
    </row>
    <row r="384" ht="31.5" spans="58:106">
      <c r="BF384" s="666"/>
      <c r="BG384" s="666"/>
      <c r="CF384" s="1052"/>
      <c r="DB384" s="1070"/>
    </row>
    <row r="385" ht="31.5" spans="58:106">
      <c r="BF385" s="666"/>
      <c r="BG385" s="666"/>
      <c r="CF385" s="1052"/>
      <c r="DB385" s="1070"/>
    </row>
    <row r="386" ht="31.5" spans="58:106">
      <c r="BF386" s="666"/>
      <c r="BG386" s="666"/>
      <c r="CF386" s="1052"/>
      <c r="DB386" s="1070"/>
    </row>
    <row r="387" ht="31.5" spans="58:106">
      <c r="BF387" s="666"/>
      <c r="BG387" s="666"/>
      <c r="CF387" s="1052"/>
      <c r="DB387" s="1070"/>
    </row>
    <row r="388" ht="31.5" spans="58:106">
      <c r="BF388" s="666"/>
      <c r="BG388" s="666"/>
      <c r="CF388" s="1052"/>
      <c r="DB388" s="1070"/>
    </row>
    <row r="389" ht="31.5" spans="58:106">
      <c r="BF389" s="666"/>
      <c r="BG389" s="666"/>
      <c r="CF389" s="1052"/>
      <c r="DB389" s="1070"/>
    </row>
    <row r="390" ht="31.5" spans="58:106">
      <c r="BF390" s="666"/>
      <c r="BG390" s="666"/>
      <c r="CF390" s="1052"/>
      <c r="DB390" s="1070"/>
    </row>
    <row r="391" ht="31.5" spans="58:106">
      <c r="BF391" s="666"/>
      <c r="BG391" s="666"/>
      <c r="CF391" s="1052"/>
      <c r="DB391" s="1070"/>
    </row>
    <row r="392" ht="31.5" spans="58:106">
      <c r="BF392" s="666"/>
      <c r="BG392" s="666"/>
      <c r="CF392" s="1052"/>
      <c r="DB392" s="1070"/>
    </row>
    <row r="393" ht="31.5" spans="58:106">
      <c r="BF393" s="666"/>
      <c r="BG393" s="666"/>
      <c r="CF393" s="1052"/>
      <c r="DB393" s="1070"/>
    </row>
    <row r="394" ht="31.5" spans="58:106">
      <c r="BF394" s="666"/>
      <c r="BG394" s="666"/>
      <c r="CF394" s="1052"/>
      <c r="DB394" s="1070"/>
    </row>
    <row r="395" ht="31.5" spans="58:106">
      <c r="BF395" s="666"/>
      <c r="BG395" s="666"/>
      <c r="CF395" s="1052"/>
      <c r="DB395" s="1070"/>
    </row>
    <row r="396" ht="31.5" spans="58:106">
      <c r="BF396" s="666"/>
      <c r="BG396" s="666"/>
      <c r="CF396" s="1052"/>
      <c r="DB396" s="1070"/>
    </row>
    <row r="397" ht="31.5" spans="58:106">
      <c r="BF397" s="666"/>
      <c r="BG397" s="666"/>
      <c r="CF397" s="1052"/>
      <c r="DB397" s="1070"/>
    </row>
    <row r="398" ht="31.5" spans="58:106">
      <c r="BF398" s="666"/>
      <c r="BG398" s="666"/>
      <c r="CF398" s="1052"/>
      <c r="DB398" s="1070"/>
    </row>
    <row r="399" ht="31.5" spans="58:106">
      <c r="BF399" s="666"/>
      <c r="BG399" s="666"/>
      <c r="CF399" s="1052"/>
      <c r="DB399" s="1070"/>
    </row>
    <row r="400" ht="31.5" spans="58:106">
      <c r="BF400" s="666"/>
      <c r="BG400" s="666"/>
      <c r="CF400" s="1052"/>
      <c r="DB400" s="1070"/>
    </row>
    <row r="401" ht="31.5" spans="58:106">
      <c r="BF401" s="666"/>
      <c r="BG401" s="666"/>
      <c r="CF401" s="1052"/>
      <c r="DB401" s="1070"/>
    </row>
    <row r="402" ht="31.5" spans="58:106">
      <c r="BF402" s="666"/>
      <c r="BG402" s="666"/>
      <c r="CF402" s="1052"/>
      <c r="DB402" s="1070"/>
    </row>
    <row r="403" ht="31.5" spans="58:106">
      <c r="BF403" s="666"/>
      <c r="BG403" s="666"/>
      <c r="CF403" s="1052"/>
      <c r="DB403" s="1070"/>
    </row>
    <row r="404" ht="31.5" spans="58:106">
      <c r="BF404" s="666"/>
      <c r="BG404" s="666"/>
      <c r="CF404" s="1052"/>
      <c r="DB404" s="1070"/>
    </row>
    <row r="405" ht="31.5" spans="58:106">
      <c r="BF405" s="666"/>
      <c r="BG405" s="666"/>
      <c r="CF405" s="1052"/>
      <c r="DB405" s="1070"/>
    </row>
    <row r="406" ht="31.5" spans="58:106">
      <c r="BF406" s="666"/>
      <c r="BG406" s="666"/>
      <c r="CF406" s="1052"/>
      <c r="DB406" s="1070"/>
    </row>
    <row r="407" ht="31.5" spans="58:106">
      <c r="BF407" s="666"/>
      <c r="BG407" s="666"/>
      <c r="CF407" s="1052"/>
      <c r="DB407" s="1070"/>
    </row>
    <row r="408" ht="31.5" spans="58:106">
      <c r="BF408" s="666"/>
      <c r="BG408" s="666"/>
      <c r="CF408" s="1052"/>
      <c r="DB408" s="1070"/>
    </row>
    <row r="409" ht="31.5" spans="58:106">
      <c r="BF409" s="666"/>
      <c r="BG409" s="666"/>
      <c r="CF409" s="1052"/>
      <c r="DB409" s="1070"/>
    </row>
    <row r="410" ht="31.5" spans="58:106">
      <c r="BF410" s="666"/>
      <c r="BG410" s="666"/>
      <c r="CF410" s="1052"/>
      <c r="DB410" s="1070"/>
    </row>
    <row r="411" ht="31.5" spans="58:106">
      <c r="BF411" s="666"/>
      <c r="BG411" s="666"/>
      <c r="CF411" s="1052"/>
      <c r="DB411" s="1070"/>
    </row>
    <row r="412" ht="31.5" spans="58:106">
      <c r="BF412" s="666"/>
      <c r="BG412" s="666"/>
      <c r="CF412" s="1052"/>
      <c r="DB412" s="1070"/>
    </row>
    <row r="413" ht="31.5" spans="58:106">
      <c r="BF413" s="666"/>
      <c r="BG413" s="666"/>
      <c r="CF413" s="1052"/>
      <c r="DB413" s="1070"/>
    </row>
    <row r="414" ht="31.5" spans="58:106">
      <c r="BF414" s="666"/>
      <c r="BG414" s="666"/>
      <c r="CF414" s="1052"/>
      <c r="DB414" s="1070"/>
    </row>
    <row r="415" ht="31.5" spans="58:106">
      <c r="BF415" s="666"/>
      <c r="BG415" s="666"/>
      <c r="CF415" s="1052"/>
      <c r="DB415" s="1070"/>
    </row>
    <row r="416" ht="31.5" spans="58:106">
      <c r="BF416" s="666"/>
      <c r="BG416" s="666"/>
      <c r="CF416" s="1052"/>
      <c r="DB416" s="1070"/>
    </row>
    <row r="417" ht="31.5" spans="58:106">
      <c r="BF417" s="666"/>
      <c r="BG417" s="666"/>
      <c r="CF417" s="1052"/>
      <c r="DB417" s="1070"/>
    </row>
    <row r="418" ht="31.5" spans="58:106">
      <c r="BF418" s="666"/>
      <c r="BG418" s="666"/>
      <c r="CF418" s="1052"/>
      <c r="DB418" s="1070"/>
    </row>
    <row r="419" ht="31.5" spans="58:106">
      <c r="BF419" s="666"/>
      <c r="BG419" s="666"/>
      <c r="CF419" s="1052"/>
      <c r="DB419" s="1070"/>
    </row>
    <row r="420" ht="31.5" spans="58:106">
      <c r="BF420" s="666"/>
      <c r="BG420" s="666"/>
      <c r="CF420" s="1052"/>
      <c r="DB420" s="1070"/>
    </row>
    <row r="421" ht="31.5" spans="58:106">
      <c r="BF421" s="666"/>
      <c r="BG421" s="666"/>
      <c r="CF421" s="1052"/>
      <c r="DB421" s="1070"/>
    </row>
    <row r="422" ht="31.5" spans="58:106">
      <c r="BF422" s="666"/>
      <c r="BG422" s="666"/>
      <c r="CF422" s="1052"/>
      <c r="DB422" s="1070"/>
    </row>
    <row r="423" ht="31.5" spans="58:106">
      <c r="BF423" s="666"/>
      <c r="BG423" s="666"/>
      <c r="CF423" s="1052"/>
      <c r="DB423" s="1070"/>
    </row>
    <row r="424" ht="31.5" spans="58:106">
      <c r="BF424" s="666"/>
      <c r="BG424" s="666"/>
      <c r="CF424" s="1052"/>
      <c r="DB424" s="1070"/>
    </row>
    <row r="425" ht="31.5" spans="58:106">
      <c r="BF425" s="666"/>
      <c r="BG425" s="666"/>
      <c r="CF425" s="1052"/>
      <c r="DB425" s="1070"/>
    </row>
    <row r="426" ht="31.5" spans="58:106">
      <c r="BF426" s="666"/>
      <c r="BG426" s="666"/>
      <c r="CF426" s="1052"/>
      <c r="DB426" s="1070"/>
    </row>
    <row r="427" ht="31.5" spans="58:106">
      <c r="BF427" s="666"/>
      <c r="BG427" s="666"/>
      <c r="CF427" s="1052"/>
      <c r="DB427" s="1070"/>
    </row>
    <row r="428" ht="31.5" spans="58:106">
      <c r="BF428" s="666"/>
      <c r="BG428" s="666"/>
      <c r="CF428" s="1052"/>
      <c r="DB428" s="1070"/>
    </row>
    <row r="429" ht="31.5" spans="58:106">
      <c r="BF429" s="666"/>
      <c r="BG429" s="666"/>
      <c r="CF429" s="1052"/>
      <c r="DB429" s="1070"/>
    </row>
    <row r="430" ht="31.5" spans="58:106">
      <c r="BF430" s="666"/>
      <c r="BG430" s="666"/>
      <c r="CF430" s="1052"/>
      <c r="DB430" s="1070"/>
    </row>
    <row r="431" ht="31.5" spans="58:106">
      <c r="BF431" s="666"/>
      <c r="BG431" s="666"/>
      <c r="CF431" s="1052"/>
      <c r="DB431" s="1070"/>
    </row>
    <row r="432" ht="31.5" spans="58:106">
      <c r="BF432" s="666"/>
      <c r="BG432" s="666"/>
      <c r="CF432" s="1052"/>
      <c r="DB432" s="1070"/>
    </row>
    <row r="433" ht="31.5" spans="58:106">
      <c r="BF433" s="666"/>
      <c r="BG433" s="666"/>
      <c r="CF433" s="1052"/>
      <c r="DB433" s="1070"/>
    </row>
    <row r="434" ht="31.5" spans="58:106">
      <c r="BF434" s="666"/>
      <c r="BG434" s="666"/>
      <c r="CF434" s="1052"/>
      <c r="DB434" s="1070"/>
    </row>
    <row r="435" ht="31.5" spans="58:106">
      <c r="BF435" s="666"/>
      <c r="BG435" s="666"/>
      <c r="CF435" s="1052"/>
      <c r="DB435" s="1070"/>
    </row>
    <row r="436" ht="31.5" spans="58:106">
      <c r="BF436" s="666"/>
      <c r="BG436" s="666"/>
      <c r="CF436" s="1052"/>
      <c r="DB436" s="1070"/>
    </row>
    <row r="437" ht="31.5" spans="58:106">
      <c r="BF437" s="666"/>
      <c r="BG437" s="666"/>
      <c r="CF437" s="1052"/>
      <c r="DB437" s="1070"/>
    </row>
    <row r="438" ht="31.5" spans="58:106">
      <c r="BF438" s="666"/>
      <c r="BG438" s="666"/>
      <c r="CF438" s="1052"/>
      <c r="DB438" s="1070"/>
    </row>
    <row r="439" ht="31.5" spans="58:106">
      <c r="BF439" s="666"/>
      <c r="BG439" s="666"/>
      <c r="CF439" s="1052"/>
      <c r="DB439" s="1070"/>
    </row>
    <row r="440" ht="31.5" spans="58:106">
      <c r="BF440" s="666"/>
      <c r="BG440" s="666"/>
      <c r="CF440" s="1052"/>
      <c r="DB440" s="1070"/>
    </row>
    <row r="441" ht="31.5" spans="58:106">
      <c r="BF441" s="666"/>
      <c r="BG441" s="666"/>
      <c r="CF441" s="1052"/>
      <c r="DB441" s="1070"/>
    </row>
    <row r="442" ht="31.5" spans="58:106">
      <c r="BF442" s="666"/>
      <c r="BG442" s="666"/>
      <c r="CF442" s="1052"/>
      <c r="DB442" s="1070"/>
    </row>
    <row r="443" ht="31.5" spans="58:106">
      <c r="BF443" s="666"/>
      <c r="BG443" s="666"/>
      <c r="CF443" s="1052"/>
      <c r="DB443" s="1070"/>
    </row>
    <row r="444" ht="31.5" spans="58:106">
      <c r="BF444" s="666"/>
      <c r="BG444" s="666"/>
      <c r="CF444" s="1052"/>
      <c r="DB444" s="1070"/>
    </row>
    <row r="445" ht="31.5" spans="58:106">
      <c r="BF445" s="666"/>
      <c r="BG445" s="666"/>
      <c r="CF445" s="1052"/>
      <c r="DB445" s="1070"/>
    </row>
    <row r="446" ht="31.5" spans="58:106">
      <c r="BF446" s="666"/>
      <c r="BG446" s="666"/>
      <c r="CF446" s="1052"/>
      <c r="DB446" s="1070"/>
    </row>
    <row r="447" ht="31.5" spans="58:106">
      <c r="BF447" s="666"/>
      <c r="BG447" s="666"/>
      <c r="CF447" s="1052"/>
      <c r="DB447" s="1070"/>
    </row>
    <row r="448" ht="31.5" spans="58:106">
      <c r="BF448" s="666"/>
      <c r="BG448" s="666"/>
      <c r="CF448" s="1052"/>
      <c r="DB448" s="1070"/>
    </row>
    <row r="449" ht="31.5" spans="58:106">
      <c r="BF449" s="666"/>
      <c r="BG449" s="666"/>
      <c r="CF449" s="1052"/>
      <c r="DB449" s="1070"/>
    </row>
    <row r="450" ht="31.5" spans="58:106">
      <c r="BF450" s="666"/>
      <c r="BG450" s="666"/>
      <c r="CF450" s="1052"/>
      <c r="DB450" s="1070"/>
    </row>
    <row r="451" ht="31.5" spans="58:106">
      <c r="BF451" s="666"/>
      <c r="BG451" s="666"/>
      <c r="CF451" s="1052"/>
      <c r="DB451" s="1070"/>
    </row>
    <row r="452" ht="31.5" spans="58:106">
      <c r="BF452" s="666"/>
      <c r="BG452" s="666"/>
      <c r="CF452" s="1052"/>
      <c r="DB452" s="1070"/>
    </row>
    <row r="453" ht="31.5" spans="58:106">
      <c r="BF453" s="666"/>
      <c r="BG453" s="666"/>
      <c r="CF453" s="1052"/>
      <c r="DB453" s="1070"/>
    </row>
    <row r="454" ht="31.5" spans="58:106">
      <c r="BF454" s="666"/>
      <c r="BG454" s="666"/>
      <c r="CF454" s="1052"/>
      <c r="DB454" s="1070"/>
    </row>
    <row r="455" ht="31.5" spans="58:106">
      <c r="BF455" s="666"/>
      <c r="BG455" s="666"/>
      <c r="CF455" s="1052"/>
      <c r="DB455" s="1070"/>
    </row>
    <row r="456" ht="31.5" spans="58:106">
      <c r="BF456" s="666"/>
      <c r="BG456" s="666"/>
      <c r="CF456" s="1052"/>
      <c r="DB456" s="1070"/>
    </row>
    <row r="457" ht="31.5" spans="58:106">
      <c r="BF457" s="666"/>
      <c r="BG457" s="666"/>
      <c r="CF457" s="1052"/>
      <c r="DB457" s="1070"/>
    </row>
    <row r="458" ht="31.5" spans="58:106">
      <c r="BF458" s="666"/>
      <c r="BG458" s="666"/>
      <c r="CF458" s="1052"/>
      <c r="DB458" s="1070"/>
    </row>
    <row r="459" ht="31.5" spans="58:106">
      <c r="BF459" s="666"/>
      <c r="BG459" s="666"/>
      <c r="CF459" s="1052"/>
      <c r="DB459" s="1070"/>
    </row>
    <row r="460" ht="31.5" spans="58:106">
      <c r="BF460" s="666"/>
      <c r="BG460" s="666"/>
      <c r="CF460" s="1052"/>
      <c r="DB460" s="1070"/>
    </row>
    <row r="461" ht="31.5" spans="58:106">
      <c r="BF461" s="666"/>
      <c r="BG461" s="666"/>
      <c r="CF461" s="1052"/>
      <c r="DB461" s="1070"/>
    </row>
    <row r="462" ht="31.5" spans="58:106">
      <c r="BF462" s="666"/>
      <c r="BG462" s="666"/>
      <c r="CF462" s="1052"/>
      <c r="DB462" s="1070"/>
    </row>
    <row r="463" ht="31.5" spans="58:106">
      <c r="BF463" s="666"/>
      <c r="BG463" s="666"/>
      <c r="CF463" s="1052"/>
      <c r="DB463" s="1070"/>
    </row>
    <row r="464" ht="31.5" spans="58:106">
      <c r="BF464" s="666"/>
      <c r="BG464" s="666"/>
      <c r="CF464" s="1052"/>
      <c r="DB464" s="1070"/>
    </row>
    <row r="465" ht="31.5" spans="58:106">
      <c r="BF465" s="666"/>
      <c r="BG465" s="666"/>
      <c r="CF465" s="1052"/>
      <c r="DB465" s="1070"/>
    </row>
    <row r="466" ht="31.5" spans="58:106">
      <c r="BF466" s="666"/>
      <c r="BG466" s="666"/>
      <c r="CF466" s="1052"/>
      <c r="DB466" s="1070"/>
    </row>
    <row r="467" ht="31.5" spans="58:106">
      <c r="BF467" s="666"/>
      <c r="BG467" s="666"/>
      <c r="CF467" s="1052"/>
      <c r="DB467" s="1070"/>
    </row>
    <row r="468" ht="31.5" spans="58:106">
      <c r="BF468" s="666"/>
      <c r="BG468" s="666"/>
      <c r="CF468" s="1052"/>
      <c r="DB468" s="1070"/>
    </row>
    <row r="469" ht="31.5" spans="58:106">
      <c r="BF469" s="666"/>
      <c r="BG469" s="666"/>
      <c r="CF469" s="1052"/>
      <c r="DB469" s="1070"/>
    </row>
    <row r="470" ht="31.5" spans="58:106">
      <c r="BF470" s="666"/>
      <c r="BG470" s="666"/>
      <c r="CF470" s="1052"/>
      <c r="DB470" s="1070"/>
    </row>
    <row r="471" ht="31.5" spans="58:106">
      <c r="BF471" s="666"/>
      <c r="BG471" s="666"/>
      <c r="CF471" s="1052"/>
      <c r="DB471" s="1070"/>
    </row>
    <row r="472" ht="31.5" spans="58:106">
      <c r="BF472" s="666"/>
      <c r="BG472" s="666"/>
      <c r="CF472" s="1052"/>
      <c r="DB472" s="1070"/>
    </row>
    <row r="473" ht="31.5" spans="58:106">
      <c r="BF473" s="666"/>
      <c r="BG473" s="666"/>
      <c r="CF473" s="1052"/>
      <c r="DB473" s="1070"/>
    </row>
    <row r="474" ht="31.5" spans="58:106">
      <c r="BF474" s="666"/>
      <c r="BG474" s="666"/>
      <c r="CF474" s="1052"/>
      <c r="DB474" s="1070"/>
    </row>
    <row r="475" ht="31.5" spans="58:106">
      <c r="BF475" s="666"/>
      <c r="BG475" s="666"/>
      <c r="CF475" s="1052"/>
      <c r="DB475" s="1070"/>
    </row>
    <row r="476" ht="31.5" spans="58:106">
      <c r="BF476" s="666"/>
      <c r="BG476" s="666"/>
      <c r="CF476" s="1052"/>
      <c r="DB476" s="1070"/>
    </row>
    <row r="477" ht="31.5" spans="58:106">
      <c r="BF477" s="666"/>
      <c r="BG477" s="666"/>
      <c r="CF477" s="1052"/>
      <c r="DB477" s="1070"/>
    </row>
    <row r="478" ht="31.5" spans="58:106">
      <c r="BF478" s="666"/>
      <c r="BG478" s="666"/>
      <c r="CF478" s="1052"/>
      <c r="DB478" s="1070"/>
    </row>
    <row r="479" ht="31.5" spans="58:106">
      <c r="BF479" s="666"/>
      <c r="BG479" s="666"/>
      <c r="CF479" s="1052"/>
      <c r="DB479" s="1070"/>
    </row>
    <row r="480" ht="31.5" spans="58:106">
      <c r="BF480" s="666"/>
      <c r="BG480" s="666"/>
      <c r="CF480" s="1052"/>
      <c r="DB480" s="1070"/>
    </row>
    <row r="481" ht="31.5" spans="58:106">
      <c r="BF481" s="666"/>
      <c r="BG481" s="666"/>
      <c r="CF481" s="1052"/>
      <c r="DB481" s="1070"/>
    </row>
    <row r="482" ht="31.5" spans="58:106">
      <c r="BF482" s="666"/>
      <c r="BG482" s="666"/>
      <c r="CF482" s="1052"/>
      <c r="DB482" s="1070"/>
    </row>
    <row r="483" ht="31.5" spans="58:106">
      <c r="BF483" s="666"/>
      <c r="BG483" s="666"/>
      <c r="CF483" s="1052"/>
      <c r="DB483" s="1070"/>
    </row>
    <row r="484" ht="31.5" spans="58:106">
      <c r="BF484" s="666"/>
      <c r="BG484" s="666"/>
      <c r="CF484" s="1052"/>
      <c r="DB484" s="1070"/>
    </row>
    <row r="485" ht="31.5" spans="58:106">
      <c r="BF485" s="666"/>
      <c r="BG485" s="666"/>
      <c r="CF485" s="1052"/>
      <c r="DB485" s="1070"/>
    </row>
    <row r="486" ht="31.5" spans="58:106">
      <c r="BF486" s="666"/>
      <c r="BG486" s="666"/>
      <c r="CF486" s="1052"/>
      <c r="DB486" s="1070"/>
    </row>
    <row r="487" ht="31.5" spans="58:106">
      <c r="BF487" s="666"/>
      <c r="BG487" s="666"/>
      <c r="CF487" s="1052"/>
      <c r="DB487" s="1070"/>
    </row>
    <row r="488" ht="31.5" spans="58:106">
      <c r="BF488" s="666"/>
      <c r="BG488" s="666"/>
      <c r="CF488" s="1052"/>
      <c r="DB488" s="1070"/>
    </row>
    <row r="489" ht="31.5" spans="58:106">
      <c r="BF489" s="666"/>
      <c r="BG489" s="666"/>
      <c r="CF489" s="1052"/>
      <c r="DB489" s="1070"/>
    </row>
    <row r="490" ht="31.5" spans="58:106">
      <c r="BF490" s="666"/>
      <c r="BG490" s="666"/>
      <c r="CF490" s="1052"/>
      <c r="DB490" s="1070"/>
    </row>
    <row r="491" ht="31.5" spans="58:106">
      <c r="BF491" s="666"/>
      <c r="BG491" s="666"/>
      <c r="CF491" s="1052"/>
      <c r="DB491" s="1070"/>
    </row>
    <row r="492" ht="31.5" spans="58:106">
      <c r="BF492" s="666"/>
      <c r="BG492" s="666"/>
      <c r="CF492" s="1052"/>
      <c r="DB492" s="1070"/>
    </row>
    <row r="493" ht="31.5" spans="58:106">
      <c r="BF493" s="666"/>
      <c r="BG493" s="666"/>
      <c r="CF493" s="1052"/>
      <c r="DB493" s="1070"/>
    </row>
    <row r="494" ht="31.5" spans="58:106">
      <c r="BF494" s="666"/>
      <c r="BG494" s="666"/>
      <c r="CF494" s="1052"/>
      <c r="DB494" s="1070"/>
    </row>
    <row r="495" ht="31.5" spans="58:106">
      <c r="BF495" s="666"/>
      <c r="BG495" s="666"/>
      <c r="CF495" s="1052"/>
      <c r="DB495" s="1070"/>
    </row>
    <row r="496" ht="31.5" spans="58:106">
      <c r="BF496" s="666"/>
      <c r="BG496" s="666"/>
      <c r="CF496" s="1052"/>
      <c r="DB496" s="1070"/>
    </row>
    <row r="497" ht="31.5" spans="58:106">
      <c r="BF497" s="666"/>
      <c r="BG497" s="666"/>
      <c r="CF497" s="1052"/>
      <c r="DB497" s="1070"/>
    </row>
    <row r="498" ht="31.5" spans="58:106">
      <c r="BF498" s="666"/>
      <c r="BG498" s="666"/>
      <c r="CF498" s="1052"/>
      <c r="DB498" s="1070"/>
    </row>
    <row r="499" ht="31.5" spans="58:106">
      <c r="BF499" s="666"/>
      <c r="BG499" s="666"/>
      <c r="CF499" s="1052"/>
      <c r="DB499" s="1070"/>
    </row>
    <row r="500" ht="31.5" spans="58:106">
      <c r="BF500" s="666"/>
      <c r="BG500" s="666"/>
      <c r="CF500" s="1052"/>
      <c r="DB500" s="1070"/>
    </row>
    <row r="501" ht="31.5" spans="58:106">
      <c r="BF501" s="666"/>
      <c r="BG501" s="666"/>
      <c r="CF501" s="1052"/>
      <c r="DB501" s="1070"/>
    </row>
    <row r="502" ht="31.5" spans="58:106">
      <c r="BF502" s="666"/>
      <c r="BG502" s="666"/>
      <c r="CF502" s="1052"/>
      <c r="DB502" s="1070"/>
    </row>
    <row r="503" ht="31.5" spans="58:106">
      <c r="BF503" s="666"/>
      <c r="BG503" s="666"/>
      <c r="CF503" s="1052"/>
      <c r="DB503" s="1070"/>
    </row>
    <row r="504" ht="31.5" spans="58:106">
      <c r="BF504" s="666"/>
      <c r="BG504" s="666"/>
      <c r="CF504" s="1052"/>
      <c r="DB504" s="1070"/>
    </row>
    <row r="505" ht="31.5" spans="58:106">
      <c r="BF505" s="666"/>
      <c r="BG505" s="666"/>
      <c r="CF505" s="1052"/>
      <c r="DB505" s="1070"/>
    </row>
    <row r="506" ht="31.5" spans="58:106">
      <c r="BF506" s="666"/>
      <c r="BG506" s="666"/>
      <c r="CF506" s="1052"/>
      <c r="DB506" s="1070"/>
    </row>
    <row r="507" ht="31.5" spans="58:106">
      <c r="BF507" s="666"/>
      <c r="BG507" s="666"/>
      <c r="CF507" s="1052"/>
      <c r="DB507" s="1070"/>
    </row>
    <row r="508" ht="31.5" spans="58:106">
      <c r="BF508" s="666"/>
      <c r="BG508" s="666"/>
      <c r="CF508" s="1052"/>
      <c r="DB508" s="1070"/>
    </row>
    <row r="509" ht="31.5" spans="58:106">
      <c r="BF509" s="666"/>
      <c r="BG509" s="666"/>
      <c r="CF509" s="1052"/>
      <c r="DB509" s="1070"/>
    </row>
    <row r="510" ht="31.5" spans="58:106">
      <c r="BF510" s="666"/>
      <c r="BG510" s="666"/>
      <c r="CF510" s="1052"/>
      <c r="DB510" s="1070"/>
    </row>
    <row r="511" ht="31.5" spans="58:106">
      <c r="BF511" s="666"/>
      <c r="BG511" s="666"/>
      <c r="CF511" s="1052"/>
      <c r="DB511" s="1070"/>
    </row>
    <row r="512" ht="31.5" spans="58:106">
      <c r="BF512" s="666"/>
      <c r="BG512" s="666"/>
      <c r="CF512" s="1052"/>
      <c r="DB512" s="1070"/>
    </row>
    <row r="513" ht="31.5" spans="58:106">
      <c r="BF513" s="666"/>
      <c r="BG513" s="666"/>
      <c r="CF513" s="1052"/>
      <c r="DB513" s="1070"/>
    </row>
    <row r="514" ht="31.5" spans="58:106">
      <c r="BF514" s="666"/>
      <c r="BG514" s="666"/>
      <c r="CF514" s="1052"/>
      <c r="DB514" s="1070"/>
    </row>
    <row r="515" ht="31.5" spans="58:106">
      <c r="BF515" s="666"/>
      <c r="BG515" s="666"/>
      <c r="CF515" s="1052"/>
      <c r="DB515" s="1070"/>
    </row>
    <row r="516" ht="31.5" spans="58:106">
      <c r="BF516" s="666"/>
      <c r="BG516" s="666"/>
      <c r="CF516" s="1052"/>
      <c r="DB516" s="1070"/>
    </row>
    <row r="517" ht="31.5" spans="58:106">
      <c r="BF517" s="666"/>
      <c r="BG517" s="666"/>
      <c r="CF517" s="1052"/>
      <c r="DB517" s="1070"/>
    </row>
    <row r="518" ht="31.5" spans="58:106">
      <c r="BF518" s="666"/>
      <c r="BG518" s="666"/>
      <c r="CF518" s="1052"/>
      <c r="DB518" s="1070"/>
    </row>
    <row r="519" ht="31.5" spans="58:106">
      <c r="BF519" s="666"/>
      <c r="BG519" s="666"/>
      <c r="CF519" s="1052"/>
      <c r="DB519" s="1070"/>
    </row>
    <row r="520" ht="31.5" spans="58:106">
      <c r="BF520" s="666"/>
      <c r="BG520" s="666"/>
      <c r="CF520" s="1052"/>
      <c r="DB520" s="1070"/>
    </row>
    <row r="521" ht="31.5" spans="58:106">
      <c r="BF521" s="666"/>
      <c r="BG521" s="666"/>
      <c r="CF521" s="1052"/>
      <c r="DB521" s="1070"/>
    </row>
    <row r="522" ht="31.5" spans="58:106">
      <c r="BF522" s="666"/>
      <c r="BG522" s="666"/>
      <c r="CF522" s="1052"/>
      <c r="DB522" s="1070"/>
    </row>
    <row r="523" ht="31.5" spans="58:106">
      <c r="BF523" s="666"/>
      <c r="BG523" s="666"/>
      <c r="CF523" s="1052"/>
      <c r="DB523" s="1070"/>
    </row>
    <row r="524" ht="31.5" spans="58:106">
      <c r="BF524" s="666"/>
      <c r="BG524" s="666"/>
      <c r="CF524" s="1052"/>
      <c r="DB524" s="1070"/>
    </row>
    <row r="525" ht="31.5" spans="58:106">
      <c r="BF525" s="666"/>
      <c r="BG525" s="666"/>
      <c r="CF525" s="1052"/>
      <c r="DB525" s="1070"/>
    </row>
    <row r="526" ht="31.5" spans="58:106">
      <c r="BF526" s="666"/>
      <c r="BG526" s="666"/>
      <c r="CF526" s="1052"/>
      <c r="DB526" s="1070"/>
    </row>
    <row r="527" ht="31.5" spans="58:106">
      <c r="BF527" s="666"/>
      <c r="BG527" s="666"/>
      <c r="CF527" s="1052"/>
      <c r="DB527" s="1070"/>
    </row>
    <row r="528" ht="31.5" spans="58:106">
      <c r="BF528" s="666"/>
      <c r="BG528" s="666"/>
      <c r="CF528" s="1052"/>
      <c r="DB528" s="1070"/>
    </row>
    <row r="529" ht="31.5" spans="58:106">
      <c r="BF529" s="666"/>
      <c r="BG529" s="666"/>
      <c r="CF529" s="1052"/>
      <c r="DB529" s="1070"/>
    </row>
    <row r="530" ht="31.5" spans="58:106">
      <c r="BF530" s="666"/>
      <c r="BG530" s="666"/>
      <c r="CF530" s="1052"/>
      <c r="DB530" s="1070"/>
    </row>
    <row r="531" ht="31.5" spans="58:106">
      <c r="BF531" s="666"/>
      <c r="BG531" s="666"/>
      <c r="CF531" s="1052"/>
      <c r="DB531" s="1070"/>
    </row>
    <row r="532" ht="31.5" spans="58:106">
      <c r="BF532" s="666"/>
      <c r="BG532" s="666"/>
      <c r="CF532" s="1052"/>
      <c r="DB532" s="1070"/>
    </row>
    <row r="533" ht="31.5" spans="58:106">
      <c r="BF533" s="666"/>
      <c r="BG533" s="666"/>
      <c r="CF533" s="1052"/>
      <c r="DB533" s="1070"/>
    </row>
    <row r="534" ht="31.5" spans="58:106">
      <c r="BF534" s="666"/>
      <c r="BG534" s="666"/>
      <c r="CF534" s="1052"/>
      <c r="DB534" s="1070"/>
    </row>
    <row r="535" ht="31.5" spans="58:106">
      <c r="BF535" s="666"/>
      <c r="BG535" s="666"/>
      <c r="CF535" s="1052"/>
      <c r="DB535" s="1070"/>
    </row>
    <row r="536" ht="31.5" spans="58:106">
      <c r="BF536" s="666"/>
      <c r="BG536" s="666"/>
      <c r="CF536" s="1052"/>
      <c r="DB536" s="1070"/>
    </row>
    <row r="537" ht="31.5" spans="58:106">
      <c r="BF537" s="666"/>
      <c r="BG537" s="666"/>
      <c r="CF537" s="1052"/>
      <c r="DB537" s="1070"/>
    </row>
    <row r="538" ht="31.5" spans="58:106">
      <c r="BF538" s="666"/>
      <c r="BG538" s="666"/>
      <c r="CF538" s="1052"/>
      <c r="DB538" s="1070"/>
    </row>
    <row r="539" ht="31.5" spans="58:106">
      <c r="BF539" s="666"/>
      <c r="BG539" s="666"/>
      <c r="CF539" s="1052"/>
      <c r="DB539" s="1070"/>
    </row>
    <row r="540" ht="31.5" spans="58:106">
      <c r="BF540" s="666"/>
      <c r="BG540" s="666"/>
      <c r="CF540" s="1052"/>
      <c r="DB540" s="1070"/>
    </row>
    <row r="541" ht="31.5" spans="58:106">
      <c r="BF541" s="666"/>
      <c r="BG541" s="666"/>
      <c r="CF541" s="1052"/>
      <c r="DB541" s="1070"/>
    </row>
    <row r="542" ht="31.5" spans="58:106">
      <c r="BF542" s="666"/>
      <c r="BG542" s="666"/>
      <c r="CF542" s="1052"/>
      <c r="DB542" s="1070"/>
    </row>
    <row r="543" ht="31.5" spans="58:106">
      <c r="BF543" s="666"/>
      <c r="BG543" s="666"/>
      <c r="CF543" s="1052"/>
      <c r="DB543" s="1070"/>
    </row>
    <row r="544" ht="31.5" spans="58:106">
      <c r="BF544" s="666"/>
      <c r="BG544" s="666"/>
      <c r="CF544" s="1052"/>
      <c r="DB544" s="1070"/>
    </row>
    <row r="545" ht="31.5" spans="58:106">
      <c r="BF545" s="666"/>
      <c r="BG545" s="666"/>
      <c r="CF545" s="1052"/>
      <c r="DB545" s="1070"/>
    </row>
    <row r="546" ht="31.5" spans="58:106">
      <c r="BF546" s="666"/>
      <c r="BG546" s="666"/>
      <c r="CF546" s="1052"/>
      <c r="DB546" s="1070"/>
    </row>
    <row r="547" ht="31.5" spans="58:106">
      <c r="BF547" s="666"/>
      <c r="BG547" s="666"/>
      <c r="CF547" s="1052"/>
      <c r="DB547" s="1070"/>
    </row>
    <row r="548" ht="31.5" spans="58:106">
      <c r="BF548" s="666"/>
      <c r="BG548" s="666"/>
      <c r="CF548" s="1052"/>
      <c r="DB548" s="1070"/>
    </row>
    <row r="549" ht="31.5" spans="58:106">
      <c r="BF549" s="666"/>
      <c r="BG549" s="666"/>
      <c r="CF549" s="1052"/>
      <c r="DB549" s="1070"/>
    </row>
    <row r="550" ht="31.5" spans="58:106">
      <c r="BF550" s="666"/>
      <c r="BG550" s="666"/>
      <c r="CF550" s="1052"/>
      <c r="DB550" s="1070"/>
    </row>
    <row r="551" ht="31.5" spans="58:106">
      <c r="BF551" s="666"/>
      <c r="BG551" s="666"/>
      <c r="CF551" s="1052"/>
      <c r="DB551" s="1070"/>
    </row>
    <row r="552" ht="31.5" spans="58:106">
      <c r="BF552" s="666"/>
      <c r="BG552" s="666"/>
      <c r="CF552" s="1052"/>
      <c r="DB552" s="1070"/>
    </row>
    <row r="553" ht="31.5" spans="58:106">
      <c r="BF553" s="666"/>
      <c r="BG553" s="666"/>
      <c r="CF553" s="1052"/>
      <c r="DB553" s="1070"/>
    </row>
    <row r="554" ht="31.5" spans="58:106">
      <c r="BF554" s="666"/>
      <c r="BG554" s="666"/>
      <c r="CF554" s="1052"/>
      <c r="DB554" s="1070"/>
    </row>
    <row r="555" ht="31.5" spans="58:106">
      <c r="BF555" s="666"/>
      <c r="BG555" s="666"/>
      <c r="CF555" s="1052"/>
      <c r="DB555" s="1070"/>
    </row>
    <row r="556" ht="32.25" spans="58:106">
      <c r="BF556" s="666"/>
      <c r="BG556" s="666"/>
      <c r="CF556" s="1052"/>
      <c r="DB556" s="1070"/>
    </row>
  </sheetData>
  <mergeCells count="8">
    <mergeCell ref="A1:CG1"/>
    <mergeCell ref="A2:CG2"/>
    <mergeCell ref="I213:J213"/>
    <mergeCell ref="B342:D342"/>
    <mergeCell ref="B343:D343"/>
    <mergeCell ref="A345:G345"/>
    <mergeCell ref="I345:T345"/>
    <mergeCell ref="W345:CV345"/>
  </mergeCells>
  <conditionalFormatting sqref="CI5:CJ342 CM5:CT342 CX5:DA342 CI343 CT343 A344">
    <cfRule type="cellIs" dxfId="0" priority="1" stopIfTrue="1" operator="lessThan">
      <formula>0</formula>
    </cfRule>
    <cfRule type="cellIs" dxfId="1" priority="2" stopIfTrue="1" operator="lessThan">
      <formula>0</formula>
    </cfRule>
  </conditionalFormatting>
  <hyperlinks>
    <hyperlink ref="CR3" r:id="rId2" display="next 1.6m @ 21%"/>
    <hyperlink ref="CQ3" r:id="rId3" display="next 500k @ 19%"/>
    <hyperlink ref="CP3" r:id="rId4" display="next 500k @ 15%"/>
    <hyperlink ref="CO3" r:id="rId5" display="next 300k @ 11%"/>
    <hyperlink ref="CN3" r:id="rId6" display="1st 300K @ 7%"/>
  </hyperlinks>
  <pageMargins left="0.7" right="0.7" top="0.75" bottom="0.75" header="0.3" footer="0.3"/>
  <pageSetup paperSize="9" scale="13" fitToHeight="25" orientation="landscape"/>
  <headerFooter/>
  <rowBreaks count="1" manualBreakCount="1">
    <brk id="343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view="pageBreakPreview" zoomScale="60" zoomScaleNormal="100" topLeftCell="A2" workbookViewId="0">
      <selection activeCell="C11" sqref="C11"/>
    </sheetView>
  </sheetViews>
  <sheetFormatPr defaultColWidth="11.5047619047619" defaultRowHeight="15" outlineLevelCol="3"/>
  <cols>
    <col min="1" max="1" width="1.33333333333333" customWidth="1"/>
    <col min="3" max="3" width="70.6666666666667" customWidth="1"/>
    <col min="4" max="4" width="33.1619047619048" customWidth="1"/>
  </cols>
  <sheetData>
    <row r="1" ht="211" customHeight="1" spans="1:4">
      <c r="A1" s="651" t="s">
        <v>1803</v>
      </c>
      <c r="B1" s="651"/>
      <c r="C1" s="651"/>
      <c r="D1" s="651"/>
    </row>
    <row r="2" ht="36" customHeight="1" spans="2:4">
      <c r="B2" s="652">
        <v>1</v>
      </c>
      <c r="C2" s="56" t="s">
        <v>1519</v>
      </c>
      <c r="D2" s="653">
        <v>9853.0932</v>
      </c>
    </row>
    <row r="3" ht="36" customHeight="1" spans="2:4">
      <c r="B3" s="652">
        <v>2</v>
      </c>
      <c r="C3" s="56" t="s">
        <v>869</v>
      </c>
      <c r="D3" s="653">
        <v>9853.0932</v>
      </c>
    </row>
    <row r="4" ht="36" customHeight="1" spans="2:4">
      <c r="B4" s="652">
        <v>3</v>
      </c>
      <c r="C4" s="56" t="s">
        <v>870</v>
      </c>
      <c r="D4" s="653">
        <v>9625.15</v>
      </c>
    </row>
    <row r="5" ht="36" customHeight="1" spans="2:4">
      <c r="B5" s="652">
        <v>4</v>
      </c>
      <c r="C5" s="56" t="s">
        <v>1014</v>
      </c>
      <c r="D5" s="653">
        <v>6953.25</v>
      </c>
    </row>
    <row r="6" ht="36" customHeight="1" spans="2:4">
      <c r="B6" s="652">
        <v>5</v>
      </c>
      <c r="C6" s="56" t="s">
        <v>1271</v>
      </c>
      <c r="D6" s="653">
        <v>8752.00833333333</v>
      </c>
    </row>
    <row r="7" ht="36" customHeight="1" spans="2:4">
      <c r="B7" s="652">
        <v>6</v>
      </c>
      <c r="C7" s="56" t="s">
        <v>1273</v>
      </c>
      <c r="D7" s="653">
        <v>7493.275</v>
      </c>
    </row>
    <row r="8" ht="36" customHeight="1" spans="2:4">
      <c r="B8" s="652">
        <v>7</v>
      </c>
      <c r="C8" s="56" t="s">
        <v>1275</v>
      </c>
      <c r="D8" s="653">
        <v>7493.27916666667</v>
      </c>
    </row>
    <row r="9" ht="36" customHeight="1" spans="2:4">
      <c r="B9" s="652">
        <v>8</v>
      </c>
      <c r="C9" s="56" t="s">
        <v>1276</v>
      </c>
      <c r="D9" s="653">
        <v>8542.21666666667</v>
      </c>
    </row>
    <row r="10" ht="36" customHeight="1" spans="2:4">
      <c r="B10" s="652">
        <v>9</v>
      </c>
      <c r="C10" s="56" t="s">
        <v>1278</v>
      </c>
      <c r="D10" s="653">
        <v>7912.85416666667</v>
      </c>
    </row>
    <row r="11" ht="36" customHeight="1" spans="2:4">
      <c r="B11" s="652">
        <v>10</v>
      </c>
      <c r="C11" s="56" t="s">
        <v>1280</v>
      </c>
      <c r="D11" s="653">
        <v>7912.85416666667</v>
      </c>
    </row>
    <row r="12" ht="36" customHeight="1" spans="2:4">
      <c r="B12" s="652">
        <v>11</v>
      </c>
      <c r="C12" s="56" t="s">
        <v>1282</v>
      </c>
      <c r="D12" s="653">
        <v>7912.85416666667</v>
      </c>
    </row>
    <row r="13" ht="36" customHeight="1" spans="2:4">
      <c r="B13" s="652">
        <v>12</v>
      </c>
      <c r="C13" s="56" t="s">
        <v>1284</v>
      </c>
      <c r="D13" s="653">
        <v>7912.85416666667</v>
      </c>
    </row>
    <row r="14" ht="36" customHeight="1" spans="2:4">
      <c r="B14" s="652">
        <v>13</v>
      </c>
      <c r="C14" s="56" t="s">
        <v>1286</v>
      </c>
      <c r="D14" s="653">
        <v>7912.85416666667</v>
      </c>
    </row>
    <row r="15" ht="36" customHeight="1" spans="2:4">
      <c r="B15" s="652">
        <v>14</v>
      </c>
      <c r="C15" s="56" t="s">
        <v>1288</v>
      </c>
      <c r="D15" s="653">
        <v>7912.85416666667</v>
      </c>
    </row>
    <row r="16" ht="36" customHeight="1" spans="2:4">
      <c r="B16" s="652">
        <v>15</v>
      </c>
      <c r="C16" s="56" t="s">
        <v>1290</v>
      </c>
      <c r="D16" s="653">
        <v>7912.85416666667</v>
      </c>
    </row>
    <row r="17" ht="36" customHeight="1" spans="2:4">
      <c r="B17" s="652">
        <v>16</v>
      </c>
      <c r="C17" s="56" t="s">
        <v>1338</v>
      </c>
      <c r="D17" s="653">
        <v>6795.9032</v>
      </c>
    </row>
    <row r="18" ht="36" customHeight="1" spans="2:4">
      <c r="B18" s="652">
        <v>17</v>
      </c>
      <c r="C18" s="56" t="s">
        <v>1339</v>
      </c>
      <c r="D18" s="653">
        <v>6795.9032</v>
      </c>
    </row>
    <row r="19" ht="36" customHeight="1" spans="2:4">
      <c r="B19" s="652">
        <v>18</v>
      </c>
      <c r="C19" s="56" t="s">
        <v>1340</v>
      </c>
      <c r="D19" s="653">
        <v>6795.9032</v>
      </c>
    </row>
    <row r="20" ht="36" customHeight="1" spans="2:4">
      <c r="B20" s="652">
        <v>19</v>
      </c>
      <c r="C20" s="56" t="s">
        <v>1342</v>
      </c>
      <c r="D20" s="653">
        <v>6795.9032</v>
      </c>
    </row>
    <row r="21" ht="36" customHeight="1" spans="2:4">
      <c r="B21" s="652">
        <v>20</v>
      </c>
      <c r="C21" s="56" t="s">
        <v>1343</v>
      </c>
      <c r="D21" s="653">
        <v>6795.9032</v>
      </c>
    </row>
    <row r="22" ht="37.5" spans="2:4">
      <c r="B22" s="56"/>
      <c r="C22" s="654" t="s">
        <v>867</v>
      </c>
      <c r="D22" s="655">
        <f>SUM(D2:D21)</f>
        <v>157934.860733333</v>
      </c>
    </row>
    <row r="23" ht="15.75"/>
  </sheetData>
  <mergeCells count="1">
    <mergeCell ref="A1:D1"/>
  </mergeCells>
  <pageMargins left="0.7" right="0.7" top="0.75" bottom="0.75" header="0.3" footer="0.3"/>
  <pageSetup paperSize="9" scale="65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8"/>
  <sheetViews>
    <sheetView view="pageBreakPreview" zoomScale="60" zoomScaleNormal="100" topLeftCell="A3" workbookViewId="0">
      <selection activeCell="A15" sqref="A15:D15"/>
    </sheetView>
  </sheetViews>
  <sheetFormatPr defaultColWidth="8.82857142857143" defaultRowHeight="15" outlineLevelCol="4"/>
  <cols>
    <col min="4" max="4" width="144.161904761905" customWidth="1"/>
    <col min="5" max="5" width="77.6666666666667" style="439" customWidth="1"/>
    <col min="6" max="6" width="25.3333333333333" customWidth="1"/>
    <col min="7" max="7" width="25.5047619047619" customWidth="1"/>
  </cols>
  <sheetData>
    <row r="1" spans="1:5">
      <c r="A1" s="597" t="s">
        <v>1804</v>
      </c>
      <c r="B1" s="597"/>
      <c r="C1" s="597"/>
      <c r="D1" s="597"/>
      <c r="E1" s="597"/>
    </row>
    <row r="2" ht="300" customHeight="1" spans="1:5">
      <c r="A2" s="597"/>
      <c r="B2" s="597"/>
      <c r="C2" s="597"/>
      <c r="D2" s="597"/>
      <c r="E2" s="597"/>
    </row>
    <row r="3" ht="60" customHeight="1" spans="1:5">
      <c r="A3" s="598" t="s">
        <v>1805</v>
      </c>
      <c r="B3" s="598"/>
      <c r="C3" s="598"/>
      <c r="D3" s="598"/>
      <c r="E3" s="599" t="s">
        <v>1806</v>
      </c>
    </row>
    <row r="4" ht="3.75" customHeight="1" spans="1:5">
      <c r="A4" s="598"/>
      <c r="B4" s="598"/>
      <c r="C4" s="598"/>
      <c r="D4" s="598"/>
      <c r="E4" s="600"/>
    </row>
    <row r="5" ht="48.75" customHeight="1" spans="1:5">
      <c r="A5" s="601" t="s">
        <v>67</v>
      </c>
      <c r="B5" s="601"/>
      <c r="C5" s="601"/>
      <c r="D5" s="601"/>
      <c r="E5" s="602">
        <f>'NON TEACHING STAFF'!CF343</f>
        <v>118772082.765695</v>
      </c>
    </row>
    <row r="6" ht="57.75" hidden="1" customHeight="1" spans="1:5">
      <c r="A6" s="601"/>
      <c r="B6" s="601"/>
      <c r="C6" s="601"/>
      <c r="D6" s="601"/>
      <c r="E6" s="602"/>
    </row>
    <row r="7" ht="57.75" hidden="1" customHeight="1" spans="1:5">
      <c r="A7" s="601"/>
      <c r="B7" s="601"/>
      <c r="C7" s="601"/>
      <c r="D7" s="601"/>
      <c r="E7" s="602"/>
    </row>
    <row r="8" ht="57.75" hidden="1" customHeight="1" spans="1:5">
      <c r="A8" s="601"/>
      <c r="B8" s="601"/>
      <c r="C8" s="601"/>
      <c r="D8" s="601"/>
      <c r="E8" s="603"/>
    </row>
    <row r="9" ht="57.75" customHeight="1" spans="1:5">
      <c r="A9" s="604" t="s">
        <v>52</v>
      </c>
      <c r="B9" s="605"/>
      <c r="C9" s="605"/>
      <c r="D9" s="606"/>
      <c r="E9" s="602">
        <f>'NON TEACHING STAFF'!BO343</f>
        <v>17737193.1922554</v>
      </c>
    </row>
    <row r="10" ht="57.75" customHeight="1" spans="1:5">
      <c r="A10" s="607" t="s">
        <v>1807</v>
      </c>
      <c r="B10" s="608"/>
      <c r="C10" s="608"/>
      <c r="D10" s="609"/>
      <c r="E10" s="602">
        <f>'NON TEACHING STAFF'!AW343</f>
        <v>335000</v>
      </c>
    </row>
    <row r="11" ht="57.75" customHeight="1" spans="1:5">
      <c r="A11" s="607" t="s">
        <v>38</v>
      </c>
      <c r="B11" s="610"/>
      <c r="C11" s="610"/>
      <c r="D11" s="611"/>
      <c r="E11" s="602">
        <f>'NON TEACHING STAFF'!BK343</f>
        <v>1903865.47632666</v>
      </c>
    </row>
    <row r="12" ht="57.75" customHeight="1" spans="1:5">
      <c r="A12" s="607" t="s">
        <v>39</v>
      </c>
      <c r="B12" s="610"/>
      <c r="C12" s="610"/>
      <c r="D12" s="611"/>
      <c r="E12" s="602">
        <f>'NON TEACHING STAFF'!BW343</f>
        <v>160500</v>
      </c>
    </row>
    <row r="13" ht="57.75" customHeight="1" spans="1:5">
      <c r="A13" s="607" t="s">
        <v>1797</v>
      </c>
      <c r="B13" s="610"/>
      <c r="C13" s="610"/>
      <c r="D13" s="611"/>
      <c r="E13" s="602">
        <f>'NON TEACHING STAFF'!AU343</f>
        <v>2230506.25235</v>
      </c>
    </row>
    <row r="14" ht="57.75" customHeight="1" spans="1:5">
      <c r="A14" s="607" t="s">
        <v>1808</v>
      </c>
      <c r="B14" s="610"/>
      <c r="C14" s="610"/>
      <c r="D14" s="611"/>
      <c r="E14" s="602">
        <f>'NON TEACHING STAFF'!BT343</f>
        <v>312134</v>
      </c>
    </row>
    <row r="15" ht="57.75" customHeight="1" spans="1:5">
      <c r="A15" s="607" t="s">
        <v>36</v>
      </c>
      <c r="B15" s="610"/>
      <c r="C15" s="610"/>
      <c r="D15" s="611"/>
      <c r="E15" s="602">
        <f>'NON TEACHING STAFF'!BJ343</f>
        <v>460264.5396</v>
      </c>
    </row>
    <row r="16" ht="57.75" customHeight="1" spans="1:5">
      <c r="A16" s="607" t="s">
        <v>1809</v>
      </c>
      <c r="B16" s="610"/>
      <c r="C16" s="610"/>
      <c r="D16" s="611"/>
      <c r="E16" s="602">
        <f>'NON TEACHING STAFF'!BA343</f>
        <v>21818.182</v>
      </c>
    </row>
    <row r="17" ht="57.75" customHeight="1" spans="1:5">
      <c r="A17" s="607" t="s">
        <v>1810</v>
      </c>
      <c r="B17" s="610"/>
      <c r="C17" s="610"/>
      <c r="D17" s="611"/>
      <c r="E17" s="602">
        <f>'NON TEACHING STAFF'!AT343</f>
        <v>107000</v>
      </c>
    </row>
    <row r="18" ht="57.75" customHeight="1" spans="1:5">
      <c r="A18" s="607" t="s">
        <v>1508</v>
      </c>
      <c r="B18" s="612"/>
      <c r="C18" s="612"/>
      <c r="D18" s="613"/>
      <c r="E18" s="602">
        <f>'NON TEACHING STAFF'!BL343</f>
        <v>1184166.62</v>
      </c>
    </row>
    <row r="19" ht="57.75" customHeight="1" spans="1:5">
      <c r="A19" s="607" t="s">
        <v>47</v>
      </c>
      <c r="B19" s="612"/>
      <c r="C19" s="612"/>
      <c r="D19" s="613"/>
      <c r="E19" s="602">
        <f>'NON TEACHING STAFF'!BX343</f>
        <v>530000</v>
      </c>
    </row>
    <row r="20" ht="57.75" customHeight="1" spans="1:5">
      <c r="A20" s="607" t="s">
        <v>1811</v>
      </c>
      <c r="B20" s="610"/>
      <c r="C20" s="610"/>
      <c r="D20" s="611"/>
      <c r="E20" s="602">
        <f>'TEACHING STAFF'!AP330</f>
        <v>3463234.75</v>
      </c>
    </row>
    <row r="21" ht="57.75" customHeight="1" spans="1:5">
      <c r="A21" s="614" t="s">
        <v>1812</v>
      </c>
      <c r="B21" s="614"/>
      <c r="C21" s="614"/>
      <c r="D21" s="615"/>
      <c r="E21" s="602">
        <f>'NON TEACHING STAFF'!BE343</f>
        <v>374952.293308333</v>
      </c>
    </row>
    <row r="22" ht="57.75" customHeight="1" spans="1:5">
      <c r="A22" s="616" t="s">
        <v>1813</v>
      </c>
      <c r="B22" s="616"/>
      <c r="C22" s="616"/>
      <c r="D22" s="617"/>
      <c r="E22" s="602">
        <f>'NON TEACHING STAFF'!BG343</f>
        <v>226570</v>
      </c>
    </row>
    <row r="23" ht="64" customHeight="1" spans="1:5">
      <c r="A23" s="618" t="s">
        <v>1814</v>
      </c>
      <c r="B23" s="618"/>
      <c r="C23" s="618"/>
      <c r="D23" s="619"/>
      <c r="E23" s="602">
        <f>'NON TEACHING STAFF'!AZ343</f>
        <v>67000</v>
      </c>
    </row>
    <row r="24" ht="57.75" customHeight="1" spans="1:5">
      <c r="A24" s="620" t="s">
        <v>1815</v>
      </c>
      <c r="B24" s="621"/>
      <c r="C24" s="621"/>
      <c r="D24" s="622"/>
      <c r="E24" s="623">
        <f>'NON TEACHING STAFF'!BC343</f>
        <v>56000</v>
      </c>
    </row>
    <row r="25" ht="57.75" customHeight="1" spans="1:5">
      <c r="A25" s="620" t="s">
        <v>1816</v>
      </c>
      <c r="B25" s="621"/>
      <c r="C25" s="621"/>
      <c r="D25" s="622"/>
      <c r="E25" s="623">
        <f>'NON TEACHING STAFF'!BD343</f>
        <v>45000</v>
      </c>
    </row>
    <row r="26" ht="57.75" customHeight="1" spans="1:5">
      <c r="A26" s="620" t="s">
        <v>1817</v>
      </c>
      <c r="B26" s="621"/>
      <c r="C26" s="621"/>
      <c r="D26" s="622"/>
      <c r="E26" s="623">
        <f>'NON TEACHING STAFF'!BH343</f>
        <v>47000</v>
      </c>
    </row>
    <row r="27" ht="57.75" customHeight="1" spans="1:5">
      <c r="A27" s="624" t="s">
        <v>1818</v>
      </c>
      <c r="B27" s="625"/>
      <c r="C27" s="625"/>
      <c r="D27" s="626"/>
      <c r="E27" s="623">
        <f>'NON TEACHING STAFF'!AY343</f>
        <v>14000</v>
      </c>
    </row>
    <row r="28" ht="57.75" customHeight="1" spans="1:5">
      <c r="A28" s="624" t="s">
        <v>1819</v>
      </c>
      <c r="B28" s="625"/>
      <c r="C28" s="625"/>
      <c r="D28" s="626"/>
      <c r="E28" s="623">
        <f>'NON TEACHING STAFF'!BY343</f>
        <v>308500</v>
      </c>
    </row>
    <row r="29" ht="57.75" customHeight="1" spans="1:5">
      <c r="A29" s="620" t="s">
        <v>1820</v>
      </c>
      <c r="B29" s="627"/>
      <c r="C29" s="627"/>
      <c r="D29" s="628"/>
      <c r="E29" s="623">
        <f>'NON TEACHING STAFF'!BS343</f>
        <v>210671</v>
      </c>
    </row>
    <row r="30" ht="57.75" customHeight="1" spans="1:5">
      <c r="A30" s="620" t="s">
        <v>1821</v>
      </c>
      <c r="B30" s="621"/>
      <c r="C30" s="621"/>
      <c r="D30" s="622"/>
      <c r="E30" s="623">
        <f>'NON TEACHING STAFF'!BM343</f>
        <v>537765</v>
      </c>
    </row>
    <row r="31" ht="57.75" customHeight="1" spans="1:5">
      <c r="A31" s="620" t="s">
        <v>1822</v>
      </c>
      <c r="B31" s="627"/>
      <c r="C31" s="627"/>
      <c r="D31" s="628"/>
      <c r="E31" s="623">
        <f>'NON TEACHING STAFF'!BI342</f>
        <v>157934.860733333</v>
      </c>
    </row>
    <row r="32" ht="57.75" customHeight="1" spans="1:5">
      <c r="A32" s="629" t="s">
        <v>1496</v>
      </c>
      <c r="B32" s="621"/>
      <c r="C32" s="621"/>
      <c r="D32" s="622"/>
      <c r="E32" s="623">
        <f>'NON TEACHING STAFF'!AX343</f>
        <v>849839.196133335</v>
      </c>
    </row>
    <row r="33" ht="57.75" customHeight="1" spans="1:5">
      <c r="A33" s="620" t="s">
        <v>1510</v>
      </c>
      <c r="B33" s="627"/>
      <c r="C33" s="627"/>
      <c r="D33" s="628"/>
      <c r="E33" s="623">
        <f>'NON TEACHING STAFF'!BN343</f>
        <v>50000</v>
      </c>
    </row>
    <row r="34" ht="57.75" customHeight="1" spans="1:5">
      <c r="A34" s="630" t="s">
        <v>867</v>
      </c>
      <c r="B34" s="631"/>
      <c r="C34" s="631"/>
      <c r="D34" s="632"/>
      <c r="E34" s="602">
        <f>SUM(E5:E33)</f>
        <v>150162998.128402</v>
      </c>
    </row>
    <row r="35" ht="57.75" customHeight="1" spans="1:5">
      <c r="A35" s="633" t="s">
        <v>1823</v>
      </c>
      <c r="B35" s="634"/>
      <c r="C35" s="634"/>
      <c r="D35" s="634"/>
      <c r="E35" s="635"/>
    </row>
    <row r="36" ht="57.75" customHeight="1" spans="1:5">
      <c r="A36" s="607" t="s">
        <v>1824</v>
      </c>
      <c r="B36" s="608"/>
      <c r="C36" s="608"/>
      <c r="D36" s="609"/>
      <c r="E36" s="623">
        <f>'NON TEACHING STAFF'!CC343+1597.02</f>
        <v>22193084.8151268</v>
      </c>
    </row>
    <row r="37" ht="57.75" customHeight="1" spans="1:5">
      <c r="A37" s="607" t="s">
        <v>59</v>
      </c>
      <c r="B37" s="608"/>
      <c r="C37" s="608"/>
      <c r="D37" s="609"/>
      <c r="E37" s="623">
        <f>'NON TEACHING STAFF'!CA343</f>
        <v>3558850.15357251</v>
      </c>
    </row>
    <row r="38" ht="57.75" customHeight="1" spans="1:5">
      <c r="A38" s="607" t="s">
        <v>1500</v>
      </c>
      <c r="B38" s="636"/>
      <c r="C38" s="636"/>
      <c r="D38" s="637"/>
      <c r="E38" s="623">
        <f>'NON TEACHING STAFF'!BB343</f>
        <v>1921002.33</v>
      </c>
    </row>
    <row r="39" ht="57.75" customHeight="1" spans="1:5">
      <c r="A39" s="607" t="s">
        <v>1825</v>
      </c>
      <c r="B39" s="608"/>
      <c r="C39" s="608"/>
      <c r="D39" s="609"/>
      <c r="E39" s="623">
        <f>'NON TEACHING STAFF'!BZ343</f>
        <v>794250</v>
      </c>
    </row>
    <row r="40" ht="57.75" customHeight="1" spans="1:5">
      <c r="A40" s="607" t="s">
        <v>58</v>
      </c>
      <c r="B40" s="636"/>
      <c r="C40" s="636"/>
      <c r="D40" s="637"/>
      <c r="E40" s="623">
        <f>'NON TEACHING STAFF'!BV343</f>
        <v>9000</v>
      </c>
    </row>
    <row r="41" ht="57.75" customHeight="1" spans="1:5">
      <c r="A41" s="638" t="s">
        <v>867</v>
      </c>
      <c r="B41" s="639"/>
      <c r="C41" s="639"/>
      <c r="D41" s="640"/>
      <c r="E41" s="641">
        <f>SUM(E36:E40)</f>
        <v>28476187.2986993</v>
      </c>
    </row>
    <row r="42" ht="60" customHeight="1" spans="1:5">
      <c r="A42" s="642"/>
      <c r="B42" s="643"/>
      <c r="C42" s="643"/>
      <c r="D42" s="644"/>
      <c r="E42" s="645">
        <f>E41+E34</f>
        <v>178639185.427101</v>
      </c>
    </row>
    <row r="43" ht="36" spans="5:5">
      <c r="E43" s="646"/>
    </row>
    <row r="44" ht="57" customHeight="1" spans="5:5">
      <c r="E44" s="647"/>
    </row>
    <row r="45" ht="46.5" spans="4:4">
      <c r="D45" s="648"/>
    </row>
    <row r="46" spans="4:4">
      <c r="D46" s="649"/>
    </row>
    <row r="47" ht="57" customHeight="1" spans="5:5">
      <c r="E47" s="650"/>
    </row>
    <row r="48" ht="55" customHeight="1"/>
  </sheetData>
  <mergeCells count="39"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E35"/>
    <mergeCell ref="A36:D36"/>
    <mergeCell ref="A37:D37"/>
    <mergeCell ref="A38:D38"/>
    <mergeCell ref="A39:D39"/>
    <mergeCell ref="A40:D40"/>
    <mergeCell ref="A41:D41"/>
    <mergeCell ref="A42:D42"/>
    <mergeCell ref="E3:E4"/>
    <mergeCell ref="E5:E8"/>
    <mergeCell ref="A1:E2"/>
    <mergeCell ref="A3:D4"/>
    <mergeCell ref="A5:D8"/>
  </mergeCells>
  <pageMargins left="0.7" right="0.7" top="0.75" bottom="0.75" header="0.3" footer="0.3"/>
  <pageSetup paperSize="9" scale="30" fitToWidth="3" fitToHeight="13" orientation="portrait"/>
  <headerFooter/>
  <rowBreaks count="1" manualBreakCount="1">
    <brk id="42" max="4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0"/>
  <sheetViews>
    <sheetView view="pageBreakPreview" zoomScale="60" zoomScaleNormal="100" workbookViewId="0">
      <selection activeCell="B15" sqref="B15"/>
    </sheetView>
  </sheetViews>
  <sheetFormatPr defaultColWidth="11" defaultRowHeight="46.5" outlineLevelCol="5"/>
  <cols>
    <col min="1" max="1" width="11.5047619047619" style="583" customWidth="1"/>
    <col min="2" max="2" width="81.1619047619048" customWidth="1"/>
    <col min="3" max="3" width="31.3333333333333" customWidth="1"/>
    <col min="4" max="4" width="28.3333333333333" customWidth="1"/>
    <col min="5" max="5" width="35.6666666666667" customWidth="1"/>
    <col min="6" max="6" width="33.1619047619048" style="2" customWidth="1"/>
  </cols>
  <sheetData>
    <row r="1" ht="144" customHeight="1" spans="1:6">
      <c r="A1" s="584" t="s">
        <v>1826</v>
      </c>
      <c r="B1" s="584"/>
      <c r="C1" s="584"/>
      <c r="D1" s="584"/>
      <c r="E1" s="584"/>
      <c r="F1" s="585"/>
    </row>
    <row r="2" ht="73.5" spans="1:6">
      <c r="A2" s="586" t="s">
        <v>2</v>
      </c>
      <c r="B2" s="587" t="s">
        <v>3</v>
      </c>
      <c r="C2" s="557" t="s">
        <v>56</v>
      </c>
      <c r="D2" s="558" t="s">
        <v>1827</v>
      </c>
      <c r="E2" s="557" t="s">
        <v>59</v>
      </c>
      <c r="F2" s="557" t="s">
        <v>1828</v>
      </c>
    </row>
    <row r="3" ht="47.25" spans="1:6">
      <c r="A3" s="588">
        <v>1</v>
      </c>
      <c r="B3" s="461" t="s">
        <v>89</v>
      </c>
      <c r="C3" s="589">
        <v>3500</v>
      </c>
      <c r="D3" s="589"/>
      <c r="E3" s="589">
        <v>23513.8694</v>
      </c>
      <c r="F3" s="462">
        <v>204399.81</v>
      </c>
    </row>
    <row r="4" ht="47.25" spans="1:6">
      <c r="A4" s="588">
        <v>2</v>
      </c>
      <c r="B4" s="461" t="s">
        <v>94</v>
      </c>
      <c r="C4" s="589">
        <v>3500</v>
      </c>
      <c r="D4" s="589"/>
      <c r="E4" s="589">
        <v>16527.844</v>
      </c>
      <c r="F4" s="462">
        <v>137333.969066667</v>
      </c>
    </row>
    <row r="5" ht="47.25" spans="1:6">
      <c r="A5" s="588">
        <v>3</v>
      </c>
      <c r="B5" s="461" t="s">
        <v>99</v>
      </c>
      <c r="C5" s="589">
        <v>3500</v>
      </c>
      <c r="D5" s="589"/>
      <c r="E5" s="589">
        <v>16111.1706</v>
      </c>
      <c r="F5" s="462">
        <v>133333.9</v>
      </c>
    </row>
    <row r="6" ht="47.25" spans="1:6">
      <c r="A6" s="588">
        <v>4</v>
      </c>
      <c r="B6" s="461" t="s">
        <v>103</v>
      </c>
      <c r="C6" s="589">
        <v>1750</v>
      </c>
      <c r="D6" s="589"/>
      <c r="E6" s="589">
        <v>6505.1208</v>
      </c>
      <c r="F6" s="462">
        <v>41809.6813866667</v>
      </c>
    </row>
    <row r="7" ht="47.25" spans="1:6">
      <c r="A7" s="588">
        <v>5</v>
      </c>
      <c r="B7" s="461" t="s">
        <v>109</v>
      </c>
      <c r="C7" s="589">
        <v>1750</v>
      </c>
      <c r="D7" s="589"/>
      <c r="E7" s="589">
        <v>6505.1208</v>
      </c>
      <c r="F7" s="462">
        <v>41809.6813866667</v>
      </c>
    </row>
    <row r="8" ht="47.25" spans="1:6">
      <c r="A8" s="588">
        <v>6</v>
      </c>
      <c r="B8" s="461" t="s">
        <v>114</v>
      </c>
      <c r="C8" s="589">
        <v>1750</v>
      </c>
      <c r="D8" s="589"/>
      <c r="E8" s="589">
        <v>7698.3667</v>
      </c>
      <c r="F8" s="462">
        <v>52570.9869866667</v>
      </c>
    </row>
    <row r="9" ht="47.25" spans="1:6">
      <c r="A9" s="588">
        <v>7</v>
      </c>
      <c r="B9" s="461" t="s">
        <v>117</v>
      </c>
      <c r="C9" s="589">
        <v>1750</v>
      </c>
      <c r="D9" s="589"/>
      <c r="E9" s="589">
        <v>7897.24075</v>
      </c>
      <c r="F9" s="462">
        <v>54480.1778666667</v>
      </c>
    </row>
    <row r="10" ht="47.25" spans="1:6">
      <c r="A10" s="588">
        <v>8</v>
      </c>
      <c r="B10" s="461" t="s">
        <v>119</v>
      </c>
      <c r="C10" s="589">
        <v>1500</v>
      </c>
      <c r="D10" s="589"/>
      <c r="E10" s="589">
        <v>10262.70725</v>
      </c>
      <c r="F10" s="462">
        <v>77188.66</v>
      </c>
    </row>
    <row r="11" ht="47.25" spans="1:6">
      <c r="A11" s="588">
        <v>9</v>
      </c>
      <c r="B11" s="461" t="s">
        <v>124</v>
      </c>
      <c r="C11" s="589">
        <v>1000</v>
      </c>
      <c r="D11" s="589"/>
      <c r="E11" s="589">
        <v>5986.88313</v>
      </c>
      <c r="F11" s="462">
        <v>37456.48</v>
      </c>
    </row>
    <row r="12" ht="47.25" spans="1:6">
      <c r="A12" s="588">
        <v>10</v>
      </c>
      <c r="B12" s="461" t="s">
        <v>129</v>
      </c>
      <c r="C12" s="589">
        <v>1500</v>
      </c>
      <c r="D12" s="589"/>
      <c r="E12" s="589">
        <v>7327.24403666667</v>
      </c>
      <c r="F12" s="462">
        <v>49008.21</v>
      </c>
    </row>
    <row r="13" ht="47.25" spans="1:6">
      <c r="A13" s="588">
        <v>11</v>
      </c>
      <c r="B13" s="461" t="s">
        <v>132</v>
      </c>
      <c r="C13" s="589">
        <v>1500</v>
      </c>
      <c r="D13" s="589"/>
      <c r="E13" s="589">
        <v>7530.99304666667</v>
      </c>
      <c r="F13" s="462">
        <v>50964.2</v>
      </c>
    </row>
    <row r="14" ht="47.25" spans="1:6">
      <c r="A14" s="588">
        <v>12</v>
      </c>
      <c r="B14" s="461" t="s">
        <v>137</v>
      </c>
      <c r="C14" s="589">
        <v>2000</v>
      </c>
      <c r="D14" s="589"/>
      <c r="E14" s="589">
        <v>10584.5756666667</v>
      </c>
      <c r="F14" s="462">
        <v>80278.59</v>
      </c>
    </row>
    <row r="15" ht="47.25" spans="1:6">
      <c r="A15" s="588">
        <v>13</v>
      </c>
      <c r="B15" s="461" t="s">
        <v>141</v>
      </c>
      <c r="C15" s="589">
        <v>2000</v>
      </c>
      <c r="D15" s="589"/>
      <c r="E15" s="589">
        <v>11599.2266466667</v>
      </c>
      <c r="F15" s="462">
        <v>90019.24</v>
      </c>
    </row>
    <row r="16" ht="47.25" spans="1:6">
      <c r="A16" s="588">
        <v>14</v>
      </c>
      <c r="B16" s="461" t="s">
        <v>147</v>
      </c>
      <c r="C16" s="589">
        <v>2000</v>
      </c>
      <c r="D16" s="589"/>
      <c r="E16" s="589">
        <v>10138.2320166667</v>
      </c>
      <c r="F16" s="462">
        <v>75993.6940266666</v>
      </c>
    </row>
    <row r="17" ht="47.25" spans="1:6">
      <c r="A17" s="588">
        <v>15</v>
      </c>
      <c r="B17" s="461" t="s">
        <v>152</v>
      </c>
      <c r="C17" s="589">
        <v>1500</v>
      </c>
      <c r="D17" s="589"/>
      <c r="E17" s="589">
        <v>7530.99304666667</v>
      </c>
      <c r="F17" s="462">
        <v>50964.2</v>
      </c>
    </row>
    <row r="18" ht="47.25" spans="1:6">
      <c r="A18" s="588">
        <v>16</v>
      </c>
      <c r="B18" s="461" t="s">
        <v>154</v>
      </c>
      <c r="C18" s="589">
        <v>1500</v>
      </c>
      <c r="D18" s="589"/>
      <c r="E18" s="589">
        <v>7938.49620333333</v>
      </c>
      <c r="F18" s="462">
        <v>54876.23</v>
      </c>
    </row>
    <row r="19" ht="47.25" spans="1:6">
      <c r="A19" s="588">
        <v>17</v>
      </c>
      <c r="B19" s="461" t="s">
        <v>159</v>
      </c>
      <c r="C19" s="589">
        <v>1500</v>
      </c>
      <c r="D19" s="589"/>
      <c r="E19" s="589">
        <v>7123.49346333333</v>
      </c>
      <c r="F19" s="462">
        <v>47052.2</v>
      </c>
    </row>
    <row r="20" ht="47.25" spans="1:6">
      <c r="A20" s="588">
        <v>18</v>
      </c>
      <c r="B20" s="461" t="s">
        <v>163</v>
      </c>
      <c r="C20" s="589">
        <v>1500</v>
      </c>
      <c r="D20" s="589"/>
      <c r="E20" s="589">
        <v>7530.99304666667</v>
      </c>
      <c r="F20" s="462">
        <v>50964.2</v>
      </c>
    </row>
    <row r="21" ht="47.25" spans="1:6">
      <c r="A21" s="588">
        <v>19</v>
      </c>
      <c r="B21" s="461" t="s">
        <v>166</v>
      </c>
      <c r="C21" s="589">
        <v>1500</v>
      </c>
      <c r="D21" s="589">
        <v>2500</v>
      </c>
      <c r="E21" s="589">
        <v>11601.2422666667</v>
      </c>
      <c r="F21" s="462">
        <v>90038.59</v>
      </c>
    </row>
    <row r="22" ht="47.25" spans="1:6">
      <c r="A22" s="588">
        <v>20</v>
      </c>
      <c r="B22" s="461" t="s">
        <v>170</v>
      </c>
      <c r="C22" s="589">
        <v>1500</v>
      </c>
      <c r="D22" s="589"/>
      <c r="E22" s="589">
        <v>9137.16908333333</v>
      </c>
      <c r="F22" s="462">
        <v>66383.4898666667</v>
      </c>
    </row>
    <row r="23" ht="47.25" spans="1:6">
      <c r="A23" s="588">
        <v>21</v>
      </c>
      <c r="B23" s="461" t="s">
        <v>173</v>
      </c>
      <c r="C23" s="589">
        <v>1500</v>
      </c>
      <c r="D23" s="589"/>
      <c r="E23" s="589">
        <v>7132.6586375</v>
      </c>
      <c r="F23" s="462">
        <v>47140.1895866667</v>
      </c>
    </row>
    <row r="24" ht="47.25" spans="1:6">
      <c r="A24" s="588">
        <v>22</v>
      </c>
      <c r="B24" s="461" t="s">
        <v>176</v>
      </c>
      <c r="C24" s="589">
        <v>1500</v>
      </c>
      <c r="D24" s="589"/>
      <c r="E24" s="589">
        <v>9846.03385</v>
      </c>
      <c r="F24" s="462">
        <v>69188.59</v>
      </c>
    </row>
    <row r="25" ht="47.25" spans="1:6">
      <c r="A25" s="588">
        <v>23</v>
      </c>
      <c r="B25" s="461" t="s">
        <v>180</v>
      </c>
      <c r="C25" s="589">
        <v>1500</v>
      </c>
      <c r="D25" s="589"/>
      <c r="E25" s="589">
        <v>6715.99187</v>
      </c>
      <c r="F25" s="462">
        <v>43581</v>
      </c>
    </row>
    <row r="26" ht="47.25" spans="1:6">
      <c r="A26" s="588">
        <v>24</v>
      </c>
      <c r="B26" s="461" t="s">
        <v>182</v>
      </c>
      <c r="C26" s="589">
        <v>1500</v>
      </c>
      <c r="D26" s="589"/>
      <c r="E26" s="589">
        <v>7947.65964666667</v>
      </c>
      <c r="F26" s="462">
        <v>54964.2</v>
      </c>
    </row>
    <row r="27" ht="47.25" spans="1:6">
      <c r="A27" s="588">
        <v>25</v>
      </c>
      <c r="B27" s="461" t="s">
        <v>184</v>
      </c>
      <c r="C27" s="589">
        <v>2000</v>
      </c>
      <c r="D27" s="589"/>
      <c r="E27" s="589">
        <v>10937.76438</v>
      </c>
      <c r="F27" s="462">
        <v>83669.2</v>
      </c>
    </row>
    <row r="28" ht="47.25" spans="1:6">
      <c r="A28" s="588">
        <v>26</v>
      </c>
      <c r="B28" s="461" t="s">
        <v>187</v>
      </c>
      <c r="C28" s="589">
        <v>2000</v>
      </c>
      <c r="D28" s="589"/>
      <c r="E28" s="589">
        <v>10584.58</v>
      </c>
      <c r="F28" s="462">
        <v>84278.53</v>
      </c>
    </row>
    <row r="29" ht="47.25" spans="1:6">
      <c r="A29" s="588">
        <v>27</v>
      </c>
      <c r="B29" s="461" t="s">
        <v>190</v>
      </c>
      <c r="C29" s="589">
        <v>2000</v>
      </c>
      <c r="D29" s="589"/>
      <c r="E29" s="589">
        <v>11417.9156666667</v>
      </c>
      <c r="F29" s="462">
        <v>88278.66</v>
      </c>
    </row>
    <row r="30" ht="47.25" spans="1:6">
      <c r="A30" s="588">
        <v>28</v>
      </c>
      <c r="B30" s="461" t="s">
        <v>193</v>
      </c>
      <c r="C30" s="589">
        <v>1000</v>
      </c>
      <c r="D30" s="589"/>
      <c r="E30" s="589">
        <v>5166.41587</v>
      </c>
      <c r="F30" s="462">
        <v>30564.56</v>
      </c>
    </row>
    <row r="31" ht="47.25" spans="1:6">
      <c r="A31" s="588">
        <v>29</v>
      </c>
      <c r="B31" s="461" t="s">
        <v>197</v>
      </c>
      <c r="C31" s="589">
        <v>1000</v>
      </c>
      <c r="D31" s="589"/>
      <c r="E31" s="589">
        <v>2580.09857666667</v>
      </c>
      <c r="F31" s="462">
        <v>25030.06</v>
      </c>
    </row>
    <row r="32" ht="47.25" spans="1:6">
      <c r="A32" s="588">
        <v>30</v>
      </c>
      <c r="B32" s="461" t="s">
        <v>201</v>
      </c>
      <c r="C32" s="589">
        <v>1000</v>
      </c>
      <c r="D32" s="589"/>
      <c r="E32" s="589">
        <v>2580.09857666667</v>
      </c>
      <c r="F32" s="462">
        <v>25030.06</v>
      </c>
    </row>
    <row r="33" ht="47.25" spans="1:6">
      <c r="A33" s="588">
        <v>31</v>
      </c>
      <c r="B33" s="461" t="s">
        <v>202</v>
      </c>
      <c r="C33" s="589">
        <v>1000</v>
      </c>
      <c r="D33" s="589"/>
      <c r="E33" s="589">
        <v>5732.34075</v>
      </c>
      <c r="F33" s="462">
        <v>35318.33</v>
      </c>
    </row>
    <row r="34" ht="47.25" spans="1:6">
      <c r="A34" s="588">
        <v>32</v>
      </c>
      <c r="B34" s="461" t="s">
        <v>206</v>
      </c>
      <c r="C34" s="589">
        <v>1000</v>
      </c>
      <c r="D34" s="589"/>
      <c r="E34" s="589">
        <v>5605.07045333333</v>
      </c>
      <c r="F34" s="462">
        <v>34249.26</v>
      </c>
    </row>
    <row r="35" ht="47.25" spans="1:6">
      <c r="A35" s="588">
        <v>33</v>
      </c>
      <c r="B35" s="461" t="s">
        <v>211</v>
      </c>
      <c r="C35" s="589"/>
      <c r="D35" s="589"/>
      <c r="E35" s="589"/>
      <c r="F35" s="462"/>
    </row>
    <row r="36" ht="47.25" spans="1:6">
      <c r="A36" s="588">
        <v>34</v>
      </c>
      <c r="B36" s="461" t="s">
        <v>215</v>
      </c>
      <c r="C36" s="589">
        <v>1000</v>
      </c>
      <c r="D36" s="589"/>
      <c r="E36" s="589">
        <v>5166.41587</v>
      </c>
      <c r="F36" s="462">
        <v>30564.56</v>
      </c>
    </row>
    <row r="37" ht="47.25" spans="1:6">
      <c r="A37" s="588">
        <v>35</v>
      </c>
      <c r="B37" s="461" t="s">
        <v>217</v>
      </c>
      <c r="C37" s="589">
        <v>1000</v>
      </c>
      <c r="D37" s="589"/>
      <c r="E37" s="589">
        <v>6715.99187</v>
      </c>
      <c r="F37" s="462">
        <v>43580.9983746667</v>
      </c>
    </row>
    <row r="38" ht="47.25" spans="1:6">
      <c r="A38" s="588">
        <v>36</v>
      </c>
      <c r="B38" s="461" t="s">
        <v>220</v>
      </c>
      <c r="C38" s="589">
        <v>1000</v>
      </c>
      <c r="D38" s="589"/>
      <c r="E38" s="589">
        <v>5166.41587</v>
      </c>
      <c r="F38" s="462">
        <v>30564.56</v>
      </c>
    </row>
    <row r="39" ht="47.25" spans="1:6">
      <c r="A39" s="588">
        <v>37</v>
      </c>
      <c r="B39" s="461" t="s">
        <v>222</v>
      </c>
      <c r="C39" s="589">
        <v>2000</v>
      </c>
      <c r="D39" s="589"/>
      <c r="E39" s="589">
        <v>12060.8081833333</v>
      </c>
      <c r="F39" s="462">
        <v>94450.43</v>
      </c>
    </row>
    <row r="40" ht="47.25" spans="1:6">
      <c r="A40" s="588">
        <v>38</v>
      </c>
      <c r="B40" s="461" t="s">
        <v>224</v>
      </c>
      <c r="C40" s="589">
        <v>2500</v>
      </c>
      <c r="D40" s="589"/>
      <c r="E40" s="589">
        <v>12863.9948866667</v>
      </c>
      <c r="F40" s="462">
        <v>102161.02</v>
      </c>
    </row>
    <row r="41" ht="47.25" spans="1:6">
      <c r="A41" s="588">
        <v>39</v>
      </c>
      <c r="B41" s="461" t="s">
        <v>226</v>
      </c>
      <c r="C41" s="589">
        <v>3500</v>
      </c>
      <c r="D41" s="589"/>
      <c r="E41" s="589">
        <v>14538.1031866667</v>
      </c>
      <c r="F41" s="462">
        <v>118232.457258667</v>
      </c>
    </row>
    <row r="42" ht="47.25" spans="1:6">
      <c r="A42" s="588">
        <v>40</v>
      </c>
      <c r="B42" s="461" t="s">
        <v>230</v>
      </c>
      <c r="C42" s="589">
        <v>3500</v>
      </c>
      <c r="D42" s="589"/>
      <c r="E42" s="589">
        <v>13649.8209833333</v>
      </c>
      <c r="F42" s="462">
        <v>39401.69</v>
      </c>
    </row>
    <row r="43" ht="47.25" spans="1:6">
      <c r="A43" s="588">
        <v>41</v>
      </c>
      <c r="B43" s="461" t="s">
        <v>233</v>
      </c>
      <c r="C43" s="589">
        <v>3500</v>
      </c>
      <c r="D43" s="589"/>
      <c r="E43" s="589">
        <v>13649.8433166667</v>
      </c>
      <c r="F43" s="462">
        <v>39402.69</v>
      </c>
    </row>
    <row r="44" ht="47.25" spans="1:6">
      <c r="A44" s="588">
        <v>42</v>
      </c>
      <c r="B44" s="461" t="s">
        <v>234</v>
      </c>
      <c r="C44" s="589">
        <v>1750</v>
      </c>
      <c r="D44" s="589"/>
      <c r="E44" s="589">
        <v>6704.01292</v>
      </c>
      <c r="F44" s="462">
        <v>43480.3751946667</v>
      </c>
    </row>
    <row r="45" ht="47.25" spans="1:6">
      <c r="A45" s="588">
        <v>43</v>
      </c>
      <c r="B45" s="461" t="s">
        <v>237</v>
      </c>
      <c r="C45" s="589">
        <v>2000</v>
      </c>
      <c r="D45" s="589"/>
      <c r="E45" s="589">
        <v>14538.1031866667</v>
      </c>
      <c r="F45" s="462">
        <v>118552.455978667</v>
      </c>
    </row>
    <row r="46" ht="47.25" spans="1:6">
      <c r="A46" s="588">
        <v>44</v>
      </c>
      <c r="B46" s="461" t="s">
        <v>240</v>
      </c>
      <c r="C46" s="589">
        <v>2000</v>
      </c>
      <c r="D46" s="589"/>
      <c r="E46" s="589">
        <v>5540.905</v>
      </c>
      <c r="F46" s="462">
        <v>33774.67</v>
      </c>
    </row>
    <row r="47" ht="47.25" spans="1:6">
      <c r="A47" s="588">
        <v>45</v>
      </c>
      <c r="B47" s="461" t="s">
        <v>244</v>
      </c>
      <c r="C47" s="589">
        <v>2000</v>
      </c>
      <c r="D47" s="589"/>
      <c r="E47" s="589">
        <v>4907.9542</v>
      </c>
      <c r="F47" s="462">
        <v>28393.4819466667</v>
      </c>
    </row>
    <row r="48" ht="47.25" spans="1:6">
      <c r="A48" s="588">
        <v>46</v>
      </c>
      <c r="B48" s="461" t="s">
        <v>248</v>
      </c>
      <c r="C48" s="589">
        <v>3500</v>
      </c>
      <c r="D48" s="589"/>
      <c r="E48" s="589">
        <v>18480.5111866667</v>
      </c>
      <c r="F48" s="462">
        <v>156079.57</v>
      </c>
    </row>
    <row r="49" ht="47.25" spans="1:6">
      <c r="A49" s="588">
        <v>47</v>
      </c>
      <c r="B49" s="461" t="s">
        <v>253</v>
      </c>
      <c r="C49" s="589">
        <v>3500</v>
      </c>
      <c r="D49" s="589"/>
      <c r="E49" s="589">
        <v>5540.905</v>
      </c>
      <c r="F49" s="462">
        <v>33710.27</v>
      </c>
    </row>
    <row r="50" ht="47.25" spans="1:6">
      <c r="A50" s="588">
        <v>48</v>
      </c>
      <c r="B50" s="461" t="s">
        <v>256</v>
      </c>
      <c r="C50" s="589">
        <v>2000</v>
      </c>
      <c r="D50" s="589"/>
      <c r="E50" s="589">
        <v>13890.2342033333</v>
      </c>
      <c r="F50" s="462">
        <v>112012.92</v>
      </c>
    </row>
    <row r="51" ht="47.25" spans="1:6">
      <c r="A51" s="588">
        <v>49</v>
      </c>
      <c r="B51" s="461" t="s">
        <v>260</v>
      </c>
      <c r="C51" s="589">
        <v>2000</v>
      </c>
      <c r="D51" s="589"/>
      <c r="E51" s="589">
        <v>11997.3282866667</v>
      </c>
      <c r="F51" s="462">
        <v>93841.02</v>
      </c>
    </row>
    <row r="52" ht="47.25" spans="1:6">
      <c r="A52" s="588">
        <v>50</v>
      </c>
      <c r="B52" s="461" t="s">
        <v>261</v>
      </c>
      <c r="C52" s="589">
        <v>1750</v>
      </c>
      <c r="D52" s="589"/>
      <c r="E52" s="589">
        <v>6107.3725</v>
      </c>
      <c r="F52" s="462">
        <v>38533.5</v>
      </c>
    </row>
    <row r="53" ht="47.25" spans="1:6">
      <c r="A53" s="588">
        <v>51</v>
      </c>
      <c r="B53" s="461" t="s">
        <v>262</v>
      </c>
      <c r="C53" s="589">
        <v>2000</v>
      </c>
      <c r="D53" s="589"/>
      <c r="E53" s="589">
        <v>12724.29287</v>
      </c>
      <c r="F53" s="462">
        <v>100819.88</v>
      </c>
    </row>
    <row r="54" ht="47.25" spans="1:6">
      <c r="A54" s="588">
        <v>52</v>
      </c>
      <c r="B54" s="461" t="s">
        <v>265</v>
      </c>
      <c r="C54" s="589">
        <v>2000</v>
      </c>
      <c r="D54" s="589"/>
      <c r="E54" s="589">
        <v>14960.62222</v>
      </c>
      <c r="F54" s="462">
        <v>121648.64</v>
      </c>
    </row>
    <row r="55" ht="47.25" spans="1:6">
      <c r="A55" s="588">
        <v>53</v>
      </c>
      <c r="B55" s="461" t="s">
        <v>268</v>
      </c>
      <c r="C55" s="589">
        <v>1500</v>
      </c>
      <c r="D55" s="589"/>
      <c r="E55" s="589">
        <v>8160.58403666667</v>
      </c>
      <c r="F55" s="462">
        <v>57008.27</v>
      </c>
    </row>
    <row r="56" ht="47.25" spans="1:6">
      <c r="A56" s="588">
        <v>54</v>
      </c>
      <c r="B56" s="461" t="s">
        <v>271</v>
      </c>
      <c r="C56" s="589">
        <v>1500</v>
      </c>
      <c r="D56" s="589"/>
      <c r="E56" s="589">
        <v>6919.74088</v>
      </c>
      <c r="F56" s="462">
        <v>45292.4900586667</v>
      </c>
    </row>
    <row r="57" ht="47.25" spans="1:6">
      <c r="A57" s="588">
        <v>55</v>
      </c>
      <c r="B57" s="461" t="s">
        <v>274</v>
      </c>
      <c r="C57" s="589">
        <v>1500</v>
      </c>
      <c r="D57" s="589"/>
      <c r="E57" s="589">
        <v>9429.36725</v>
      </c>
      <c r="F57" s="462">
        <v>69198.59</v>
      </c>
    </row>
    <row r="58" ht="47.25" spans="1:6">
      <c r="A58" s="588">
        <v>56</v>
      </c>
      <c r="B58" s="461" t="s">
        <v>278</v>
      </c>
      <c r="C58" s="589">
        <v>1000</v>
      </c>
      <c r="D58" s="589"/>
      <c r="E58" s="589">
        <v>5859.61283333333</v>
      </c>
      <c r="F58" s="462">
        <v>36387.41</v>
      </c>
    </row>
    <row r="59" ht="47.25" spans="1:6">
      <c r="A59" s="588">
        <v>57</v>
      </c>
      <c r="B59" s="461" t="s">
        <v>282</v>
      </c>
      <c r="C59" s="589">
        <v>1500</v>
      </c>
      <c r="D59" s="589"/>
      <c r="E59" s="589">
        <v>7743.91063666667</v>
      </c>
      <c r="F59" s="462">
        <v>53008.21</v>
      </c>
    </row>
    <row r="60" ht="47.25" spans="1:6">
      <c r="A60" s="588">
        <v>58</v>
      </c>
      <c r="B60" s="461" t="s">
        <v>285</v>
      </c>
      <c r="C60" s="589">
        <v>1500</v>
      </c>
      <c r="D60" s="589"/>
      <c r="E60" s="589">
        <v>10337.1690833333</v>
      </c>
      <c r="F60" s="462">
        <v>90169.0183786666</v>
      </c>
    </row>
    <row r="61" ht="47.25" spans="1:6">
      <c r="A61" s="588">
        <v>59</v>
      </c>
      <c r="B61" s="461" t="s">
        <v>289</v>
      </c>
      <c r="C61" s="589">
        <v>1500</v>
      </c>
      <c r="D61" s="589"/>
      <c r="E61" s="589">
        <v>7743.91063666667</v>
      </c>
      <c r="F61" s="462">
        <v>53008.21</v>
      </c>
    </row>
    <row r="62" ht="47.25" spans="1:6">
      <c r="A62" s="588">
        <v>60</v>
      </c>
      <c r="B62" s="461" t="s">
        <v>290</v>
      </c>
      <c r="C62" s="589">
        <v>1500</v>
      </c>
      <c r="D62" s="589"/>
      <c r="E62" s="589">
        <v>8844.96913</v>
      </c>
      <c r="F62" s="462">
        <v>63578.37</v>
      </c>
    </row>
    <row r="63" ht="47.25" spans="1:6">
      <c r="A63" s="588">
        <v>61</v>
      </c>
      <c r="B63" s="461" t="s">
        <v>293</v>
      </c>
      <c r="C63" s="589">
        <v>1500</v>
      </c>
      <c r="D63" s="589"/>
      <c r="E63" s="589">
        <v>6512.24308333333</v>
      </c>
      <c r="F63" s="462">
        <v>41869.51</v>
      </c>
    </row>
    <row r="64" ht="47.25" spans="1:6">
      <c r="A64" s="588">
        <v>62</v>
      </c>
      <c r="B64" s="461" t="s">
        <v>296</v>
      </c>
      <c r="C64" s="589">
        <v>1500</v>
      </c>
      <c r="D64" s="589"/>
      <c r="E64" s="589">
        <v>7123.49346333333</v>
      </c>
      <c r="F64" s="462">
        <v>47052.2</v>
      </c>
    </row>
    <row r="65" ht="47.25" spans="1:6">
      <c r="A65" s="588">
        <v>63</v>
      </c>
      <c r="B65" s="461" t="s">
        <v>299</v>
      </c>
      <c r="C65" s="589">
        <v>1500</v>
      </c>
      <c r="D65" s="589"/>
      <c r="E65" s="589">
        <v>7123.49346333333</v>
      </c>
      <c r="F65" s="462">
        <v>47052.2</v>
      </c>
    </row>
    <row r="66" ht="47.25" spans="1:6">
      <c r="A66" s="588">
        <v>64</v>
      </c>
      <c r="B66" s="461" t="s">
        <v>300</v>
      </c>
      <c r="C66" s="589">
        <v>1500</v>
      </c>
      <c r="D66" s="589"/>
      <c r="E66" s="589">
        <v>11431.5017033333</v>
      </c>
      <c r="F66" s="462">
        <v>88409.08</v>
      </c>
    </row>
    <row r="67" ht="47.25" spans="1:6">
      <c r="A67" s="588">
        <v>65</v>
      </c>
      <c r="B67" s="461" t="s">
        <v>303</v>
      </c>
      <c r="C67" s="589">
        <v>3500</v>
      </c>
      <c r="D67" s="589"/>
      <c r="E67" s="589">
        <v>18513.8443755</v>
      </c>
      <c r="F67" s="462">
        <v>156399.572671467</v>
      </c>
    </row>
    <row r="68" ht="47.25" spans="1:6">
      <c r="A68" s="588">
        <v>66</v>
      </c>
      <c r="B68" s="461" t="s">
        <v>306</v>
      </c>
      <c r="C68" s="589">
        <v>3500</v>
      </c>
      <c r="D68" s="589"/>
      <c r="E68" s="589">
        <v>33350</v>
      </c>
      <c r="F68" s="462">
        <v>298420.27</v>
      </c>
    </row>
    <row r="69" ht="47.25" spans="1:6">
      <c r="A69" s="588">
        <v>67</v>
      </c>
      <c r="B69" s="461" t="s">
        <v>310</v>
      </c>
      <c r="C69" s="589">
        <v>1500</v>
      </c>
      <c r="D69" s="589"/>
      <c r="E69" s="589">
        <v>9837.34908</v>
      </c>
      <c r="F69" s="462">
        <v>73105.22</v>
      </c>
    </row>
    <row r="70" ht="47.25" spans="1:6">
      <c r="A70" s="588">
        <v>68</v>
      </c>
      <c r="B70" s="461" t="s">
        <v>312</v>
      </c>
      <c r="C70" s="589">
        <v>1500</v>
      </c>
      <c r="D70" s="589"/>
      <c r="E70" s="589">
        <v>6919.74088</v>
      </c>
      <c r="F70" s="462">
        <v>45292.49</v>
      </c>
    </row>
    <row r="71" ht="47.25" spans="1:6">
      <c r="A71" s="588">
        <v>69</v>
      </c>
      <c r="B71" s="461" t="s">
        <v>314</v>
      </c>
      <c r="C71" s="589">
        <v>1500</v>
      </c>
      <c r="D71" s="589"/>
      <c r="E71" s="589">
        <v>7123.49346333333</v>
      </c>
      <c r="F71" s="462">
        <v>47052.2</v>
      </c>
    </row>
    <row r="72" ht="47.25" spans="1:6">
      <c r="A72" s="588">
        <v>70</v>
      </c>
      <c r="B72" s="461" t="s">
        <v>316</v>
      </c>
      <c r="C72" s="589">
        <v>1500</v>
      </c>
      <c r="D72" s="589"/>
      <c r="E72" s="589">
        <v>7327.24403666667</v>
      </c>
      <c r="F72" s="462">
        <v>49008.21</v>
      </c>
    </row>
    <row r="73" ht="47.25" spans="1:6">
      <c r="A73" s="588">
        <v>71</v>
      </c>
      <c r="B73" s="461" t="s">
        <v>318</v>
      </c>
      <c r="C73" s="589">
        <v>1500</v>
      </c>
      <c r="D73" s="589"/>
      <c r="E73" s="589">
        <v>7327.24403666667</v>
      </c>
      <c r="F73" s="462">
        <v>49008.21</v>
      </c>
    </row>
    <row r="74" ht="47.25" spans="1:6">
      <c r="A74" s="588">
        <v>72</v>
      </c>
      <c r="B74" s="461" t="s">
        <v>320</v>
      </c>
      <c r="C74" s="589">
        <v>1500</v>
      </c>
      <c r="D74" s="589"/>
      <c r="E74" s="589">
        <v>7327.24403666667</v>
      </c>
      <c r="F74" s="462">
        <v>49008.21</v>
      </c>
    </row>
    <row r="75" ht="47.25" spans="1:6">
      <c r="A75" s="588">
        <v>73</v>
      </c>
      <c r="B75" s="461" t="s">
        <v>321</v>
      </c>
      <c r="C75" s="589">
        <v>1500</v>
      </c>
      <c r="D75" s="589"/>
      <c r="E75" s="589">
        <v>9846.03385</v>
      </c>
      <c r="F75" s="462">
        <v>73188.59</v>
      </c>
    </row>
    <row r="76" ht="47.25" spans="1:6">
      <c r="A76" s="588">
        <v>74</v>
      </c>
      <c r="B76" s="461" t="s">
        <v>323</v>
      </c>
      <c r="C76" s="589">
        <v>1500</v>
      </c>
      <c r="D76" s="589"/>
      <c r="E76" s="589">
        <v>9846.03385</v>
      </c>
      <c r="F76" s="462">
        <v>73188.59</v>
      </c>
    </row>
    <row r="77" ht="47.25" spans="1:6">
      <c r="A77" s="588">
        <v>75</v>
      </c>
      <c r="B77" s="461" t="s">
        <v>324</v>
      </c>
      <c r="C77" s="589">
        <v>1500</v>
      </c>
      <c r="D77" s="589"/>
      <c r="E77" s="589">
        <v>9429.36725</v>
      </c>
      <c r="F77" s="462">
        <v>69188.59</v>
      </c>
    </row>
    <row r="78" ht="47.25" spans="1:6">
      <c r="A78" s="588">
        <v>76</v>
      </c>
      <c r="B78" s="461" t="s">
        <v>326</v>
      </c>
      <c r="C78" s="589">
        <v>1500</v>
      </c>
      <c r="D78" s="589"/>
      <c r="E78" s="589">
        <v>10598.1617033333</v>
      </c>
      <c r="F78" s="462">
        <v>80409.02</v>
      </c>
    </row>
    <row r="79" ht="47.25" spans="1:6">
      <c r="A79" s="588">
        <v>77</v>
      </c>
      <c r="B79" s="461" t="s">
        <v>327</v>
      </c>
      <c r="C79" s="589">
        <v>1500</v>
      </c>
      <c r="D79" s="589"/>
      <c r="E79" s="589">
        <v>13706.01405</v>
      </c>
      <c r="F79" s="462">
        <v>77188.46</v>
      </c>
    </row>
    <row r="80" ht="47.25" spans="1:6">
      <c r="A80" s="588">
        <v>78</v>
      </c>
      <c r="B80" s="461" t="s">
        <v>330</v>
      </c>
      <c r="C80" s="589">
        <v>2500</v>
      </c>
      <c r="D80" s="589"/>
      <c r="E80" s="589">
        <v>14483.11865</v>
      </c>
      <c r="F80" s="462">
        <v>117704.61</v>
      </c>
    </row>
    <row r="81" ht="47.25" spans="1:6">
      <c r="A81" s="588">
        <v>79</v>
      </c>
      <c r="B81" s="461" t="s">
        <v>332</v>
      </c>
      <c r="C81" s="589">
        <v>2000</v>
      </c>
      <c r="D81" s="589"/>
      <c r="E81" s="589">
        <v>9721.56541666667</v>
      </c>
      <c r="F81" s="462">
        <v>71993.6946666667</v>
      </c>
    </row>
    <row r="82" ht="47.25" spans="1:6">
      <c r="A82" s="588">
        <v>80</v>
      </c>
      <c r="B82" s="461" t="s">
        <v>334</v>
      </c>
      <c r="C82" s="589">
        <v>2500</v>
      </c>
      <c r="D82" s="589"/>
      <c r="E82" s="589">
        <v>18343.11885</v>
      </c>
      <c r="F82" s="462">
        <v>117704.8</v>
      </c>
    </row>
    <row r="83" ht="47.25" spans="1:6">
      <c r="A83" s="588">
        <v>81</v>
      </c>
      <c r="B83" s="461" t="s">
        <v>337</v>
      </c>
      <c r="C83" s="589">
        <v>2000</v>
      </c>
      <c r="D83" s="589"/>
      <c r="E83" s="589">
        <v>10430.43197</v>
      </c>
      <c r="F83" s="462">
        <v>78798.81</v>
      </c>
    </row>
    <row r="84" ht="47.25" spans="1:6">
      <c r="A84" s="588">
        <v>82</v>
      </c>
      <c r="B84" s="461" t="s">
        <v>339</v>
      </c>
      <c r="C84" s="589">
        <v>3500</v>
      </c>
      <c r="D84" s="589"/>
      <c r="E84" s="589">
        <v>17680.5294</v>
      </c>
      <c r="F84" s="462">
        <v>148399.75</v>
      </c>
    </row>
    <row r="85" ht="47.25" spans="1:6">
      <c r="A85" s="588">
        <v>83</v>
      </c>
      <c r="B85" s="461" t="s">
        <v>342</v>
      </c>
      <c r="C85" s="589">
        <v>3500</v>
      </c>
      <c r="D85" s="589"/>
      <c r="E85" s="589">
        <v>16764.71407</v>
      </c>
      <c r="F85" s="462">
        <v>139607.92</v>
      </c>
    </row>
    <row r="86" ht="47.25" spans="1:6">
      <c r="A86" s="588">
        <v>84</v>
      </c>
      <c r="B86" s="461" t="s">
        <v>345</v>
      </c>
      <c r="C86" s="589">
        <v>2500</v>
      </c>
      <c r="D86" s="589"/>
      <c r="E86" s="589">
        <v>13217.1904</v>
      </c>
      <c r="F86" s="462">
        <v>105551.69</v>
      </c>
    </row>
    <row r="87" ht="47.25" spans="1:6">
      <c r="A87" s="588">
        <v>85</v>
      </c>
      <c r="B87" s="461" t="s">
        <v>349</v>
      </c>
      <c r="C87" s="589">
        <v>1500</v>
      </c>
      <c r="D87" s="589"/>
      <c r="E87" s="589">
        <v>7327.24403666667</v>
      </c>
      <c r="F87" s="462">
        <v>49008.21</v>
      </c>
    </row>
    <row r="88" ht="47.25" spans="1:6">
      <c r="A88" s="588">
        <v>86</v>
      </c>
      <c r="B88" s="461" t="s">
        <v>351</v>
      </c>
      <c r="C88" s="589">
        <v>1000</v>
      </c>
      <c r="D88" s="589"/>
      <c r="E88" s="589">
        <v>4806.10576388889</v>
      </c>
      <c r="F88" s="462">
        <v>27537.9550833333</v>
      </c>
    </row>
    <row r="89" ht="47.25" spans="1:6">
      <c r="A89" s="588">
        <v>87</v>
      </c>
      <c r="B89" s="461" t="s">
        <v>355</v>
      </c>
      <c r="C89" s="589">
        <v>1500</v>
      </c>
      <c r="D89" s="589"/>
      <c r="E89" s="589">
        <v>9846.03385</v>
      </c>
      <c r="F89" s="462">
        <v>73188.59</v>
      </c>
    </row>
    <row r="90" ht="47.25" spans="1:6">
      <c r="A90" s="588">
        <v>88</v>
      </c>
      <c r="B90" s="461" t="s">
        <v>357</v>
      </c>
      <c r="C90" s="589">
        <v>1500</v>
      </c>
      <c r="D90" s="589"/>
      <c r="E90" s="589">
        <v>7540.16006333333</v>
      </c>
      <c r="F90" s="462">
        <v>51052.2</v>
      </c>
    </row>
    <row r="91" ht="47.25" spans="1:6">
      <c r="A91" s="588">
        <v>89</v>
      </c>
      <c r="B91" s="461" t="s">
        <v>359</v>
      </c>
      <c r="C91" s="589">
        <v>1500</v>
      </c>
      <c r="D91" s="589"/>
      <c r="E91" s="589">
        <v>6241.42489583333</v>
      </c>
      <c r="F91" s="462">
        <v>39594.6357916667</v>
      </c>
    </row>
    <row r="92" ht="47.25" spans="1:6">
      <c r="A92" s="588">
        <v>90</v>
      </c>
      <c r="B92" s="461" t="s">
        <v>362</v>
      </c>
      <c r="C92" s="589">
        <v>500</v>
      </c>
      <c r="D92" s="589"/>
      <c r="E92" s="589">
        <v>2820.1855</v>
      </c>
      <c r="F92" s="462">
        <v>11600.0764666667</v>
      </c>
    </row>
    <row r="93" ht="47.25" spans="1:6">
      <c r="A93" s="588">
        <v>91</v>
      </c>
      <c r="B93" s="461" t="s">
        <v>365</v>
      </c>
      <c r="C93" s="589">
        <v>1500</v>
      </c>
      <c r="D93" s="589"/>
      <c r="E93" s="589">
        <v>7327.24403666667</v>
      </c>
      <c r="F93" s="462">
        <v>49008.21</v>
      </c>
    </row>
    <row r="94" ht="47.25" spans="1:6">
      <c r="A94" s="588">
        <v>92</v>
      </c>
      <c r="B94" s="461" t="s">
        <v>367</v>
      </c>
      <c r="C94" s="589">
        <v>1500</v>
      </c>
      <c r="D94" s="589"/>
      <c r="E94" s="589">
        <v>6403.54973</v>
      </c>
      <c r="F94" s="462">
        <v>40956.48</v>
      </c>
    </row>
    <row r="95" ht="47.25" spans="1:6">
      <c r="A95" s="588">
        <v>93</v>
      </c>
      <c r="B95" s="461" t="s">
        <v>369</v>
      </c>
      <c r="C95" s="589">
        <v>1500</v>
      </c>
      <c r="D95" s="589"/>
      <c r="E95" s="589">
        <v>7123.49346333333</v>
      </c>
      <c r="F95" s="462">
        <v>47052.2</v>
      </c>
    </row>
    <row r="96" ht="47.25" spans="1:6">
      <c r="A96" s="588">
        <v>94</v>
      </c>
      <c r="B96" s="461" t="s">
        <v>371</v>
      </c>
      <c r="C96" s="589">
        <v>2500</v>
      </c>
      <c r="D96" s="589"/>
      <c r="E96" s="589">
        <v>14066.46525</v>
      </c>
      <c r="F96" s="462">
        <v>113704.73</v>
      </c>
    </row>
    <row r="97" ht="47.25" spans="1:6">
      <c r="A97" s="588">
        <v>95</v>
      </c>
      <c r="B97" s="461" t="s">
        <v>373</v>
      </c>
      <c r="C97" s="589">
        <v>1500</v>
      </c>
      <c r="D97" s="589"/>
      <c r="E97" s="589">
        <v>7549.33187</v>
      </c>
      <c r="F97" s="462">
        <v>51140.2526186667</v>
      </c>
    </row>
    <row r="98" ht="47.25" spans="1:6">
      <c r="A98" s="588">
        <v>96</v>
      </c>
      <c r="B98" s="461" t="s">
        <v>375</v>
      </c>
      <c r="C98" s="589">
        <v>1000</v>
      </c>
      <c r="D98" s="589"/>
      <c r="E98" s="589">
        <v>5350.52829666667</v>
      </c>
      <c r="F98" s="462">
        <v>32111.1</v>
      </c>
    </row>
    <row r="99" ht="47.25" spans="1:6">
      <c r="A99" s="588">
        <v>97</v>
      </c>
      <c r="B99" s="461" t="s">
        <v>378</v>
      </c>
      <c r="C99" s="589">
        <v>3500</v>
      </c>
      <c r="D99" s="589"/>
      <c r="E99" s="589">
        <v>12100</v>
      </c>
      <c r="F99" s="462">
        <v>99434.67</v>
      </c>
    </row>
    <row r="100" ht="47.25" spans="1:6">
      <c r="A100" s="588">
        <v>98</v>
      </c>
      <c r="B100" s="461" t="s">
        <v>380</v>
      </c>
      <c r="C100" s="589">
        <v>3500</v>
      </c>
      <c r="D100" s="589"/>
      <c r="E100" s="589">
        <v>16373.077</v>
      </c>
      <c r="F100" s="462">
        <v>135848.205866667</v>
      </c>
    </row>
    <row r="101" ht="47.25" spans="1:6">
      <c r="A101" s="588">
        <v>99</v>
      </c>
      <c r="B101" s="461" t="s">
        <v>382</v>
      </c>
      <c r="C101" s="589">
        <v>1500</v>
      </c>
      <c r="D101" s="589"/>
      <c r="E101" s="589">
        <v>6715.99187</v>
      </c>
      <c r="F101" s="462">
        <v>43581</v>
      </c>
    </row>
    <row r="102" ht="47.25" spans="1:6">
      <c r="A102" s="588">
        <v>100</v>
      </c>
      <c r="B102" s="461" t="s">
        <v>383</v>
      </c>
      <c r="C102" s="589">
        <v>1000</v>
      </c>
      <c r="D102" s="589"/>
      <c r="E102" s="589">
        <v>5283.54683333333</v>
      </c>
      <c r="F102" s="462">
        <v>31548.46</v>
      </c>
    </row>
    <row r="103" ht="47.25" spans="1:6">
      <c r="A103" s="588">
        <v>101</v>
      </c>
      <c r="B103" s="461" t="s">
        <v>386</v>
      </c>
      <c r="C103" s="589">
        <v>1000</v>
      </c>
      <c r="D103" s="589"/>
      <c r="E103" s="589">
        <v>5166.41698666667</v>
      </c>
      <c r="F103" s="462">
        <v>30564.57</v>
      </c>
    </row>
    <row r="104" ht="47.25" spans="1:6">
      <c r="A104" s="588">
        <v>102</v>
      </c>
      <c r="B104" s="461" t="s">
        <v>388</v>
      </c>
      <c r="C104" s="589">
        <v>1500</v>
      </c>
      <c r="D104" s="589"/>
      <c r="E104" s="589">
        <v>6919.74088</v>
      </c>
      <c r="F104" s="462">
        <v>45292.49</v>
      </c>
    </row>
    <row r="105" ht="47.25" spans="1:6">
      <c r="A105" s="588">
        <v>103</v>
      </c>
      <c r="B105" s="461" t="s">
        <v>389</v>
      </c>
      <c r="C105" s="589">
        <v>1500</v>
      </c>
      <c r="D105" s="589"/>
      <c r="E105" s="589">
        <v>5732.34075</v>
      </c>
      <c r="F105" s="462">
        <v>35318.33</v>
      </c>
    </row>
    <row r="106" ht="47.25" spans="1:6">
      <c r="A106" s="588">
        <v>104</v>
      </c>
      <c r="B106" s="461" t="s">
        <v>390</v>
      </c>
      <c r="C106" s="589">
        <v>1500</v>
      </c>
      <c r="D106" s="589"/>
      <c r="E106" s="589">
        <v>5605.06911333333</v>
      </c>
      <c r="F106" s="462">
        <v>34249.25</v>
      </c>
    </row>
    <row r="107" ht="47.25" spans="1:6">
      <c r="A107" s="588">
        <v>105</v>
      </c>
      <c r="B107" s="461" t="s">
        <v>392</v>
      </c>
      <c r="C107" s="589">
        <v>2000</v>
      </c>
      <c r="D107" s="589"/>
      <c r="E107" s="589">
        <v>9721.56541666667</v>
      </c>
      <c r="F107" s="462">
        <v>71993.6946666667</v>
      </c>
    </row>
    <row r="108" ht="47.25" spans="1:6">
      <c r="A108" s="588">
        <v>106</v>
      </c>
      <c r="B108" s="461" t="s">
        <v>393</v>
      </c>
      <c r="C108" s="589">
        <v>1500</v>
      </c>
      <c r="D108" s="589"/>
      <c r="E108" s="589">
        <v>9137.16908333333</v>
      </c>
      <c r="F108" s="462">
        <v>66383.49</v>
      </c>
    </row>
    <row r="109" ht="47.25" spans="1:6">
      <c r="A109" s="588">
        <v>107</v>
      </c>
      <c r="B109" s="461" t="s">
        <v>396</v>
      </c>
      <c r="C109" s="589">
        <v>2000</v>
      </c>
      <c r="D109" s="589"/>
      <c r="E109" s="589">
        <v>11001.2422666667</v>
      </c>
      <c r="F109" s="462">
        <v>84278.59</v>
      </c>
    </row>
    <row r="110" ht="47.25" spans="1:6">
      <c r="A110" s="588">
        <v>108</v>
      </c>
      <c r="B110" s="461" t="s">
        <v>397</v>
      </c>
      <c r="C110" s="589">
        <v>2000</v>
      </c>
      <c r="D110" s="589"/>
      <c r="E110" s="589">
        <v>11001.2422666667</v>
      </c>
      <c r="F110" s="462">
        <v>84278.59</v>
      </c>
    </row>
    <row r="111" ht="47.25" spans="1:6">
      <c r="A111" s="588">
        <v>109</v>
      </c>
      <c r="B111" s="461" t="s">
        <v>400</v>
      </c>
      <c r="C111" s="589">
        <v>2000</v>
      </c>
      <c r="D111" s="589"/>
      <c r="E111" s="589">
        <v>10584.598</v>
      </c>
      <c r="F111" s="462">
        <v>80278.81</v>
      </c>
    </row>
    <row r="112" ht="47.25" spans="1:6">
      <c r="A112" s="588">
        <v>110</v>
      </c>
      <c r="B112" s="461" t="s">
        <v>403</v>
      </c>
      <c r="C112" s="589">
        <v>1500</v>
      </c>
      <c r="D112" s="589"/>
      <c r="E112" s="589">
        <v>9137.16908333333</v>
      </c>
      <c r="F112" s="462">
        <v>66383.49</v>
      </c>
    </row>
    <row r="113" ht="47.25" spans="1:6">
      <c r="A113" s="588">
        <v>111</v>
      </c>
      <c r="B113" s="461" t="s">
        <v>404</v>
      </c>
      <c r="C113" s="589">
        <v>2000</v>
      </c>
      <c r="D113" s="589"/>
      <c r="E113" s="589">
        <v>11001.2422666667</v>
      </c>
      <c r="F113" s="462">
        <v>84278.59</v>
      </c>
    </row>
    <row r="114" ht="47.25" spans="1:6">
      <c r="A114" s="588">
        <v>112</v>
      </c>
      <c r="B114" s="461" t="s">
        <v>406</v>
      </c>
      <c r="C114" s="589">
        <v>1500</v>
      </c>
      <c r="D114" s="589"/>
      <c r="E114" s="589">
        <v>9137.16908333333</v>
      </c>
      <c r="F114" s="462">
        <v>66383.49</v>
      </c>
    </row>
    <row r="115" ht="47.25" spans="1:6">
      <c r="A115" s="588">
        <v>113</v>
      </c>
      <c r="B115" s="461" t="s">
        <v>408</v>
      </c>
      <c r="C115" s="589">
        <v>1500</v>
      </c>
      <c r="D115" s="589"/>
      <c r="E115" s="589">
        <v>5732.34075</v>
      </c>
      <c r="F115" s="462">
        <v>35318.33</v>
      </c>
    </row>
    <row r="116" ht="47.25" spans="1:6">
      <c r="A116" s="588">
        <v>114</v>
      </c>
      <c r="B116" s="461" t="s">
        <v>410</v>
      </c>
      <c r="C116" s="589">
        <v>3500</v>
      </c>
      <c r="D116" s="589"/>
      <c r="E116" s="589">
        <v>9429.36725</v>
      </c>
      <c r="F116" s="462">
        <v>69188.59</v>
      </c>
    </row>
    <row r="117" ht="47.25" spans="1:6">
      <c r="A117" s="588">
        <v>115</v>
      </c>
      <c r="B117" s="461" t="s">
        <v>412</v>
      </c>
      <c r="C117" s="589">
        <v>1500</v>
      </c>
      <c r="D117" s="589"/>
      <c r="E117" s="589">
        <v>10262.70045</v>
      </c>
      <c r="F117" s="462">
        <v>77188.5909866667</v>
      </c>
    </row>
    <row r="118" ht="47.25" spans="1:6">
      <c r="A118" s="588">
        <v>116</v>
      </c>
      <c r="B118" s="461" t="s">
        <v>413</v>
      </c>
      <c r="C118" s="589">
        <v>1500</v>
      </c>
      <c r="D118" s="589"/>
      <c r="E118" s="589">
        <v>6241.4235</v>
      </c>
      <c r="F118" s="462">
        <v>39594.62</v>
      </c>
    </row>
    <row r="119" ht="47.25" spans="1:6">
      <c r="A119" s="588">
        <v>117</v>
      </c>
      <c r="B119" s="461" t="s">
        <v>414</v>
      </c>
      <c r="C119" s="589">
        <v>1500</v>
      </c>
      <c r="D119" s="589"/>
      <c r="E119" s="589">
        <v>7530.99304666667</v>
      </c>
      <c r="F119" s="462">
        <v>50964.2</v>
      </c>
    </row>
    <row r="120" ht="47.25" spans="1:6">
      <c r="A120" s="588">
        <v>118</v>
      </c>
      <c r="B120" s="461" t="s">
        <v>416</v>
      </c>
      <c r="C120" s="589">
        <v>1500</v>
      </c>
      <c r="D120" s="589"/>
      <c r="E120" s="589">
        <v>7123.49346333333</v>
      </c>
      <c r="F120" s="462">
        <v>47052.2</v>
      </c>
    </row>
    <row r="121" ht="47.25" spans="1:6">
      <c r="A121" s="588">
        <v>119</v>
      </c>
      <c r="B121" s="461" t="s">
        <v>417</v>
      </c>
      <c r="C121" s="589">
        <v>1500</v>
      </c>
      <c r="D121" s="589"/>
      <c r="E121" s="589">
        <v>2929.80641666667</v>
      </c>
      <c r="F121" s="462">
        <v>12433.2</v>
      </c>
    </row>
    <row r="122" ht="47.25" spans="1:6">
      <c r="A122" s="588">
        <v>120</v>
      </c>
      <c r="B122" s="461" t="s">
        <v>421</v>
      </c>
      <c r="C122" s="589">
        <v>1500</v>
      </c>
      <c r="D122" s="589"/>
      <c r="E122" s="589">
        <v>6715.99187</v>
      </c>
      <c r="F122" s="462">
        <v>43580.9983746667</v>
      </c>
    </row>
    <row r="123" ht="47.25" spans="1:6">
      <c r="A123" s="588">
        <v>121</v>
      </c>
      <c r="B123" s="461" t="s">
        <v>423</v>
      </c>
      <c r="C123" s="589">
        <v>1500</v>
      </c>
      <c r="D123" s="589"/>
      <c r="E123" s="589">
        <v>9553.83568333333</v>
      </c>
      <c r="F123" s="462">
        <v>70383.49</v>
      </c>
    </row>
    <row r="124" ht="47.25" spans="1:6">
      <c r="A124" s="588">
        <v>122</v>
      </c>
      <c r="B124" s="461" t="s">
        <v>425</v>
      </c>
      <c r="C124" s="589">
        <v>1500</v>
      </c>
      <c r="D124" s="589"/>
      <c r="E124" s="589">
        <v>9137.16908333333</v>
      </c>
      <c r="F124" s="462">
        <v>66383.49</v>
      </c>
    </row>
    <row r="125" ht="47.25" spans="1:6">
      <c r="A125" s="588">
        <v>123</v>
      </c>
      <c r="B125" s="461" t="s">
        <v>427</v>
      </c>
      <c r="C125" s="589">
        <v>1500</v>
      </c>
      <c r="D125" s="589"/>
      <c r="E125" s="589">
        <v>9429.36725</v>
      </c>
      <c r="F125" s="462">
        <v>69188.59</v>
      </c>
    </row>
    <row r="126" ht="47.25" spans="1:6">
      <c r="A126" s="588">
        <v>124</v>
      </c>
      <c r="B126" s="461" t="s">
        <v>428</v>
      </c>
      <c r="C126" s="589">
        <v>1000</v>
      </c>
      <c r="D126" s="589"/>
      <c r="E126" s="589">
        <v>5732.34075</v>
      </c>
      <c r="F126" s="462">
        <v>35318.33</v>
      </c>
    </row>
    <row r="127" ht="47.25" spans="1:6">
      <c r="A127" s="588">
        <v>125</v>
      </c>
      <c r="B127" s="461" t="s">
        <v>429</v>
      </c>
      <c r="C127" s="589">
        <v>1000</v>
      </c>
      <c r="D127" s="589">
        <v>1250</v>
      </c>
      <c r="E127" s="589">
        <v>5634.94329666667</v>
      </c>
      <c r="F127" s="462">
        <v>34500.19</v>
      </c>
    </row>
    <row r="128" ht="47.25" spans="1:6">
      <c r="A128" s="588">
        <v>126</v>
      </c>
      <c r="B128" s="461" t="s">
        <v>431</v>
      </c>
      <c r="C128" s="589">
        <v>1500</v>
      </c>
      <c r="D128" s="589"/>
      <c r="E128" s="589">
        <v>9137.16908333333</v>
      </c>
      <c r="F128" s="462">
        <v>66383.49</v>
      </c>
    </row>
    <row r="129" ht="47.25" spans="1:6">
      <c r="A129" s="588">
        <v>127</v>
      </c>
      <c r="B129" s="461" t="s">
        <v>433</v>
      </c>
      <c r="C129" s="589">
        <v>1500</v>
      </c>
      <c r="D129" s="589"/>
      <c r="E129" s="589">
        <v>6512.24308333333</v>
      </c>
      <c r="F129" s="462">
        <v>41869.51</v>
      </c>
    </row>
    <row r="130" ht="47.25" spans="1:6">
      <c r="A130" s="588">
        <v>128</v>
      </c>
      <c r="B130" s="461" t="s">
        <v>434</v>
      </c>
      <c r="C130" s="589">
        <v>1000</v>
      </c>
      <c r="D130" s="589"/>
      <c r="E130" s="589">
        <v>5166.41587</v>
      </c>
      <c r="F130" s="462">
        <v>30564.56</v>
      </c>
    </row>
    <row r="131" ht="47.25" spans="1:6">
      <c r="A131" s="588">
        <v>129</v>
      </c>
      <c r="B131" s="461" t="s">
        <v>437</v>
      </c>
      <c r="C131" s="589">
        <v>1500</v>
      </c>
      <c r="D131" s="589"/>
      <c r="E131" s="589">
        <v>5049.28319444444</v>
      </c>
      <c r="F131" s="462">
        <v>34249.247375</v>
      </c>
    </row>
    <row r="132" ht="47.25" spans="1:6">
      <c r="A132" s="588">
        <v>130</v>
      </c>
      <c r="B132" s="461" t="s">
        <v>438</v>
      </c>
      <c r="C132" s="589">
        <v>1000</v>
      </c>
      <c r="D132" s="589"/>
      <c r="E132" s="589">
        <v>5400.67958333333</v>
      </c>
      <c r="F132" s="462">
        <v>31548.45225</v>
      </c>
    </row>
    <row r="133" ht="47.25" spans="1:6">
      <c r="A133" s="588">
        <v>131</v>
      </c>
      <c r="B133" s="461" t="s">
        <v>1829</v>
      </c>
      <c r="C133" s="589">
        <v>500</v>
      </c>
      <c r="D133" s="589"/>
      <c r="E133" s="589">
        <v>2926.3772</v>
      </c>
      <c r="F133" s="462">
        <v>12407.13</v>
      </c>
    </row>
    <row r="134" ht="47.25" spans="1:6">
      <c r="A134" s="588">
        <v>132</v>
      </c>
      <c r="B134" s="461" t="s">
        <v>441</v>
      </c>
      <c r="C134" s="589">
        <v>500</v>
      </c>
      <c r="D134" s="589"/>
      <c r="E134" s="589">
        <v>2520.1808</v>
      </c>
      <c r="F134" s="462">
        <v>9621.0815</v>
      </c>
    </row>
    <row r="135" ht="47.25" spans="1:6">
      <c r="A135" s="588">
        <v>133</v>
      </c>
      <c r="B135" s="461" t="s">
        <v>443</v>
      </c>
      <c r="C135" s="589">
        <v>500</v>
      </c>
      <c r="D135" s="589"/>
      <c r="E135" s="589">
        <v>2218.8725</v>
      </c>
      <c r="F135" s="462">
        <v>7813.24</v>
      </c>
    </row>
    <row r="136" ht="47.25" spans="1:6">
      <c r="A136" s="588">
        <v>134</v>
      </c>
      <c r="B136" s="461" t="s">
        <v>447</v>
      </c>
      <c r="C136" s="589">
        <v>1750</v>
      </c>
      <c r="D136" s="589"/>
      <c r="E136" s="589">
        <v>7101.7429</v>
      </c>
      <c r="F136" s="462">
        <v>46843.4</v>
      </c>
    </row>
    <row r="137" ht="47.25" spans="1:6">
      <c r="A137" s="588">
        <v>135</v>
      </c>
      <c r="B137" s="461" t="s">
        <v>451</v>
      </c>
      <c r="C137" s="589">
        <v>1500</v>
      </c>
      <c r="D137" s="589"/>
      <c r="E137" s="589">
        <v>6715.99187</v>
      </c>
      <c r="F137" s="462">
        <v>43581</v>
      </c>
    </row>
    <row r="138" ht="47.25" spans="1:6">
      <c r="A138" s="588">
        <v>136</v>
      </c>
      <c r="B138" s="461" t="s">
        <v>452</v>
      </c>
      <c r="C138" s="589">
        <v>1500</v>
      </c>
      <c r="D138" s="589"/>
      <c r="E138" s="589">
        <v>9429.36725</v>
      </c>
      <c r="F138" s="462">
        <v>69188.59</v>
      </c>
    </row>
    <row r="139" ht="47.25" spans="1:6">
      <c r="A139" s="588">
        <v>137</v>
      </c>
      <c r="B139" s="461" t="s">
        <v>454</v>
      </c>
      <c r="C139" s="589">
        <v>1000</v>
      </c>
      <c r="D139" s="589"/>
      <c r="E139" s="589">
        <v>5605.07045333333</v>
      </c>
      <c r="F139" s="462">
        <v>34249.26</v>
      </c>
    </row>
    <row r="140" ht="47.25" spans="1:6">
      <c r="A140" s="588">
        <v>138</v>
      </c>
      <c r="B140" s="461" t="s">
        <v>455</v>
      </c>
      <c r="C140" s="589">
        <v>1500</v>
      </c>
      <c r="D140" s="589"/>
      <c r="E140" s="589">
        <v>9846.03385</v>
      </c>
      <c r="F140" s="462">
        <v>73188.59</v>
      </c>
    </row>
    <row r="141" ht="47.25" spans="1:6">
      <c r="A141" s="588">
        <v>139</v>
      </c>
      <c r="B141" s="461" t="s">
        <v>457</v>
      </c>
      <c r="C141" s="589">
        <v>1500</v>
      </c>
      <c r="D141" s="589"/>
      <c r="E141" s="589">
        <v>7123.49346333333</v>
      </c>
      <c r="F141" s="462">
        <v>57052.2</v>
      </c>
    </row>
    <row r="142" ht="47.25" spans="1:6">
      <c r="A142" s="588">
        <v>140</v>
      </c>
      <c r="B142" s="461" t="s">
        <v>458</v>
      </c>
      <c r="C142" s="589">
        <v>1500</v>
      </c>
      <c r="D142" s="589"/>
      <c r="E142" s="589">
        <v>9429.36725</v>
      </c>
      <c r="F142" s="462">
        <v>69188.59</v>
      </c>
    </row>
    <row r="143" ht="47.25" spans="1:6">
      <c r="A143" s="588">
        <v>141</v>
      </c>
      <c r="B143" s="461" t="s">
        <v>460</v>
      </c>
      <c r="C143" s="589">
        <v>1500</v>
      </c>
      <c r="D143" s="589"/>
      <c r="E143" s="589">
        <v>6715.99187</v>
      </c>
      <c r="F143" s="462">
        <v>43580.9983746667</v>
      </c>
    </row>
    <row r="144" ht="47.25" spans="1:6">
      <c r="A144" s="588">
        <v>142</v>
      </c>
      <c r="B144" s="461" t="s">
        <v>462</v>
      </c>
      <c r="C144" s="589">
        <v>1500</v>
      </c>
      <c r="D144" s="589"/>
      <c r="E144" s="589">
        <v>6715.99187</v>
      </c>
      <c r="F144" s="462">
        <v>43581</v>
      </c>
    </row>
    <row r="145" ht="47.25" spans="1:6">
      <c r="A145" s="588">
        <v>143</v>
      </c>
      <c r="B145" s="461" t="s">
        <v>464</v>
      </c>
      <c r="C145" s="589"/>
      <c r="D145" s="589"/>
      <c r="E145" s="589"/>
      <c r="F145" s="462"/>
    </row>
    <row r="146" ht="47.25" spans="1:6">
      <c r="A146" s="588">
        <v>144</v>
      </c>
      <c r="B146" s="461" t="s">
        <v>468</v>
      </c>
      <c r="C146" s="589"/>
      <c r="D146" s="589"/>
      <c r="E146" s="589"/>
      <c r="F146" s="462"/>
    </row>
    <row r="147" ht="47.25" spans="1:6">
      <c r="A147" s="588">
        <v>145</v>
      </c>
      <c r="B147" s="461" t="s">
        <v>470</v>
      </c>
      <c r="C147" s="589">
        <v>1500</v>
      </c>
      <c r="D147" s="589"/>
      <c r="E147" s="589">
        <v>5732.34075</v>
      </c>
      <c r="F147" s="462">
        <v>35318.33</v>
      </c>
    </row>
    <row r="148" ht="47.25" spans="1:6">
      <c r="A148" s="588">
        <v>146</v>
      </c>
      <c r="B148" s="461" t="s">
        <v>472</v>
      </c>
      <c r="C148" s="589">
        <v>1500</v>
      </c>
      <c r="D148" s="589"/>
      <c r="E148" s="589">
        <v>5732.34075</v>
      </c>
      <c r="F148" s="462">
        <v>35318.33</v>
      </c>
    </row>
    <row r="149" ht="47.25" spans="1:6">
      <c r="A149" s="588">
        <v>147</v>
      </c>
      <c r="B149" s="461" t="s">
        <v>473</v>
      </c>
      <c r="C149" s="589">
        <v>1500</v>
      </c>
      <c r="D149" s="589"/>
      <c r="E149" s="589">
        <v>5732.34075</v>
      </c>
      <c r="F149" s="462">
        <v>35318.33</v>
      </c>
    </row>
    <row r="150" ht="47.25" spans="1:6">
      <c r="A150" s="588">
        <v>148</v>
      </c>
      <c r="B150" s="461" t="s">
        <v>475</v>
      </c>
      <c r="C150" s="589">
        <v>1500</v>
      </c>
      <c r="D150" s="589"/>
      <c r="E150" s="589">
        <v>6715.99187</v>
      </c>
      <c r="F150" s="462">
        <v>43580.9983746667</v>
      </c>
    </row>
    <row r="151" ht="47.25" spans="1:6">
      <c r="A151" s="588">
        <v>149</v>
      </c>
      <c r="B151" s="461" t="s">
        <v>477</v>
      </c>
      <c r="C151" s="589">
        <v>1000</v>
      </c>
      <c r="D151" s="589"/>
      <c r="E151" s="589">
        <v>4806.10576388889</v>
      </c>
      <c r="F151" s="462">
        <v>27537.9550833333</v>
      </c>
    </row>
    <row r="152" ht="47.25" spans="1:6">
      <c r="A152" s="588">
        <v>150</v>
      </c>
      <c r="B152" s="461" t="s">
        <v>478</v>
      </c>
      <c r="C152" s="589">
        <v>1000</v>
      </c>
      <c r="D152" s="589"/>
      <c r="E152" s="589">
        <v>5477.79837</v>
      </c>
      <c r="F152" s="462">
        <v>33180.17</v>
      </c>
    </row>
    <row r="153" ht="47.25" spans="1:6">
      <c r="A153" s="588">
        <v>151</v>
      </c>
      <c r="B153" s="461" t="s">
        <v>479</v>
      </c>
      <c r="C153" s="589">
        <v>1000</v>
      </c>
      <c r="D153" s="589">
        <v>1250</v>
      </c>
      <c r="E153" s="589">
        <v>4806.10576388889</v>
      </c>
      <c r="F153" s="462">
        <v>27537.9550833333</v>
      </c>
    </row>
    <row r="154" ht="47.25" spans="1:6">
      <c r="A154" s="588">
        <v>152</v>
      </c>
      <c r="B154" s="461" t="s">
        <v>481</v>
      </c>
      <c r="C154" s="589">
        <v>1000</v>
      </c>
      <c r="D154" s="589"/>
      <c r="E154" s="589">
        <v>4806.10576388889</v>
      </c>
      <c r="F154" s="462">
        <v>27537.9550833333</v>
      </c>
    </row>
    <row r="155" ht="47.25" spans="1:6">
      <c r="A155" s="588">
        <v>153</v>
      </c>
      <c r="B155" s="461" t="s">
        <v>482</v>
      </c>
      <c r="C155" s="589">
        <v>1000</v>
      </c>
      <c r="D155" s="589"/>
      <c r="E155" s="589">
        <v>4806.10576388889</v>
      </c>
      <c r="F155" s="462">
        <v>27537.9550833333</v>
      </c>
    </row>
    <row r="156" ht="47.25" spans="1:6">
      <c r="A156" s="588">
        <v>154</v>
      </c>
      <c r="B156" s="461" t="s">
        <v>484</v>
      </c>
      <c r="C156" s="589">
        <v>1500</v>
      </c>
      <c r="D156" s="589"/>
      <c r="E156" s="589">
        <v>5605.07045333333</v>
      </c>
      <c r="F156" s="462">
        <v>34249.26</v>
      </c>
    </row>
    <row r="157" ht="47.25" spans="1:6">
      <c r="A157" s="588">
        <v>155</v>
      </c>
      <c r="B157" s="461" t="s">
        <v>485</v>
      </c>
      <c r="C157" s="589">
        <v>1000</v>
      </c>
      <c r="D157" s="589"/>
      <c r="E157" s="589">
        <v>5517.81054666667</v>
      </c>
      <c r="F157" s="462">
        <v>33516.28</v>
      </c>
    </row>
    <row r="158" ht="47.25" spans="1:6">
      <c r="A158" s="588">
        <v>156</v>
      </c>
      <c r="B158" s="461" t="s">
        <v>488</v>
      </c>
      <c r="C158" s="589">
        <v>1000</v>
      </c>
      <c r="D158" s="589"/>
      <c r="E158" s="589">
        <v>4806.10576388889</v>
      </c>
      <c r="F158" s="462">
        <v>27537.9550833333</v>
      </c>
    </row>
    <row r="159" ht="47.25" spans="1:6">
      <c r="A159" s="588">
        <v>157</v>
      </c>
      <c r="B159" s="461" t="s">
        <v>490</v>
      </c>
      <c r="C159" s="589">
        <v>1000</v>
      </c>
      <c r="D159" s="589"/>
      <c r="E159" s="589">
        <v>5477.79837</v>
      </c>
      <c r="F159" s="462">
        <v>33180.17</v>
      </c>
    </row>
    <row r="160" ht="47.25" spans="1:6">
      <c r="A160" s="588">
        <v>158</v>
      </c>
      <c r="B160" s="461" t="s">
        <v>492</v>
      </c>
      <c r="C160" s="589">
        <v>1000</v>
      </c>
      <c r="D160" s="589"/>
      <c r="E160" s="589">
        <v>5166.41587</v>
      </c>
      <c r="F160" s="462">
        <v>30564.56</v>
      </c>
    </row>
    <row r="161" ht="47.25" spans="1:6">
      <c r="A161" s="588">
        <v>159</v>
      </c>
      <c r="B161" s="461" t="s">
        <v>494</v>
      </c>
      <c r="C161" s="589">
        <v>1000</v>
      </c>
      <c r="D161" s="589"/>
      <c r="E161" s="589">
        <v>4932.14858333333</v>
      </c>
      <c r="F161" s="462">
        <v>28596.71</v>
      </c>
    </row>
    <row r="162" ht="47.25" spans="1:6">
      <c r="A162" s="588">
        <v>160</v>
      </c>
      <c r="B162" s="461" t="s">
        <v>497</v>
      </c>
      <c r="C162" s="589">
        <v>1000</v>
      </c>
      <c r="D162" s="589"/>
      <c r="E162" s="589">
        <v>4607.06637</v>
      </c>
      <c r="F162" s="462">
        <v>25866.02</v>
      </c>
    </row>
    <row r="163" ht="47.25" spans="1:6">
      <c r="A163" s="588">
        <v>161</v>
      </c>
      <c r="B163" s="461" t="s">
        <v>500</v>
      </c>
      <c r="C163" s="589">
        <v>1000</v>
      </c>
      <c r="D163" s="589"/>
      <c r="E163" s="589">
        <v>4607.06637</v>
      </c>
      <c r="F163" s="462">
        <v>25866.02</v>
      </c>
    </row>
    <row r="164" ht="47.25" spans="1:6">
      <c r="A164" s="588">
        <v>162</v>
      </c>
      <c r="B164" s="461" t="s">
        <v>502</v>
      </c>
      <c r="C164" s="589">
        <v>1000</v>
      </c>
      <c r="D164" s="589"/>
      <c r="E164" s="589">
        <v>4507.54859</v>
      </c>
      <c r="F164" s="462">
        <v>25030.06</v>
      </c>
    </row>
    <row r="165" ht="47.25" spans="1:6">
      <c r="A165" s="588">
        <v>163</v>
      </c>
      <c r="B165" s="461" t="s">
        <v>504</v>
      </c>
      <c r="C165" s="589">
        <v>1000</v>
      </c>
      <c r="D165" s="589"/>
      <c r="E165" s="589">
        <v>4507.54725</v>
      </c>
      <c r="F165" s="462">
        <v>25030.06</v>
      </c>
    </row>
    <row r="166" ht="47.25" spans="1:6">
      <c r="A166" s="588">
        <v>164</v>
      </c>
      <c r="B166" s="461" t="s">
        <v>507</v>
      </c>
      <c r="C166" s="589">
        <v>1000</v>
      </c>
      <c r="D166" s="589"/>
      <c r="E166" s="589">
        <v>5477.79837</v>
      </c>
      <c r="F166" s="462">
        <v>33180.17</v>
      </c>
    </row>
    <row r="167" ht="47.25" spans="1:6">
      <c r="A167" s="588">
        <v>165</v>
      </c>
      <c r="B167" s="461" t="s">
        <v>508</v>
      </c>
      <c r="C167" s="589">
        <v>500</v>
      </c>
      <c r="D167" s="589"/>
      <c r="E167" s="589">
        <v>2802.53522666667</v>
      </c>
      <c r="F167" s="462">
        <v>11465.9343893333</v>
      </c>
    </row>
    <row r="168" ht="47.25" spans="1:6">
      <c r="A168" s="588">
        <v>166</v>
      </c>
      <c r="B168" s="461" t="s">
        <v>510</v>
      </c>
      <c r="C168" s="589">
        <v>500</v>
      </c>
      <c r="D168" s="589"/>
      <c r="E168" s="589">
        <v>4507.54725</v>
      </c>
      <c r="F168" s="462">
        <v>25030.06</v>
      </c>
    </row>
    <row r="169" ht="47.25" spans="1:6">
      <c r="A169" s="588">
        <v>167</v>
      </c>
      <c r="B169" s="461" t="s">
        <v>512</v>
      </c>
      <c r="C169" s="589">
        <v>1500</v>
      </c>
      <c r="D169" s="589"/>
      <c r="E169" s="589">
        <v>7336.40748</v>
      </c>
      <c r="F169" s="462">
        <v>49096.18</v>
      </c>
    </row>
    <row r="170" ht="47.25" spans="1:6">
      <c r="A170" s="588">
        <v>168</v>
      </c>
      <c r="B170" s="461" t="s">
        <v>514</v>
      </c>
      <c r="C170" s="589">
        <v>3500</v>
      </c>
      <c r="D170" s="589"/>
      <c r="E170" s="589">
        <v>16527.8216</v>
      </c>
      <c r="F170" s="462">
        <v>137333.754026667</v>
      </c>
    </row>
    <row r="171" ht="47.25" spans="1:6">
      <c r="A171" s="588">
        <v>169</v>
      </c>
      <c r="B171" s="461" t="s">
        <v>517</v>
      </c>
      <c r="C171" s="589">
        <v>1500</v>
      </c>
      <c r="D171" s="589"/>
      <c r="E171" s="589">
        <v>7430.9934375</v>
      </c>
      <c r="F171" s="462">
        <v>50004.2036666667</v>
      </c>
    </row>
    <row r="172" ht="47.25" spans="1:6">
      <c r="A172" s="588">
        <v>170</v>
      </c>
      <c r="B172" s="461" t="s">
        <v>521</v>
      </c>
      <c r="C172" s="589">
        <v>1500</v>
      </c>
      <c r="D172" s="589"/>
      <c r="E172" s="589">
        <v>6715.99187</v>
      </c>
      <c r="F172" s="462">
        <v>43581</v>
      </c>
    </row>
    <row r="173" ht="47.25" spans="1:6">
      <c r="A173" s="588">
        <v>171</v>
      </c>
      <c r="B173" s="461" t="s">
        <v>522</v>
      </c>
      <c r="C173" s="589"/>
      <c r="D173" s="589"/>
      <c r="E173" s="589"/>
      <c r="F173" s="462"/>
    </row>
    <row r="174" ht="47.25" spans="1:6">
      <c r="A174" s="588">
        <v>172</v>
      </c>
      <c r="B174" s="461" t="s">
        <v>524</v>
      </c>
      <c r="C174" s="589">
        <v>1500</v>
      </c>
      <c r="D174" s="589"/>
      <c r="E174" s="589">
        <v>5605.07045333333</v>
      </c>
      <c r="F174" s="462">
        <v>34249.247375</v>
      </c>
    </row>
    <row r="175" ht="47.25" spans="1:6">
      <c r="A175" s="588">
        <v>173</v>
      </c>
      <c r="B175" s="461" t="s">
        <v>527</v>
      </c>
      <c r="C175" s="589">
        <v>1500</v>
      </c>
      <c r="D175" s="589"/>
      <c r="E175" s="589">
        <v>5605.07045333333</v>
      </c>
      <c r="F175" s="462">
        <v>34249.247375</v>
      </c>
    </row>
    <row r="176" ht="47.25" spans="1:6">
      <c r="A176" s="588">
        <v>174</v>
      </c>
      <c r="B176" s="461" t="s">
        <v>528</v>
      </c>
      <c r="C176" s="589">
        <v>1500</v>
      </c>
      <c r="D176" s="589"/>
      <c r="E176" s="589">
        <v>5605.07045333333</v>
      </c>
      <c r="F176" s="462">
        <v>33180.1814166667</v>
      </c>
    </row>
    <row r="177" ht="47.25" spans="1:6">
      <c r="A177" s="588">
        <v>175</v>
      </c>
      <c r="B177" s="461" t="s">
        <v>530</v>
      </c>
      <c r="C177" s="589">
        <v>2000</v>
      </c>
      <c r="D177" s="589"/>
      <c r="E177" s="589">
        <v>9554.82908333333</v>
      </c>
      <c r="F177" s="462">
        <v>70393.03</v>
      </c>
    </row>
    <row r="178" ht="47.25" spans="1:6">
      <c r="A178" s="588">
        <v>176</v>
      </c>
      <c r="B178" s="461" t="s">
        <v>533</v>
      </c>
      <c r="C178" s="589">
        <v>2000</v>
      </c>
      <c r="D178" s="589"/>
      <c r="E178" s="589">
        <v>9970.50908333333</v>
      </c>
      <c r="F178" s="462">
        <v>74383.55</v>
      </c>
    </row>
    <row r="179" ht="47.25" spans="1:6">
      <c r="A179" s="588">
        <v>177</v>
      </c>
      <c r="B179" s="461" t="s">
        <v>536</v>
      </c>
      <c r="C179" s="589">
        <v>2000</v>
      </c>
      <c r="D179" s="589"/>
      <c r="E179" s="589">
        <v>9137.16908333333</v>
      </c>
      <c r="F179" s="462">
        <v>66383.49</v>
      </c>
    </row>
    <row r="180" ht="47.25" spans="1:6">
      <c r="A180" s="588">
        <v>178</v>
      </c>
      <c r="B180" s="461" t="s">
        <v>539</v>
      </c>
      <c r="C180" s="589">
        <v>1500</v>
      </c>
      <c r="D180" s="589"/>
      <c r="E180" s="589">
        <v>6715.99187</v>
      </c>
      <c r="F180" s="462">
        <v>43581</v>
      </c>
    </row>
    <row r="181" ht="47.25" spans="1:6">
      <c r="A181" s="588">
        <v>179</v>
      </c>
      <c r="B181" s="461" t="s">
        <v>541</v>
      </c>
      <c r="C181" s="589">
        <v>1500</v>
      </c>
      <c r="D181" s="589"/>
      <c r="E181" s="589">
        <v>6715.99187</v>
      </c>
      <c r="F181" s="462">
        <v>43581</v>
      </c>
    </row>
    <row r="182" ht="47.25" spans="1:6">
      <c r="A182" s="588">
        <v>180</v>
      </c>
      <c r="B182" s="461" t="s">
        <v>543</v>
      </c>
      <c r="C182" s="589">
        <v>1500</v>
      </c>
      <c r="D182" s="589"/>
      <c r="E182" s="589">
        <v>6715.99187</v>
      </c>
      <c r="F182" s="462">
        <v>43581</v>
      </c>
    </row>
    <row r="183" ht="47.25" spans="1:6">
      <c r="A183" s="588">
        <v>181</v>
      </c>
      <c r="B183" s="461" t="s">
        <v>545</v>
      </c>
      <c r="C183" s="589">
        <v>1500</v>
      </c>
      <c r="D183" s="589"/>
      <c r="E183" s="589">
        <v>6715.99187</v>
      </c>
      <c r="F183" s="462">
        <v>43581</v>
      </c>
    </row>
    <row r="184" ht="47.25" spans="1:6">
      <c r="A184" s="588">
        <v>182</v>
      </c>
      <c r="B184" s="461" t="s">
        <v>548</v>
      </c>
      <c r="C184" s="589">
        <v>1500</v>
      </c>
      <c r="D184" s="589"/>
      <c r="E184" s="589">
        <v>6715.99187</v>
      </c>
      <c r="F184" s="462">
        <v>43581</v>
      </c>
    </row>
    <row r="185" ht="47.25" spans="1:6">
      <c r="A185" s="588">
        <v>183</v>
      </c>
      <c r="B185" s="461" t="s">
        <v>551</v>
      </c>
      <c r="C185" s="589">
        <v>1500</v>
      </c>
      <c r="D185" s="589"/>
      <c r="E185" s="589">
        <v>6715.99187</v>
      </c>
      <c r="F185" s="462">
        <v>43581</v>
      </c>
    </row>
    <row r="186" ht="47.25" spans="1:6">
      <c r="A186" s="588">
        <v>184</v>
      </c>
      <c r="B186" s="461" t="s">
        <v>553</v>
      </c>
      <c r="C186" s="589">
        <v>1000</v>
      </c>
      <c r="D186" s="589"/>
      <c r="E186" s="589">
        <v>5049.28312</v>
      </c>
      <c r="F186" s="462">
        <v>29580.64</v>
      </c>
    </row>
    <row r="187" ht="47.25" spans="1:6">
      <c r="A187" s="588">
        <v>185</v>
      </c>
      <c r="B187" s="461" t="s">
        <v>557</v>
      </c>
      <c r="C187" s="589">
        <v>1000</v>
      </c>
      <c r="D187" s="589"/>
      <c r="E187" s="589">
        <v>5049.28312</v>
      </c>
      <c r="F187" s="462">
        <v>29580.64</v>
      </c>
    </row>
    <row r="188" ht="47.25" spans="1:6">
      <c r="A188" s="588">
        <v>186</v>
      </c>
      <c r="B188" s="461" t="s">
        <v>560</v>
      </c>
      <c r="C188" s="589">
        <v>1000</v>
      </c>
      <c r="D188" s="589"/>
      <c r="E188" s="589">
        <v>5049.28312</v>
      </c>
      <c r="F188" s="462">
        <v>29580.64</v>
      </c>
    </row>
    <row r="189" ht="47.25" spans="1:6">
      <c r="A189" s="588">
        <v>187</v>
      </c>
      <c r="B189" s="461" t="s">
        <v>563</v>
      </c>
      <c r="C189" s="589">
        <v>1000</v>
      </c>
      <c r="D189" s="589"/>
      <c r="E189" s="589">
        <v>5049.28312</v>
      </c>
      <c r="F189" s="462">
        <v>29580.64</v>
      </c>
    </row>
    <row r="190" ht="47.25" spans="1:6">
      <c r="A190" s="588">
        <v>188</v>
      </c>
      <c r="B190" s="461" t="s">
        <v>565</v>
      </c>
      <c r="C190" s="589">
        <v>1000</v>
      </c>
      <c r="D190" s="589"/>
      <c r="E190" s="589">
        <v>5049.28312</v>
      </c>
      <c r="F190" s="462">
        <v>29580.64</v>
      </c>
    </row>
    <row r="191" ht="47.25" spans="1:6">
      <c r="A191" s="588">
        <v>189</v>
      </c>
      <c r="B191" s="461" t="s">
        <v>567</v>
      </c>
      <c r="C191" s="589">
        <v>1000</v>
      </c>
      <c r="D191" s="589"/>
      <c r="E191" s="589">
        <v>5049.28312</v>
      </c>
      <c r="F191" s="462">
        <v>29580.64</v>
      </c>
    </row>
    <row r="192" ht="47.25" spans="1:6">
      <c r="A192" s="588">
        <v>190</v>
      </c>
      <c r="B192" s="461" t="s">
        <v>569</v>
      </c>
      <c r="C192" s="589">
        <v>1000</v>
      </c>
      <c r="D192" s="589"/>
      <c r="E192" s="589">
        <v>5049.28312</v>
      </c>
      <c r="F192" s="462">
        <v>29580.64</v>
      </c>
    </row>
    <row r="193" ht="47.25" spans="1:6">
      <c r="A193" s="588">
        <v>191</v>
      </c>
      <c r="B193" s="461" t="s">
        <v>570</v>
      </c>
      <c r="C193" s="589">
        <v>1000</v>
      </c>
      <c r="D193" s="589"/>
      <c r="E193" s="589">
        <v>5049.28312</v>
      </c>
      <c r="F193" s="462">
        <v>29580.64</v>
      </c>
    </row>
    <row r="194" ht="47.25" spans="1:6">
      <c r="A194" s="588">
        <v>192</v>
      </c>
      <c r="B194" s="461" t="s">
        <v>572</v>
      </c>
      <c r="C194" s="589">
        <v>1000</v>
      </c>
      <c r="D194" s="589"/>
      <c r="E194" s="589">
        <v>5049.28312</v>
      </c>
      <c r="F194" s="462">
        <v>29580.64</v>
      </c>
    </row>
    <row r="195" ht="47.25" spans="1:6">
      <c r="A195" s="588">
        <v>193</v>
      </c>
      <c r="B195" s="461" t="s">
        <v>574</v>
      </c>
      <c r="C195" s="589">
        <v>1000</v>
      </c>
      <c r="D195" s="589"/>
      <c r="E195" s="589">
        <v>5049.28312</v>
      </c>
      <c r="F195" s="462">
        <v>29580.64</v>
      </c>
    </row>
    <row r="196" ht="47.25" spans="1:6">
      <c r="A196" s="588">
        <v>194</v>
      </c>
      <c r="B196" s="461" t="s">
        <v>576</v>
      </c>
      <c r="C196" s="589">
        <v>1000</v>
      </c>
      <c r="D196" s="589"/>
      <c r="E196" s="589">
        <v>5049.28312</v>
      </c>
      <c r="F196" s="462">
        <v>29580.64</v>
      </c>
    </row>
    <row r="197" ht="47.25" spans="1:6">
      <c r="A197" s="588">
        <v>195</v>
      </c>
      <c r="B197" s="461" t="s">
        <v>577</v>
      </c>
      <c r="C197" s="589">
        <v>1000</v>
      </c>
      <c r="D197" s="589"/>
      <c r="E197" s="589">
        <v>5049.28312</v>
      </c>
      <c r="F197" s="462">
        <v>29580.64</v>
      </c>
    </row>
    <row r="198" ht="47.25" spans="1:6">
      <c r="A198" s="588">
        <v>196</v>
      </c>
      <c r="B198" s="461" t="s">
        <v>580</v>
      </c>
      <c r="C198" s="589">
        <v>1000</v>
      </c>
      <c r="D198" s="589"/>
      <c r="E198" s="589">
        <v>5049.28312</v>
      </c>
      <c r="F198" s="462">
        <v>29580.64</v>
      </c>
    </row>
    <row r="199" ht="47.25" spans="1:6">
      <c r="A199" s="588">
        <v>197</v>
      </c>
      <c r="B199" s="461" t="s">
        <v>582</v>
      </c>
      <c r="C199" s="589">
        <v>1000</v>
      </c>
      <c r="D199" s="589"/>
      <c r="E199" s="589">
        <v>5049.28312</v>
      </c>
      <c r="F199" s="462">
        <v>29580.64</v>
      </c>
    </row>
    <row r="200" ht="47.25" spans="1:6">
      <c r="A200" s="588">
        <v>198</v>
      </c>
      <c r="B200" s="461" t="s">
        <v>585</v>
      </c>
      <c r="C200" s="589">
        <v>1000</v>
      </c>
      <c r="D200" s="589"/>
      <c r="E200" s="589">
        <v>5049.28312</v>
      </c>
      <c r="F200" s="462">
        <v>29580.64</v>
      </c>
    </row>
    <row r="201" ht="47.25" spans="1:6">
      <c r="A201" s="588">
        <v>199</v>
      </c>
      <c r="B201" s="461" t="s">
        <v>587</v>
      </c>
      <c r="C201" s="589">
        <v>1000</v>
      </c>
      <c r="D201" s="589"/>
      <c r="E201" s="589">
        <v>5049.28312</v>
      </c>
      <c r="F201" s="462">
        <v>29580.64</v>
      </c>
    </row>
    <row r="202" ht="47.25" spans="1:6">
      <c r="A202" s="588">
        <v>200</v>
      </c>
      <c r="B202" s="461" t="s">
        <v>589</v>
      </c>
      <c r="C202" s="589">
        <v>1000</v>
      </c>
      <c r="D202" s="589"/>
      <c r="E202" s="589">
        <v>5049.28312</v>
      </c>
      <c r="F202" s="462">
        <v>29580.64</v>
      </c>
    </row>
    <row r="203" ht="47.25" spans="1:6">
      <c r="A203" s="588">
        <v>201</v>
      </c>
      <c r="B203" s="461" t="s">
        <v>592</v>
      </c>
      <c r="C203" s="589">
        <v>1000</v>
      </c>
      <c r="D203" s="589"/>
      <c r="E203" s="589">
        <v>5049.28312</v>
      </c>
      <c r="F203" s="462">
        <v>29580.64</v>
      </c>
    </row>
    <row r="204" ht="47.25" spans="1:6">
      <c r="A204" s="588">
        <v>202</v>
      </c>
      <c r="B204" s="461" t="s">
        <v>594</v>
      </c>
      <c r="C204" s="589">
        <v>1000</v>
      </c>
      <c r="D204" s="589"/>
      <c r="E204" s="589">
        <v>5049.28312</v>
      </c>
      <c r="F204" s="462">
        <v>29580.64</v>
      </c>
    </row>
    <row r="205" ht="47.25" spans="1:6">
      <c r="A205" s="588">
        <v>203</v>
      </c>
      <c r="B205" s="461" t="s">
        <v>596</v>
      </c>
      <c r="C205" s="589">
        <v>1000</v>
      </c>
      <c r="D205" s="589"/>
      <c r="E205" s="589">
        <v>5049.28312</v>
      </c>
      <c r="F205" s="462">
        <v>29580.64</v>
      </c>
    </row>
    <row r="206" ht="47.25" spans="1:6">
      <c r="A206" s="588">
        <v>204</v>
      </c>
      <c r="B206" s="461" t="s">
        <v>598</v>
      </c>
      <c r="C206" s="589">
        <v>1000</v>
      </c>
      <c r="D206" s="589"/>
      <c r="E206" s="589">
        <v>5049.28312</v>
      </c>
      <c r="F206" s="462">
        <v>29580.64</v>
      </c>
    </row>
    <row r="207" ht="47.25" spans="1:6">
      <c r="A207" s="588">
        <v>205</v>
      </c>
      <c r="B207" s="461" t="s">
        <v>601</v>
      </c>
      <c r="C207" s="589">
        <v>1000</v>
      </c>
      <c r="D207" s="589"/>
      <c r="E207" s="589">
        <v>5049.28312</v>
      </c>
      <c r="F207" s="462">
        <v>29580.64</v>
      </c>
    </row>
    <row r="208" ht="47.25" spans="1:6">
      <c r="A208" s="588">
        <v>206</v>
      </c>
      <c r="B208" s="461" t="s">
        <v>603</v>
      </c>
      <c r="C208" s="589">
        <v>1000</v>
      </c>
      <c r="D208" s="589"/>
      <c r="E208" s="589">
        <v>5049.28312</v>
      </c>
      <c r="F208" s="462">
        <v>29580.64</v>
      </c>
    </row>
    <row r="209" ht="47.25" spans="1:6">
      <c r="A209" s="588">
        <v>207</v>
      </c>
      <c r="B209" s="461" t="s">
        <v>605</v>
      </c>
      <c r="C209" s="589">
        <v>1000</v>
      </c>
      <c r="D209" s="589"/>
      <c r="E209" s="589">
        <v>5049.28312</v>
      </c>
      <c r="F209" s="462">
        <v>29580.64</v>
      </c>
    </row>
    <row r="210" ht="47.25" spans="1:6">
      <c r="A210" s="588">
        <v>208</v>
      </c>
      <c r="B210" s="461" t="s">
        <v>608</v>
      </c>
      <c r="C210" s="589">
        <v>1000</v>
      </c>
      <c r="D210" s="589"/>
      <c r="E210" s="589">
        <v>5049.28312</v>
      </c>
      <c r="F210" s="462">
        <v>29580.64</v>
      </c>
    </row>
    <row r="211" ht="47.25" spans="1:6">
      <c r="A211" s="588">
        <v>209</v>
      </c>
      <c r="B211" s="461" t="s">
        <v>610</v>
      </c>
      <c r="C211" s="589">
        <v>1000</v>
      </c>
      <c r="D211" s="589"/>
      <c r="E211" s="589">
        <v>5049.28312</v>
      </c>
      <c r="F211" s="462">
        <v>29580.64</v>
      </c>
    </row>
    <row r="212" ht="47.25" spans="1:6">
      <c r="A212" s="588">
        <v>210</v>
      </c>
      <c r="B212" s="461" t="s">
        <v>612</v>
      </c>
      <c r="C212" s="589">
        <v>1000</v>
      </c>
      <c r="D212" s="589"/>
      <c r="E212" s="589">
        <v>5049.28312</v>
      </c>
      <c r="F212" s="462">
        <v>29580.64</v>
      </c>
    </row>
    <row r="213" ht="47.25" spans="1:6">
      <c r="A213" s="588">
        <v>211</v>
      </c>
      <c r="B213" s="461" t="s">
        <v>614</v>
      </c>
      <c r="C213" s="589">
        <v>1000</v>
      </c>
      <c r="D213" s="589"/>
      <c r="E213" s="589">
        <v>5049.28312</v>
      </c>
      <c r="F213" s="462">
        <v>29580.64</v>
      </c>
    </row>
    <row r="214" ht="47.25" spans="1:6">
      <c r="A214" s="588">
        <v>212</v>
      </c>
      <c r="B214" s="461" t="s">
        <v>616</v>
      </c>
      <c r="C214" s="589">
        <v>1000</v>
      </c>
      <c r="D214" s="589"/>
      <c r="E214" s="589">
        <v>5049.28312</v>
      </c>
      <c r="F214" s="462">
        <v>29580.64</v>
      </c>
    </row>
    <row r="215" ht="47.25" spans="1:6">
      <c r="A215" s="588">
        <v>213</v>
      </c>
      <c r="B215" s="461" t="s">
        <v>618</v>
      </c>
      <c r="C215" s="589">
        <v>1000</v>
      </c>
      <c r="D215" s="589"/>
      <c r="E215" s="589">
        <v>5049.28312</v>
      </c>
      <c r="F215" s="462">
        <v>29580.64</v>
      </c>
    </row>
    <row r="216" ht="47.25" spans="1:6">
      <c r="A216" s="588">
        <v>214</v>
      </c>
      <c r="B216" s="461" t="s">
        <v>620</v>
      </c>
      <c r="C216" s="589">
        <v>1000</v>
      </c>
      <c r="D216" s="589"/>
      <c r="E216" s="589">
        <v>5049.28312</v>
      </c>
      <c r="F216" s="462">
        <v>29580.64</v>
      </c>
    </row>
    <row r="217" ht="47.25" spans="1:6">
      <c r="A217" s="588">
        <v>215</v>
      </c>
      <c r="B217" s="461" t="s">
        <v>622</v>
      </c>
      <c r="C217" s="589">
        <v>1000</v>
      </c>
      <c r="D217" s="589"/>
      <c r="E217" s="589">
        <v>5049.28312</v>
      </c>
      <c r="F217" s="462">
        <v>29580.64</v>
      </c>
    </row>
    <row r="218" ht="47.25" spans="1:6">
      <c r="A218" s="588">
        <v>216</v>
      </c>
      <c r="B218" s="461" t="s">
        <v>624</v>
      </c>
      <c r="C218" s="589">
        <v>1000</v>
      </c>
      <c r="D218" s="589"/>
      <c r="E218" s="589">
        <v>5049.28312</v>
      </c>
      <c r="F218" s="462">
        <v>29580.64</v>
      </c>
    </row>
    <row r="219" ht="47.25" spans="1:6">
      <c r="A219" s="588">
        <v>217</v>
      </c>
      <c r="B219" s="461" t="s">
        <v>626</v>
      </c>
      <c r="C219" s="589">
        <v>1000</v>
      </c>
      <c r="D219" s="589"/>
      <c r="E219" s="589">
        <v>5049.28312</v>
      </c>
      <c r="F219" s="462">
        <v>29580.64</v>
      </c>
    </row>
    <row r="220" ht="47.25" spans="1:6">
      <c r="A220" s="588">
        <v>218</v>
      </c>
      <c r="B220" s="461" t="s">
        <v>628</v>
      </c>
      <c r="C220" s="589">
        <v>1000</v>
      </c>
      <c r="D220" s="589"/>
      <c r="E220" s="589">
        <v>5049.28312</v>
      </c>
      <c r="F220" s="462">
        <v>29580.64</v>
      </c>
    </row>
    <row r="221" ht="47.25" spans="1:6">
      <c r="A221" s="588">
        <v>219</v>
      </c>
      <c r="B221" s="461" t="s">
        <v>630</v>
      </c>
      <c r="C221" s="589">
        <v>1000</v>
      </c>
      <c r="D221" s="589"/>
      <c r="E221" s="589">
        <v>5049.28312</v>
      </c>
      <c r="F221" s="462">
        <v>29580.64</v>
      </c>
    </row>
    <row r="222" ht="47.25" spans="1:6">
      <c r="A222" s="588">
        <v>220</v>
      </c>
      <c r="B222" s="461" t="s">
        <v>632</v>
      </c>
      <c r="C222" s="589">
        <v>1000</v>
      </c>
      <c r="D222" s="589"/>
      <c r="E222" s="589">
        <v>5049.28312</v>
      </c>
      <c r="F222" s="462">
        <v>29580.64</v>
      </c>
    </row>
    <row r="223" ht="47.25" spans="1:6">
      <c r="A223" s="588">
        <v>221</v>
      </c>
      <c r="B223" s="461" t="s">
        <v>634</v>
      </c>
      <c r="C223" s="589">
        <v>1000</v>
      </c>
      <c r="D223" s="589"/>
      <c r="E223" s="589">
        <v>5049.28312</v>
      </c>
      <c r="F223" s="462">
        <v>29580.64</v>
      </c>
    </row>
    <row r="224" ht="47.25" spans="1:6">
      <c r="A224" s="588">
        <v>222</v>
      </c>
      <c r="B224" s="461" t="s">
        <v>637</v>
      </c>
      <c r="C224" s="589">
        <v>1000</v>
      </c>
      <c r="D224" s="589"/>
      <c r="E224" s="589">
        <v>4507.54725</v>
      </c>
      <c r="F224" s="462">
        <v>29580.64</v>
      </c>
    </row>
    <row r="225" ht="47.25" spans="1:6">
      <c r="A225" s="588">
        <v>223</v>
      </c>
      <c r="B225" s="461" t="s">
        <v>640</v>
      </c>
      <c r="C225" s="589">
        <v>1000</v>
      </c>
      <c r="D225" s="589"/>
      <c r="E225" s="589">
        <v>5049.28312</v>
      </c>
      <c r="F225" s="462">
        <v>29580.64</v>
      </c>
    </row>
    <row r="226" ht="47.25" spans="1:6">
      <c r="A226" s="588">
        <v>224</v>
      </c>
      <c r="B226" s="461" t="s">
        <v>642</v>
      </c>
      <c r="C226" s="589">
        <v>1000</v>
      </c>
      <c r="D226" s="589"/>
      <c r="E226" s="589">
        <v>5049.28312</v>
      </c>
      <c r="F226" s="462">
        <v>29580.64</v>
      </c>
    </row>
    <row r="227" ht="47.25" spans="1:6">
      <c r="A227" s="588">
        <v>225</v>
      </c>
      <c r="B227" s="461" t="s">
        <v>644</v>
      </c>
      <c r="C227" s="589">
        <v>1000</v>
      </c>
      <c r="D227" s="589"/>
      <c r="E227" s="589">
        <v>5049.28312</v>
      </c>
      <c r="F227" s="462">
        <v>29580.64</v>
      </c>
    </row>
    <row r="228" ht="47.25" spans="1:6">
      <c r="A228" s="588">
        <v>226</v>
      </c>
      <c r="B228" s="461" t="s">
        <v>646</v>
      </c>
      <c r="C228" s="589">
        <v>1000</v>
      </c>
      <c r="D228" s="589"/>
      <c r="E228" s="589">
        <v>5049.28312</v>
      </c>
      <c r="F228" s="462">
        <v>29580.64</v>
      </c>
    </row>
    <row r="229" ht="47.25" spans="1:6">
      <c r="A229" s="588">
        <v>227</v>
      </c>
      <c r="B229" s="461" t="s">
        <v>648</v>
      </c>
      <c r="C229" s="589">
        <v>1000</v>
      </c>
      <c r="D229" s="589"/>
      <c r="E229" s="589">
        <v>5049.28312</v>
      </c>
      <c r="F229" s="462">
        <v>29580.64</v>
      </c>
    </row>
    <row r="230" ht="47.25" spans="1:6">
      <c r="A230" s="588">
        <v>228</v>
      </c>
      <c r="B230" s="461" t="s">
        <v>650</v>
      </c>
      <c r="C230" s="589">
        <v>1000</v>
      </c>
      <c r="D230" s="589"/>
      <c r="E230" s="589">
        <v>5049.28312</v>
      </c>
      <c r="F230" s="462">
        <v>29580.64</v>
      </c>
    </row>
    <row r="231" ht="47.25" spans="1:6">
      <c r="A231" s="588">
        <v>229</v>
      </c>
      <c r="B231" s="461" t="s">
        <v>652</v>
      </c>
      <c r="C231" s="589">
        <v>1000</v>
      </c>
      <c r="D231" s="589"/>
      <c r="E231" s="589">
        <v>5477.79837</v>
      </c>
      <c r="F231" s="462">
        <v>33180.1729746667</v>
      </c>
    </row>
    <row r="232" ht="47.25" spans="1:6">
      <c r="A232" s="588">
        <v>230</v>
      </c>
      <c r="B232" s="461" t="s">
        <v>656</v>
      </c>
      <c r="C232" s="589">
        <v>1000</v>
      </c>
      <c r="D232" s="589"/>
      <c r="E232" s="589">
        <v>5049.28312</v>
      </c>
      <c r="F232" s="462">
        <v>29580.64</v>
      </c>
    </row>
    <row r="233" ht="47.25" spans="1:6">
      <c r="A233" s="588">
        <v>231</v>
      </c>
      <c r="B233" s="461" t="s">
        <v>659</v>
      </c>
      <c r="C233" s="589">
        <v>1000</v>
      </c>
      <c r="D233" s="589"/>
      <c r="E233" s="589">
        <v>5049.28312</v>
      </c>
      <c r="F233" s="462">
        <v>32111.1</v>
      </c>
    </row>
    <row r="234" ht="47.25" spans="1:6">
      <c r="A234" s="588">
        <v>232</v>
      </c>
      <c r="B234" s="461" t="s">
        <v>662</v>
      </c>
      <c r="C234" s="589"/>
      <c r="D234" s="589"/>
      <c r="E234" s="589"/>
      <c r="F234" s="462"/>
    </row>
    <row r="235" ht="47.25" spans="1:6">
      <c r="A235" s="588">
        <v>233</v>
      </c>
      <c r="B235" s="461" t="s">
        <v>665</v>
      </c>
      <c r="C235" s="589">
        <v>1000</v>
      </c>
      <c r="D235" s="589"/>
      <c r="E235" s="589">
        <v>5049.28312</v>
      </c>
      <c r="F235" s="462">
        <v>32111.1</v>
      </c>
    </row>
    <row r="236" ht="47.25" spans="1:6">
      <c r="A236" s="588">
        <v>234</v>
      </c>
      <c r="B236" s="461" t="s">
        <v>668</v>
      </c>
      <c r="C236" s="589">
        <v>1000</v>
      </c>
      <c r="D236" s="589"/>
      <c r="E236" s="589">
        <v>5049.28312</v>
      </c>
      <c r="F236" s="462">
        <v>29580.64</v>
      </c>
    </row>
    <row r="237" ht="47.25" spans="1:6">
      <c r="A237" s="588">
        <v>235</v>
      </c>
      <c r="B237" s="461" t="s">
        <v>670</v>
      </c>
      <c r="C237" s="589">
        <v>1000</v>
      </c>
      <c r="D237" s="589"/>
      <c r="E237" s="589">
        <v>5842.29945333333</v>
      </c>
      <c r="F237" s="462">
        <v>34249.26</v>
      </c>
    </row>
    <row r="238" ht="47.25" spans="1:6">
      <c r="A238" s="588">
        <v>236</v>
      </c>
      <c r="B238" s="461" t="s">
        <v>673</v>
      </c>
      <c r="C238" s="589">
        <v>1000</v>
      </c>
      <c r="D238" s="589"/>
      <c r="E238" s="589">
        <v>5605.07045333333</v>
      </c>
      <c r="F238" s="462">
        <v>34249.26</v>
      </c>
    </row>
    <row r="239" ht="47.25" spans="1:6">
      <c r="A239" s="588">
        <v>237</v>
      </c>
      <c r="B239" s="461" t="s">
        <v>677</v>
      </c>
      <c r="C239" s="589">
        <v>1000</v>
      </c>
      <c r="D239" s="589"/>
      <c r="E239" s="589">
        <v>5605.07045333333</v>
      </c>
      <c r="F239" s="462">
        <v>34249.26</v>
      </c>
    </row>
    <row r="240" ht="47.25" spans="1:6">
      <c r="A240" s="588">
        <v>238</v>
      </c>
      <c r="B240" s="461" t="s">
        <v>680</v>
      </c>
      <c r="C240" s="589">
        <v>1000</v>
      </c>
      <c r="D240" s="589"/>
      <c r="E240" s="589">
        <v>5605.07045333333</v>
      </c>
      <c r="F240" s="462">
        <v>34249.26</v>
      </c>
    </row>
    <row r="241" ht="47.25" spans="1:6">
      <c r="A241" s="588">
        <v>239</v>
      </c>
      <c r="B241" s="461" t="s">
        <v>682</v>
      </c>
      <c r="C241" s="589">
        <v>1000</v>
      </c>
      <c r="D241" s="589"/>
      <c r="E241" s="589">
        <v>4932.14858333333</v>
      </c>
      <c r="F241" s="462">
        <v>28596.71</v>
      </c>
    </row>
    <row r="242" ht="47.25" spans="1:6">
      <c r="A242" s="588">
        <v>240</v>
      </c>
      <c r="B242" s="461" t="s">
        <v>683</v>
      </c>
      <c r="C242" s="589">
        <v>1000</v>
      </c>
      <c r="D242" s="589"/>
      <c r="E242" s="589">
        <v>5049.28312</v>
      </c>
      <c r="F242" s="462">
        <v>29580.64</v>
      </c>
    </row>
    <row r="243" ht="47.25" spans="1:6">
      <c r="A243" s="588">
        <v>241</v>
      </c>
      <c r="B243" s="461" t="s">
        <v>685</v>
      </c>
      <c r="C243" s="589">
        <v>1000</v>
      </c>
      <c r="D243" s="589"/>
      <c r="E243" s="589">
        <v>5049.28312</v>
      </c>
      <c r="F243" s="462">
        <v>29580.64</v>
      </c>
    </row>
    <row r="244" ht="47.25" spans="1:6">
      <c r="A244" s="588">
        <v>242</v>
      </c>
      <c r="B244" s="461" t="s">
        <v>687</v>
      </c>
      <c r="C244" s="589">
        <v>1000</v>
      </c>
      <c r="D244" s="589"/>
      <c r="E244" s="589">
        <v>5049.28312</v>
      </c>
      <c r="F244" s="462">
        <v>29580.64</v>
      </c>
    </row>
    <row r="245" ht="47.25" spans="1:6">
      <c r="A245" s="588">
        <v>243</v>
      </c>
      <c r="B245" s="461" t="s">
        <v>689</v>
      </c>
      <c r="C245" s="589">
        <v>1000</v>
      </c>
      <c r="D245" s="589"/>
      <c r="E245" s="589">
        <v>5049.28312</v>
      </c>
      <c r="F245" s="462">
        <v>29580.64</v>
      </c>
    </row>
    <row r="246" ht="47.25" spans="1:6">
      <c r="A246" s="588">
        <v>244</v>
      </c>
      <c r="B246" s="461" t="s">
        <v>691</v>
      </c>
      <c r="C246" s="589">
        <v>1000</v>
      </c>
      <c r="D246" s="589"/>
      <c r="E246" s="589">
        <v>5049.28312</v>
      </c>
      <c r="F246" s="462">
        <v>29580.64</v>
      </c>
    </row>
    <row r="247" ht="47.25" spans="1:6">
      <c r="A247" s="588">
        <v>245</v>
      </c>
      <c r="B247" s="461" t="s">
        <v>693</v>
      </c>
      <c r="C247" s="589">
        <v>1000</v>
      </c>
      <c r="D247" s="589"/>
      <c r="E247" s="589">
        <v>5049.28312</v>
      </c>
      <c r="F247" s="462">
        <v>29580.64</v>
      </c>
    </row>
    <row r="248" ht="47.25" spans="1:6">
      <c r="A248" s="588">
        <v>246</v>
      </c>
      <c r="B248" s="461" t="s">
        <v>695</v>
      </c>
      <c r="C248" s="589">
        <v>1000</v>
      </c>
      <c r="D248" s="589"/>
      <c r="E248" s="589">
        <v>5049.28312</v>
      </c>
      <c r="F248" s="462">
        <v>29580.64</v>
      </c>
    </row>
    <row r="249" ht="47.25" spans="1:6">
      <c r="A249" s="588">
        <v>247</v>
      </c>
      <c r="B249" s="461" t="s">
        <v>697</v>
      </c>
      <c r="C249" s="589">
        <v>1000</v>
      </c>
      <c r="D249" s="589"/>
      <c r="E249" s="589">
        <v>5049.28312</v>
      </c>
      <c r="F249" s="462">
        <v>29580.64</v>
      </c>
    </row>
    <row r="250" ht="47.25" spans="1:6">
      <c r="A250" s="588">
        <v>248</v>
      </c>
      <c r="B250" s="461" t="s">
        <v>699</v>
      </c>
      <c r="C250" s="589">
        <v>1000</v>
      </c>
      <c r="D250" s="589"/>
      <c r="E250" s="589">
        <v>5049.28312</v>
      </c>
      <c r="F250" s="462">
        <v>29580.64</v>
      </c>
    </row>
    <row r="251" ht="47.25" spans="1:6">
      <c r="A251" s="588">
        <v>249</v>
      </c>
      <c r="B251" s="461" t="s">
        <v>701</v>
      </c>
      <c r="C251" s="589">
        <v>1000</v>
      </c>
      <c r="D251" s="589"/>
      <c r="E251" s="589">
        <v>5049.28312</v>
      </c>
      <c r="F251" s="462">
        <v>29580.64</v>
      </c>
    </row>
    <row r="252" ht="47.25" spans="1:6">
      <c r="A252" s="588">
        <v>250</v>
      </c>
      <c r="B252" s="461" t="s">
        <v>703</v>
      </c>
      <c r="C252" s="589">
        <v>1000</v>
      </c>
      <c r="D252" s="589"/>
      <c r="E252" s="589">
        <v>5049.28312</v>
      </c>
      <c r="F252" s="462">
        <v>29580.64</v>
      </c>
    </row>
    <row r="253" ht="47.25" spans="1:6">
      <c r="A253" s="588">
        <v>251</v>
      </c>
      <c r="B253" s="461" t="s">
        <v>705</v>
      </c>
      <c r="C253" s="589">
        <v>1000</v>
      </c>
      <c r="D253" s="589"/>
      <c r="E253" s="589">
        <v>5049.28312</v>
      </c>
      <c r="F253" s="462">
        <v>29580.64</v>
      </c>
    </row>
    <row r="254" ht="47.25" spans="1:6">
      <c r="A254" s="588">
        <v>252</v>
      </c>
      <c r="B254" s="461" t="s">
        <v>707</v>
      </c>
      <c r="C254" s="589">
        <v>1000</v>
      </c>
      <c r="D254" s="589"/>
      <c r="E254" s="589">
        <v>5049.28312</v>
      </c>
      <c r="F254" s="462">
        <v>29580.64</v>
      </c>
    </row>
    <row r="255" ht="47.25" spans="1:6">
      <c r="A255" s="588">
        <v>253</v>
      </c>
      <c r="B255" s="461" t="s">
        <v>709</v>
      </c>
      <c r="C255" s="589">
        <v>1000</v>
      </c>
      <c r="D255" s="589"/>
      <c r="E255" s="589">
        <v>5049.28312</v>
      </c>
      <c r="F255" s="462">
        <v>29580.64</v>
      </c>
    </row>
    <row r="256" ht="47.25" spans="1:6">
      <c r="A256" s="588">
        <v>254</v>
      </c>
      <c r="B256" s="461" t="s">
        <v>712</v>
      </c>
      <c r="C256" s="589">
        <v>1000</v>
      </c>
      <c r="D256" s="589"/>
      <c r="E256" s="589">
        <v>5049.28312</v>
      </c>
      <c r="F256" s="462">
        <v>29580.64</v>
      </c>
    </row>
    <row r="257" ht="47.25" spans="1:6">
      <c r="A257" s="588">
        <v>255</v>
      </c>
      <c r="B257" s="461" t="s">
        <v>715</v>
      </c>
      <c r="C257" s="589">
        <v>1000</v>
      </c>
      <c r="D257" s="589"/>
      <c r="E257" s="589">
        <v>5049.28312</v>
      </c>
      <c r="F257" s="462">
        <v>29580.64</v>
      </c>
    </row>
    <row r="258" ht="47.25" spans="1:6">
      <c r="A258" s="588">
        <v>256</v>
      </c>
      <c r="B258" s="461" t="s">
        <v>717</v>
      </c>
      <c r="C258" s="589">
        <v>1000</v>
      </c>
      <c r="D258" s="589"/>
      <c r="E258" s="589">
        <v>5049.28312</v>
      </c>
      <c r="F258" s="462">
        <v>29580.64</v>
      </c>
    </row>
    <row r="259" ht="47.25" spans="1:6">
      <c r="A259" s="588">
        <v>257</v>
      </c>
      <c r="B259" s="461" t="s">
        <v>719</v>
      </c>
      <c r="C259" s="589">
        <v>1000</v>
      </c>
      <c r="D259" s="589"/>
      <c r="E259" s="589">
        <v>5605.07045333333</v>
      </c>
      <c r="F259" s="462">
        <v>34249.26</v>
      </c>
    </row>
    <row r="260" ht="47.25" spans="1:6">
      <c r="A260" s="588">
        <v>258</v>
      </c>
      <c r="B260" s="461" t="s">
        <v>721</v>
      </c>
      <c r="C260" s="589">
        <v>1000</v>
      </c>
      <c r="D260" s="589"/>
      <c r="E260" s="589">
        <v>5049.32778666667</v>
      </c>
      <c r="F260" s="462">
        <v>29580.64</v>
      </c>
    </row>
    <row r="261" ht="47.25" spans="1:6">
      <c r="A261" s="588">
        <v>259</v>
      </c>
      <c r="B261" s="461" t="s">
        <v>723</v>
      </c>
      <c r="C261" s="589">
        <v>1000</v>
      </c>
      <c r="D261" s="589"/>
      <c r="E261" s="589">
        <v>5605.07045333333</v>
      </c>
      <c r="F261" s="462">
        <v>34249.26</v>
      </c>
    </row>
    <row r="262" ht="47.25" spans="1:6">
      <c r="A262" s="588">
        <v>260</v>
      </c>
      <c r="B262" s="461" t="s">
        <v>725</v>
      </c>
      <c r="C262" s="589">
        <v>1500</v>
      </c>
      <c r="D262" s="589"/>
      <c r="E262" s="589">
        <v>5049.28312</v>
      </c>
      <c r="F262" s="462">
        <v>29580.64</v>
      </c>
    </row>
    <row r="263" ht="47.25" spans="1:6">
      <c r="A263" s="588">
        <v>261</v>
      </c>
      <c r="B263" s="461" t="s">
        <v>727</v>
      </c>
      <c r="C263" s="589">
        <v>1500</v>
      </c>
      <c r="D263" s="589"/>
      <c r="E263" s="589">
        <v>5605.07045333333</v>
      </c>
      <c r="F263" s="462">
        <v>34249.26</v>
      </c>
    </row>
    <row r="264" ht="47.25" spans="1:6">
      <c r="A264" s="588">
        <v>262</v>
      </c>
      <c r="B264" s="461" t="s">
        <v>729</v>
      </c>
      <c r="C264" s="589">
        <v>1500</v>
      </c>
      <c r="D264" s="589"/>
      <c r="E264" s="589">
        <v>5605.07045333333</v>
      </c>
      <c r="F264" s="462">
        <v>34249.26</v>
      </c>
    </row>
    <row r="265" ht="47.25" spans="1:6">
      <c r="A265" s="588">
        <v>263</v>
      </c>
      <c r="B265" s="461" t="s">
        <v>731</v>
      </c>
      <c r="C265" s="589">
        <v>1500</v>
      </c>
      <c r="D265" s="589"/>
      <c r="E265" s="589">
        <v>5605.07045333333</v>
      </c>
      <c r="F265" s="462">
        <v>34249.26</v>
      </c>
    </row>
    <row r="266" ht="47.25" spans="1:6">
      <c r="A266" s="588">
        <v>264</v>
      </c>
      <c r="B266" s="461" t="s">
        <v>733</v>
      </c>
      <c r="C266" s="589">
        <v>1500</v>
      </c>
      <c r="D266" s="589"/>
      <c r="E266" s="589">
        <v>5605.07045333333</v>
      </c>
      <c r="F266" s="462">
        <v>34249.26</v>
      </c>
    </row>
    <row r="267" ht="47.25" spans="1:6">
      <c r="A267" s="588">
        <v>265</v>
      </c>
      <c r="B267" s="461" t="s">
        <v>735</v>
      </c>
      <c r="C267" s="589">
        <v>1500</v>
      </c>
      <c r="D267" s="589"/>
      <c r="E267" s="589">
        <v>5605.07045333333</v>
      </c>
      <c r="F267" s="462">
        <v>34249.26</v>
      </c>
    </row>
    <row r="268" ht="47.25" spans="1:6">
      <c r="A268" s="588">
        <v>266</v>
      </c>
      <c r="B268" s="461" t="s">
        <v>737</v>
      </c>
      <c r="C268" s="589">
        <v>1500</v>
      </c>
      <c r="D268" s="589"/>
      <c r="E268" s="589">
        <v>5605.07045333333</v>
      </c>
      <c r="F268" s="462">
        <v>34249.26</v>
      </c>
    </row>
    <row r="269" ht="47.25" spans="1:6">
      <c r="A269" s="588">
        <v>267</v>
      </c>
      <c r="B269" s="461" t="s">
        <v>739</v>
      </c>
      <c r="C269" s="589">
        <v>1500</v>
      </c>
      <c r="D269" s="589"/>
      <c r="E269" s="589">
        <v>5605.07045333333</v>
      </c>
      <c r="F269" s="462">
        <v>34249.26</v>
      </c>
    </row>
    <row r="270" ht="47.25" spans="1:6">
      <c r="A270" s="588">
        <v>268</v>
      </c>
      <c r="B270" s="461" t="s">
        <v>741</v>
      </c>
      <c r="C270" s="589">
        <v>1500</v>
      </c>
      <c r="D270" s="589"/>
      <c r="E270" s="589">
        <v>5049.28312</v>
      </c>
      <c r="F270" s="462">
        <v>29580.64</v>
      </c>
    </row>
    <row r="271" ht="47.25" spans="1:6">
      <c r="A271" s="588">
        <v>269</v>
      </c>
      <c r="B271" s="461" t="s">
        <v>743</v>
      </c>
      <c r="C271" s="589">
        <v>1500</v>
      </c>
      <c r="D271" s="589"/>
      <c r="E271" s="589">
        <v>5605.07045333333</v>
      </c>
      <c r="F271" s="462">
        <v>34249.26</v>
      </c>
    </row>
    <row r="272" ht="47.25" spans="1:6">
      <c r="A272" s="588">
        <v>270</v>
      </c>
      <c r="B272" s="461" t="s">
        <v>745</v>
      </c>
      <c r="C272" s="589">
        <v>1500</v>
      </c>
      <c r="D272" s="589"/>
      <c r="E272" s="589">
        <v>5605.07045333333</v>
      </c>
      <c r="F272" s="462">
        <v>34249.26</v>
      </c>
    </row>
    <row r="273" ht="47.25" spans="1:6">
      <c r="A273" s="588">
        <v>271</v>
      </c>
      <c r="B273" s="461" t="s">
        <v>747</v>
      </c>
      <c r="C273" s="589">
        <v>1500</v>
      </c>
      <c r="D273" s="589"/>
      <c r="E273" s="589">
        <v>5605.07045333333</v>
      </c>
      <c r="F273" s="462">
        <v>34249.26</v>
      </c>
    </row>
    <row r="274" ht="47.25" spans="1:6">
      <c r="A274" s="588">
        <v>272</v>
      </c>
      <c r="B274" s="461" t="s">
        <v>749</v>
      </c>
      <c r="C274" s="589">
        <v>1500</v>
      </c>
      <c r="D274" s="589"/>
      <c r="E274" s="589">
        <v>5605.07045333333</v>
      </c>
      <c r="F274" s="462">
        <v>34249.26</v>
      </c>
    </row>
    <row r="275" ht="47.25" spans="1:6">
      <c r="A275" s="588">
        <v>273</v>
      </c>
      <c r="B275" s="461" t="s">
        <v>751</v>
      </c>
      <c r="C275" s="589">
        <v>1500</v>
      </c>
      <c r="D275" s="589"/>
      <c r="E275" s="589">
        <v>5605.07045333333</v>
      </c>
      <c r="F275" s="462">
        <v>34249.26</v>
      </c>
    </row>
    <row r="276" ht="47.25" spans="1:6">
      <c r="A276" s="588">
        <v>274</v>
      </c>
      <c r="B276" s="461" t="s">
        <v>753</v>
      </c>
      <c r="C276" s="589">
        <v>1500</v>
      </c>
      <c r="D276" s="589"/>
      <c r="E276" s="589">
        <v>5605.07045333333</v>
      </c>
      <c r="F276" s="462">
        <v>34249.26</v>
      </c>
    </row>
    <row r="277" ht="47.25" spans="1:6">
      <c r="A277" s="588">
        <v>275</v>
      </c>
      <c r="B277" s="461" t="s">
        <v>755</v>
      </c>
      <c r="C277" s="589">
        <v>1500</v>
      </c>
      <c r="D277" s="589"/>
      <c r="E277" s="589">
        <v>5605.07045333333</v>
      </c>
      <c r="F277" s="462">
        <v>34249.26</v>
      </c>
    </row>
    <row r="278" ht="47.25" spans="1:6">
      <c r="A278" s="588">
        <v>276</v>
      </c>
      <c r="B278" s="461" t="s">
        <v>757</v>
      </c>
      <c r="C278" s="589">
        <v>1500</v>
      </c>
      <c r="D278" s="589"/>
      <c r="E278" s="589">
        <v>5605.07045333333</v>
      </c>
      <c r="F278" s="462">
        <v>34249.26</v>
      </c>
    </row>
    <row r="279" ht="47.25" spans="1:6">
      <c r="A279" s="588">
        <v>277</v>
      </c>
      <c r="B279" s="461" t="s">
        <v>759</v>
      </c>
      <c r="C279" s="589">
        <v>1500</v>
      </c>
      <c r="D279" s="589"/>
      <c r="E279" s="589">
        <v>5605.07045333333</v>
      </c>
      <c r="F279" s="462">
        <v>34249.26</v>
      </c>
    </row>
    <row r="280" ht="47.25" spans="1:6">
      <c r="A280" s="588">
        <v>278</v>
      </c>
      <c r="B280" s="461" t="s">
        <v>761</v>
      </c>
      <c r="C280" s="589">
        <v>1500</v>
      </c>
      <c r="D280" s="589"/>
      <c r="E280" s="589">
        <v>6919.73887</v>
      </c>
      <c r="F280" s="462">
        <v>45292.47</v>
      </c>
    </row>
    <row r="281" ht="47.25" spans="1:6">
      <c r="A281" s="588">
        <v>279</v>
      </c>
      <c r="B281" s="461" t="s">
        <v>763</v>
      </c>
      <c r="C281" s="589">
        <v>1500</v>
      </c>
      <c r="D281" s="589"/>
      <c r="E281" s="589">
        <v>6715.76853666667</v>
      </c>
      <c r="F281" s="462">
        <v>43579.12</v>
      </c>
    </row>
    <row r="282" ht="47.25" spans="1:6">
      <c r="A282" s="588">
        <v>280</v>
      </c>
      <c r="B282" s="461" t="s">
        <v>765</v>
      </c>
      <c r="C282" s="589">
        <v>1500</v>
      </c>
      <c r="D282" s="589"/>
      <c r="E282" s="589">
        <v>6715.76853666667</v>
      </c>
      <c r="F282" s="462">
        <v>43579.12</v>
      </c>
    </row>
    <row r="283" ht="47.25" spans="1:6">
      <c r="A283" s="588">
        <v>281</v>
      </c>
      <c r="B283" s="461" t="s">
        <v>767</v>
      </c>
      <c r="C283" s="589">
        <v>1500</v>
      </c>
      <c r="D283" s="589"/>
      <c r="E283" s="589">
        <v>5605.07045333333</v>
      </c>
      <c r="F283" s="462">
        <v>34249.26</v>
      </c>
    </row>
    <row r="284" ht="47.25" spans="1:6">
      <c r="A284" s="588">
        <v>282</v>
      </c>
      <c r="B284" s="461" t="s">
        <v>769</v>
      </c>
      <c r="C284" s="589">
        <v>1500</v>
      </c>
      <c r="D284" s="589"/>
      <c r="E284" s="589">
        <v>5605.07045333333</v>
      </c>
      <c r="F284" s="462">
        <v>34249.26</v>
      </c>
    </row>
    <row r="285" ht="47.25" spans="1:6">
      <c r="A285" s="588">
        <v>283</v>
      </c>
      <c r="B285" s="461" t="s">
        <v>771</v>
      </c>
      <c r="C285" s="589">
        <v>1500</v>
      </c>
      <c r="D285" s="589"/>
      <c r="E285" s="589">
        <v>5605.07045333333</v>
      </c>
      <c r="F285" s="462">
        <v>34249.26</v>
      </c>
    </row>
    <row r="286" ht="47.25" spans="1:6">
      <c r="A286" s="588">
        <v>284</v>
      </c>
      <c r="B286" s="461" t="s">
        <v>773</v>
      </c>
      <c r="C286" s="589">
        <v>1500</v>
      </c>
      <c r="D286" s="589"/>
      <c r="E286" s="589">
        <v>5605.07045333333</v>
      </c>
      <c r="F286" s="462">
        <v>34249.26</v>
      </c>
    </row>
    <row r="287" ht="47.25" spans="1:6">
      <c r="A287" s="588">
        <v>285</v>
      </c>
      <c r="B287" s="461" t="s">
        <v>775</v>
      </c>
      <c r="C287" s="589">
        <v>1500</v>
      </c>
      <c r="D287" s="589"/>
      <c r="E287" s="589">
        <v>5605.07045333333</v>
      </c>
      <c r="F287" s="462">
        <v>34249.26</v>
      </c>
    </row>
    <row r="288" ht="47.25" spans="1:6">
      <c r="A288" s="588">
        <v>286</v>
      </c>
      <c r="B288" s="461" t="s">
        <v>777</v>
      </c>
      <c r="C288" s="589">
        <v>1500</v>
      </c>
      <c r="D288" s="589"/>
      <c r="E288" s="589">
        <v>5605.07045333333</v>
      </c>
      <c r="F288" s="462">
        <v>34249.26</v>
      </c>
    </row>
    <row r="289" ht="47.25" spans="1:6">
      <c r="A289" s="588">
        <v>287</v>
      </c>
      <c r="B289" s="461" t="s">
        <v>779</v>
      </c>
      <c r="C289" s="589">
        <v>1500</v>
      </c>
      <c r="D289" s="589"/>
      <c r="E289" s="589">
        <v>5605.07045333333</v>
      </c>
      <c r="F289" s="462">
        <v>34249.26</v>
      </c>
    </row>
    <row r="290" ht="47.25" spans="1:6">
      <c r="A290" s="588">
        <v>288</v>
      </c>
      <c r="B290" s="461" t="s">
        <v>781</v>
      </c>
      <c r="C290" s="589">
        <v>1500</v>
      </c>
      <c r="D290" s="589"/>
      <c r="E290" s="589">
        <v>5605.07045333333</v>
      </c>
      <c r="F290" s="462">
        <v>34249.26</v>
      </c>
    </row>
    <row r="291" ht="47.25" spans="1:6">
      <c r="A291" s="588">
        <v>289</v>
      </c>
      <c r="B291" s="461" t="s">
        <v>783</v>
      </c>
      <c r="C291" s="589">
        <v>1500</v>
      </c>
      <c r="D291" s="589"/>
      <c r="E291" s="589">
        <v>5605.07045333333</v>
      </c>
      <c r="F291" s="462">
        <v>34249.26</v>
      </c>
    </row>
    <row r="292" ht="47.25" spans="1:6">
      <c r="A292" s="588">
        <v>290</v>
      </c>
      <c r="B292" s="461" t="s">
        <v>785</v>
      </c>
      <c r="C292" s="589">
        <v>1500</v>
      </c>
      <c r="D292" s="589"/>
      <c r="E292" s="589">
        <v>5605.07045333333</v>
      </c>
      <c r="F292" s="462">
        <v>34249.26</v>
      </c>
    </row>
    <row r="293" ht="47.25" spans="1:6">
      <c r="A293" s="588">
        <v>291</v>
      </c>
      <c r="B293" s="461" t="s">
        <v>787</v>
      </c>
      <c r="C293" s="589">
        <v>1500</v>
      </c>
      <c r="D293" s="589"/>
      <c r="E293" s="589">
        <v>5605.07045333333</v>
      </c>
      <c r="F293" s="462">
        <v>34249.26</v>
      </c>
    </row>
    <row r="294" ht="47.25" spans="1:6">
      <c r="A294" s="588">
        <v>292</v>
      </c>
      <c r="B294" s="461" t="s">
        <v>789</v>
      </c>
      <c r="C294" s="589">
        <v>1500</v>
      </c>
      <c r="D294" s="589"/>
      <c r="E294" s="589">
        <v>5605.07045333333</v>
      </c>
      <c r="F294" s="462">
        <v>34249.26</v>
      </c>
    </row>
    <row r="295" ht="47.25" spans="1:6">
      <c r="A295" s="588">
        <v>293</v>
      </c>
      <c r="B295" s="461" t="s">
        <v>791</v>
      </c>
      <c r="C295" s="589">
        <v>1500</v>
      </c>
      <c r="D295" s="589"/>
      <c r="E295" s="589">
        <v>5605.07045333333</v>
      </c>
      <c r="F295" s="462">
        <v>34249.26</v>
      </c>
    </row>
    <row r="296" ht="47.25" spans="1:6">
      <c r="A296" s="588">
        <v>294</v>
      </c>
      <c r="B296" s="461" t="s">
        <v>793</v>
      </c>
      <c r="C296" s="589">
        <v>1000</v>
      </c>
      <c r="D296" s="589"/>
      <c r="E296" s="589">
        <v>5605.07045333333</v>
      </c>
      <c r="F296" s="462">
        <v>34249.26</v>
      </c>
    </row>
    <row r="297" ht="47.25" spans="1:6">
      <c r="A297" s="588">
        <v>295</v>
      </c>
      <c r="B297" s="461" t="s">
        <v>795</v>
      </c>
      <c r="C297" s="589">
        <v>1000</v>
      </c>
      <c r="D297" s="589"/>
      <c r="E297" s="589">
        <v>4507.54725</v>
      </c>
      <c r="F297" s="462">
        <v>25030.06</v>
      </c>
    </row>
    <row r="298" ht="47.25" spans="1:6">
      <c r="A298" s="588">
        <v>296</v>
      </c>
      <c r="B298" s="461" t="s">
        <v>797</v>
      </c>
      <c r="C298" s="589">
        <v>1000</v>
      </c>
      <c r="D298" s="589"/>
      <c r="E298" s="589">
        <v>4507.54725</v>
      </c>
      <c r="F298" s="462">
        <v>25030.06</v>
      </c>
    </row>
    <row r="299" ht="47.25" spans="1:6">
      <c r="A299" s="588">
        <v>297</v>
      </c>
      <c r="B299" s="461" t="s">
        <v>799</v>
      </c>
      <c r="C299" s="589">
        <v>1000</v>
      </c>
      <c r="D299" s="589"/>
      <c r="E299" s="589">
        <v>4507.54725</v>
      </c>
      <c r="F299" s="462">
        <v>25030.06</v>
      </c>
    </row>
    <row r="300" ht="47.25" spans="1:6">
      <c r="A300" s="588">
        <v>298</v>
      </c>
      <c r="B300" s="461" t="s">
        <v>801</v>
      </c>
      <c r="C300" s="589">
        <v>1000</v>
      </c>
      <c r="D300" s="589"/>
      <c r="E300" s="589">
        <v>4507.54725</v>
      </c>
      <c r="F300" s="462">
        <v>25030.06</v>
      </c>
    </row>
    <row r="301" ht="47.25" spans="1:6">
      <c r="A301" s="588">
        <v>299</v>
      </c>
      <c r="B301" s="461" t="s">
        <v>803</v>
      </c>
      <c r="C301" s="589">
        <v>1000</v>
      </c>
      <c r="D301" s="589"/>
      <c r="E301" s="589">
        <v>5049.28312</v>
      </c>
      <c r="F301" s="462">
        <v>25030.06</v>
      </c>
    </row>
    <row r="302" ht="47.25" spans="1:6">
      <c r="A302" s="588">
        <v>300</v>
      </c>
      <c r="B302" s="461" t="s">
        <v>805</v>
      </c>
      <c r="C302" s="589">
        <v>1000</v>
      </c>
      <c r="D302" s="589"/>
      <c r="E302" s="589">
        <v>4507.54725</v>
      </c>
      <c r="F302" s="462">
        <v>25030.06</v>
      </c>
    </row>
    <row r="303" ht="47.25" spans="1:6">
      <c r="A303" s="588">
        <v>301</v>
      </c>
      <c r="B303" s="461" t="s">
        <v>807</v>
      </c>
      <c r="C303" s="589">
        <v>1000</v>
      </c>
      <c r="D303" s="589"/>
      <c r="E303" s="589">
        <v>4408.02813</v>
      </c>
      <c r="F303" s="462">
        <v>24194.1029586667</v>
      </c>
    </row>
    <row r="304" ht="47.25" spans="1:6">
      <c r="A304" s="588">
        <v>302</v>
      </c>
      <c r="B304" s="461" t="s">
        <v>810</v>
      </c>
      <c r="C304" s="589">
        <v>1000</v>
      </c>
      <c r="D304" s="589"/>
      <c r="E304" s="589">
        <v>4408.02813</v>
      </c>
      <c r="F304" s="462">
        <v>24194.1029586667</v>
      </c>
    </row>
    <row r="305" ht="47.25" spans="1:6">
      <c r="A305" s="588">
        <v>303</v>
      </c>
      <c r="B305" s="461" t="s">
        <v>812</v>
      </c>
      <c r="C305" s="589">
        <v>1000</v>
      </c>
      <c r="D305" s="589"/>
      <c r="E305" s="589">
        <v>4408.02813</v>
      </c>
      <c r="F305" s="462">
        <v>24194.1029586667</v>
      </c>
    </row>
    <row r="306" ht="47.25" spans="1:6">
      <c r="A306" s="588">
        <v>304</v>
      </c>
      <c r="B306" s="461" t="s">
        <v>814</v>
      </c>
      <c r="C306" s="589">
        <v>1000</v>
      </c>
      <c r="D306" s="589"/>
      <c r="E306" s="589">
        <v>4408.02813</v>
      </c>
      <c r="F306" s="462">
        <v>24194.1029586667</v>
      </c>
    </row>
    <row r="307" ht="47.25" spans="1:6">
      <c r="A307" s="588">
        <v>305</v>
      </c>
      <c r="B307" s="461" t="s">
        <v>817</v>
      </c>
      <c r="C307" s="589">
        <v>1000</v>
      </c>
      <c r="D307" s="589"/>
      <c r="E307" s="589">
        <v>4408.02813</v>
      </c>
      <c r="F307" s="462">
        <v>24194.1029586667</v>
      </c>
    </row>
    <row r="308" ht="47.25" spans="1:6">
      <c r="A308" s="588">
        <v>306</v>
      </c>
      <c r="B308" s="461" t="s">
        <v>819</v>
      </c>
      <c r="C308" s="589">
        <v>1000</v>
      </c>
      <c r="D308" s="589"/>
      <c r="E308" s="589">
        <v>4408.02813</v>
      </c>
      <c r="F308" s="462">
        <v>24194.1029586667</v>
      </c>
    </row>
    <row r="309" ht="47.25" spans="1:6">
      <c r="A309" s="588">
        <v>307</v>
      </c>
      <c r="B309" s="461" t="s">
        <v>821</v>
      </c>
      <c r="C309" s="589">
        <v>1000</v>
      </c>
      <c r="D309" s="589"/>
      <c r="E309" s="589">
        <v>4408.02813</v>
      </c>
      <c r="F309" s="462">
        <v>24194.1029586667</v>
      </c>
    </row>
    <row r="310" ht="47.25" spans="1:6">
      <c r="A310" s="588">
        <v>308</v>
      </c>
      <c r="B310" s="461" t="s">
        <v>823</v>
      </c>
      <c r="C310" s="589">
        <v>1000</v>
      </c>
      <c r="D310" s="589"/>
      <c r="E310" s="589">
        <v>4408.02813</v>
      </c>
      <c r="F310" s="462">
        <v>24194.1029586667</v>
      </c>
    </row>
    <row r="311" ht="47.25" spans="1:6">
      <c r="A311" s="588">
        <v>309</v>
      </c>
      <c r="B311" s="461" t="s">
        <v>825</v>
      </c>
      <c r="C311" s="589">
        <v>1000</v>
      </c>
      <c r="D311" s="589"/>
      <c r="E311" s="589">
        <v>4408.02813</v>
      </c>
      <c r="F311" s="462">
        <v>24194.1029586667</v>
      </c>
    </row>
    <row r="312" ht="47.25" spans="1:6">
      <c r="A312" s="588">
        <v>310</v>
      </c>
      <c r="B312" s="461" t="s">
        <v>827</v>
      </c>
      <c r="C312" s="589">
        <v>1000</v>
      </c>
      <c r="D312" s="589"/>
      <c r="E312" s="589">
        <v>4408.02813</v>
      </c>
      <c r="F312" s="462">
        <v>24194.1029586667</v>
      </c>
    </row>
    <row r="313" ht="47.25" spans="1:6">
      <c r="A313" s="588">
        <v>311</v>
      </c>
      <c r="B313" s="461" t="s">
        <v>829</v>
      </c>
      <c r="C313" s="589">
        <v>1000</v>
      </c>
      <c r="D313" s="589"/>
      <c r="E313" s="589">
        <v>4408.02813</v>
      </c>
      <c r="F313" s="462">
        <v>24194.1029586667</v>
      </c>
    </row>
    <row r="314" ht="47.25" spans="1:6">
      <c r="A314" s="588">
        <v>312</v>
      </c>
      <c r="B314" s="461" t="s">
        <v>831</v>
      </c>
      <c r="C314" s="589">
        <v>1000</v>
      </c>
      <c r="D314" s="589"/>
      <c r="E314" s="589">
        <v>4408.02813</v>
      </c>
      <c r="F314" s="462">
        <v>24194.1029586667</v>
      </c>
    </row>
    <row r="315" ht="47.25" spans="1:6">
      <c r="A315" s="588">
        <v>313</v>
      </c>
      <c r="B315" s="461" t="s">
        <v>833</v>
      </c>
      <c r="C315" s="589">
        <v>1000</v>
      </c>
      <c r="D315" s="589"/>
      <c r="E315" s="589">
        <v>4408.05046333333</v>
      </c>
      <c r="F315" s="462">
        <v>24194.1029586667</v>
      </c>
    </row>
    <row r="316" ht="47.25" spans="1:6">
      <c r="A316" s="588">
        <v>314</v>
      </c>
      <c r="B316" s="461" t="s">
        <v>835</v>
      </c>
      <c r="C316" s="589">
        <v>1000</v>
      </c>
      <c r="D316" s="589"/>
      <c r="E316" s="589">
        <v>4408.02813</v>
      </c>
      <c r="F316" s="462">
        <v>24195.1029586667</v>
      </c>
    </row>
    <row r="317" ht="47.25" spans="1:6">
      <c r="A317" s="588">
        <v>315</v>
      </c>
      <c r="B317" s="461" t="s">
        <v>836</v>
      </c>
      <c r="C317" s="589">
        <v>1000</v>
      </c>
      <c r="D317" s="589"/>
      <c r="E317" s="589">
        <v>5281.95146333333</v>
      </c>
      <c r="F317" s="462">
        <v>24196.1029586667</v>
      </c>
    </row>
    <row r="318" ht="47.25" spans="1:6">
      <c r="A318" s="588">
        <v>316</v>
      </c>
      <c r="B318" s="461" t="s">
        <v>837</v>
      </c>
      <c r="C318" s="589">
        <v>1000</v>
      </c>
      <c r="D318" s="589"/>
      <c r="E318" s="589">
        <v>5477.79837</v>
      </c>
      <c r="F318" s="462">
        <v>33180.17</v>
      </c>
    </row>
    <row r="319" ht="47.25" spans="1:6">
      <c r="A319" s="588">
        <v>317</v>
      </c>
      <c r="B319" s="461" t="s">
        <v>839</v>
      </c>
      <c r="C319" s="589">
        <v>1000</v>
      </c>
      <c r="D319" s="589"/>
      <c r="E319" s="589">
        <v>4932.143</v>
      </c>
      <c r="F319" s="462">
        <v>28596.6678666667</v>
      </c>
    </row>
    <row r="320" ht="47.25" spans="1:6">
      <c r="A320" s="588">
        <v>318</v>
      </c>
      <c r="B320" s="461" t="s">
        <v>843</v>
      </c>
      <c r="C320" s="589">
        <v>1000</v>
      </c>
      <c r="D320" s="589"/>
      <c r="E320" s="589">
        <v>4408.02813</v>
      </c>
      <c r="F320" s="462">
        <v>24194.1029586667</v>
      </c>
    </row>
    <row r="321" ht="47.25" spans="1:6">
      <c r="A321" s="588">
        <v>319</v>
      </c>
      <c r="B321" s="461" t="s">
        <v>845</v>
      </c>
      <c r="C321" s="589">
        <v>1000</v>
      </c>
      <c r="D321" s="589"/>
      <c r="E321" s="589">
        <v>4408.02813</v>
      </c>
      <c r="F321" s="462">
        <v>24194.1029586667</v>
      </c>
    </row>
    <row r="322" ht="47.25" spans="1:6">
      <c r="A322" s="588">
        <v>320</v>
      </c>
      <c r="B322" s="461" t="s">
        <v>847</v>
      </c>
      <c r="C322" s="589">
        <v>1000</v>
      </c>
      <c r="D322" s="589"/>
      <c r="E322" s="589">
        <v>4408.02813</v>
      </c>
      <c r="F322" s="462">
        <v>24194.1029586667</v>
      </c>
    </row>
    <row r="323" ht="47.25" spans="1:6">
      <c r="A323" s="588">
        <v>321</v>
      </c>
      <c r="B323" s="461" t="s">
        <v>848</v>
      </c>
      <c r="C323" s="589">
        <v>1000</v>
      </c>
      <c r="D323" s="589"/>
      <c r="E323" s="589">
        <v>4408.02813</v>
      </c>
      <c r="F323" s="462">
        <v>24194.1029586667</v>
      </c>
    </row>
    <row r="324" ht="47.25" spans="1:6">
      <c r="A324" s="588">
        <v>322</v>
      </c>
      <c r="B324" s="461" t="s">
        <v>850</v>
      </c>
      <c r="C324" s="589">
        <v>1000</v>
      </c>
      <c r="D324" s="589"/>
      <c r="E324" s="589">
        <v>4408.02813</v>
      </c>
      <c r="F324" s="462">
        <v>24194.1029586667</v>
      </c>
    </row>
    <row r="325" ht="47.25" spans="1:6">
      <c r="A325" s="588">
        <v>323</v>
      </c>
      <c r="B325" s="461" t="s">
        <v>852</v>
      </c>
      <c r="C325" s="589">
        <v>1000</v>
      </c>
      <c r="D325" s="589"/>
      <c r="E325" s="589">
        <v>4408.02813</v>
      </c>
      <c r="F325" s="462">
        <v>24194.1029586667</v>
      </c>
    </row>
    <row r="326" ht="47.25" spans="1:6">
      <c r="A326" s="588">
        <v>324</v>
      </c>
      <c r="B326" s="461" t="s">
        <v>854</v>
      </c>
      <c r="C326" s="589">
        <v>1000</v>
      </c>
      <c r="D326" s="589"/>
      <c r="E326" s="589">
        <v>4408.02813</v>
      </c>
      <c r="F326" s="462">
        <v>24194.1029586667</v>
      </c>
    </row>
    <row r="327" ht="47.25" spans="1:6">
      <c r="A327" s="588">
        <v>325</v>
      </c>
      <c r="B327" s="461" t="s">
        <v>855</v>
      </c>
      <c r="C327" s="589">
        <v>1000</v>
      </c>
      <c r="D327" s="589"/>
      <c r="E327" s="589">
        <v>4408.02813</v>
      </c>
      <c r="F327" s="462">
        <v>24194.1029586667</v>
      </c>
    </row>
    <row r="328" ht="47.25" spans="1:6">
      <c r="A328" s="588">
        <v>326</v>
      </c>
      <c r="B328" s="461" t="s">
        <v>856</v>
      </c>
      <c r="C328" s="589">
        <v>1000</v>
      </c>
      <c r="D328" s="589"/>
      <c r="E328" s="589">
        <v>4408.02813</v>
      </c>
      <c r="F328" s="462">
        <v>24194.1029586667</v>
      </c>
    </row>
    <row r="329" ht="47.25" spans="1:6">
      <c r="A329" s="588"/>
      <c r="B329" s="4" t="s">
        <v>867</v>
      </c>
      <c r="C329" s="149">
        <v>455250</v>
      </c>
      <c r="D329" s="149">
        <v>5000</v>
      </c>
      <c r="E329" s="149">
        <v>2227837.06669412</v>
      </c>
      <c r="F329" s="7">
        <f>SUM(F3:F328)</f>
        <v>14883997.8279468</v>
      </c>
    </row>
    <row r="330" ht="41" customHeight="1" spans="1:6">
      <c r="A330" s="590" t="s">
        <v>1830</v>
      </c>
      <c r="B330" s="591"/>
      <c r="C330" s="591"/>
      <c r="D330" s="591"/>
      <c r="E330" s="591"/>
      <c r="F330" s="591"/>
    </row>
    <row r="331" ht="48" spans="1:6">
      <c r="A331" s="592">
        <v>327</v>
      </c>
      <c r="B331" s="593" t="s">
        <v>1519</v>
      </c>
      <c r="C331" s="594">
        <v>1500</v>
      </c>
      <c r="D331" s="594"/>
      <c r="E331" s="594">
        <v>5520.2416</v>
      </c>
      <c r="F331" s="595">
        <v>38629.66</v>
      </c>
    </row>
    <row r="332" ht="48" spans="1:6">
      <c r="A332" s="592">
        <v>328</v>
      </c>
      <c r="B332" s="593" t="s">
        <v>869</v>
      </c>
      <c r="C332" s="594">
        <v>1500</v>
      </c>
      <c r="D332" s="594"/>
      <c r="E332" s="594">
        <v>5626.5466</v>
      </c>
      <c r="F332" s="595">
        <v>34429.66</v>
      </c>
    </row>
    <row r="333" ht="48" spans="1:6">
      <c r="A333" s="592">
        <v>329</v>
      </c>
      <c r="B333" s="593" t="s">
        <v>870</v>
      </c>
      <c r="C333" s="594">
        <v>1500</v>
      </c>
      <c r="D333" s="594"/>
      <c r="E333" s="594">
        <v>6126.5466</v>
      </c>
      <c r="F333" s="595">
        <v>38629.66</v>
      </c>
    </row>
    <row r="334" ht="48" spans="1:6">
      <c r="A334" s="592">
        <v>330</v>
      </c>
      <c r="B334" s="593" t="s">
        <v>872</v>
      </c>
      <c r="C334" s="594">
        <v>2500</v>
      </c>
      <c r="D334" s="594"/>
      <c r="E334" s="594">
        <v>9466.64421333333</v>
      </c>
      <c r="F334" s="595">
        <v>69546.45</v>
      </c>
    </row>
    <row r="335" ht="48" spans="1:6">
      <c r="A335" s="592">
        <v>331</v>
      </c>
      <c r="B335" s="593" t="s">
        <v>875</v>
      </c>
      <c r="C335" s="594">
        <v>1000</v>
      </c>
      <c r="D335" s="594"/>
      <c r="E335" s="594">
        <v>4866.215</v>
      </c>
      <c r="F335" s="595">
        <v>28042.87</v>
      </c>
    </row>
    <row r="336" ht="48" spans="1:6">
      <c r="A336" s="592">
        <v>332</v>
      </c>
      <c r="B336" s="593" t="s">
        <v>876</v>
      </c>
      <c r="C336" s="594">
        <v>2000</v>
      </c>
      <c r="D336" s="594"/>
      <c r="E336" s="594">
        <v>9339.9608</v>
      </c>
      <c r="F336" s="595">
        <v>68330.29</v>
      </c>
    </row>
    <row r="337" ht="48" spans="1:6">
      <c r="A337" s="592">
        <v>333</v>
      </c>
      <c r="B337" s="593" t="s">
        <v>878</v>
      </c>
      <c r="C337" s="594">
        <v>2000</v>
      </c>
      <c r="D337" s="594"/>
      <c r="E337" s="594">
        <v>8419.9608</v>
      </c>
      <c r="F337" s="595">
        <v>59498.29</v>
      </c>
    </row>
    <row r="338" ht="48" spans="1:6">
      <c r="A338" s="592">
        <v>334</v>
      </c>
      <c r="B338" s="593" t="s">
        <v>880</v>
      </c>
      <c r="C338" s="594">
        <v>2000</v>
      </c>
      <c r="D338" s="594"/>
      <c r="E338" s="594">
        <v>8419.9608</v>
      </c>
      <c r="F338" s="595">
        <v>59498.29</v>
      </c>
    </row>
    <row r="339" ht="48" spans="1:6">
      <c r="A339" s="592">
        <v>335</v>
      </c>
      <c r="B339" s="593" t="s">
        <v>881</v>
      </c>
      <c r="C339" s="594">
        <v>2000</v>
      </c>
      <c r="D339" s="594"/>
      <c r="E339" s="594">
        <v>6417.0126</v>
      </c>
      <c r="F339" s="595">
        <v>41069.57</v>
      </c>
    </row>
    <row r="340" ht="48" spans="1:6">
      <c r="A340" s="592">
        <v>336</v>
      </c>
      <c r="B340" s="593" t="s">
        <v>882</v>
      </c>
      <c r="C340" s="594">
        <v>2000</v>
      </c>
      <c r="D340" s="594"/>
      <c r="E340" s="594">
        <v>8169.9608</v>
      </c>
      <c r="F340" s="595">
        <v>57098.29</v>
      </c>
    </row>
    <row r="341" ht="48" spans="1:6">
      <c r="A341" s="592">
        <v>337</v>
      </c>
      <c r="B341" s="593" t="s">
        <v>883</v>
      </c>
      <c r="C341" s="594">
        <v>500</v>
      </c>
      <c r="D341" s="594"/>
      <c r="E341" s="594">
        <v>2094.6566</v>
      </c>
      <c r="F341" s="595">
        <v>7067.94</v>
      </c>
    </row>
    <row r="342" ht="48" spans="1:6">
      <c r="A342" s="592">
        <v>338</v>
      </c>
      <c r="B342" s="593" t="s">
        <v>885</v>
      </c>
      <c r="C342" s="594">
        <v>500</v>
      </c>
      <c r="D342" s="594"/>
      <c r="E342" s="594">
        <v>3408.83</v>
      </c>
      <c r="F342" s="595">
        <v>16073.77</v>
      </c>
    </row>
    <row r="343" ht="48" spans="1:6">
      <c r="A343" s="592">
        <v>339</v>
      </c>
      <c r="B343" s="593" t="s">
        <v>886</v>
      </c>
      <c r="C343" s="594">
        <v>500</v>
      </c>
      <c r="D343" s="594"/>
      <c r="E343" s="594">
        <v>3319.7084</v>
      </c>
      <c r="F343" s="595">
        <v>14636.45</v>
      </c>
    </row>
    <row r="344" ht="48" spans="1:6">
      <c r="A344" s="592">
        <v>340</v>
      </c>
      <c r="B344" s="593" t="s">
        <v>888</v>
      </c>
      <c r="C344" s="594">
        <v>500</v>
      </c>
      <c r="D344" s="594"/>
      <c r="E344" s="594">
        <v>2303.365</v>
      </c>
      <c r="F344" s="595">
        <v>8320.19</v>
      </c>
    </row>
    <row r="345" ht="48" spans="1:6">
      <c r="A345" s="592">
        <v>341</v>
      </c>
      <c r="B345" s="593" t="s">
        <v>891</v>
      </c>
      <c r="C345" s="594">
        <v>3500</v>
      </c>
      <c r="D345" s="594"/>
      <c r="E345" s="594">
        <v>16373.077</v>
      </c>
      <c r="F345" s="595">
        <v>135848.205866667</v>
      </c>
    </row>
    <row r="346" ht="48" spans="1:6">
      <c r="A346" s="592">
        <v>342</v>
      </c>
      <c r="B346" s="593" t="s">
        <v>894</v>
      </c>
      <c r="C346" s="594">
        <v>3500</v>
      </c>
      <c r="D346" s="594"/>
      <c r="E346" s="594">
        <v>17173.077</v>
      </c>
      <c r="F346" s="595">
        <v>143528.205866667</v>
      </c>
    </row>
    <row r="347" ht="48" spans="1:6">
      <c r="A347" s="592">
        <v>343</v>
      </c>
      <c r="B347" s="593" t="s">
        <v>896</v>
      </c>
      <c r="C347" s="594">
        <v>2500</v>
      </c>
      <c r="D347" s="594"/>
      <c r="E347" s="594">
        <v>11593.84037</v>
      </c>
      <c r="F347" s="595">
        <v>89967.53</v>
      </c>
    </row>
    <row r="348" ht="48" spans="1:6">
      <c r="A348" s="592">
        <v>344</v>
      </c>
      <c r="B348" s="593" t="s">
        <v>898</v>
      </c>
      <c r="C348" s="594">
        <v>1000</v>
      </c>
      <c r="D348" s="594"/>
      <c r="E348" s="594">
        <v>4684.625</v>
      </c>
      <c r="F348" s="595">
        <v>25517.52</v>
      </c>
    </row>
    <row r="349" ht="48" spans="1:6">
      <c r="A349" s="592">
        <v>345</v>
      </c>
      <c r="B349" s="593" t="s">
        <v>900</v>
      </c>
      <c r="C349" s="594">
        <v>1000</v>
      </c>
      <c r="D349" s="594"/>
      <c r="E349" s="594">
        <v>3741.7466</v>
      </c>
      <c r="F349" s="595">
        <v>18603.94</v>
      </c>
    </row>
    <row r="350" ht="48" spans="1:6">
      <c r="A350" s="592">
        <v>346</v>
      </c>
      <c r="B350" s="593" t="s">
        <v>901</v>
      </c>
      <c r="C350" s="594">
        <v>1000</v>
      </c>
      <c r="D350" s="594"/>
      <c r="E350" s="594">
        <v>5754.4934</v>
      </c>
      <c r="F350" s="595">
        <v>35504.41</v>
      </c>
    </row>
    <row r="351" ht="48" spans="1:6">
      <c r="A351" s="592">
        <v>347</v>
      </c>
      <c r="B351" s="593" t="s">
        <v>903</v>
      </c>
      <c r="C351" s="594">
        <v>2000</v>
      </c>
      <c r="D351" s="594"/>
      <c r="E351" s="594">
        <v>7464.4034</v>
      </c>
      <c r="F351" s="595">
        <v>50324.94</v>
      </c>
    </row>
    <row r="352" ht="48" spans="1:6">
      <c r="A352" s="592">
        <v>348</v>
      </c>
      <c r="B352" s="593" t="s">
        <v>905</v>
      </c>
      <c r="C352" s="594">
        <v>2500</v>
      </c>
      <c r="D352" s="594"/>
      <c r="E352" s="594">
        <v>10051.0405466667</v>
      </c>
      <c r="F352" s="595">
        <v>75156.66</v>
      </c>
    </row>
    <row r="353" ht="48" spans="1:6">
      <c r="A353" s="592">
        <v>349</v>
      </c>
      <c r="B353" s="593" t="s">
        <v>907</v>
      </c>
      <c r="C353" s="594">
        <v>2000</v>
      </c>
      <c r="D353" s="594"/>
      <c r="E353" s="594">
        <v>5997.0134</v>
      </c>
      <c r="F353" s="595">
        <v>37541.58</v>
      </c>
    </row>
    <row r="354" ht="48" spans="1:6">
      <c r="A354" s="592">
        <v>350</v>
      </c>
      <c r="B354" s="593" t="s">
        <v>908</v>
      </c>
      <c r="C354" s="594">
        <v>3500</v>
      </c>
      <c r="D354" s="594"/>
      <c r="E354" s="594">
        <v>10135.4391319444</v>
      </c>
      <c r="F354" s="595">
        <v>75966.8823333333</v>
      </c>
    </row>
    <row r="355" ht="48" spans="1:6">
      <c r="A355" s="592">
        <v>351</v>
      </c>
      <c r="B355" s="593" t="s">
        <v>910</v>
      </c>
      <c r="C355" s="594">
        <v>1000</v>
      </c>
      <c r="D355" s="594"/>
      <c r="E355" s="594">
        <v>4556.4266</v>
      </c>
      <c r="F355" s="595">
        <v>25440.65</v>
      </c>
    </row>
    <row r="356" ht="48" spans="1:6">
      <c r="A356" s="592">
        <v>352</v>
      </c>
      <c r="B356" s="593" t="s">
        <v>912</v>
      </c>
      <c r="C356" s="594">
        <v>1000</v>
      </c>
      <c r="D356" s="594"/>
      <c r="E356" s="594">
        <v>2303.365</v>
      </c>
      <c r="F356" s="595">
        <v>8320.19</v>
      </c>
    </row>
    <row r="357" ht="48" spans="1:6">
      <c r="A357" s="592">
        <v>353</v>
      </c>
      <c r="B357" s="593" t="s">
        <v>914</v>
      </c>
      <c r="C357" s="594">
        <v>1000</v>
      </c>
      <c r="D357" s="594"/>
      <c r="E357" s="594">
        <v>5512.5734</v>
      </c>
      <c r="F357" s="595">
        <v>33472.28</v>
      </c>
    </row>
    <row r="358" ht="48" spans="1:6">
      <c r="A358" s="592">
        <v>354</v>
      </c>
      <c r="B358" s="593" t="s">
        <v>917</v>
      </c>
      <c r="C358" s="594">
        <v>500</v>
      </c>
      <c r="D358" s="594"/>
      <c r="E358" s="594">
        <v>2121.4384</v>
      </c>
      <c r="F358" s="595">
        <v>7228.83</v>
      </c>
    </row>
    <row r="359" ht="48" spans="1:6">
      <c r="A359" s="592">
        <v>355</v>
      </c>
      <c r="B359" s="593" t="s">
        <v>919</v>
      </c>
      <c r="C359" s="594">
        <v>2000</v>
      </c>
      <c r="D359" s="594">
        <v>1250</v>
      </c>
      <c r="E359" s="594">
        <v>5997.0134</v>
      </c>
      <c r="F359" s="595">
        <v>37541.5792266667</v>
      </c>
    </row>
    <row r="360" ht="48" spans="1:6">
      <c r="A360" s="592">
        <v>356</v>
      </c>
      <c r="B360" s="593" t="s">
        <v>921</v>
      </c>
      <c r="C360" s="594">
        <v>2500</v>
      </c>
      <c r="D360" s="594"/>
      <c r="E360" s="594">
        <v>12191.2316</v>
      </c>
      <c r="F360" s="595">
        <v>95702.49</v>
      </c>
    </row>
    <row r="361" ht="48" spans="1:6">
      <c r="A361" s="592">
        <v>357</v>
      </c>
      <c r="B361" s="593" t="s">
        <v>923</v>
      </c>
      <c r="C361" s="594">
        <v>1000</v>
      </c>
      <c r="D361" s="594"/>
      <c r="E361" s="594">
        <v>3128.88</v>
      </c>
      <c r="F361" s="595">
        <v>15396.45</v>
      </c>
    </row>
    <row r="362" ht="48" spans="1:6">
      <c r="A362" s="592">
        <v>358</v>
      </c>
      <c r="B362" s="593" t="s">
        <v>925</v>
      </c>
      <c r="C362" s="594">
        <v>1500</v>
      </c>
      <c r="D362" s="594"/>
      <c r="E362" s="594">
        <v>4570.6516</v>
      </c>
      <c r="F362" s="595">
        <v>25560.1441666667</v>
      </c>
    </row>
    <row r="363" ht="48" spans="1:6">
      <c r="A363" s="592">
        <v>359</v>
      </c>
      <c r="B363" s="593" t="s">
        <v>927</v>
      </c>
      <c r="C363" s="594">
        <v>1500</v>
      </c>
      <c r="D363" s="594"/>
      <c r="E363" s="594">
        <v>5604.625</v>
      </c>
      <c r="F363" s="595">
        <v>34245.52</v>
      </c>
    </row>
    <row r="364" ht="48" spans="1:6">
      <c r="A364" s="592">
        <v>360</v>
      </c>
      <c r="B364" s="593" t="s">
        <v>929</v>
      </c>
      <c r="C364" s="594">
        <v>1500</v>
      </c>
      <c r="D364" s="594"/>
      <c r="E364" s="594">
        <v>4570.6516</v>
      </c>
      <c r="F364" s="595">
        <v>25560.1441666667</v>
      </c>
    </row>
    <row r="365" ht="48" spans="1:6">
      <c r="A365" s="592">
        <v>361</v>
      </c>
      <c r="B365" s="593" t="s">
        <v>931</v>
      </c>
      <c r="C365" s="594">
        <v>1500</v>
      </c>
      <c r="D365" s="594"/>
      <c r="E365" s="594">
        <v>5640.52</v>
      </c>
      <c r="F365" s="595">
        <v>34547.03</v>
      </c>
    </row>
    <row r="366" ht="48" spans="1:6">
      <c r="A366" s="592">
        <v>362</v>
      </c>
      <c r="B366" s="593" t="s">
        <v>933</v>
      </c>
      <c r="C366" s="594">
        <v>1500</v>
      </c>
      <c r="D366" s="594"/>
      <c r="E366" s="594">
        <v>5854.625</v>
      </c>
      <c r="F366" s="595">
        <v>36345.52</v>
      </c>
    </row>
    <row r="367" ht="48" spans="1:6">
      <c r="A367" s="592">
        <v>363</v>
      </c>
      <c r="B367" s="593" t="s">
        <v>936</v>
      </c>
      <c r="C367" s="594">
        <v>1500</v>
      </c>
      <c r="D367" s="594"/>
      <c r="E367" s="594">
        <v>4684.625</v>
      </c>
      <c r="F367" s="595">
        <v>26517.52</v>
      </c>
    </row>
    <row r="368" ht="48" spans="1:6">
      <c r="A368" s="592">
        <v>364</v>
      </c>
      <c r="B368" s="593" t="s">
        <v>938</v>
      </c>
      <c r="C368" s="594">
        <v>1500</v>
      </c>
      <c r="D368" s="594"/>
      <c r="E368" s="594">
        <v>4456.6784</v>
      </c>
      <c r="F368" s="595">
        <v>24602.77</v>
      </c>
    </row>
    <row r="369" ht="48" spans="1:6">
      <c r="A369" s="592">
        <v>365</v>
      </c>
      <c r="B369" s="593" t="s">
        <v>939</v>
      </c>
      <c r="C369" s="594">
        <v>1500</v>
      </c>
      <c r="D369" s="594"/>
      <c r="E369" s="594">
        <v>4684.625</v>
      </c>
      <c r="F369" s="595">
        <v>26517.52</v>
      </c>
    </row>
    <row r="370" ht="48" spans="1:6">
      <c r="A370" s="592">
        <v>366</v>
      </c>
      <c r="B370" s="593" t="s">
        <v>941</v>
      </c>
      <c r="C370" s="594">
        <v>1000</v>
      </c>
      <c r="D370" s="594"/>
      <c r="E370" s="594">
        <v>5808.8292</v>
      </c>
      <c r="F370" s="595">
        <v>36380.83</v>
      </c>
    </row>
    <row r="371" ht="48" spans="1:6">
      <c r="A371" s="592">
        <v>367</v>
      </c>
      <c r="B371" s="593" t="s">
        <v>943</v>
      </c>
      <c r="C371" s="594">
        <v>1000</v>
      </c>
      <c r="D371" s="594"/>
      <c r="E371" s="594">
        <v>3497.9516</v>
      </c>
      <c r="F371" s="595">
        <v>16751.1</v>
      </c>
    </row>
    <row r="372" ht="48" spans="1:6">
      <c r="A372" s="592">
        <v>368</v>
      </c>
      <c r="B372" s="593" t="s">
        <v>944</v>
      </c>
      <c r="C372" s="594">
        <v>1000</v>
      </c>
      <c r="D372" s="594"/>
      <c r="E372" s="594">
        <v>3587.0734</v>
      </c>
      <c r="F372" s="595">
        <v>17428.42</v>
      </c>
    </row>
    <row r="373" ht="48" spans="1:6">
      <c r="A373" s="592">
        <v>369</v>
      </c>
      <c r="B373" s="593" t="s">
        <v>945</v>
      </c>
      <c r="C373" s="594">
        <v>1000</v>
      </c>
      <c r="D373" s="594"/>
      <c r="E373" s="594">
        <v>3587.0734</v>
      </c>
      <c r="F373" s="595">
        <v>17428.42</v>
      </c>
    </row>
    <row r="374" ht="48" spans="1:6">
      <c r="A374" s="592">
        <v>370</v>
      </c>
      <c r="B374" s="593" t="s">
        <v>946</v>
      </c>
      <c r="C374" s="594">
        <v>1000</v>
      </c>
      <c r="D374" s="594"/>
      <c r="E374" s="594">
        <v>5376.6784</v>
      </c>
      <c r="F374" s="595">
        <v>32330.77</v>
      </c>
    </row>
    <row r="375" ht="48" spans="1:6">
      <c r="A375" s="592">
        <v>371</v>
      </c>
      <c r="B375" s="593" t="s">
        <v>948</v>
      </c>
      <c r="C375" s="594">
        <v>1000</v>
      </c>
      <c r="D375" s="594"/>
      <c r="E375" s="594">
        <v>5246.4266</v>
      </c>
      <c r="F375" s="595">
        <v>31236.65</v>
      </c>
    </row>
    <row r="376" ht="48" spans="1:6">
      <c r="A376" s="592">
        <v>372</v>
      </c>
      <c r="B376" s="593" t="s">
        <v>949</v>
      </c>
      <c r="C376" s="594">
        <v>500</v>
      </c>
      <c r="D376" s="594"/>
      <c r="E376" s="594">
        <v>2586.71</v>
      </c>
      <c r="F376" s="595">
        <v>10020.26</v>
      </c>
    </row>
    <row r="377" ht="48" spans="1:6">
      <c r="A377" s="592">
        <v>373</v>
      </c>
      <c r="B377" s="593" t="s">
        <v>951</v>
      </c>
      <c r="C377" s="594">
        <v>500</v>
      </c>
      <c r="D377" s="594"/>
      <c r="E377" s="594">
        <v>2586.71</v>
      </c>
      <c r="F377" s="595">
        <v>10020.26</v>
      </c>
    </row>
    <row r="378" ht="48" spans="1:6">
      <c r="A378" s="592">
        <v>374</v>
      </c>
      <c r="B378" s="593" t="s">
        <v>953</v>
      </c>
      <c r="C378" s="594">
        <v>500</v>
      </c>
      <c r="D378" s="594"/>
      <c r="E378" s="594">
        <v>2720.33498333333</v>
      </c>
      <c r="F378" s="595">
        <v>10841.21254</v>
      </c>
    </row>
    <row r="379" ht="48" spans="1:6">
      <c r="A379" s="592">
        <v>375</v>
      </c>
      <c r="B379" s="593" t="s">
        <v>955</v>
      </c>
      <c r="C379" s="594">
        <v>3500</v>
      </c>
      <c r="D379" s="594"/>
      <c r="E379" s="594">
        <v>9258.84037</v>
      </c>
      <c r="F379" s="595">
        <v>67551.53</v>
      </c>
    </row>
    <row r="380" ht="48" spans="1:6">
      <c r="A380" s="592">
        <v>376</v>
      </c>
      <c r="B380" s="593" t="s">
        <v>957</v>
      </c>
      <c r="C380" s="594">
        <v>500</v>
      </c>
      <c r="D380" s="594"/>
      <c r="E380" s="594">
        <v>2653.5034</v>
      </c>
      <c r="F380" s="595">
        <v>10421.0204</v>
      </c>
    </row>
    <row r="381" ht="48" spans="1:6">
      <c r="A381" s="592">
        <v>377</v>
      </c>
      <c r="B381" s="593" t="s">
        <v>959</v>
      </c>
      <c r="C381" s="594">
        <v>500</v>
      </c>
      <c r="D381" s="594"/>
      <c r="E381" s="594">
        <v>2064.8016</v>
      </c>
      <c r="F381" s="595">
        <v>6888.81</v>
      </c>
    </row>
    <row r="382" ht="48" spans="1:6">
      <c r="A382" s="592">
        <v>378</v>
      </c>
      <c r="B382" s="593" t="s">
        <v>961</v>
      </c>
      <c r="C382" s="594">
        <v>500</v>
      </c>
      <c r="D382" s="594"/>
      <c r="E382" s="594">
        <v>3497.9516</v>
      </c>
      <c r="F382" s="595">
        <v>16751.1</v>
      </c>
    </row>
    <row r="383" ht="48" spans="1:6">
      <c r="A383" s="592">
        <v>379</v>
      </c>
      <c r="B383" s="593" t="s">
        <v>962</v>
      </c>
      <c r="C383" s="594">
        <v>500</v>
      </c>
      <c r="D383" s="594"/>
      <c r="E383" s="594">
        <v>3046.71</v>
      </c>
      <c r="F383" s="595">
        <v>13321.66</v>
      </c>
    </row>
    <row r="384" ht="48" spans="1:6">
      <c r="A384" s="592">
        <v>380</v>
      </c>
      <c r="B384" s="593" t="s">
        <v>964</v>
      </c>
      <c r="C384" s="594">
        <v>500</v>
      </c>
      <c r="D384" s="594"/>
      <c r="E384" s="594">
        <v>2586.71</v>
      </c>
      <c r="F384" s="595">
        <v>10020.26</v>
      </c>
    </row>
    <row r="385" ht="48" spans="1:6">
      <c r="A385" s="592">
        <v>381</v>
      </c>
      <c r="B385" s="593" t="s">
        <v>966</v>
      </c>
      <c r="C385" s="594">
        <v>500</v>
      </c>
      <c r="D385" s="594"/>
      <c r="E385" s="594">
        <v>2586.71</v>
      </c>
      <c r="F385" s="595">
        <v>10020.26</v>
      </c>
    </row>
    <row r="386" ht="48" spans="1:6">
      <c r="A386" s="592">
        <v>382</v>
      </c>
      <c r="B386" s="593" t="s">
        <v>968</v>
      </c>
      <c r="C386" s="594">
        <v>500</v>
      </c>
      <c r="D386" s="594"/>
      <c r="E386" s="594">
        <v>2048.6666</v>
      </c>
      <c r="F386" s="595">
        <v>6792</v>
      </c>
    </row>
    <row r="387" ht="48" spans="1:6">
      <c r="A387" s="592">
        <v>383</v>
      </c>
      <c r="B387" s="593" t="s">
        <v>970</v>
      </c>
      <c r="C387" s="594">
        <v>500</v>
      </c>
      <c r="D387" s="594"/>
      <c r="E387" s="594">
        <v>1855.7934</v>
      </c>
      <c r="F387" s="595">
        <v>5634.76</v>
      </c>
    </row>
    <row r="388" ht="48" spans="1:6">
      <c r="A388" s="592">
        <v>384</v>
      </c>
      <c r="B388" s="593" t="s">
        <v>972</v>
      </c>
      <c r="C388" s="594">
        <v>500</v>
      </c>
      <c r="D388" s="594"/>
      <c r="E388" s="594">
        <v>1794.015</v>
      </c>
      <c r="F388" s="595">
        <v>5264.09</v>
      </c>
    </row>
    <row r="389" ht="48" spans="1:6">
      <c r="A389" s="592">
        <v>385</v>
      </c>
      <c r="B389" s="593" t="s">
        <v>973</v>
      </c>
      <c r="C389" s="594">
        <v>500</v>
      </c>
      <c r="D389" s="594"/>
      <c r="E389" s="594">
        <v>1794.015</v>
      </c>
      <c r="F389" s="595">
        <v>5264.09</v>
      </c>
    </row>
    <row r="390" ht="48" spans="1:6">
      <c r="A390" s="592">
        <v>386</v>
      </c>
      <c r="B390" s="593" t="s">
        <v>974</v>
      </c>
      <c r="C390" s="594">
        <v>500</v>
      </c>
      <c r="D390" s="594"/>
      <c r="E390" s="594">
        <v>1794.015</v>
      </c>
      <c r="F390" s="595">
        <v>5264.09</v>
      </c>
    </row>
    <row r="391" ht="48" spans="1:6">
      <c r="A391" s="592">
        <v>387</v>
      </c>
      <c r="B391" s="593" t="s">
        <v>976</v>
      </c>
      <c r="C391" s="594">
        <v>500</v>
      </c>
      <c r="D391" s="594"/>
      <c r="E391" s="594">
        <v>1794.015</v>
      </c>
      <c r="F391" s="595">
        <v>5264.09</v>
      </c>
    </row>
    <row r="392" ht="48" spans="1:6">
      <c r="A392" s="592">
        <v>388</v>
      </c>
      <c r="B392" s="593" t="s">
        <v>978</v>
      </c>
      <c r="C392" s="594">
        <v>500</v>
      </c>
      <c r="D392" s="594"/>
      <c r="E392" s="594">
        <v>2586.71</v>
      </c>
      <c r="F392" s="595">
        <v>10020.26</v>
      </c>
    </row>
    <row r="393" ht="48" spans="1:6">
      <c r="A393" s="592">
        <v>389</v>
      </c>
      <c r="B393" s="593" t="s">
        <v>980</v>
      </c>
      <c r="C393" s="594">
        <v>500</v>
      </c>
      <c r="D393" s="594"/>
      <c r="E393" s="594">
        <v>2519.8964</v>
      </c>
      <c r="F393" s="595">
        <v>9619.3796</v>
      </c>
    </row>
    <row r="394" ht="48" spans="1:6">
      <c r="A394" s="592">
        <v>390</v>
      </c>
      <c r="B394" s="593" t="s">
        <v>982</v>
      </c>
      <c r="C394" s="594">
        <v>500</v>
      </c>
      <c r="D394" s="594"/>
      <c r="E394" s="594">
        <v>2586.71</v>
      </c>
      <c r="F394" s="595">
        <v>10020.26</v>
      </c>
    </row>
    <row r="395" ht="48" spans="1:6">
      <c r="A395" s="592">
        <v>391</v>
      </c>
      <c r="B395" s="593" t="s">
        <v>984</v>
      </c>
      <c r="C395" s="594">
        <v>500</v>
      </c>
      <c r="D395" s="594"/>
      <c r="E395" s="594">
        <v>1866.7834</v>
      </c>
      <c r="F395" s="595">
        <v>5700.7</v>
      </c>
    </row>
    <row r="396" ht="48" spans="1:6">
      <c r="A396" s="592">
        <v>392</v>
      </c>
      <c r="B396" s="593" t="s">
        <v>985</v>
      </c>
      <c r="C396" s="594">
        <v>500</v>
      </c>
      <c r="D396" s="594"/>
      <c r="E396" s="594">
        <v>1866.7834</v>
      </c>
      <c r="F396" s="595">
        <v>5700.7</v>
      </c>
    </row>
    <row r="397" ht="48" spans="1:6">
      <c r="A397" s="592">
        <v>393</v>
      </c>
      <c r="B397" s="593" t="s">
        <v>987</v>
      </c>
      <c r="C397" s="594">
        <v>500</v>
      </c>
      <c r="D397" s="594"/>
      <c r="E397" s="594">
        <v>2085.0516</v>
      </c>
      <c r="F397" s="595">
        <v>7010.31</v>
      </c>
    </row>
    <row r="398" ht="48" spans="1:6">
      <c r="A398" s="592">
        <v>394</v>
      </c>
      <c r="B398" s="593" t="s">
        <v>989</v>
      </c>
      <c r="C398" s="594">
        <v>500</v>
      </c>
      <c r="D398" s="594"/>
      <c r="E398" s="594">
        <v>2048.6666</v>
      </c>
      <c r="F398" s="595">
        <v>6792</v>
      </c>
    </row>
    <row r="399" ht="48" spans="1:6">
      <c r="A399" s="592">
        <v>395</v>
      </c>
      <c r="B399" s="593" t="s">
        <v>991</v>
      </c>
      <c r="C399" s="594">
        <v>1000</v>
      </c>
      <c r="D399" s="594"/>
      <c r="E399" s="594">
        <v>3951.53</v>
      </c>
      <c r="F399" s="595">
        <v>20359.52</v>
      </c>
    </row>
    <row r="400" ht="48" spans="1:6">
      <c r="A400" s="592">
        <v>396</v>
      </c>
      <c r="B400" s="593" t="s">
        <v>993</v>
      </c>
      <c r="C400" s="594">
        <v>500</v>
      </c>
      <c r="D400" s="594"/>
      <c r="E400" s="594">
        <v>1841.09</v>
      </c>
      <c r="F400" s="595">
        <v>5546.54</v>
      </c>
    </row>
    <row r="401" ht="48" spans="1:6">
      <c r="A401" s="592">
        <v>397</v>
      </c>
      <c r="B401" s="593" t="s">
        <v>994</v>
      </c>
      <c r="C401" s="594">
        <v>500</v>
      </c>
      <c r="D401" s="594"/>
      <c r="E401" s="594">
        <v>3319.7084</v>
      </c>
      <c r="F401" s="595">
        <v>10841.2158333333</v>
      </c>
    </row>
    <row r="402" ht="48" spans="1:6">
      <c r="A402" s="592">
        <v>398</v>
      </c>
      <c r="B402" s="593" t="s">
        <v>995</v>
      </c>
      <c r="C402" s="594">
        <v>500</v>
      </c>
      <c r="D402" s="594"/>
      <c r="E402" s="594">
        <v>2720.335</v>
      </c>
      <c r="F402" s="595">
        <v>10841.21</v>
      </c>
    </row>
    <row r="403" ht="48" spans="1:6">
      <c r="A403" s="592">
        <v>399</v>
      </c>
      <c r="B403" s="593" t="s">
        <v>996</v>
      </c>
      <c r="C403" s="594">
        <v>500</v>
      </c>
      <c r="D403" s="594"/>
      <c r="E403" s="594">
        <v>2720.335</v>
      </c>
      <c r="F403" s="595">
        <v>10841.21</v>
      </c>
    </row>
    <row r="404" ht="48" spans="1:6">
      <c r="A404" s="592">
        <v>400</v>
      </c>
      <c r="B404" s="593" t="s">
        <v>997</v>
      </c>
      <c r="C404" s="594">
        <v>1000</v>
      </c>
      <c r="D404" s="594"/>
      <c r="E404" s="594">
        <v>4195.3078</v>
      </c>
      <c r="F404" s="595">
        <v>19478.4376266667</v>
      </c>
    </row>
    <row r="405" ht="48" spans="1:6">
      <c r="A405" s="592">
        <v>401</v>
      </c>
      <c r="B405" s="593" t="s">
        <v>998</v>
      </c>
      <c r="C405" s="594"/>
      <c r="D405" s="594"/>
      <c r="E405" s="594"/>
      <c r="F405" s="595"/>
    </row>
    <row r="406" ht="48" spans="1:6">
      <c r="A406" s="592">
        <v>402</v>
      </c>
      <c r="B406" s="593" t="s">
        <v>999</v>
      </c>
      <c r="C406" s="594">
        <v>500</v>
      </c>
      <c r="D406" s="594"/>
      <c r="E406" s="594">
        <v>2720.335</v>
      </c>
      <c r="F406" s="595">
        <v>10421.14</v>
      </c>
    </row>
    <row r="407" ht="48" spans="1:6">
      <c r="A407" s="592">
        <v>403</v>
      </c>
      <c r="B407" s="593" t="s">
        <v>1000</v>
      </c>
      <c r="C407" s="594">
        <v>500</v>
      </c>
      <c r="D407" s="594"/>
      <c r="E407" s="594">
        <v>2720.335</v>
      </c>
      <c r="F407" s="595">
        <v>10421.14</v>
      </c>
    </row>
    <row r="408" ht="48" spans="1:6">
      <c r="A408" s="592">
        <v>404</v>
      </c>
      <c r="B408" s="593" t="s">
        <v>1001</v>
      </c>
      <c r="C408" s="594">
        <v>500</v>
      </c>
      <c r="D408" s="594"/>
      <c r="E408" s="594">
        <v>2720.335</v>
      </c>
      <c r="F408" s="595">
        <v>10421.1375</v>
      </c>
    </row>
    <row r="409" ht="48" spans="1:6">
      <c r="A409" s="592">
        <v>405</v>
      </c>
      <c r="B409" s="593" t="s">
        <v>1003</v>
      </c>
      <c r="C409" s="594">
        <v>500</v>
      </c>
      <c r="D409" s="594"/>
      <c r="E409" s="594">
        <v>2720.335</v>
      </c>
      <c r="F409" s="595">
        <v>10421.1375</v>
      </c>
    </row>
    <row r="410" ht="48" spans="1:6">
      <c r="A410" s="592">
        <v>406</v>
      </c>
      <c r="B410" s="593" t="s">
        <v>1004</v>
      </c>
      <c r="C410" s="594">
        <v>1500</v>
      </c>
      <c r="D410" s="594"/>
      <c r="E410" s="594">
        <v>5314.5516</v>
      </c>
      <c r="F410" s="595">
        <v>31808.9</v>
      </c>
    </row>
    <row r="411" ht="48" spans="1:6">
      <c r="A411" s="592">
        <v>407</v>
      </c>
      <c r="B411" s="593" t="s">
        <v>1006</v>
      </c>
      <c r="C411" s="594">
        <v>1500</v>
      </c>
      <c r="D411" s="594">
        <v>1500</v>
      </c>
      <c r="E411" s="594">
        <v>5389.7541</v>
      </c>
      <c r="F411" s="595">
        <v>33908.9</v>
      </c>
    </row>
    <row r="412" ht="48" spans="1:6">
      <c r="A412" s="592">
        <v>408</v>
      </c>
      <c r="B412" s="593" t="s">
        <v>1008</v>
      </c>
      <c r="C412" s="594">
        <v>1500</v>
      </c>
      <c r="D412" s="594"/>
      <c r="E412" s="594">
        <v>7281.9416</v>
      </c>
      <c r="F412" s="595">
        <v>48573.31</v>
      </c>
    </row>
    <row r="413" ht="48" spans="1:6">
      <c r="A413" s="592">
        <v>409</v>
      </c>
      <c r="B413" s="593" t="s">
        <v>1010</v>
      </c>
      <c r="C413" s="594">
        <v>1500</v>
      </c>
      <c r="D413" s="594"/>
      <c r="E413" s="594">
        <v>6734.5516</v>
      </c>
      <c r="F413" s="595">
        <v>43736.9</v>
      </c>
    </row>
    <row r="414" ht="48" spans="1:6">
      <c r="A414" s="592">
        <v>410</v>
      </c>
      <c r="B414" s="593" t="s">
        <v>1012</v>
      </c>
      <c r="C414" s="594">
        <v>1500</v>
      </c>
      <c r="D414" s="594"/>
      <c r="E414" s="594">
        <v>6064.5516</v>
      </c>
      <c r="F414" s="595">
        <v>33908.9001066667</v>
      </c>
    </row>
    <row r="415" ht="48" spans="1:6">
      <c r="A415" s="592">
        <v>411</v>
      </c>
      <c r="B415" s="593" t="s">
        <v>1014</v>
      </c>
      <c r="C415" s="594">
        <v>1500</v>
      </c>
      <c r="D415" s="594"/>
      <c r="E415" s="594">
        <v>3669.2766</v>
      </c>
      <c r="F415" s="595">
        <v>18053.17</v>
      </c>
    </row>
    <row r="416" ht="48" spans="1:6">
      <c r="A416" s="592">
        <v>412</v>
      </c>
      <c r="B416" s="593" t="s">
        <v>1015</v>
      </c>
      <c r="C416" s="594">
        <v>1500</v>
      </c>
      <c r="D416" s="594"/>
      <c r="E416" s="594">
        <v>5814.5516</v>
      </c>
      <c r="F416" s="595">
        <v>36008.9</v>
      </c>
    </row>
    <row r="417" ht="48" spans="1:6">
      <c r="A417" s="592">
        <v>413</v>
      </c>
      <c r="B417" s="593" t="s">
        <v>1017</v>
      </c>
      <c r="C417" s="594">
        <v>1500</v>
      </c>
      <c r="D417" s="594"/>
      <c r="E417" s="594">
        <v>5564.5516</v>
      </c>
      <c r="F417" s="595">
        <v>33908.9</v>
      </c>
    </row>
    <row r="418" ht="48" spans="1:6">
      <c r="A418" s="592">
        <v>414</v>
      </c>
      <c r="B418" s="593" t="s">
        <v>1019</v>
      </c>
      <c r="C418" s="594">
        <v>2000</v>
      </c>
      <c r="D418" s="594"/>
      <c r="E418" s="594">
        <v>6409.3316</v>
      </c>
      <c r="F418" s="595">
        <v>41005.05</v>
      </c>
    </row>
    <row r="419" ht="48" spans="1:6">
      <c r="A419" s="592">
        <v>415</v>
      </c>
      <c r="B419" s="593" t="s">
        <v>1020</v>
      </c>
      <c r="C419" s="594">
        <v>2000</v>
      </c>
      <c r="D419" s="594"/>
      <c r="E419" s="594">
        <v>10763.3124</v>
      </c>
      <c r="F419" s="595">
        <v>99354.4602266666</v>
      </c>
    </row>
    <row r="420" ht="48" spans="1:6">
      <c r="A420" s="592">
        <v>416</v>
      </c>
      <c r="B420" s="593" t="s">
        <v>1022</v>
      </c>
      <c r="C420" s="594">
        <v>2000</v>
      </c>
      <c r="D420" s="594"/>
      <c r="E420" s="594">
        <v>9716.6308</v>
      </c>
      <c r="F420" s="595">
        <v>71946.32</v>
      </c>
    </row>
    <row r="421" ht="48" spans="1:6">
      <c r="A421" s="592">
        <v>417</v>
      </c>
      <c r="B421" s="593" t="s">
        <v>1024</v>
      </c>
      <c r="C421" s="594">
        <v>2500</v>
      </c>
      <c r="D421" s="594"/>
      <c r="E421" s="594">
        <v>9466.6442</v>
      </c>
      <c r="F421" s="595">
        <v>69546.45</v>
      </c>
    </row>
    <row r="422" ht="48" spans="1:6">
      <c r="A422" s="592">
        <v>418</v>
      </c>
      <c r="B422" s="593" t="s">
        <v>1026</v>
      </c>
      <c r="C422" s="594">
        <v>1500</v>
      </c>
      <c r="D422" s="594"/>
      <c r="E422" s="594">
        <v>6484.5516</v>
      </c>
      <c r="F422" s="595">
        <v>41636.9</v>
      </c>
    </row>
    <row r="423" ht="48" spans="1:6">
      <c r="A423" s="592">
        <v>419</v>
      </c>
      <c r="B423" s="593" t="s">
        <v>1028</v>
      </c>
      <c r="C423" s="594">
        <v>1500</v>
      </c>
      <c r="D423" s="594"/>
      <c r="E423" s="594">
        <v>5382.0884</v>
      </c>
      <c r="F423" s="595">
        <v>32376.21</v>
      </c>
    </row>
    <row r="424" ht="48" spans="1:6">
      <c r="A424" s="592">
        <v>420</v>
      </c>
      <c r="B424" s="593" t="s">
        <v>1030</v>
      </c>
      <c r="C424" s="594">
        <v>1500</v>
      </c>
      <c r="D424" s="594"/>
      <c r="E424" s="594">
        <v>5814.5516</v>
      </c>
      <c r="F424" s="595">
        <v>36008.9</v>
      </c>
    </row>
    <row r="425" ht="48" spans="1:6">
      <c r="A425" s="592">
        <v>421</v>
      </c>
      <c r="B425" s="593" t="s">
        <v>1032</v>
      </c>
      <c r="C425" s="594"/>
      <c r="D425" s="594"/>
      <c r="E425" s="594"/>
      <c r="F425" s="595"/>
    </row>
    <row r="426" ht="48" spans="1:6">
      <c r="A426" s="592">
        <v>422</v>
      </c>
      <c r="B426" s="593" t="s">
        <v>1034</v>
      </c>
      <c r="C426" s="594">
        <v>2500</v>
      </c>
      <c r="D426" s="594"/>
      <c r="E426" s="594">
        <v>9466.64421333333</v>
      </c>
      <c r="F426" s="595">
        <v>69546.45</v>
      </c>
    </row>
    <row r="427" ht="48" spans="1:6">
      <c r="A427" s="592">
        <v>423</v>
      </c>
      <c r="B427" s="593" t="s">
        <v>1036</v>
      </c>
      <c r="C427" s="594">
        <v>1000</v>
      </c>
      <c r="D427" s="594"/>
      <c r="E427" s="594">
        <v>5062.423276</v>
      </c>
      <c r="F427" s="595">
        <v>29691.02</v>
      </c>
    </row>
    <row r="428" ht="48" spans="1:6">
      <c r="A428" s="592">
        <v>424</v>
      </c>
      <c r="B428" s="593" t="s">
        <v>1039</v>
      </c>
      <c r="C428" s="594">
        <v>500</v>
      </c>
      <c r="D428" s="594"/>
      <c r="E428" s="594">
        <v>2048.6666</v>
      </c>
      <c r="F428" s="595">
        <v>6792</v>
      </c>
    </row>
    <row r="429" ht="48" spans="1:6">
      <c r="A429" s="592">
        <v>425</v>
      </c>
      <c r="B429" s="593" t="s">
        <v>1041</v>
      </c>
      <c r="C429" s="594">
        <v>1500</v>
      </c>
      <c r="D429" s="594"/>
      <c r="E429" s="594">
        <v>7281.9416</v>
      </c>
      <c r="F429" s="595">
        <v>48573.3060266667</v>
      </c>
    </row>
    <row r="430" ht="48" spans="1:6">
      <c r="A430" s="592">
        <v>426</v>
      </c>
      <c r="B430" s="593" t="s">
        <v>1043</v>
      </c>
      <c r="C430" s="594">
        <v>1500</v>
      </c>
      <c r="D430" s="594"/>
      <c r="E430" s="594">
        <v>6330.3468</v>
      </c>
      <c r="F430" s="595">
        <v>40341.58</v>
      </c>
    </row>
    <row r="431" ht="48" spans="1:6">
      <c r="A431" s="592">
        <v>427</v>
      </c>
      <c r="B431" s="593" t="s">
        <v>1045</v>
      </c>
      <c r="C431" s="594">
        <v>500</v>
      </c>
      <c r="D431" s="594"/>
      <c r="E431" s="594">
        <v>1719.9996</v>
      </c>
      <c r="F431" s="595">
        <v>4820</v>
      </c>
    </row>
    <row r="432" ht="48" spans="1:6">
      <c r="A432" s="592">
        <v>428</v>
      </c>
      <c r="B432" s="593" t="s">
        <v>1047</v>
      </c>
      <c r="C432" s="594">
        <v>500</v>
      </c>
      <c r="D432" s="594"/>
      <c r="E432" s="594">
        <v>1719.9996</v>
      </c>
      <c r="F432" s="595">
        <v>4819.9976</v>
      </c>
    </row>
    <row r="433" ht="48" spans="1:6">
      <c r="A433" s="592">
        <v>429</v>
      </c>
      <c r="B433" s="593" t="s">
        <v>1049</v>
      </c>
      <c r="C433" s="594">
        <v>500</v>
      </c>
      <c r="D433" s="594"/>
      <c r="E433" s="594">
        <v>1719.9996</v>
      </c>
      <c r="F433" s="595">
        <v>4819.9976</v>
      </c>
    </row>
    <row r="434" ht="48" spans="1:6">
      <c r="A434" s="592">
        <v>430</v>
      </c>
      <c r="B434" s="593" t="s">
        <v>1051</v>
      </c>
      <c r="C434" s="594">
        <v>500</v>
      </c>
      <c r="D434" s="594"/>
      <c r="E434" s="594">
        <v>2586.71</v>
      </c>
      <c r="F434" s="595">
        <v>10020.26</v>
      </c>
    </row>
    <row r="435" ht="48" spans="1:6">
      <c r="A435" s="592">
        <v>431</v>
      </c>
      <c r="B435" s="593" t="s">
        <v>1053</v>
      </c>
      <c r="C435" s="594">
        <v>1000</v>
      </c>
      <c r="D435" s="594"/>
      <c r="E435" s="594">
        <v>4912.5734</v>
      </c>
      <c r="F435" s="595">
        <v>24832.28</v>
      </c>
    </row>
    <row r="436" ht="48" spans="1:6">
      <c r="A436" s="592">
        <v>432</v>
      </c>
      <c r="B436" s="593" t="s">
        <v>1054</v>
      </c>
      <c r="C436" s="594">
        <v>1500</v>
      </c>
      <c r="D436" s="594"/>
      <c r="E436" s="594">
        <v>5997.0134</v>
      </c>
      <c r="F436" s="595">
        <v>37541.58</v>
      </c>
    </row>
    <row r="437" ht="48" spans="1:6">
      <c r="A437" s="592">
        <v>433</v>
      </c>
      <c r="B437" s="593" t="s">
        <v>1056</v>
      </c>
      <c r="C437" s="594">
        <v>1500</v>
      </c>
      <c r="D437" s="594"/>
      <c r="E437" s="594">
        <v>5314.5516</v>
      </c>
      <c r="F437" s="595">
        <v>31808.9</v>
      </c>
    </row>
    <row r="438" ht="48" spans="1:6">
      <c r="A438" s="592">
        <v>434</v>
      </c>
      <c r="B438" s="593" t="s">
        <v>1058</v>
      </c>
      <c r="C438" s="594">
        <v>1500</v>
      </c>
      <c r="D438" s="594"/>
      <c r="E438" s="594">
        <v>5314.5516</v>
      </c>
      <c r="F438" s="595">
        <v>31808.9</v>
      </c>
    </row>
    <row r="439" ht="48" spans="1:6">
      <c r="A439" s="592">
        <v>435</v>
      </c>
      <c r="B439" s="593" t="s">
        <v>1060</v>
      </c>
      <c r="C439" s="594">
        <v>1500</v>
      </c>
      <c r="D439" s="594"/>
      <c r="E439" s="594">
        <v>5564.5516</v>
      </c>
      <c r="F439" s="595">
        <v>33908.9</v>
      </c>
    </row>
    <row r="440" ht="48" spans="1:6">
      <c r="A440" s="592">
        <v>436</v>
      </c>
      <c r="B440" s="593" t="s">
        <v>1062</v>
      </c>
      <c r="C440" s="594">
        <v>2000</v>
      </c>
      <c r="D440" s="594"/>
      <c r="E440" s="594">
        <v>8090.04591666667</v>
      </c>
      <c r="F440" s="595">
        <v>56331.11</v>
      </c>
    </row>
    <row r="441" ht="48" spans="1:6">
      <c r="A441" s="592">
        <v>437</v>
      </c>
      <c r="B441" s="593" t="s">
        <v>1064</v>
      </c>
      <c r="C441" s="594">
        <v>1500</v>
      </c>
      <c r="D441" s="594"/>
      <c r="E441" s="594">
        <v>5140.52</v>
      </c>
      <c r="F441" s="595">
        <v>30347.03</v>
      </c>
    </row>
    <row r="442" ht="48" spans="1:6">
      <c r="A442" s="592">
        <v>438</v>
      </c>
      <c r="B442" s="593" t="s">
        <v>1066</v>
      </c>
      <c r="C442" s="594">
        <v>1500</v>
      </c>
      <c r="D442" s="594"/>
      <c r="E442" s="594">
        <v>5814.5516</v>
      </c>
      <c r="F442" s="595">
        <v>36008.9</v>
      </c>
    </row>
    <row r="443" ht="48" spans="1:6">
      <c r="A443" s="592">
        <v>439</v>
      </c>
      <c r="B443" s="593" t="s">
        <v>1068</v>
      </c>
      <c r="C443" s="594">
        <v>1500</v>
      </c>
      <c r="D443" s="594"/>
      <c r="E443" s="594">
        <v>5254.4934</v>
      </c>
      <c r="F443" s="595">
        <v>31304.41</v>
      </c>
    </row>
    <row r="444" ht="48" spans="1:6">
      <c r="A444" s="592">
        <v>440</v>
      </c>
      <c r="B444" s="593" t="s">
        <v>1070</v>
      </c>
      <c r="C444" s="594">
        <v>3500</v>
      </c>
      <c r="D444" s="594"/>
      <c r="E444" s="594">
        <v>15652.0050466667</v>
      </c>
      <c r="F444" s="595">
        <v>128925.92</v>
      </c>
    </row>
    <row r="445" ht="48" spans="1:6">
      <c r="A445" s="592">
        <v>441</v>
      </c>
      <c r="B445" s="593" t="s">
        <v>1072</v>
      </c>
      <c r="C445" s="594">
        <v>1500</v>
      </c>
      <c r="D445" s="594"/>
      <c r="E445" s="594">
        <v>9399.5516</v>
      </c>
      <c r="F445" s="595">
        <v>68975.96</v>
      </c>
    </row>
    <row r="446" ht="48" spans="1:6">
      <c r="A446" s="592">
        <v>442</v>
      </c>
      <c r="B446" s="593" t="s">
        <v>1074</v>
      </c>
      <c r="C446" s="594">
        <v>1500</v>
      </c>
      <c r="D446" s="594"/>
      <c r="E446" s="594">
        <v>5632.0884</v>
      </c>
      <c r="F446" s="595">
        <v>34476.21</v>
      </c>
    </row>
    <row r="447" ht="48" spans="1:6">
      <c r="A447" s="592">
        <v>443</v>
      </c>
      <c r="B447" s="593" t="s">
        <v>1076</v>
      </c>
      <c r="C447" s="594">
        <v>1500</v>
      </c>
      <c r="D447" s="594"/>
      <c r="E447" s="594">
        <v>7534.552</v>
      </c>
      <c r="F447" s="595">
        <v>52749.98</v>
      </c>
    </row>
    <row r="448" ht="48" spans="1:6">
      <c r="A448" s="592">
        <v>444</v>
      </c>
      <c r="B448" s="593" t="s">
        <v>1078</v>
      </c>
      <c r="C448" s="594">
        <v>1500</v>
      </c>
      <c r="D448" s="594"/>
      <c r="E448" s="594">
        <v>6734.5516</v>
      </c>
      <c r="F448" s="595">
        <v>43736.9</v>
      </c>
    </row>
    <row r="449" ht="48" spans="1:6">
      <c r="A449" s="592">
        <v>445</v>
      </c>
      <c r="B449" s="593" t="s">
        <v>1080</v>
      </c>
      <c r="C449" s="594">
        <v>2000</v>
      </c>
      <c r="D449" s="594"/>
      <c r="E449" s="594">
        <v>11680.49217</v>
      </c>
      <c r="F449" s="595">
        <v>90799.39</v>
      </c>
    </row>
    <row r="450" ht="48" spans="1:6">
      <c r="A450" s="592">
        <v>446</v>
      </c>
      <c r="B450" s="593" t="s">
        <v>1082</v>
      </c>
      <c r="C450" s="594">
        <v>1500</v>
      </c>
      <c r="D450" s="594"/>
      <c r="E450" s="594">
        <v>5814.5516</v>
      </c>
      <c r="F450" s="595">
        <v>36008.9</v>
      </c>
    </row>
    <row r="451" ht="48" spans="1:6">
      <c r="A451" s="592">
        <v>447</v>
      </c>
      <c r="B451" s="593" t="s">
        <v>1084</v>
      </c>
      <c r="C451" s="594">
        <v>1500</v>
      </c>
      <c r="D451" s="594"/>
      <c r="E451" s="594">
        <v>5132.0884</v>
      </c>
      <c r="F451" s="595">
        <v>30276.21</v>
      </c>
    </row>
    <row r="452" ht="48" spans="1:6">
      <c r="A452" s="592">
        <v>448</v>
      </c>
      <c r="B452" s="593" t="s">
        <v>1086</v>
      </c>
      <c r="C452" s="594">
        <v>1000</v>
      </c>
      <c r="D452" s="594"/>
      <c r="E452" s="594">
        <v>5876.6784</v>
      </c>
      <c r="F452" s="595">
        <v>36530.77</v>
      </c>
    </row>
    <row r="453" ht="48" spans="1:6">
      <c r="A453" s="592">
        <v>449</v>
      </c>
      <c r="B453" s="593" t="s">
        <v>1088</v>
      </c>
      <c r="C453" s="594">
        <v>1000</v>
      </c>
      <c r="D453" s="594"/>
      <c r="E453" s="594">
        <v>4777.0734</v>
      </c>
      <c r="F453" s="595">
        <v>27294.08</v>
      </c>
    </row>
    <row r="454" ht="48" spans="1:6">
      <c r="A454" s="592">
        <v>450</v>
      </c>
      <c r="B454" s="593" t="s">
        <v>1090</v>
      </c>
      <c r="C454" s="594">
        <v>1000</v>
      </c>
      <c r="D454" s="594"/>
      <c r="E454" s="594">
        <v>3408.82916666667</v>
      </c>
      <c r="F454" s="595">
        <v>16073.77</v>
      </c>
    </row>
    <row r="455" ht="48" spans="1:6">
      <c r="A455" s="592">
        <v>451</v>
      </c>
      <c r="B455" s="593" t="s">
        <v>1092</v>
      </c>
      <c r="C455" s="594">
        <v>1000</v>
      </c>
      <c r="D455" s="594"/>
      <c r="E455" s="594">
        <v>3408.83125</v>
      </c>
      <c r="F455" s="595">
        <v>16073.77</v>
      </c>
    </row>
    <row r="456" ht="48" spans="1:6">
      <c r="A456" s="592">
        <v>452</v>
      </c>
      <c r="B456" s="593" t="s">
        <v>1093</v>
      </c>
      <c r="C456" s="594">
        <v>1000</v>
      </c>
      <c r="D456" s="594"/>
      <c r="E456" s="594">
        <v>3408.8312</v>
      </c>
      <c r="F456" s="595">
        <v>16073.77</v>
      </c>
    </row>
    <row r="457" ht="48" spans="1:6">
      <c r="A457" s="592">
        <v>453</v>
      </c>
      <c r="B457" s="593" t="s">
        <v>1095</v>
      </c>
      <c r="C457" s="594">
        <v>1000</v>
      </c>
      <c r="D457" s="594"/>
      <c r="E457" s="594">
        <v>4098.8312</v>
      </c>
      <c r="F457" s="595">
        <v>21596.85</v>
      </c>
    </row>
    <row r="458" ht="48" spans="1:6">
      <c r="A458" s="592">
        <v>454</v>
      </c>
      <c r="B458" s="593" t="s">
        <v>1098</v>
      </c>
      <c r="C458" s="594">
        <v>1000</v>
      </c>
      <c r="D458" s="594"/>
      <c r="E458" s="594">
        <v>3587.0734</v>
      </c>
      <c r="F458" s="595">
        <v>17428.42</v>
      </c>
    </row>
    <row r="459" ht="48" spans="1:6">
      <c r="A459" s="592">
        <v>455</v>
      </c>
      <c r="B459" s="593" t="s">
        <v>1099</v>
      </c>
      <c r="C459" s="594">
        <v>1000</v>
      </c>
      <c r="D459" s="594"/>
      <c r="E459" s="594">
        <v>3587.0734</v>
      </c>
      <c r="F459" s="595">
        <v>17428.42</v>
      </c>
    </row>
    <row r="460" ht="48" spans="1:6">
      <c r="A460" s="592">
        <v>456</v>
      </c>
      <c r="B460" s="593" t="s">
        <v>1101</v>
      </c>
      <c r="C460" s="594">
        <v>1000</v>
      </c>
      <c r="D460" s="594"/>
      <c r="E460" s="594">
        <v>4777.0734</v>
      </c>
      <c r="F460" s="595">
        <v>27294.08</v>
      </c>
    </row>
    <row r="461" ht="48" spans="1:6">
      <c r="A461" s="592">
        <v>457</v>
      </c>
      <c r="B461" s="593" t="s">
        <v>1102</v>
      </c>
      <c r="C461" s="594">
        <v>1000</v>
      </c>
      <c r="D461" s="594"/>
      <c r="E461" s="594">
        <v>3587.0734</v>
      </c>
      <c r="F461" s="595">
        <v>17428.42</v>
      </c>
    </row>
    <row r="462" ht="48" spans="1:6">
      <c r="A462" s="592">
        <v>458</v>
      </c>
      <c r="B462" s="593" t="s">
        <v>1104</v>
      </c>
      <c r="C462" s="594">
        <v>1000</v>
      </c>
      <c r="D462" s="594"/>
      <c r="E462" s="594">
        <v>3587.0734</v>
      </c>
      <c r="F462" s="595">
        <v>17428.42</v>
      </c>
    </row>
    <row r="463" ht="48" spans="1:6">
      <c r="A463" s="592">
        <v>459</v>
      </c>
      <c r="B463" s="593" t="s">
        <v>1106</v>
      </c>
      <c r="C463" s="594">
        <v>1500</v>
      </c>
      <c r="D463" s="594"/>
      <c r="E463" s="594">
        <v>5632.0884</v>
      </c>
      <c r="F463" s="595">
        <v>34476.21</v>
      </c>
    </row>
    <row r="464" ht="48" spans="1:6">
      <c r="A464" s="592">
        <v>460</v>
      </c>
      <c r="B464" s="593" t="s">
        <v>1108</v>
      </c>
      <c r="C464" s="594">
        <v>1500</v>
      </c>
      <c r="D464" s="594"/>
      <c r="E464" s="594">
        <v>5632.0884</v>
      </c>
      <c r="F464" s="595">
        <v>34476.21</v>
      </c>
    </row>
    <row r="465" ht="48" spans="1:6">
      <c r="A465" s="592">
        <v>461</v>
      </c>
      <c r="B465" s="593" t="s">
        <v>1110</v>
      </c>
      <c r="C465" s="594">
        <v>1000</v>
      </c>
      <c r="D465" s="594">
        <v>1250</v>
      </c>
      <c r="E465" s="594">
        <v>4266.215</v>
      </c>
      <c r="F465" s="595">
        <v>23002.87</v>
      </c>
    </row>
    <row r="466" ht="48" spans="1:6">
      <c r="A466" s="592">
        <v>462</v>
      </c>
      <c r="B466" s="593" t="s">
        <v>1112</v>
      </c>
      <c r="C466" s="594">
        <v>500</v>
      </c>
      <c r="D466" s="594"/>
      <c r="E466" s="594">
        <v>2182.245226</v>
      </c>
      <c r="F466" s="595">
        <v>7593.47</v>
      </c>
    </row>
    <row r="467" ht="48" spans="1:6">
      <c r="A467" s="592">
        <v>463</v>
      </c>
      <c r="B467" s="593" t="s">
        <v>1114</v>
      </c>
      <c r="C467" s="594">
        <v>500</v>
      </c>
      <c r="D467" s="594"/>
      <c r="E467" s="594">
        <v>3046.71</v>
      </c>
      <c r="F467" s="595">
        <v>13321.66</v>
      </c>
    </row>
    <row r="468" ht="48" spans="1:6">
      <c r="A468" s="592">
        <v>464</v>
      </c>
      <c r="B468" s="593" t="s">
        <v>1116</v>
      </c>
      <c r="C468" s="594">
        <v>500</v>
      </c>
      <c r="D468" s="594"/>
      <c r="E468" s="594">
        <v>3046.71</v>
      </c>
      <c r="F468" s="595">
        <v>13321.66</v>
      </c>
    </row>
    <row r="469" ht="48" spans="1:6">
      <c r="A469" s="592">
        <v>465</v>
      </c>
      <c r="B469" s="593" t="s">
        <v>1118</v>
      </c>
      <c r="C469" s="594">
        <v>500</v>
      </c>
      <c r="D469" s="594"/>
      <c r="E469" s="594">
        <v>2182.023226</v>
      </c>
      <c r="F469" s="595">
        <v>7592.14</v>
      </c>
    </row>
    <row r="470" ht="48" spans="1:6">
      <c r="A470" s="592">
        <v>466</v>
      </c>
      <c r="B470" s="593" t="s">
        <v>1120</v>
      </c>
      <c r="C470" s="594">
        <v>1000</v>
      </c>
      <c r="D470" s="594"/>
      <c r="E470" s="594">
        <v>3676.1934</v>
      </c>
      <c r="F470" s="595">
        <v>18105.74</v>
      </c>
    </row>
    <row r="471" ht="48" spans="1:6">
      <c r="A471" s="592">
        <v>467</v>
      </c>
      <c r="B471" s="593" t="s">
        <v>1122</v>
      </c>
      <c r="C471" s="594">
        <v>1000</v>
      </c>
      <c r="D471" s="594"/>
      <c r="E471" s="594">
        <v>1789.70168333333</v>
      </c>
      <c r="F471" s="595">
        <v>5392.38</v>
      </c>
    </row>
    <row r="472" ht="48" spans="1:6">
      <c r="A472" s="592">
        <v>468</v>
      </c>
      <c r="B472" s="593" t="s">
        <v>1124</v>
      </c>
      <c r="C472" s="594">
        <v>500</v>
      </c>
      <c r="D472" s="594"/>
      <c r="E472" s="594">
        <v>1815.3966</v>
      </c>
      <c r="F472" s="595">
        <v>5238.2101</v>
      </c>
    </row>
    <row r="473" ht="48" spans="1:6">
      <c r="A473" s="592">
        <v>469</v>
      </c>
      <c r="B473" s="593" t="s">
        <v>1126</v>
      </c>
      <c r="C473" s="594">
        <v>500</v>
      </c>
      <c r="D473" s="594"/>
      <c r="E473" s="594">
        <v>1789.7016</v>
      </c>
      <c r="F473" s="595">
        <v>5392.3796</v>
      </c>
    </row>
    <row r="474" ht="48" spans="1:6">
      <c r="A474" s="592">
        <v>470</v>
      </c>
      <c r="B474" s="593" t="s">
        <v>1127</v>
      </c>
      <c r="C474" s="594">
        <v>500</v>
      </c>
      <c r="D474" s="594"/>
      <c r="E474" s="594">
        <v>1789.7016</v>
      </c>
      <c r="F474" s="595">
        <v>5238.21</v>
      </c>
    </row>
    <row r="475" ht="48" spans="1:6">
      <c r="A475" s="592">
        <v>471</v>
      </c>
      <c r="B475" s="593" t="s">
        <v>1128</v>
      </c>
      <c r="C475" s="594">
        <v>500</v>
      </c>
      <c r="D475" s="594"/>
      <c r="E475" s="594">
        <v>1789.7216</v>
      </c>
      <c r="F475" s="595">
        <v>5238.21</v>
      </c>
    </row>
    <row r="476" ht="48" spans="1:6">
      <c r="A476" s="592">
        <v>472</v>
      </c>
      <c r="B476" s="593" t="s">
        <v>1130</v>
      </c>
      <c r="C476" s="594">
        <v>500</v>
      </c>
      <c r="D476" s="594"/>
      <c r="E476" s="594">
        <v>2182.023226</v>
      </c>
      <c r="F476" s="595">
        <v>7592.14</v>
      </c>
    </row>
    <row r="477" ht="48" spans="1:6">
      <c r="A477" s="592">
        <v>473</v>
      </c>
      <c r="B477" s="593" t="s">
        <v>1132</v>
      </c>
      <c r="C477" s="594">
        <v>500</v>
      </c>
      <c r="D477" s="594"/>
      <c r="E477" s="594">
        <v>1885.6516</v>
      </c>
      <c r="F477" s="595">
        <v>5813.91</v>
      </c>
    </row>
    <row r="478" ht="48" spans="1:6">
      <c r="A478" s="592">
        <v>474</v>
      </c>
      <c r="B478" s="593" t="s">
        <v>1134</v>
      </c>
      <c r="C478" s="594">
        <v>1000</v>
      </c>
      <c r="D478" s="594"/>
      <c r="E478" s="594">
        <v>3676.1934</v>
      </c>
      <c r="F478" s="595">
        <v>18105.74</v>
      </c>
    </row>
    <row r="479" ht="48" spans="1:6">
      <c r="A479" s="592">
        <v>475</v>
      </c>
      <c r="B479" s="593" t="s">
        <v>1136</v>
      </c>
      <c r="C479" s="594">
        <v>500</v>
      </c>
      <c r="D479" s="594"/>
      <c r="E479" s="594">
        <v>2182.023226</v>
      </c>
      <c r="F479" s="595">
        <v>7592.14</v>
      </c>
    </row>
    <row r="480" ht="48" spans="1:6">
      <c r="A480" s="592">
        <v>476</v>
      </c>
      <c r="B480" s="593" t="s">
        <v>1138</v>
      </c>
      <c r="C480" s="594">
        <v>500</v>
      </c>
      <c r="D480" s="594"/>
      <c r="E480" s="594">
        <v>3008.57185</v>
      </c>
      <c r="F480" s="595">
        <v>13031.81</v>
      </c>
    </row>
    <row r="481" ht="48" spans="1:6">
      <c r="A481" s="592">
        <v>477</v>
      </c>
      <c r="B481" s="593" t="s">
        <v>1140</v>
      </c>
      <c r="C481" s="594">
        <v>500</v>
      </c>
      <c r="D481" s="594"/>
      <c r="E481" s="594">
        <v>2182.023226</v>
      </c>
      <c r="F481" s="595">
        <v>7592.14</v>
      </c>
    </row>
    <row r="482" ht="48" spans="1:6">
      <c r="A482" s="592">
        <v>478</v>
      </c>
      <c r="B482" s="593" t="s">
        <v>1142</v>
      </c>
      <c r="C482" s="594">
        <v>500</v>
      </c>
      <c r="D482" s="594"/>
      <c r="E482" s="594">
        <v>2182.023226</v>
      </c>
      <c r="F482" s="595">
        <v>7592.14</v>
      </c>
    </row>
    <row r="483" ht="48" spans="1:6">
      <c r="A483" s="592">
        <v>479</v>
      </c>
      <c r="B483" s="593" t="s">
        <v>1144</v>
      </c>
      <c r="C483" s="594">
        <v>1000</v>
      </c>
      <c r="D483" s="594"/>
      <c r="E483" s="594">
        <v>3765.315</v>
      </c>
      <c r="F483" s="595">
        <v>18795.31</v>
      </c>
    </row>
    <row r="484" ht="48" spans="1:6">
      <c r="A484" s="592">
        <v>480</v>
      </c>
      <c r="B484" s="593" t="s">
        <v>1146</v>
      </c>
      <c r="C484" s="594">
        <v>1000</v>
      </c>
      <c r="D484" s="594"/>
      <c r="E484" s="594">
        <v>1885.6516</v>
      </c>
      <c r="F484" s="595">
        <v>5813.91</v>
      </c>
    </row>
    <row r="485" ht="48" spans="1:6">
      <c r="A485" s="592">
        <v>481</v>
      </c>
      <c r="B485" s="593" t="s">
        <v>1148</v>
      </c>
      <c r="C485" s="594">
        <v>500</v>
      </c>
      <c r="D485" s="594"/>
      <c r="E485" s="594">
        <v>2182.023226</v>
      </c>
      <c r="F485" s="595">
        <v>6354.18</v>
      </c>
    </row>
    <row r="486" ht="48" spans="1:6">
      <c r="A486" s="592">
        <v>482</v>
      </c>
      <c r="B486" s="593" t="s">
        <v>1151</v>
      </c>
      <c r="C486" s="594">
        <v>1000</v>
      </c>
      <c r="D486" s="594"/>
      <c r="E486" s="594">
        <v>4366.1934</v>
      </c>
      <c r="F486" s="595">
        <v>23842.69</v>
      </c>
    </row>
    <row r="487" ht="48" spans="1:6">
      <c r="A487" s="592">
        <v>483</v>
      </c>
      <c r="B487" s="593" t="s">
        <v>1153</v>
      </c>
      <c r="C487" s="594">
        <v>500</v>
      </c>
      <c r="D487" s="594"/>
      <c r="E487" s="594">
        <v>1885.6516</v>
      </c>
      <c r="F487" s="595">
        <v>5813.91</v>
      </c>
    </row>
    <row r="488" ht="48" spans="1:6">
      <c r="A488" s="592">
        <v>484</v>
      </c>
      <c r="B488" s="593" t="s">
        <v>1155</v>
      </c>
      <c r="C488" s="594">
        <v>500</v>
      </c>
      <c r="D488" s="594"/>
      <c r="E488" s="594">
        <v>2182.023226</v>
      </c>
      <c r="F488" s="595">
        <v>7592.14</v>
      </c>
    </row>
    <row r="489" ht="48" spans="1:6">
      <c r="A489" s="592">
        <v>485</v>
      </c>
      <c r="B489" s="593" t="s">
        <v>1157</v>
      </c>
      <c r="C489" s="594">
        <v>500</v>
      </c>
      <c r="D489" s="594"/>
      <c r="E489" s="594">
        <v>2182.023226</v>
      </c>
      <c r="F489" s="595">
        <v>7592.14</v>
      </c>
    </row>
    <row r="490" ht="48" spans="1:6">
      <c r="A490" s="592">
        <v>486</v>
      </c>
      <c r="B490" s="593" t="s">
        <v>1159</v>
      </c>
      <c r="C490" s="594">
        <v>500</v>
      </c>
      <c r="D490" s="594"/>
      <c r="E490" s="594">
        <v>1789.7016</v>
      </c>
      <c r="F490" s="595">
        <v>5238.21</v>
      </c>
    </row>
    <row r="491" ht="48" spans="1:6">
      <c r="A491" s="592">
        <v>487</v>
      </c>
      <c r="B491" s="593" t="s">
        <v>1161</v>
      </c>
      <c r="C491" s="594">
        <v>500</v>
      </c>
      <c r="D491" s="594"/>
      <c r="E491" s="594">
        <v>1815.405</v>
      </c>
      <c r="F491" s="595">
        <v>5392.38</v>
      </c>
    </row>
    <row r="492" ht="48" spans="1:6">
      <c r="A492" s="592">
        <v>488</v>
      </c>
      <c r="B492" s="593" t="s">
        <v>1163</v>
      </c>
      <c r="C492" s="594">
        <v>500</v>
      </c>
      <c r="D492" s="594"/>
      <c r="E492" s="594">
        <v>1815.3966</v>
      </c>
      <c r="F492" s="595">
        <v>5392.38</v>
      </c>
    </row>
    <row r="493" ht="48" spans="1:6">
      <c r="A493" s="592">
        <v>489</v>
      </c>
      <c r="B493" s="593" t="s">
        <v>1164</v>
      </c>
      <c r="C493" s="594">
        <v>500</v>
      </c>
      <c r="D493" s="594"/>
      <c r="E493" s="594">
        <v>1885.6516</v>
      </c>
      <c r="F493" s="595">
        <v>5813.91</v>
      </c>
    </row>
    <row r="494" ht="48" spans="1:6">
      <c r="A494" s="592">
        <v>490</v>
      </c>
      <c r="B494" s="593" t="s">
        <v>1166</v>
      </c>
      <c r="C494" s="594">
        <v>500</v>
      </c>
      <c r="D494" s="594"/>
      <c r="E494" s="594">
        <v>1975.8966</v>
      </c>
      <c r="F494" s="595">
        <v>6355.38</v>
      </c>
    </row>
    <row r="495" ht="48" spans="1:6">
      <c r="A495" s="592">
        <v>491</v>
      </c>
      <c r="B495" s="593" t="s">
        <v>1168</v>
      </c>
      <c r="C495" s="594">
        <v>500</v>
      </c>
      <c r="D495" s="594"/>
      <c r="E495" s="594">
        <v>1885.6516</v>
      </c>
      <c r="F495" s="595">
        <v>5813.91</v>
      </c>
    </row>
    <row r="496" ht="48" spans="1:6">
      <c r="A496" s="592">
        <v>492</v>
      </c>
      <c r="B496" s="593" t="s">
        <v>1170</v>
      </c>
      <c r="C496" s="594">
        <v>500</v>
      </c>
      <c r="D496" s="594"/>
      <c r="E496" s="594">
        <v>1885.6516</v>
      </c>
      <c r="F496" s="595">
        <v>5813.91</v>
      </c>
    </row>
    <row r="497" ht="48" spans="1:6">
      <c r="A497" s="592">
        <v>493</v>
      </c>
      <c r="B497" s="593" t="s">
        <v>1172</v>
      </c>
      <c r="C497" s="594">
        <v>500</v>
      </c>
      <c r="D497" s="594"/>
      <c r="E497" s="594">
        <v>1885.6516</v>
      </c>
      <c r="F497" s="595">
        <v>5813.91</v>
      </c>
    </row>
    <row r="498" ht="48" spans="1:6">
      <c r="A498" s="592">
        <v>494</v>
      </c>
      <c r="B498" s="593" t="s">
        <v>1174</v>
      </c>
      <c r="C498" s="594">
        <v>500</v>
      </c>
      <c r="D498" s="594"/>
      <c r="E498" s="594">
        <v>1885.6516</v>
      </c>
      <c r="F498" s="595">
        <v>5813.91</v>
      </c>
    </row>
    <row r="499" ht="48" spans="1:6">
      <c r="A499" s="592">
        <v>495</v>
      </c>
      <c r="B499" s="593" t="s">
        <v>1176</v>
      </c>
      <c r="C499" s="594">
        <v>500</v>
      </c>
      <c r="D499" s="594"/>
      <c r="E499" s="594">
        <v>1794.0142</v>
      </c>
      <c r="F499" s="595">
        <v>5264.09</v>
      </c>
    </row>
    <row r="500" ht="48" spans="1:6">
      <c r="A500" s="592">
        <v>496</v>
      </c>
      <c r="B500" s="593" t="s">
        <v>1178</v>
      </c>
      <c r="C500" s="594">
        <v>500</v>
      </c>
      <c r="D500" s="594"/>
      <c r="E500" s="594">
        <v>1794.0142</v>
      </c>
      <c r="F500" s="595">
        <v>5264.09</v>
      </c>
    </row>
    <row r="501" ht="48" spans="1:6">
      <c r="A501" s="592">
        <v>497</v>
      </c>
      <c r="B501" s="593" t="s">
        <v>1180</v>
      </c>
      <c r="C501" s="594">
        <v>500</v>
      </c>
      <c r="D501" s="594"/>
      <c r="E501" s="594">
        <v>1794.015</v>
      </c>
      <c r="F501" s="595">
        <v>5264.09</v>
      </c>
    </row>
    <row r="502" ht="48" spans="1:6">
      <c r="A502" s="592">
        <v>498</v>
      </c>
      <c r="B502" s="593" t="s">
        <v>1181</v>
      </c>
      <c r="C502" s="594">
        <v>1000</v>
      </c>
      <c r="D502" s="594"/>
      <c r="E502" s="594">
        <v>1836.7934</v>
      </c>
      <c r="F502" s="595">
        <v>5520.76</v>
      </c>
    </row>
    <row r="503" ht="48" spans="1:6">
      <c r="A503" s="592">
        <v>499</v>
      </c>
      <c r="B503" s="593" t="s">
        <v>1182</v>
      </c>
      <c r="C503" s="594">
        <v>500</v>
      </c>
      <c r="D503" s="594"/>
      <c r="E503" s="594">
        <v>1815.405</v>
      </c>
      <c r="F503" s="595">
        <v>5392.43</v>
      </c>
    </row>
    <row r="504" ht="48" spans="1:6">
      <c r="A504" s="592">
        <v>500</v>
      </c>
      <c r="B504" s="593" t="s">
        <v>1183</v>
      </c>
      <c r="C504" s="594">
        <v>500</v>
      </c>
      <c r="D504" s="594"/>
      <c r="E504" s="594">
        <v>1794.015</v>
      </c>
      <c r="F504" s="595">
        <v>5264.09</v>
      </c>
    </row>
    <row r="505" ht="48" spans="1:6">
      <c r="A505" s="592">
        <v>501</v>
      </c>
      <c r="B505" s="593" t="s">
        <v>1185</v>
      </c>
      <c r="C505" s="594">
        <v>500</v>
      </c>
      <c r="D505" s="594"/>
      <c r="E505" s="594">
        <v>1838.4634</v>
      </c>
      <c r="F505" s="595">
        <v>5530.7804</v>
      </c>
    </row>
    <row r="506" ht="48" spans="1:6">
      <c r="A506" s="592">
        <v>502</v>
      </c>
      <c r="B506" s="593" t="s">
        <v>1187</v>
      </c>
      <c r="C506" s="594">
        <v>500</v>
      </c>
      <c r="D506" s="594"/>
      <c r="E506" s="594">
        <v>1841.09</v>
      </c>
      <c r="F506" s="595">
        <v>5546.54</v>
      </c>
    </row>
    <row r="507" ht="48" spans="1:6">
      <c r="A507" s="592">
        <v>503</v>
      </c>
      <c r="B507" s="593" t="s">
        <v>1188</v>
      </c>
      <c r="C507" s="594">
        <v>500</v>
      </c>
      <c r="D507" s="594"/>
      <c r="E507" s="594">
        <v>1841.09</v>
      </c>
      <c r="F507" s="595">
        <v>5546.54</v>
      </c>
    </row>
    <row r="508" ht="48" spans="1:6">
      <c r="A508" s="592">
        <v>504</v>
      </c>
      <c r="B508" s="593" t="s">
        <v>1190</v>
      </c>
      <c r="C508" s="594">
        <v>500</v>
      </c>
      <c r="D508" s="594"/>
      <c r="E508" s="594">
        <v>1815.3954</v>
      </c>
      <c r="F508" s="595">
        <v>5392.37</v>
      </c>
    </row>
    <row r="509" ht="48" spans="1:6">
      <c r="A509" s="592">
        <v>505</v>
      </c>
      <c r="B509" s="593" t="s">
        <v>1192</v>
      </c>
      <c r="C509" s="594">
        <v>500</v>
      </c>
      <c r="D509" s="594"/>
      <c r="E509" s="594">
        <v>1772.625</v>
      </c>
      <c r="F509" s="595">
        <v>5135.75</v>
      </c>
    </row>
    <row r="510" ht="48" spans="1:6">
      <c r="A510" s="592">
        <v>506</v>
      </c>
      <c r="B510" s="593" t="s">
        <v>1193</v>
      </c>
      <c r="C510" s="594">
        <v>500</v>
      </c>
      <c r="D510" s="594"/>
      <c r="E510" s="594">
        <v>1885.0516</v>
      </c>
      <c r="F510" s="595">
        <v>5135.75</v>
      </c>
    </row>
    <row r="511" ht="48" spans="1:6">
      <c r="A511" s="592">
        <v>507</v>
      </c>
      <c r="B511" s="593" t="s">
        <v>1194</v>
      </c>
      <c r="C511" s="594">
        <v>500</v>
      </c>
      <c r="D511" s="594"/>
      <c r="E511" s="594">
        <v>1885.0516</v>
      </c>
      <c r="F511" s="595">
        <v>5810.31</v>
      </c>
    </row>
    <row r="512" ht="48" spans="1:6">
      <c r="A512" s="592">
        <v>508</v>
      </c>
      <c r="B512" s="593" t="s">
        <v>1196</v>
      </c>
      <c r="C512" s="594">
        <v>500</v>
      </c>
      <c r="D512" s="594"/>
      <c r="E512" s="594">
        <v>1885.0516</v>
      </c>
      <c r="F512" s="595">
        <v>5810.31</v>
      </c>
    </row>
    <row r="513" ht="48" spans="1:6">
      <c r="A513" s="592">
        <v>509</v>
      </c>
      <c r="B513" s="593" t="s">
        <v>1198</v>
      </c>
      <c r="C513" s="594">
        <v>500</v>
      </c>
      <c r="D513" s="594"/>
      <c r="E513" s="594">
        <v>1885.0516</v>
      </c>
      <c r="F513" s="595">
        <v>5810.31</v>
      </c>
    </row>
    <row r="514" ht="48" spans="1:6">
      <c r="A514" s="592">
        <v>510</v>
      </c>
      <c r="B514" s="593" t="s">
        <v>1200</v>
      </c>
      <c r="C514" s="594">
        <v>500</v>
      </c>
      <c r="D514" s="594"/>
      <c r="E514" s="594">
        <v>2044.0141</v>
      </c>
      <c r="F514" s="595">
        <v>6764.08</v>
      </c>
    </row>
    <row r="515" ht="48" spans="1:6">
      <c r="A515" s="592">
        <v>511</v>
      </c>
      <c r="B515" s="593" t="s">
        <v>1202</v>
      </c>
      <c r="C515" s="594">
        <v>500</v>
      </c>
      <c r="D515" s="594"/>
      <c r="E515" s="594">
        <v>1794.0142</v>
      </c>
      <c r="F515" s="595">
        <v>5264.09</v>
      </c>
    </row>
    <row r="516" ht="48" spans="1:6">
      <c r="A516" s="592">
        <v>512</v>
      </c>
      <c r="B516" s="593" t="s">
        <v>1204</v>
      </c>
      <c r="C516" s="594">
        <v>500</v>
      </c>
      <c r="D516" s="594"/>
      <c r="E516" s="594">
        <v>1794.0142</v>
      </c>
      <c r="F516" s="595">
        <v>5264.09</v>
      </c>
    </row>
    <row r="517" ht="48" spans="1:6">
      <c r="A517" s="592">
        <v>513</v>
      </c>
      <c r="B517" s="593" t="s">
        <v>1205</v>
      </c>
      <c r="C517" s="594">
        <v>500</v>
      </c>
      <c r="D517" s="594"/>
      <c r="E517" s="594">
        <v>1885.6516</v>
      </c>
      <c r="F517" s="595">
        <v>5813.91</v>
      </c>
    </row>
    <row r="518" ht="48" spans="1:6">
      <c r="A518" s="592">
        <v>514</v>
      </c>
      <c r="B518" s="593" t="s">
        <v>1207</v>
      </c>
      <c r="C518" s="594">
        <v>500</v>
      </c>
      <c r="D518" s="594"/>
      <c r="E518" s="594">
        <v>1885.6516</v>
      </c>
      <c r="F518" s="595">
        <v>5813.91</v>
      </c>
    </row>
    <row r="519" ht="48" spans="1:6">
      <c r="A519" s="592">
        <v>515</v>
      </c>
      <c r="B519" s="593" t="s">
        <v>1208</v>
      </c>
      <c r="C519" s="594">
        <v>500</v>
      </c>
      <c r="D519" s="594"/>
      <c r="E519" s="594">
        <v>1885.6516</v>
      </c>
      <c r="F519" s="595">
        <v>5813.91</v>
      </c>
    </row>
    <row r="520" ht="48" spans="1:6">
      <c r="A520" s="592">
        <v>516</v>
      </c>
      <c r="B520" s="593" t="s">
        <v>1210</v>
      </c>
      <c r="C520" s="594">
        <v>500</v>
      </c>
      <c r="D520" s="594"/>
      <c r="E520" s="594">
        <v>1885.6516</v>
      </c>
      <c r="F520" s="595">
        <v>5813.91</v>
      </c>
    </row>
    <row r="521" ht="48" spans="1:6">
      <c r="A521" s="592">
        <v>517</v>
      </c>
      <c r="B521" s="593" t="s">
        <v>1212</v>
      </c>
      <c r="C521" s="594">
        <v>500</v>
      </c>
      <c r="D521" s="594"/>
      <c r="E521" s="594">
        <v>1885.6516</v>
      </c>
      <c r="F521" s="595">
        <v>5813.91</v>
      </c>
    </row>
    <row r="522" ht="48" spans="1:6">
      <c r="A522" s="592">
        <v>518</v>
      </c>
      <c r="B522" s="593" t="s">
        <v>1214</v>
      </c>
      <c r="C522" s="594">
        <v>500</v>
      </c>
      <c r="D522" s="594"/>
      <c r="E522" s="594">
        <v>1885.6516</v>
      </c>
      <c r="F522" s="595">
        <v>5813.91</v>
      </c>
    </row>
    <row r="523" ht="48" spans="1:6">
      <c r="A523" s="592">
        <v>519</v>
      </c>
      <c r="B523" s="593" t="s">
        <v>1216</v>
      </c>
      <c r="C523" s="594">
        <v>500</v>
      </c>
      <c r="D523" s="594"/>
      <c r="E523" s="594">
        <v>1885.6516</v>
      </c>
      <c r="F523" s="595">
        <v>5813.91</v>
      </c>
    </row>
    <row r="524" ht="48" spans="1:6">
      <c r="A524" s="592">
        <v>520</v>
      </c>
      <c r="B524" s="593" t="s">
        <v>1217</v>
      </c>
      <c r="C524" s="594">
        <v>500</v>
      </c>
      <c r="D524" s="594"/>
      <c r="E524" s="594">
        <v>1885.6516</v>
      </c>
      <c r="F524" s="595">
        <v>5813.91</v>
      </c>
    </row>
    <row r="525" ht="48" spans="1:6">
      <c r="A525" s="592">
        <v>521</v>
      </c>
      <c r="B525" s="593" t="s">
        <v>1219</v>
      </c>
      <c r="C525" s="594">
        <v>500</v>
      </c>
      <c r="D525" s="594"/>
      <c r="E525" s="594">
        <v>1885.6516</v>
      </c>
      <c r="F525" s="595">
        <v>5813.91</v>
      </c>
    </row>
    <row r="526" ht="48" spans="1:6">
      <c r="A526" s="592">
        <v>522</v>
      </c>
      <c r="B526" s="593" t="s">
        <v>1221</v>
      </c>
      <c r="C526" s="594">
        <v>500</v>
      </c>
      <c r="D526" s="594"/>
      <c r="E526" s="594">
        <v>1885.6516</v>
      </c>
      <c r="F526" s="595">
        <v>5813.91</v>
      </c>
    </row>
    <row r="527" ht="48" spans="1:6">
      <c r="A527" s="592">
        <v>523</v>
      </c>
      <c r="B527" s="593" t="s">
        <v>1223</v>
      </c>
      <c r="C527" s="594">
        <v>500</v>
      </c>
      <c r="D527" s="594"/>
      <c r="E527" s="594">
        <v>1885.6516</v>
      </c>
      <c r="F527" s="595">
        <v>5813.91</v>
      </c>
    </row>
    <row r="528" ht="48" spans="1:6">
      <c r="A528" s="592">
        <v>524</v>
      </c>
      <c r="B528" s="593" t="s">
        <v>1225</v>
      </c>
      <c r="C528" s="594">
        <v>500</v>
      </c>
      <c r="D528" s="594"/>
      <c r="E528" s="594">
        <v>1885.6516</v>
      </c>
      <c r="F528" s="595">
        <v>5813.91</v>
      </c>
    </row>
    <row r="529" ht="48" spans="1:6">
      <c r="A529" s="592">
        <v>525</v>
      </c>
      <c r="B529" s="593" t="s">
        <v>1227</v>
      </c>
      <c r="C529" s="594">
        <v>500</v>
      </c>
      <c r="D529" s="594"/>
      <c r="E529" s="594">
        <v>1885.6516</v>
      </c>
      <c r="F529" s="595">
        <v>5813.91</v>
      </c>
    </row>
    <row r="530" ht="48" spans="1:6">
      <c r="A530" s="592">
        <v>526</v>
      </c>
      <c r="B530" s="593" t="s">
        <v>1229</v>
      </c>
      <c r="C530" s="594">
        <v>500</v>
      </c>
      <c r="D530" s="594"/>
      <c r="E530" s="594">
        <v>1885.6516</v>
      </c>
      <c r="F530" s="595">
        <v>5813.91</v>
      </c>
    </row>
    <row r="531" ht="48" spans="1:6">
      <c r="A531" s="592">
        <v>527</v>
      </c>
      <c r="B531" s="593" t="s">
        <v>1231</v>
      </c>
      <c r="C531" s="594">
        <v>500</v>
      </c>
      <c r="D531" s="594"/>
      <c r="E531" s="594">
        <v>1885.6516</v>
      </c>
      <c r="F531" s="595">
        <v>5813.91</v>
      </c>
    </row>
    <row r="532" ht="48" spans="1:6">
      <c r="A532" s="592">
        <v>528</v>
      </c>
      <c r="B532" s="593" t="s">
        <v>1232</v>
      </c>
      <c r="C532" s="594">
        <v>500</v>
      </c>
      <c r="D532" s="594"/>
      <c r="E532" s="594">
        <v>1885.6516</v>
      </c>
      <c r="F532" s="595">
        <v>5813.91</v>
      </c>
    </row>
    <row r="533" ht="48" spans="1:6">
      <c r="A533" s="592">
        <v>529</v>
      </c>
      <c r="B533" s="593" t="s">
        <v>1233</v>
      </c>
      <c r="C533" s="594">
        <v>500</v>
      </c>
      <c r="D533" s="594"/>
      <c r="E533" s="594">
        <v>1789.70168333333</v>
      </c>
      <c r="F533" s="595">
        <v>5238.21</v>
      </c>
    </row>
    <row r="534" ht="48" spans="1:6">
      <c r="A534" s="592">
        <v>530</v>
      </c>
      <c r="B534" s="593" t="s">
        <v>1235</v>
      </c>
      <c r="C534" s="594">
        <v>500</v>
      </c>
      <c r="D534" s="594"/>
      <c r="E534" s="594">
        <v>1885.6516</v>
      </c>
      <c r="F534" s="595">
        <v>5238.21</v>
      </c>
    </row>
    <row r="535" ht="48" spans="1:6">
      <c r="A535" s="592">
        <v>531</v>
      </c>
      <c r="B535" s="593" t="s">
        <v>1237</v>
      </c>
      <c r="C535" s="594">
        <v>500</v>
      </c>
      <c r="D535" s="594"/>
      <c r="E535" s="594">
        <v>1885.6516</v>
      </c>
      <c r="F535" s="595">
        <v>5813.91</v>
      </c>
    </row>
    <row r="536" ht="48" spans="1:6">
      <c r="A536" s="592">
        <v>532</v>
      </c>
      <c r="B536" s="593" t="s">
        <v>1239</v>
      </c>
      <c r="C536" s="594">
        <v>500</v>
      </c>
      <c r="D536" s="594"/>
      <c r="E536" s="594">
        <v>1885.65</v>
      </c>
      <c r="F536" s="595">
        <v>5813.91</v>
      </c>
    </row>
    <row r="537" ht="48" spans="1:6">
      <c r="A537" s="592">
        <v>533</v>
      </c>
      <c r="B537" s="593" t="s">
        <v>1241</v>
      </c>
      <c r="C537" s="594">
        <v>500</v>
      </c>
      <c r="D537" s="594"/>
      <c r="E537" s="594">
        <v>2135.6516</v>
      </c>
      <c r="F537" s="595">
        <v>7313.91</v>
      </c>
    </row>
    <row r="538" ht="48" spans="1:6">
      <c r="A538" s="592">
        <v>534</v>
      </c>
      <c r="B538" s="593" t="s">
        <v>1243</v>
      </c>
      <c r="C538" s="594">
        <v>500</v>
      </c>
      <c r="D538" s="594"/>
      <c r="E538" s="594">
        <v>1885.6516</v>
      </c>
      <c r="F538" s="595">
        <v>5813.91</v>
      </c>
    </row>
    <row r="539" ht="48" spans="1:6">
      <c r="A539" s="592">
        <v>535</v>
      </c>
      <c r="B539" s="593" t="s">
        <v>1245</v>
      </c>
      <c r="C539" s="594">
        <v>500</v>
      </c>
      <c r="D539" s="594"/>
      <c r="E539" s="594">
        <v>1764.00793333333</v>
      </c>
      <c r="F539" s="595">
        <v>5084.05</v>
      </c>
    </row>
    <row r="540" ht="48" spans="1:6">
      <c r="A540" s="592">
        <v>536</v>
      </c>
      <c r="B540" s="593" t="s">
        <v>1246</v>
      </c>
      <c r="C540" s="594">
        <v>500</v>
      </c>
      <c r="D540" s="594"/>
      <c r="E540" s="594">
        <v>1815.3966</v>
      </c>
      <c r="F540" s="595">
        <v>5392.38</v>
      </c>
    </row>
    <row r="541" ht="48" spans="1:6">
      <c r="A541" s="592">
        <v>537</v>
      </c>
      <c r="B541" s="593" t="s">
        <v>1248</v>
      </c>
      <c r="C541" s="594">
        <v>500</v>
      </c>
      <c r="D541" s="594"/>
      <c r="E541" s="594">
        <v>1700</v>
      </c>
      <c r="F541" s="595">
        <v>4700</v>
      </c>
    </row>
    <row r="542" ht="48" spans="1:6">
      <c r="A542" s="592">
        <v>538</v>
      </c>
      <c r="B542" s="593" t="s">
        <v>1250</v>
      </c>
      <c r="C542" s="594">
        <v>1000</v>
      </c>
      <c r="D542" s="594"/>
      <c r="E542" s="594">
        <v>4875.1983</v>
      </c>
      <c r="F542" s="595">
        <v>28118.33</v>
      </c>
    </row>
    <row r="543" ht="48" spans="1:6">
      <c r="A543" s="592">
        <v>539</v>
      </c>
      <c r="B543" s="593" t="s">
        <v>1252</v>
      </c>
      <c r="C543" s="594">
        <v>1000</v>
      </c>
      <c r="D543" s="594"/>
      <c r="E543" s="594">
        <v>3587.0734</v>
      </c>
      <c r="F543" s="595">
        <v>17428.42</v>
      </c>
    </row>
    <row r="544" ht="48" spans="1:6">
      <c r="A544" s="592">
        <v>540</v>
      </c>
      <c r="B544" s="593" t="s">
        <v>1253</v>
      </c>
      <c r="C544" s="594">
        <v>1000</v>
      </c>
      <c r="D544" s="594"/>
      <c r="E544" s="594">
        <v>2591.74375</v>
      </c>
      <c r="F544" s="595">
        <v>10050.4625</v>
      </c>
    </row>
    <row r="545" ht="48" spans="1:6">
      <c r="A545" s="592">
        <v>541</v>
      </c>
      <c r="B545" s="593" t="s">
        <v>1255</v>
      </c>
      <c r="C545" s="594">
        <v>1000</v>
      </c>
      <c r="D545" s="594"/>
      <c r="E545" s="594">
        <v>3497.9516</v>
      </c>
      <c r="F545" s="595">
        <v>16751.1</v>
      </c>
    </row>
    <row r="546" ht="48" spans="1:6">
      <c r="A546" s="592">
        <v>542</v>
      </c>
      <c r="B546" s="593" t="s">
        <v>1256</v>
      </c>
      <c r="C546" s="594">
        <v>1000</v>
      </c>
      <c r="D546" s="594"/>
      <c r="E546" s="594">
        <v>3587.0734</v>
      </c>
      <c r="F546" s="595">
        <v>17428.42</v>
      </c>
    </row>
    <row r="547" ht="48" spans="1:6">
      <c r="A547" s="592">
        <v>543</v>
      </c>
      <c r="B547" s="593" t="s">
        <v>1257</v>
      </c>
      <c r="C547" s="594">
        <v>1000</v>
      </c>
      <c r="D547" s="594"/>
      <c r="E547" s="594">
        <v>3741.7466</v>
      </c>
      <c r="F547" s="595">
        <v>18603.94</v>
      </c>
    </row>
    <row r="548" ht="48" spans="1:6">
      <c r="A548" s="592">
        <v>544</v>
      </c>
      <c r="B548" s="593" t="s">
        <v>1259</v>
      </c>
      <c r="C548" s="594">
        <v>1000</v>
      </c>
      <c r="D548" s="594"/>
      <c r="E548" s="594">
        <v>3587.0734</v>
      </c>
      <c r="F548" s="595">
        <v>17428.42</v>
      </c>
    </row>
    <row r="549" ht="48" spans="1:6">
      <c r="A549" s="592">
        <v>545</v>
      </c>
      <c r="B549" s="593" t="s">
        <v>1261</v>
      </c>
      <c r="C549" s="594">
        <v>1000</v>
      </c>
      <c r="D549" s="594"/>
      <c r="E549" s="594">
        <v>4277.0734</v>
      </c>
      <c r="F549" s="595">
        <v>23094.08</v>
      </c>
    </row>
    <row r="550" ht="48" spans="1:6">
      <c r="A550" s="592">
        <v>546</v>
      </c>
      <c r="B550" s="593" t="s">
        <v>1262</v>
      </c>
      <c r="C550" s="594">
        <v>1000</v>
      </c>
      <c r="D550" s="594"/>
      <c r="E550" s="594">
        <v>3497.9516</v>
      </c>
      <c r="F550" s="595">
        <v>16751.1</v>
      </c>
    </row>
    <row r="551" ht="48" spans="1:6">
      <c r="A551" s="592">
        <v>547</v>
      </c>
      <c r="B551" s="593" t="s">
        <v>1264</v>
      </c>
      <c r="C551" s="594">
        <v>1000</v>
      </c>
      <c r="D551" s="594"/>
      <c r="E551" s="594">
        <v>5146.6784</v>
      </c>
      <c r="F551" s="595">
        <v>30398.7652266667</v>
      </c>
    </row>
    <row r="552" ht="48" spans="1:6">
      <c r="A552" s="592">
        <v>548</v>
      </c>
      <c r="B552" s="593" t="s">
        <v>1266</v>
      </c>
      <c r="C552" s="594">
        <v>1500</v>
      </c>
      <c r="D552" s="594"/>
      <c r="E552" s="594">
        <v>6552.0884</v>
      </c>
      <c r="F552" s="595">
        <v>42204.21</v>
      </c>
    </row>
    <row r="553" ht="48" spans="1:6">
      <c r="A553" s="592">
        <v>549</v>
      </c>
      <c r="B553" s="593" t="s">
        <v>1268</v>
      </c>
      <c r="C553" s="594">
        <v>1000</v>
      </c>
      <c r="D553" s="594"/>
      <c r="E553" s="594">
        <v>4476.0034</v>
      </c>
      <c r="F553" s="595">
        <v>24765.1</v>
      </c>
    </row>
    <row r="554" ht="48" spans="1:6">
      <c r="A554" s="592">
        <v>550</v>
      </c>
      <c r="B554" s="593" t="s">
        <v>1269</v>
      </c>
      <c r="C554" s="594">
        <v>1500</v>
      </c>
      <c r="D554" s="594"/>
      <c r="E554" s="594">
        <v>5814.5516</v>
      </c>
      <c r="F554" s="595">
        <v>36008.9001066667</v>
      </c>
    </row>
    <row r="555" ht="48" spans="1:6">
      <c r="A555" s="592">
        <v>551</v>
      </c>
      <c r="B555" s="593" t="s">
        <v>1271</v>
      </c>
      <c r="C555" s="594">
        <v>1000</v>
      </c>
      <c r="D555" s="594"/>
      <c r="E555" s="594">
        <v>5056.6784</v>
      </c>
      <c r="F555" s="595">
        <v>29805.1</v>
      </c>
    </row>
    <row r="556" ht="48" spans="1:6">
      <c r="A556" s="592">
        <v>552</v>
      </c>
      <c r="B556" s="593" t="s">
        <v>1273</v>
      </c>
      <c r="C556" s="594">
        <v>1000</v>
      </c>
      <c r="D556" s="594"/>
      <c r="E556" s="594">
        <v>5328.7284</v>
      </c>
      <c r="F556" s="595">
        <v>31927.99</v>
      </c>
    </row>
    <row r="557" ht="48" spans="1:6">
      <c r="A557" s="592">
        <v>553</v>
      </c>
      <c r="B557" s="593" t="s">
        <v>1275</v>
      </c>
      <c r="C557" s="594">
        <v>1000</v>
      </c>
      <c r="D557" s="594"/>
      <c r="E557" s="594">
        <v>4454.4366</v>
      </c>
      <c r="F557" s="595">
        <v>24583.93</v>
      </c>
    </row>
    <row r="558" ht="48" spans="1:6">
      <c r="A558" s="592">
        <v>554</v>
      </c>
      <c r="B558" s="593" t="s">
        <v>1276</v>
      </c>
      <c r="C558" s="594">
        <v>1000</v>
      </c>
      <c r="D558" s="594"/>
      <c r="E558" s="594">
        <v>5680.895</v>
      </c>
      <c r="F558" s="595">
        <v>34886.18</v>
      </c>
    </row>
    <row r="559" ht="48" spans="1:6">
      <c r="A559" s="592">
        <v>555</v>
      </c>
      <c r="B559" s="593" t="s">
        <v>1278</v>
      </c>
      <c r="C559" s="594">
        <v>1000</v>
      </c>
      <c r="D559" s="594"/>
      <c r="E559" s="594">
        <v>5261.3184</v>
      </c>
      <c r="F559" s="595">
        <v>31361.74</v>
      </c>
    </row>
    <row r="560" ht="48" spans="1:6">
      <c r="A560" s="592">
        <v>556</v>
      </c>
      <c r="B560" s="593" t="s">
        <v>1280</v>
      </c>
      <c r="C560" s="594">
        <v>1000</v>
      </c>
      <c r="D560" s="594"/>
      <c r="E560" s="594">
        <v>4761.3184</v>
      </c>
      <c r="F560" s="595">
        <v>27161.74</v>
      </c>
    </row>
    <row r="561" ht="48" spans="1:6">
      <c r="A561" s="592">
        <v>557</v>
      </c>
      <c r="B561" s="593" t="s">
        <v>1282</v>
      </c>
      <c r="C561" s="594">
        <v>1000</v>
      </c>
      <c r="D561" s="594"/>
      <c r="E561" s="594">
        <v>4761.3184</v>
      </c>
      <c r="F561" s="595">
        <v>27161.74</v>
      </c>
    </row>
    <row r="562" ht="48" spans="1:6">
      <c r="A562" s="592">
        <v>558</v>
      </c>
      <c r="B562" s="593" t="s">
        <v>1284</v>
      </c>
      <c r="C562" s="594">
        <v>1000</v>
      </c>
      <c r="D562" s="594"/>
      <c r="E562" s="594">
        <v>4761.3184</v>
      </c>
      <c r="F562" s="595">
        <v>27161.74</v>
      </c>
    </row>
    <row r="563" ht="48" spans="1:6">
      <c r="A563" s="592">
        <v>559</v>
      </c>
      <c r="B563" s="593" t="s">
        <v>1286</v>
      </c>
      <c r="C563" s="594">
        <v>1000</v>
      </c>
      <c r="D563" s="594"/>
      <c r="E563" s="594">
        <v>4761.3184</v>
      </c>
      <c r="F563" s="595">
        <v>27161.74</v>
      </c>
    </row>
    <row r="564" ht="48" spans="1:6">
      <c r="A564" s="592">
        <v>560</v>
      </c>
      <c r="B564" s="593" t="s">
        <v>1288</v>
      </c>
      <c r="C564" s="594">
        <v>1000</v>
      </c>
      <c r="D564" s="594"/>
      <c r="E564" s="594">
        <v>5261.3184</v>
      </c>
      <c r="F564" s="595">
        <v>31361.74</v>
      </c>
    </row>
    <row r="565" ht="48" spans="1:6">
      <c r="A565" s="592">
        <v>561</v>
      </c>
      <c r="B565" s="593" t="s">
        <v>1290</v>
      </c>
      <c r="C565" s="594">
        <v>1000</v>
      </c>
      <c r="D565" s="594"/>
      <c r="E565" s="594">
        <v>5261.3184</v>
      </c>
      <c r="F565" s="595">
        <v>31361.74</v>
      </c>
    </row>
    <row r="566" ht="48" spans="1:6">
      <c r="A566" s="592">
        <v>562</v>
      </c>
      <c r="B566" s="593" t="s">
        <v>1292</v>
      </c>
      <c r="C566" s="594">
        <v>1000</v>
      </c>
      <c r="D566" s="594"/>
      <c r="E566" s="594">
        <v>4451.53</v>
      </c>
      <c r="F566" s="595">
        <v>24559.52</v>
      </c>
    </row>
    <row r="567" ht="48" spans="1:6">
      <c r="A567" s="592">
        <v>563</v>
      </c>
      <c r="B567" s="593" t="s">
        <v>1294</v>
      </c>
      <c r="C567" s="594">
        <v>1000</v>
      </c>
      <c r="D567" s="594"/>
      <c r="E567" s="594">
        <v>3676.1934</v>
      </c>
      <c r="F567" s="595">
        <v>18986.24</v>
      </c>
    </row>
    <row r="568" ht="48" spans="1:6">
      <c r="A568" s="592">
        <v>564</v>
      </c>
      <c r="B568" s="593" t="s">
        <v>1296</v>
      </c>
      <c r="C568" s="594">
        <v>1000</v>
      </c>
      <c r="D568" s="594"/>
      <c r="E568" s="594">
        <v>4366.1934</v>
      </c>
      <c r="F568" s="595">
        <v>23842.69</v>
      </c>
    </row>
    <row r="569" ht="48" spans="1:6">
      <c r="A569" s="592">
        <v>565</v>
      </c>
      <c r="B569" s="593" t="s">
        <v>1298</v>
      </c>
      <c r="C569" s="594">
        <v>1000</v>
      </c>
      <c r="D569" s="594"/>
      <c r="E569" s="594">
        <v>3676.1934</v>
      </c>
      <c r="F569" s="595">
        <v>18105.74</v>
      </c>
    </row>
    <row r="570" ht="48" spans="1:6">
      <c r="A570" s="592">
        <v>566</v>
      </c>
      <c r="B570" s="593" t="s">
        <v>1300</v>
      </c>
      <c r="C570" s="594">
        <v>3500</v>
      </c>
      <c r="D570" s="594"/>
      <c r="E570" s="594">
        <v>13187.3684</v>
      </c>
      <c r="F570" s="595">
        <v>105265.4</v>
      </c>
    </row>
    <row r="571" ht="48" spans="1:6">
      <c r="A571" s="592">
        <v>567</v>
      </c>
      <c r="B571" s="593" t="s">
        <v>1302</v>
      </c>
      <c r="C571" s="594">
        <v>2500</v>
      </c>
      <c r="D571" s="594"/>
      <c r="E571" s="594">
        <v>11130.692662</v>
      </c>
      <c r="F571" s="595">
        <v>85521.32</v>
      </c>
    </row>
    <row r="572" ht="48" spans="1:6">
      <c r="A572" s="592">
        <v>568</v>
      </c>
      <c r="B572" s="593" t="s">
        <v>1304</v>
      </c>
      <c r="C572" s="594">
        <v>1500</v>
      </c>
      <c r="D572" s="594"/>
      <c r="E572" s="594">
        <v>3881.5125</v>
      </c>
      <c r="F572" s="595">
        <v>19771.3716666667</v>
      </c>
    </row>
    <row r="573" ht="48" spans="1:6">
      <c r="A573" s="592">
        <v>569</v>
      </c>
      <c r="B573" s="593" t="s">
        <v>1306</v>
      </c>
      <c r="C573" s="594">
        <v>500</v>
      </c>
      <c r="D573" s="594"/>
      <c r="E573" s="594">
        <v>2853.96041666667</v>
      </c>
      <c r="F573" s="595">
        <v>11915.0319933333</v>
      </c>
    </row>
    <row r="574" ht="48" spans="1:6">
      <c r="A574" s="592">
        <v>570</v>
      </c>
      <c r="B574" s="593" t="s">
        <v>1308</v>
      </c>
      <c r="C574" s="594">
        <v>500</v>
      </c>
      <c r="D574" s="594"/>
      <c r="E574" s="594">
        <v>1815.39543333333</v>
      </c>
      <c r="F574" s="595">
        <v>5392.3726</v>
      </c>
    </row>
    <row r="575" ht="48" spans="1:6">
      <c r="A575" s="592">
        <v>571</v>
      </c>
      <c r="B575" s="593" t="s">
        <v>1310</v>
      </c>
      <c r="C575" s="594">
        <v>500</v>
      </c>
      <c r="D575" s="594"/>
      <c r="E575" s="594">
        <v>1855.7934</v>
      </c>
      <c r="F575" s="595">
        <v>5634.76</v>
      </c>
    </row>
    <row r="576" ht="48" spans="1:6">
      <c r="A576" s="592">
        <v>572</v>
      </c>
      <c r="B576" s="593" t="s">
        <v>1312</v>
      </c>
      <c r="C576" s="594">
        <v>500</v>
      </c>
      <c r="D576" s="594"/>
      <c r="E576" s="594">
        <v>1700</v>
      </c>
      <c r="F576" s="595">
        <v>4700</v>
      </c>
    </row>
    <row r="577" ht="48" spans="1:6">
      <c r="A577" s="592">
        <v>573</v>
      </c>
      <c r="B577" s="593" t="s">
        <v>1314</v>
      </c>
      <c r="C577" s="594">
        <v>500</v>
      </c>
      <c r="D577" s="594"/>
      <c r="E577" s="594">
        <v>1700</v>
      </c>
      <c r="F577" s="595">
        <v>4700</v>
      </c>
    </row>
    <row r="578" ht="48" spans="1:6">
      <c r="A578" s="592">
        <v>574</v>
      </c>
      <c r="B578" s="593" t="s">
        <v>1316</v>
      </c>
      <c r="C578" s="594">
        <v>500</v>
      </c>
      <c r="D578" s="594"/>
      <c r="E578" s="594">
        <v>1700</v>
      </c>
      <c r="F578" s="595">
        <v>4700</v>
      </c>
    </row>
    <row r="579" ht="48" spans="1:6">
      <c r="A579" s="592">
        <v>575</v>
      </c>
      <c r="B579" s="593" t="s">
        <v>1318</v>
      </c>
      <c r="C579" s="594">
        <v>500</v>
      </c>
      <c r="D579" s="594"/>
      <c r="E579" s="594">
        <v>1700</v>
      </c>
      <c r="F579" s="595">
        <v>4700</v>
      </c>
    </row>
    <row r="580" ht="48" spans="1:6">
      <c r="A580" s="592">
        <v>576</v>
      </c>
      <c r="B580" s="593" t="s">
        <v>1320</v>
      </c>
      <c r="C580" s="594">
        <v>500</v>
      </c>
      <c r="D580" s="594"/>
      <c r="E580" s="594">
        <v>1700</v>
      </c>
      <c r="F580" s="595">
        <v>4700</v>
      </c>
    </row>
    <row r="581" ht="48" spans="1:6">
      <c r="A581" s="592">
        <v>577</v>
      </c>
      <c r="B581" s="593" t="s">
        <v>1322</v>
      </c>
      <c r="C581" s="594">
        <v>1000</v>
      </c>
      <c r="D581" s="594"/>
      <c r="E581" s="594">
        <v>3951.53</v>
      </c>
      <c r="F581" s="595">
        <v>20359.52</v>
      </c>
    </row>
    <row r="582" ht="48" spans="1:6">
      <c r="A582" s="592">
        <v>578</v>
      </c>
      <c r="B582" s="593" t="s">
        <v>1324</v>
      </c>
      <c r="C582" s="594">
        <v>500</v>
      </c>
      <c r="D582" s="594"/>
      <c r="E582" s="594">
        <v>3497.9516</v>
      </c>
      <c r="F582" s="595">
        <v>16751.1</v>
      </c>
    </row>
    <row r="583" ht="48" spans="1:6">
      <c r="A583" s="592">
        <v>579</v>
      </c>
      <c r="B583" s="593" t="s">
        <v>1326</v>
      </c>
      <c r="C583" s="594">
        <v>500</v>
      </c>
      <c r="D583" s="594"/>
      <c r="E583" s="594">
        <v>2048.6666</v>
      </c>
      <c r="F583" s="595">
        <v>6791.9996</v>
      </c>
    </row>
    <row r="584" ht="48" spans="1:6">
      <c r="A584" s="592">
        <v>580</v>
      </c>
      <c r="B584" s="593" t="s">
        <v>1328</v>
      </c>
      <c r="C584" s="594">
        <v>500</v>
      </c>
      <c r="D584" s="594"/>
      <c r="E584" s="594">
        <v>2048.6666</v>
      </c>
      <c r="F584" s="595">
        <v>6791.9996</v>
      </c>
    </row>
    <row r="585" ht="48" spans="1:6">
      <c r="A585" s="592">
        <v>581</v>
      </c>
      <c r="B585" s="593" t="s">
        <v>1329</v>
      </c>
      <c r="C585" s="594">
        <v>500</v>
      </c>
      <c r="D585" s="594"/>
      <c r="E585" s="594">
        <v>2048.6666</v>
      </c>
      <c r="F585" s="595">
        <v>6791.9996</v>
      </c>
    </row>
    <row r="586" ht="48" spans="1:6">
      <c r="A586" s="592">
        <v>582</v>
      </c>
      <c r="B586" s="593" t="s">
        <v>1331</v>
      </c>
      <c r="C586" s="594">
        <v>500</v>
      </c>
      <c r="D586" s="594"/>
      <c r="E586" s="594">
        <v>3408.83</v>
      </c>
      <c r="F586" s="595">
        <v>16073.77</v>
      </c>
    </row>
    <row r="587" ht="48" spans="1:6">
      <c r="A587" s="592">
        <v>583</v>
      </c>
      <c r="B587" s="593" t="s">
        <v>1332</v>
      </c>
      <c r="C587" s="594">
        <v>500</v>
      </c>
      <c r="D587" s="594"/>
      <c r="E587" s="594">
        <v>3741.7466</v>
      </c>
      <c r="F587" s="595">
        <v>18603.94</v>
      </c>
    </row>
    <row r="588" ht="48" spans="1:6">
      <c r="A588" s="592">
        <v>584</v>
      </c>
      <c r="B588" s="593" t="s">
        <v>1334</v>
      </c>
      <c r="C588" s="594">
        <v>500</v>
      </c>
      <c r="D588" s="594"/>
      <c r="E588" s="594">
        <v>2200</v>
      </c>
      <c r="F588" s="595">
        <v>7700</v>
      </c>
    </row>
    <row r="589" ht="48" spans="1:6">
      <c r="A589" s="592">
        <v>585</v>
      </c>
      <c r="B589" s="593" t="s">
        <v>1336</v>
      </c>
      <c r="C589" s="594"/>
      <c r="D589" s="594"/>
      <c r="E589" s="594">
        <v>2000</v>
      </c>
      <c r="F589" s="595"/>
    </row>
    <row r="590" ht="48" spans="1:6">
      <c r="A590" s="592">
        <v>586</v>
      </c>
      <c r="B590" s="593" t="s">
        <v>1338</v>
      </c>
      <c r="C590" s="594">
        <v>1000</v>
      </c>
      <c r="D590" s="594"/>
      <c r="E590" s="594">
        <v>4097.9516</v>
      </c>
      <c r="F590" s="595">
        <v>21589.46</v>
      </c>
    </row>
    <row r="591" ht="48" spans="1:6">
      <c r="A591" s="592">
        <v>587</v>
      </c>
      <c r="B591" s="593" t="s">
        <v>1339</v>
      </c>
      <c r="C591" s="594">
        <v>1000</v>
      </c>
      <c r="D591" s="594"/>
      <c r="E591" s="594">
        <v>4097.9516</v>
      </c>
      <c r="F591" s="595">
        <v>21589.46</v>
      </c>
    </row>
    <row r="592" ht="48" spans="1:6">
      <c r="A592" s="592">
        <v>588</v>
      </c>
      <c r="B592" s="593" t="s">
        <v>1340</v>
      </c>
      <c r="C592" s="594">
        <v>1000</v>
      </c>
      <c r="D592" s="594"/>
      <c r="E592" s="594">
        <v>4097.9516</v>
      </c>
      <c r="F592" s="595">
        <v>21589.46</v>
      </c>
    </row>
    <row r="593" ht="48" spans="1:6">
      <c r="A593" s="592">
        <v>589</v>
      </c>
      <c r="B593" s="593" t="s">
        <v>1342</v>
      </c>
      <c r="C593" s="594">
        <v>1000</v>
      </c>
      <c r="D593" s="594"/>
      <c r="E593" s="594">
        <v>4097.9516</v>
      </c>
      <c r="F593" s="595">
        <v>21589.46</v>
      </c>
    </row>
    <row r="594" ht="48" spans="1:6">
      <c r="A594" s="592">
        <v>590</v>
      </c>
      <c r="B594" s="593" t="s">
        <v>1343</v>
      </c>
      <c r="C594" s="594">
        <v>1000</v>
      </c>
      <c r="D594" s="594"/>
      <c r="E594" s="594">
        <v>4097.9516</v>
      </c>
      <c r="F594" s="595">
        <v>21589.46</v>
      </c>
    </row>
    <row r="595" ht="48" spans="1:6">
      <c r="A595" s="592">
        <v>591</v>
      </c>
      <c r="B595" s="593" t="s">
        <v>1344</v>
      </c>
      <c r="C595" s="594">
        <v>1000</v>
      </c>
      <c r="D595" s="594"/>
      <c r="E595" s="594">
        <v>4437.9516</v>
      </c>
      <c r="F595" s="595">
        <v>22345.46</v>
      </c>
    </row>
    <row r="596" ht="48" spans="1:6">
      <c r="A596" s="592">
        <v>592</v>
      </c>
      <c r="B596" s="593" t="s">
        <v>1346</v>
      </c>
      <c r="C596" s="594">
        <v>1000</v>
      </c>
      <c r="D596" s="594"/>
      <c r="E596" s="594">
        <v>3497.9516</v>
      </c>
      <c r="F596" s="595">
        <v>16751.1</v>
      </c>
    </row>
    <row r="597" ht="48" spans="1:6">
      <c r="A597" s="592">
        <v>593</v>
      </c>
      <c r="B597" s="593" t="s">
        <v>1348</v>
      </c>
      <c r="C597" s="594">
        <v>1000</v>
      </c>
      <c r="D597" s="594"/>
      <c r="E597" s="594">
        <v>3497.9516</v>
      </c>
      <c r="F597" s="595">
        <v>16751.1</v>
      </c>
    </row>
    <row r="598" ht="48" spans="1:6">
      <c r="A598" s="592">
        <v>594</v>
      </c>
      <c r="B598" s="593" t="s">
        <v>1350</v>
      </c>
      <c r="C598" s="594">
        <v>1000</v>
      </c>
      <c r="D598" s="594"/>
      <c r="E598" s="594">
        <v>3497.9516</v>
      </c>
      <c r="F598" s="595">
        <v>16751.1</v>
      </c>
    </row>
    <row r="599" ht="48" spans="1:6">
      <c r="A599" s="592">
        <v>595</v>
      </c>
      <c r="B599" s="593" t="s">
        <v>1352</v>
      </c>
      <c r="C599" s="594">
        <v>1000</v>
      </c>
      <c r="D599" s="594"/>
      <c r="E599" s="594">
        <v>3497.9516</v>
      </c>
      <c r="F599" s="595">
        <v>16751.1</v>
      </c>
    </row>
    <row r="600" ht="48" spans="1:6">
      <c r="A600" s="592">
        <v>596</v>
      </c>
      <c r="B600" s="593" t="s">
        <v>1354</v>
      </c>
      <c r="C600" s="594">
        <v>1000</v>
      </c>
      <c r="D600" s="594"/>
      <c r="E600" s="594">
        <v>3497.9516</v>
      </c>
      <c r="F600" s="595">
        <v>16751.1</v>
      </c>
    </row>
    <row r="601" ht="48" spans="1:6">
      <c r="A601" s="592">
        <v>597</v>
      </c>
      <c r="B601" s="593" t="s">
        <v>1355</v>
      </c>
      <c r="C601" s="594">
        <v>1000</v>
      </c>
      <c r="D601" s="594"/>
      <c r="E601" s="594">
        <v>3497.9516</v>
      </c>
      <c r="F601" s="595">
        <v>16751.1</v>
      </c>
    </row>
    <row r="602" ht="48" spans="1:6">
      <c r="A602" s="592">
        <v>598</v>
      </c>
      <c r="B602" s="593" t="s">
        <v>1357</v>
      </c>
      <c r="C602" s="594">
        <v>1000</v>
      </c>
      <c r="D602" s="594"/>
      <c r="E602" s="594">
        <v>3497.9516</v>
      </c>
      <c r="F602" s="595">
        <v>16751.1</v>
      </c>
    </row>
    <row r="603" ht="48" spans="1:6">
      <c r="A603" s="592">
        <v>599</v>
      </c>
      <c r="B603" s="593" t="s">
        <v>1358</v>
      </c>
      <c r="C603" s="594">
        <v>1000</v>
      </c>
      <c r="D603" s="594"/>
      <c r="E603" s="594">
        <v>3497.9516</v>
      </c>
      <c r="F603" s="595">
        <v>16751.1</v>
      </c>
    </row>
    <row r="604" ht="48" spans="1:6">
      <c r="A604" s="592">
        <v>600</v>
      </c>
      <c r="B604" s="593" t="s">
        <v>1360</v>
      </c>
      <c r="C604" s="594">
        <v>1000</v>
      </c>
      <c r="D604" s="594"/>
      <c r="E604" s="594">
        <v>3497.9516</v>
      </c>
      <c r="F604" s="595">
        <v>16751.1</v>
      </c>
    </row>
    <row r="605" ht="48" spans="1:6">
      <c r="A605" s="592">
        <v>601</v>
      </c>
      <c r="B605" s="593" t="s">
        <v>1362</v>
      </c>
      <c r="C605" s="594">
        <v>1000</v>
      </c>
      <c r="D605" s="594"/>
      <c r="E605" s="594">
        <v>3497.9516</v>
      </c>
      <c r="F605" s="595">
        <v>16751.1</v>
      </c>
    </row>
    <row r="606" ht="48" spans="1:6">
      <c r="A606" s="592">
        <v>602</v>
      </c>
      <c r="B606" s="593" t="s">
        <v>1363</v>
      </c>
      <c r="C606" s="594">
        <v>1000</v>
      </c>
      <c r="D606" s="594"/>
      <c r="E606" s="594">
        <v>3497.9516</v>
      </c>
      <c r="F606" s="595">
        <v>16751.1</v>
      </c>
    </row>
    <row r="607" ht="48" spans="1:6">
      <c r="A607" s="592">
        <v>603</v>
      </c>
      <c r="B607" s="593" t="s">
        <v>1365</v>
      </c>
      <c r="C607" s="594">
        <v>1000</v>
      </c>
      <c r="D607" s="594"/>
      <c r="E607" s="594">
        <v>3497.9516</v>
      </c>
      <c r="F607" s="595">
        <v>16751.1</v>
      </c>
    </row>
    <row r="608" ht="48" spans="1:6">
      <c r="A608" s="592">
        <v>604</v>
      </c>
      <c r="B608" s="593" t="s">
        <v>1366</v>
      </c>
      <c r="C608" s="594">
        <v>1000</v>
      </c>
      <c r="D608" s="594"/>
      <c r="E608" s="594">
        <v>3497.9516</v>
      </c>
      <c r="F608" s="595">
        <v>16751.1</v>
      </c>
    </row>
    <row r="609" ht="48" spans="1:6">
      <c r="A609" s="592">
        <v>605</v>
      </c>
      <c r="B609" s="593" t="s">
        <v>1368</v>
      </c>
      <c r="C609" s="594">
        <v>1000</v>
      </c>
      <c r="D609" s="594"/>
      <c r="E609" s="594">
        <v>3497.9516</v>
      </c>
      <c r="F609" s="595">
        <v>16751.1</v>
      </c>
    </row>
    <row r="610" ht="48" spans="1:6">
      <c r="A610" s="592">
        <v>606</v>
      </c>
      <c r="B610" s="593" t="s">
        <v>1369</v>
      </c>
      <c r="C610" s="594">
        <v>1000</v>
      </c>
      <c r="D610" s="594"/>
      <c r="E610" s="594">
        <v>3497.9516</v>
      </c>
      <c r="F610" s="595">
        <v>16751.1</v>
      </c>
    </row>
    <row r="611" ht="48" spans="1:6">
      <c r="A611" s="592">
        <v>607</v>
      </c>
      <c r="B611" s="593" t="s">
        <v>1371</v>
      </c>
      <c r="C611" s="594">
        <v>1000</v>
      </c>
      <c r="D611" s="594"/>
      <c r="E611" s="594">
        <v>3497.9516</v>
      </c>
      <c r="F611" s="595">
        <v>16751.1</v>
      </c>
    </row>
    <row r="612" ht="48" spans="1:6">
      <c r="A612" s="592">
        <v>608</v>
      </c>
      <c r="B612" s="593" t="s">
        <v>1373</v>
      </c>
      <c r="C612" s="594">
        <v>1000</v>
      </c>
      <c r="D612" s="594"/>
      <c r="E612" s="594">
        <v>3497.9516</v>
      </c>
      <c r="F612" s="595">
        <v>16751.1</v>
      </c>
    </row>
    <row r="613" ht="48" spans="1:6">
      <c r="A613" s="592">
        <v>609</v>
      </c>
      <c r="B613" s="593" t="s">
        <v>1375</v>
      </c>
      <c r="C613" s="594">
        <v>1000</v>
      </c>
      <c r="D613" s="594"/>
      <c r="E613" s="594">
        <v>3497.9516</v>
      </c>
      <c r="F613" s="595">
        <v>16751.1</v>
      </c>
    </row>
    <row r="614" ht="48" spans="1:6">
      <c r="A614" s="592">
        <v>610</v>
      </c>
      <c r="B614" s="593" t="s">
        <v>1377</v>
      </c>
      <c r="C614" s="594">
        <v>1000</v>
      </c>
      <c r="D614" s="594"/>
      <c r="E614" s="594">
        <v>3497.9516</v>
      </c>
      <c r="F614" s="595">
        <v>16751.1</v>
      </c>
    </row>
    <row r="615" ht="48" spans="1:6">
      <c r="A615" s="592">
        <v>611</v>
      </c>
      <c r="B615" s="593" t="s">
        <v>1379</v>
      </c>
      <c r="C615" s="594">
        <v>1000</v>
      </c>
      <c r="D615" s="594"/>
      <c r="E615" s="594">
        <v>3497.9516</v>
      </c>
      <c r="F615" s="595">
        <v>16751.1</v>
      </c>
    </row>
    <row r="616" ht="48" spans="1:6">
      <c r="A616" s="592">
        <v>612</v>
      </c>
      <c r="B616" s="593" t="s">
        <v>1381</v>
      </c>
      <c r="C616" s="594">
        <v>1000</v>
      </c>
      <c r="D616" s="594"/>
      <c r="E616" s="594">
        <v>3497.9516</v>
      </c>
      <c r="F616" s="595">
        <v>16751.1</v>
      </c>
    </row>
    <row r="617" ht="48" spans="1:6">
      <c r="A617" s="592">
        <v>613</v>
      </c>
      <c r="B617" s="593" t="s">
        <v>1382</v>
      </c>
      <c r="C617" s="594">
        <v>1000</v>
      </c>
      <c r="D617" s="594"/>
      <c r="E617" s="594">
        <v>3497.9516</v>
      </c>
      <c r="F617" s="595">
        <v>16751.1</v>
      </c>
    </row>
    <row r="618" ht="48" spans="1:6">
      <c r="A618" s="592">
        <v>614</v>
      </c>
      <c r="B618" s="593" t="s">
        <v>1383</v>
      </c>
      <c r="C618" s="594">
        <v>1000</v>
      </c>
      <c r="D618" s="594"/>
      <c r="E618" s="594">
        <v>3497.9516</v>
      </c>
      <c r="F618" s="595">
        <v>16751.1</v>
      </c>
    </row>
    <row r="619" ht="48" spans="1:6">
      <c r="A619" s="592">
        <v>615</v>
      </c>
      <c r="B619" s="593" t="s">
        <v>1384</v>
      </c>
      <c r="C619" s="594">
        <v>1000</v>
      </c>
      <c r="D619" s="594"/>
      <c r="E619" s="594">
        <v>3497.9516</v>
      </c>
      <c r="F619" s="595">
        <v>16751.1</v>
      </c>
    </row>
    <row r="620" ht="48" spans="1:6">
      <c r="A620" s="592">
        <v>616</v>
      </c>
      <c r="B620" s="593" t="s">
        <v>1385</v>
      </c>
      <c r="C620" s="594">
        <v>1000</v>
      </c>
      <c r="D620" s="594"/>
      <c r="E620" s="594">
        <v>3497.9516</v>
      </c>
      <c r="F620" s="595">
        <v>16751.1</v>
      </c>
    </row>
    <row r="621" ht="48" spans="1:6">
      <c r="A621" s="592">
        <v>617</v>
      </c>
      <c r="B621" s="593" t="s">
        <v>1386</v>
      </c>
      <c r="C621" s="594">
        <v>1000</v>
      </c>
      <c r="D621" s="594"/>
      <c r="E621" s="594">
        <v>3497.9516</v>
      </c>
      <c r="F621" s="595">
        <v>16751.1</v>
      </c>
    </row>
    <row r="622" ht="48" spans="1:6">
      <c r="A622" s="592">
        <v>618</v>
      </c>
      <c r="B622" s="593" t="s">
        <v>1387</v>
      </c>
      <c r="C622" s="594">
        <v>1000</v>
      </c>
      <c r="D622" s="594"/>
      <c r="E622" s="594">
        <v>3497.9516</v>
      </c>
      <c r="F622" s="595">
        <v>16751.1</v>
      </c>
    </row>
    <row r="623" ht="48" spans="1:6">
      <c r="A623" s="592">
        <v>619</v>
      </c>
      <c r="B623" s="593" t="s">
        <v>1388</v>
      </c>
      <c r="C623" s="594">
        <v>1000</v>
      </c>
      <c r="D623" s="594"/>
      <c r="E623" s="594">
        <v>3497.9516</v>
      </c>
      <c r="F623" s="595">
        <v>16751.1</v>
      </c>
    </row>
    <row r="624" ht="48" spans="1:6">
      <c r="A624" s="592">
        <v>620</v>
      </c>
      <c r="B624" s="593" t="s">
        <v>1389</v>
      </c>
      <c r="C624" s="594">
        <v>1000</v>
      </c>
      <c r="D624" s="594"/>
      <c r="E624" s="594">
        <v>3497.9516</v>
      </c>
      <c r="F624" s="595">
        <v>16751.1</v>
      </c>
    </row>
    <row r="625" ht="48" spans="1:6">
      <c r="A625" s="592">
        <v>621</v>
      </c>
      <c r="B625" s="593" t="s">
        <v>1390</v>
      </c>
      <c r="C625" s="594">
        <v>1000</v>
      </c>
      <c r="D625" s="594"/>
      <c r="E625" s="594">
        <v>3497.9516</v>
      </c>
      <c r="F625" s="595">
        <v>16751.1</v>
      </c>
    </row>
    <row r="626" ht="48" spans="1:6">
      <c r="A626" s="592">
        <v>622</v>
      </c>
      <c r="B626" s="593" t="s">
        <v>1391</v>
      </c>
      <c r="C626" s="594">
        <v>1000</v>
      </c>
      <c r="D626" s="594"/>
      <c r="E626" s="594">
        <v>3497.9516</v>
      </c>
      <c r="F626" s="595">
        <v>16751.1</v>
      </c>
    </row>
    <row r="627" ht="48" spans="1:6">
      <c r="A627" s="592">
        <v>623</v>
      </c>
      <c r="B627" s="593" t="s">
        <v>1392</v>
      </c>
      <c r="C627" s="594">
        <v>1000</v>
      </c>
      <c r="D627" s="594"/>
      <c r="E627" s="594">
        <v>3497.9516</v>
      </c>
      <c r="F627" s="595">
        <v>16751.1</v>
      </c>
    </row>
    <row r="628" ht="48" spans="1:6">
      <c r="A628" s="592">
        <v>624</v>
      </c>
      <c r="B628" s="593" t="s">
        <v>1394</v>
      </c>
      <c r="C628" s="594">
        <v>1000</v>
      </c>
      <c r="D628" s="594"/>
      <c r="E628" s="594">
        <v>3497.9516</v>
      </c>
      <c r="F628" s="595">
        <v>16751.1</v>
      </c>
    </row>
    <row r="629" ht="48" spans="1:6">
      <c r="A629" s="592">
        <v>625</v>
      </c>
      <c r="B629" s="593" t="s">
        <v>1395</v>
      </c>
      <c r="C629" s="594">
        <v>1000</v>
      </c>
      <c r="D629" s="594"/>
      <c r="E629" s="594">
        <v>3497.9516</v>
      </c>
      <c r="F629" s="595">
        <v>16751.1</v>
      </c>
    </row>
    <row r="630" ht="48" spans="1:6">
      <c r="A630" s="592">
        <v>626</v>
      </c>
      <c r="B630" s="593" t="s">
        <v>1397</v>
      </c>
      <c r="C630" s="594">
        <v>1000</v>
      </c>
      <c r="D630" s="594"/>
      <c r="E630" s="594">
        <v>3497.9516</v>
      </c>
      <c r="F630" s="595">
        <v>16751.1</v>
      </c>
    </row>
    <row r="631" ht="48" spans="1:6">
      <c r="A631" s="592">
        <v>627</v>
      </c>
      <c r="B631" s="593" t="s">
        <v>1398</v>
      </c>
      <c r="C631" s="594">
        <v>1000</v>
      </c>
      <c r="D631" s="594"/>
      <c r="E631" s="594">
        <v>3497.9516</v>
      </c>
      <c r="F631" s="595">
        <v>16751.1</v>
      </c>
    </row>
    <row r="632" ht="48" spans="1:6">
      <c r="A632" s="592">
        <v>628</v>
      </c>
      <c r="B632" s="593" t="s">
        <v>1400</v>
      </c>
      <c r="C632" s="594">
        <v>1000</v>
      </c>
      <c r="D632" s="594"/>
      <c r="E632" s="594">
        <v>3497.9516</v>
      </c>
      <c r="F632" s="595">
        <v>16751.1</v>
      </c>
    </row>
    <row r="633" ht="48" spans="1:6">
      <c r="A633" s="592">
        <v>629</v>
      </c>
      <c r="B633" s="593" t="s">
        <v>1402</v>
      </c>
      <c r="C633" s="594">
        <v>1000</v>
      </c>
      <c r="D633" s="594"/>
      <c r="E633" s="594">
        <v>3497.9516</v>
      </c>
      <c r="F633" s="595">
        <v>16751.1</v>
      </c>
    </row>
    <row r="634" ht="48" spans="1:6">
      <c r="A634" s="592">
        <v>630</v>
      </c>
      <c r="B634" s="593" t="s">
        <v>1405</v>
      </c>
      <c r="C634" s="594">
        <v>1000</v>
      </c>
      <c r="D634" s="594"/>
      <c r="E634" s="594">
        <v>3497.9516</v>
      </c>
      <c r="F634" s="595">
        <v>16751.1</v>
      </c>
    </row>
    <row r="635" ht="48" spans="1:6">
      <c r="A635" s="592">
        <v>631</v>
      </c>
      <c r="B635" s="593" t="s">
        <v>1406</v>
      </c>
      <c r="C635" s="594">
        <v>1000</v>
      </c>
      <c r="D635" s="594"/>
      <c r="E635" s="594">
        <v>3497.9516</v>
      </c>
      <c r="F635" s="595">
        <v>16751.1</v>
      </c>
    </row>
    <row r="636" ht="48" spans="1:6">
      <c r="A636" s="592">
        <v>632</v>
      </c>
      <c r="B636" s="593" t="s">
        <v>1408</v>
      </c>
      <c r="C636" s="594">
        <v>1000</v>
      </c>
      <c r="D636" s="594"/>
      <c r="E636" s="594">
        <v>3497.9516</v>
      </c>
      <c r="F636" s="595">
        <v>16751.1</v>
      </c>
    </row>
    <row r="637" ht="48" spans="1:6">
      <c r="A637" s="592">
        <v>633</v>
      </c>
      <c r="B637" s="593" t="s">
        <v>1411</v>
      </c>
      <c r="C637" s="594">
        <v>1000</v>
      </c>
      <c r="D637" s="594"/>
      <c r="E637" s="594">
        <v>3497.9516</v>
      </c>
      <c r="F637" s="595">
        <v>16751.1</v>
      </c>
    </row>
    <row r="638" ht="48" spans="1:6">
      <c r="A638" s="592">
        <v>634</v>
      </c>
      <c r="B638" s="593" t="s">
        <v>1412</v>
      </c>
      <c r="C638" s="594">
        <v>1000</v>
      </c>
      <c r="D638" s="594"/>
      <c r="E638" s="594">
        <v>4187.9516</v>
      </c>
      <c r="F638" s="595">
        <v>22345.46</v>
      </c>
    </row>
    <row r="639" ht="48" spans="1:6">
      <c r="A639" s="592">
        <v>635</v>
      </c>
      <c r="B639" s="593" t="s">
        <v>1413</v>
      </c>
      <c r="C639" s="594">
        <v>1000</v>
      </c>
      <c r="D639" s="594"/>
      <c r="E639" s="594">
        <v>4187.9516</v>
      </c>
      <c r="F639" s="595">
        <v>22345.46</v>
      </c>
    </row>
    <row r="640" ht="48" spans="1:6">
      <c r="A640" s="592">
        <v>636</v>
      </c>
      <c r="B640" s="593" t="s">
        <v>1415</v>
      </c>
      <c r="C640" s="594">
        <v>1000</v>
      </c>
      <c r="D640" s="594"/>
      <c r="E640" s="594">
        <v>3497.9516</v>
      </c>
      <c r="F640" s="595">
        <v>16751.1</v>
      </c>
    </row>
    <row r="641" ht="48" spans="1:6">
      <c r="A641" s="592">
        <v>637</v>
      </c>
      <c r="B641" s="593" t="s">
        <v>1417</v>
      </c>
      <c r="C641" s="594">
        <v>1000</v>
      </c>
      <c r="D641" s="594"/>
      <c r="E641" s="594">
        <v>3497.9516</v>
      </c>
      <c r="F641" s="595">
        <v>16751.1</v>
      </c>
    </row>
    <row r="642" ht="48" spans="1:6">
      <c r="A642" s="592">
        <v>638</v>
      </c>
      <c r="B642" s="593" t="s">
        <v>1418</v>
      </c>
      <c r="C642" s="594">
        <v>1000</v>
      </c>
      <c r="D642" s="594"/>
      <c r="E642" s="594">
        <v>3497.9516</v>
      </c>
      <c r="F642" s="595">
        <v>16751.1</v>
      </c>
    </row>
    <row r="643" ht="48" spans="1:6">
      <c r="A643" s="592">
        <v>639</v>
      </c>
      <c r="B643" s="593" t="s">
        <v>1420</v>
      </c>
      <c r="C643" s="594">
        <v>1000</v>
      </c>
      <c r="D643" s="594"/>
      <c r="E643" s="594">
        <v>3497.9516</v>
      </c>
      <c r="F643" s="595">
        <v>16751.1</v>
      </c>
    </row>
    <row r="644" ht="48" spans="1:6">
      <c r="A644" s="592">
        <v>640</v>
      </c>
      <c r="B644" s="593" t="s">
        <v>1421</v>
      </c>
      <c r="C644" s="594">
        <v>1500</v>
      </c>
      <c r="D644" s="594"/>
      <c r="E644" s="594">
        <v>3951.53</v>
      </c>
      <c r="F644" s="595">
        <v>20359.52</v>
      </c>
    </row>
    <row r="645" ht="48" spans="1:6">
      <c r="A645" s="592">
        <v>641</v>
      </c>
      <c r="B645" s="593" t="s">
        <v>1423</v>
      </c>
      <c r="C645" s="594">
        <v>1500</v>
      </c>
      <c r="D645" s="594"/>
      <c r="E645" s="594">
        <v>3951.53</v>
      </c>
      <c r="F645" s="595">
        <v>20359.52</v>
      </c>
    </row>
    <row r="646" ht="48" spans="1:6">
      <c r="A646" s="592">
        <v>642</v>
      </c>
      <c r="B646" s="593" t="s">
        <v>1425</v>
      </c>
      <c r="C646" s="594">
        <v>1500</v>
      </c>
      <c r="D646" s="594"/>
      <c r="E646" s="594">
        <v>3951.53</v>
      </c>
      <c r="F646" s="595">
        <v>20359.52</v>
      </c>
    </row>
    <row r="647" ht="48" spans="1:6">
      <c r="A647" s="592">
        <v>643</v>
      </c>
      <c r="B647" s="593" t="s">
        <v>1426</v>
      </c>
      <c r="C647" s="594">
        <v>1500</v>
      </c>
      <c r="D647" s="594"/>
      <c r="E647" s="594">
        <v>3951.53</v>
      </c>
      <c r="F647" s="595">
        <v>20359.52</v>
      </c>
    </row>
    <row r="648" ht="48" spans="1:6">
      <c r="A648" s="592">
        <v>644</v>
      </c>
      <c r="B648" s="593" t="s">
        <v>1427</v>
      </c>
      <c r="C648" s="594">
        <v>1500</v>
      </c>
      <c r="D648" s="594"/>
      <c r="E648" s="594">
        <v>3951.53</v>
      </c>
      <c r="F648" s="595">
        <v>20359.52</v>
      </c>
    </row>
    <row r="649" ht="48" spans="1:6">
      <c r="A649" s="592">
        <v>645</v>
      </c>
      <c r="B649" s="593" t="s">
        <v>1428</v>
      </c>
      <c r="C649" s="594"/>
      <c r="D649" s="594"/>
      <c r="E649" s="594"/>
      <c r="F649" s="595"/>
    </row>
    <row r="650" ht="48" spans="1:6">
      <c r="A650" s="592">
        <v>646</v>
      </c>
      <c r="B650" s="593" t="s">
        <v>1429</v>
      </c>
      <c r="C650" s="594">
        <v>1500</v>
      </c>
      <c r="D650" s="594"/>
      <c r="E650" s="594">
        <v>3951.53</v>
      </c>
      <c r="F650" s="595">
        <v>20359.52</v>
      </c>
    </row>
    <row r="651" ht="48" spans="1:6">
      <c r="A651" s="592">
        <v>647</v>
      </c>
      <c r="B651" s="593" t="s">
        <v>1431</v>
      </c>
      <c r="C651" s="594">
        <v>1500</v>
      </c>
      <c r="D651" s="594"/>
      <c r="E651" s="594">
        <v>3951.53</v>
      </c>
      <c r="F651" s="595">
        <v>20359.52</v>
      </c>
    </row>
    <row r="652" ht="48" spans="1:6">
      <c r="A652" s="592">
        <v>648</v>
      </c>
      <c r="B652" s="593" t="s">
        <v>1432</v>
      </c>
      <c r="C652" s="594">
        <v>1500</v>
      </c>
      <c r="D652" s="594"/>
      <c r="E652" s="594">
        <v>4641.53</v>
      </c>
      <c r="F652" s="595">
        <v>26155.52</v>
      </c>
    </row>
    <row r="653" ht="48" spans="1:6">
      <c r="A653" s="592">
        <v>649</v>
      </c>
      <c r="B653" s="593" t="s">
        <v>1433</v>
      </c>
      <c r="C653" s="594">
        <v>1000</v>
      </c>
      <c r="D653" s="594"/>
      <c r="E653" s="594">
        <v>3951.53</v>
      </c>
      <c r="F653" s="595">
        <v>20359.52</v>
      </c>
    </row>
    <row r="654" ht="48" spans="1:6">
      <c r="A654" s="592">
        <v>650</v>
      </c>
      <c r="B654" s="593" t="s">
        <v>1434</v>
      </c>
      <c r="C654" s="594">
        <v>1500</v>
      </c>
      <c r="D654" s="594"/>
      <c r="E654" s="594">
        <v>4641.53</v>
      </c>
      <c r="F654" s="595">
        <v>26155.52</v>
      </c>
    </row>
    <row r="655" ht="48" spans="1:6">
      <c r="A655" s="592">
        <v>651</v>
      </c>
      <c r="B655" s="593" t="s">
        <v>1436</v>
      </c>
      <c r="C655" s="594">
        <v>1500</v>
      </c>
      <c r="D655" s="594"/>
      <c r="E655" s="594">
        <v>3951.53</v>
      </c>
      <c r="F655" s="595">
        <v>20359.52</v>
      </c>
    </row>
    <row r="656" ht="48" spans="1:6">
      <c r="A656" s="592">
        <v>652</v>
      </c>
      <c r="B656" s="593" t="s">
        <v>1439</v>
      </c>
      <c r="C656" s="594">
        <v>1500</v>
      </c>
      <c r="D656" s="594"/>
      <c r="E656" s="594">
        <v>3951.53</v>
      </c>
      <c r="F656" s="595">
        <v>20359.52</v>
      </c>
    </row>
    <row r="657" ht="48" spans="1:6">
      <c r="A657" s="592">
        <v>653</v>
      </c>
      <c r="B657" s="593" t="s">
        <v>1441</v>
      </c>
      <c r="C657" s="594">
        <v>1500</v>
      </c>
      <c r="D657" s="594"/>
      <c r="E657" s="594">
        <v>5132.0884</v>
      </c>
      <c r="F657" s="595">
        <v>30276.21</v>
      </c>
    </row>
    <row r="658" ht="48" spans="1:6">
      <c r="A658" s="592">
        <v>654</v>
      </c>
      <c r="B658" s="593" t="s">
        <v>1444</v>
      </c>
      <c r="C658" s="594">
        <v>1000</v>
      </c>
      <c r="D658" s="594"/>
      <c r="E658" s="594">
        <v>4187.9516</v>
      </c>
      <c r="F658" s="595">
        <v>22345.46</v>
      </c>
    </row>
    <row r="659" ht="48" spans="1:6">
      <c r="A659" s="592">
        <v>655</v>
      </c>
      <c r="B659" s="593" t="s">
        <v>1446</v>
      </c>
      <c r="C659" s="594">
        <v>1000</v>
      </c>
      <c r="D659" s="594"/>
      <c r="E659" s="594">
        <v>3922.42641666667</v>
      </c>
      <c r="F659" s="595">
        <v>20115.05</v>
      </c>
    </row>
    <row r="660" ht="48" spans="1:6">
      <c r="A660" s="592">
        <v>656</v>
      </c>
      <c r="B660" s="593" t="s">
        <v>1448</v>
      </c>
      <c r="C660" s="594">
        <v>1000</v>
      </c>
      <c r="D660" s="594"/>
      <c r="E660" s="594">
        <v>3922.42641666667</v>
      </c>
      <c r="F660" s="595">
        <v>20115.05</v>
      </c>
    </row>
    <row r="661" ht="48" spans="1:6">
      <c r="A661" s="592">
        <v>657</v>
      </c>
      <c r="B661" s="593" t="s">
        <v>1450</v>
      </c>
      <c r="C661" s="594">
        <v>1000</v>
      </c>
      <c r="D661" s="594"/>
      <c r="E661" s="594">
        <v>3497.9516</v>
      </c>
      <c r="F661" s="595">
        <v>16751.1</v>
      </c>
    </row>
    <row r="662" ht="48" spans="1:6">
      <c r="A662" s="592">
        <v>658</v>
      </c>
      <c r="B662" s="593" t="s">
        <v>1451</v>
      </c>
      <c r="C662" s="594">
        <v>1000</v>
      </c>
      <c r="D662" s="594"/>
      <c r="E662" s="594">
        <v>4187.9516</v>
      </c>
      <c r="F662" s="595">
        <v>22345.46</v>
      </c>
    </row>
    <row r="663" ht="48" spans="1:6">
      <c r="A663" s="592">
        <v>659</v>
      </c>
      <c r="B663" s="593" t="s">
        <v>1452</v>
      </c>
      <c r="C663" s="594">
        <v>1000</v>
      </c>
      <c r="D663" s="594"/>
      <c r="E663" s="594">
        <v>4601.19981666667</v>
      </c>
      <c r="F663" s="595">
        <v>28509.94</v>
      </c>
    </row>
    <row r="664" ht="48" spans="1:6">
      <c r="A664" s="592">
        <v>660</v>
      </c>
      <c r="B664" s="593" t="s">
        <v>1454</v>
      </c>
      <c r="C664" s="594">
        <v>1500</v>
      </c>
      <c r="D664" s="594"/>
      <c r="E664" s="594">
        <v>5393.69481666667</v>
      </c>
      <c r="F664" s="595">
        <v>35605.84</v>
      </c>
    </row>
    <row r="665" ht="48" spans="1:6">
      <c r="A665" s="592">
        <v>661</v>
      </c>
      <c r="B665" s="593" t="s">
        <v>1456</v>
      </c>
      <c r="C665" s="594">
        <v>1500</v>
      </c>
      <c r="D665" s="594"/>
      <c r="E665" s="594">
        <v>4899.17645555556</v>
      </c>
      <c r="F665" s="595">
        <v>31451.88</v>
      </c>
    </row>
    <row r="666" ht="48" spans="1:6">
      <c r="A666" s="592">
        <v>662</v>
      </c>
      <c r="B666" s="593" t="s">
        <v>1458</v>
      </c>
      <c r="C666" s="594">
        <v>1500</v>
      </c>
      <c r="D666" s="594"/>
      <c r="E666" s="594">
        <v>4899.17645555556</v>
      </c>
      <c r="F666" s="595">
        <v>31451.88</v>
      </c>
    </row>
    <row r="667" ht="48" spans="1:6">
      <c r="A667" s="592">
        <v>663</v>
      </c>
      <c r="B667" s="593" t="s">
        <v>1460</v>
      </c>
      <c r="C667" s="594">
        <v>1000</v>
      </c>
      <c r="D667" s="594"/>
      <c r="E667" s="594">
        <v>3497.9516</v>
      </c>
      <c r="F667" s="595">
        <v>16751.1</v>
      </c>
    </row>
    <row r="668" ht="48" spans="1:6">
      <c r="A668" s="592">
        <v>664</v>
      </c>
      <c r="B668" s="593" t="s">
        <v>1462</v>
      </c>
      <c r="C668" s="594">
        <v>1000</v>
      </c>
      <c r="D668" s="594"/>
      <c r="E668" s="594">
        <v>3497.9516</v>
      </c>
      <c r="F668" s="595">
        <v>16751.1</v>
      </c>
    </row>
    <row r="669" ht="66" customHeight="1" spans="1:6">
      <c r="A669" s="592"/>
      <c r="B669" s="45" t="s">
        <v>867</v>
      </c>
      <c r="C669" s="596">
        <f>SUM(C331:C668)</f>
        <v>339000</v>
      </c>
      <c r="D669" s="596">
        <f>SUM(D331:D668)</f>
        <v>4000</v>
      </c>
      <c r="E669" s="596">
        <f>SUM(E331:E668)</f>
        <v>1331013.08687839</v>
      </c>
      <c r="F669" s="596">
        <f>SUM(F331:F668)</f>
        <v>7307489.96717997</v>
      </c>
    </row>
    <row r="670" ht="64" customHeight="1" spans="1:6">
      <c r="A670" s="592"/>
      <c r="B670" s="45" t="s">
        <v>1465</v>
      </c>
      <c r="C670" s="596">
        <f>C669+C329</f>
        <v>794250</v>
      </c>
      <c r="D670" s="596">
        <f>D669+D329</f>
        <v>9000</v>
      </c>
      <c r="E670" s="596">
        <f>E669+E329</f>
        <v>3558850.15357251</v>
      </c>
      <c r="F670" s="596">
        <f>F669+F329</f>
        <v>22191487.7951268</v>
      </c>
    </row>
  </sheetData>
  <mergeCells count="2">
    <mergeCell ref="A1:F1"/>
    <mergeCell ref="A330:F330"/>
  </mergeCells>
  <pageMargins left="0.7" right="0.7" top="0.75" bottom="0.75" header="0.3" footer="0.3"/>
  <pageSetup paperSize="1" scale="36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3"/>
  <sheetViews>
    <sheetView view="pageBreakPreview" zoomScale="60" zoomScaleNormal="100" topLeftCell="A313" workbookViewId="0">
      <selection activeCell="B15" sqref="B15"/>
    </sheetView>
  </sheetViews>
  <sheetFormatPr defaultColWidth="11" defaultRowHeight="15" outlineLevelCol="4"/>
  <cols>
    <col min="1" max="1" width="10.8285714285714" style="1"/>
    <col min="2" max="2" width="94.1619047619048" customWidth="1"/>
    <col min="3" max="4" width="33.8285714285714" customWidth="1"/>
    <col min="5" max="5" width="30.8285714285714" customWidth="1"/>
  </cols>
  <sheetData>
    <row r="1" ht="77" customHeight="1" spans="1:5">
      <c r="A1" s="60" t="s">
        <v>1831</v>
      </c>
      <c r="B1" s="60"/>
      <c r="C1" s="60"/>
      <c r="D1" s="60"/>
      <c r="E1" s="60"/>
    </row>
    <row r="2" ht="77" customHeight="1" spans="1:5">
      <c r="A2" s="20" t="s">
        <v>2</v>
      </c>
      <c r="B2" s="20" t="s">
        <v>3</v>
      </c>
      <c r="C2" s="493" t="s">
        <v>1517</v>
      </c>
      <c r="D2" s="493" t="s">
        <v>1832</v>
      </c>
      <c r="E2" s="20" t="s">
        <v>862</v>
      </c>
    </row>
    <row r="3" s="579" customFormat="1" ht="33" spans="1:5">
      <c r="A3" s="10">
        <v>1</v>
      </c>
      <c r="B3" s="12" t="s">
        <v>89</v>
      </c>
      <c r="C3" s="580">
        <v>779725.2</v>
      </c>
      <c r="D3" s="580">
        <v>15594.504</v>
      </c>
      <c r="E3" s="580">
        <v>500</v>
      </c>
    </row>
    <row r="4" s="579" customFormat="1" ht="33" spans="1:5">
      <c r="A4" s="10">
        <v>2</v>
      </c>
      <c r="B4" s="12" t="s">
        <v>94</v>
      </c>
      <c r="C4" s="580">
        <v>779725.2</v>
      </c>
      <c r="D4" s="580">
        <v>15594.504</v>
      </c>
      <c r="E4" s="580">
        <v>500</v>
      </c>
    </row>
    <row r="5" s="579" customFormat="1" ht="33" spans="1:5">
      <c r="A5" s="10">
        <v>3</v>
      </c>
      <c r="B5" s="12" t="s">
        <v>99</v>
      </c>
      <c r="C5" s="580">
        <v>779725.2</v>
      </c>
      <c r="D5" s="580">
        <v>15594.504</v>
      </c>
      <c r="E5" s="580">
        <v>500</v>
      </c>
    </row>
    <row r="6" s="579" customFormat="1" ht="33" spans="1:5">
      <c r="A6" s="10">
        <v>4</v>
      </c>
      <c r="B6" s="12" t="s">
        <v>103</v>
      </c>
      <c r="C6" s="580">
        <v>320256.04</v>
      </c>
      <c r="D6" s="580">
        <v>6405.1208</v>
      </c>
      <c r="E6" s="580">
        <v>500</v>
      </c>
    </row>
    <row r="7" s="579" customFormat="1" ht="33" spans="1:5">
      <c r="A7" s="10">
        <v>5</v>
      </c>
      <c r="B7" s="12" t="s">
        <v>109</v>
      </c>
      <c r="C7" s="580">
        <v>320256.04</v>
      </c>
      <c r="D7" s="580">
        <v>6405.1208</v>
      </c>
      <c r="E7" s="580">
        <v>500</v>
      </c>
    </row>
    <row r="8" s="579" customFormat="1" ht="33" spans="1:5">
      <c r="A8" s="10">
        <v>6</v>
      </c>
      <c r="B8" s="12" t="s">
        <v>114</v>
      </c>
      <c r="C8" s="580">
        <v>379918.335</v>
      </c>
      <c r="D8" s="580">
        <v>7598.3667</v>
      </c>
      <c r="E8" s="580">
        <v>500</v>
      </c>
    </row>
    <row r="9" s="579" customFormat="1" ht="33" spans="1:5">
      <c r="A9" s="10">
        <v>7</v>
      </c>
      <c r="B9" s="12" t="s">
        <v>117</v>
      </c>
      <c r="C9" s="580">
        <v>389862.0375</v>
      </c>
      <c r="D9" s="580">
        <v>7797.24075</v>
      </c>
      <c r="E9" s="580">
        <v>500</v>
      </c>
    </row>
    <row r="10" s="579" customFormat="1" ht="33" spans="1:5">
      <c r="A10" s="10">
        <v>8</v>
      </c>
      <c r="B10" s="12" t="s">
        <v>119</v>
      </c>
      <c r="C10" s="580">
        <v>413255.25</v>
      </c>
      <c r="D10" s="580">
        <v>8265.105</v>
      </c>
      <c r="E10" s="580">
        <v>500</v>
      </c>
    </row>
    <row r="11" s="579" customFormat="1" ht="33" spans="1:5">
      <c r="A11" s="10">
        <v>9</v>
      </c>
      <c r="B11" s="12" t="s">
        <v>124</v>
      </c>
      <c r="C11" s="580">
        <v>259114.17</v>
      </c>
      <c r="D11" s="580">
        <v>5182.2834</v>
      </c>
      <c r="E11" s="580">
        <v>500</v>
      </c>
    </row>
    <row r="12" s="579" customFormat="1" ht="33" spans="1:5">
      <c r="A12" s="10">
        <v>10</v>
      </c>
      <c r="B12" s="12" t="s">
        <v>129</v>
      </c>
      <c r="C12" s="580">
        <v>319130.33</v>
      </c>
      <c r="D12" s="580">
        <v>6382.6066</v>
      </c>
      <c r="E12" s="580">
        <v>500</v>
      </c>
    </row>
    <row r="13" s="579" customFormat="1" ht="33" spans="1:5">
      <c r="A13" s="10">
        <v>11</v>
      </c>
      <c r="B13" s="12" t="s">
        <v>132</v>
      </c>
      <c r="C13" s="580">
        <v>328253.42</v>
      </c>
      <c r="D13" s="580">
        <v>6565.0684</v>
      </c>
      <c r="E13" s="580">
        <v>500</v>
      </c>
    </row>
    <row r="14" s="579" customFormat="1" ht="33" spans="1:5">
      <c r="A14" s="10">
        <v>12</v>
      </c>
      <c r="B14" s="12" t="s">
        <v>137</v>
      </c>
      <c r="C14" s="580">
        <v>464981</v>
      </c>
      <c r="D14" s="580">
        <v>9299.62</v>
      </c>
      <c r="E14" s="580">
        <v>500</v>
      </c>
    </row>
    <row r="15" s="579" customFormat="1" ht="33" spans="1:5">
      <c r="A15" s="10">
        <v>13</v>
      </c>
      <c r="B15" s="12" t="s">
        <v>141</v>
      </c>
      <c r="C15" s="580">
        <v>491756.42</v>
      </c>
      <c r="D15" s="580">
        <v>9835.1284</v>
      </c>
      <c r="E15" s="580">
        <v>500</v>
      </c>
    </row>
    <row r="16" s="579" customFormat="1" ht="33" spans="1:5">
      <c r="A16" s="10">
        <v>14</v>
      </c>
      <c r="B16" s="12" t="s">
        <v>147</v>
      </c>
      <c r="C16" s="580">
        <v>426338.75</v>
      </c>
      <c r="D16" s="580">
        <v>8526.775</v>
      </c>
      <c r="E16" s="580">
        <v>500</v>
      </c>
    </row>
    <row r="17" s="579" customFormat="1" ht="33" spans="1:5">
      <c r="A17" s="10">
        <v>15</v>
      </c>
      <c r="B17" s="12" t="s">
        <v>152</v>
      </c>
      <c r="C17" s="580">
        <v>328253.42</v>
      </c>
      <c r="D17" s="580">
        <v>6565.0684</v>
      </c>
      <c r="E17" s="580">
        <v>500</v>
      </c>
    </row>
    <row r="18" s="579" customFormat="1" ht="33" spans="1:5">
      <c r="A18" s="10">
        <v>16</v>
      </c>
      <c r="B18" s="12" t="s">
        <v>154</v>
      </c>
      <c r="C18" s="580">
        <v>346499.83</v>
      </c>
      <c r="D18" s="580">
        <v>6929.9966</v>
      </c>
      <c r="E18" s="580">
        <v>500</v>
      </c>
    </row>
    <row r="19" s="579" customFormat="1" ht="33" spans="1:5">
      <c r="A19" s="10">
        <v>17</v>
      </c>
      <c r="B19" s="12" t="s">
        <v>159</v>
      </c>
      <c r="C19" s="580">
        <v>310007.17</v>
      </c>
      <c r="D19" s="580">
        <v>6200.1434</v>
      </c>
      <c r="E19" s="580">
        <v>500</v>
      </c>
    </row>
    <row r="20" s="579" customFormat="1" ht="33" spans="1:5">
      <c r="A20" s="10">
        <v>18</v>
      </c>
      <c r="B20" s="12" t="s">
        <v>163</v>
      </c>
      <c r="C20" s="580">
        <v>328253.42</v>
      </c>
      <c r="D20" s="580">
        <v>6565.0684</v>
      </c>
      <c r="E20" s="580">
        <v>500</v>
      </c>
    </row>
    <row r="21" s="579" customFormat="1" ht="33" spans="1:5">
      <c r="A21" s="10">
        <v>19</v>
      </c>
      <c r="B21" s="12" t="s">
        <v>166</v>
      </c>
      <c r="C21" s="580">
        <v>464981</v>
      </c>
      <c r="D21" s="580">
        <v>9299.62</v>
      </c>
      <c r="E21" s="580">
        <v>500</v>
      </c>
    </row>
    <row r="22" s="579" customFormat="1" ht="33" spans="1:5">
      <c r="A22" s="10">
        <v>20</v>
      </c>
      <c r="B22" s="12" t="s">
        <v>170</v>
      </c>
      <c r="C22" s="580">
        <v>400171.75</v>
      </c>
      <c r="D22" s="580">
        <v>8003.435</v>
      </c>
      <c r="E22" s="580">
        <v>500</v>
      </c>
    </row>
    <row r="23" s="579" customFormat="1" ht="33" spans="1:5">
      <c r="A23" s="10">
        <v>21</v>
      </c>
      <c r="B23" s="12" t="s">
        <v>173</v>
      </c>
      <c r="C23" s="580">
        <v>291760.8375</v>
      </c>
      <c r="D23" s="580">
        <v>5835.21675</v>
      </c>
      <c r="E23" s="580">
        <v>500</v>
      </c>
    </row>
    <row r="24" s="579" customFormat="1" ht="33" spans="1:5">
      <c r="A24" s="10">
        <v>22</v>
      </c>
      <c r="B24" s="12" t="s">
        <v>176</v>
      </c>
      <c r="C24" s="580">
        <v>413255.25</v>
      </c>
      <c r="D24" s="580">
        <v>8265.105</v>
      </c>
      <c r="E24" s="580">
        <v>500</v>
      </c>
    </row>
    <row r="25" s="579" customFormat="1" ht="33" spans="1:5">
      <c r="A25" s="10">
        <v>23</v>
      </c>
      <c r="B25" s="12" t="s">
        <v>180</v>
      </c>
      <c r="C25" s="580">
        <v>291760.83</v>
      </c>
      <c r="D25" s="580">
        <v>5835.2166</v>
      </c>
      <c r="E25" s="580">
        <v>500</v>
      </c>
    </row>
    <row r="26" s="579" customFormat="1" ht="33" spans="1:5">
      <c r="A26" s="10">
        <v>24</v>
      </c>
      <c r="B26" s="12" t="s">
        <v>182</v>
      </c>
      <c r="C26" s="580">
        <v>328253.42</v>
      </c>
      <c r="D26" s="580">
        <v>6565.0684</v>
      </c>
      <c r="E26" s="580">
        <v>500</v>
      </c>
    </row>
    <row r="27" s="579" customFormat="1" ht="33" spans="1:5">
      <c r="A27" s="10">
        <v>25</v>
      </c>
      <c r="B27" s="12" t="s">
        <v>184</v>
      </c>
      <c r="C27" s="580">
        <v>480795.42</v>
      </c>
      <c r="D27" s="580">
        <v>9615.9084</v>
      </c>
      <c r="E27" s="580">
        <v>500</v>
      </c>
    </row>
    <row r="28" s="579" customFormat="1" ht="33" spans="1:5">
      <c r="A28" s="10">
        <v>26</v>
      </c>
      <c r="B28" s="12" t="s">
        <v>187</v>
      </c>
      <c r="C28" s="580">
        <v>464981</v>
      </c>
      <c r="D28" s="580">
        <v>9299.62</v>
      </c>
      <c r="E28" s="580">
        <v>500</v>
      </c>
    </row>
    <row r="29" s="579" customFormat="1" ht="33" spans="1:5">
      <c r="A29" s="10">
        <v>27</v>
      </c>
      <c r="B29" s="12" t="s">
        <v>190</v>
      </c>
      <c r="C29" s="580">
        <v>464981</v>
      </c>
      <c r="D29" s="580">
        <v>9299.62</v>
      </c>
      <c r="E29" s="580">
        <v>500</v>
      </c>
    </row>
    <row r="30" s="579" customFormat="1" ht="33" spans="1:5">
      <c r="A30" s="10">
        <v>28</v>
      </c>
      <c r="B30" s="12" t="s">
        <v>193</v>
      </c>
      <c r="C30" s="580">
        <v>222376.83</v>
      </c>
      <c r="D30" s="580">
        <v>4447.5366</v>
      </c>
      <c r="E30" s="580">
        <v>500</v>
      </c>
    </row>
    <row r="31" s="579" customFormat="1" ht="33" spans="1:5">
      <c r="A31" s="10">
        <v>29</v>
      </c>
      <c r="B31" s="12" t="s">
        <v>197</v>
      </c>
      <c r="C31" s="580">
        <v>192875.25</v>
      </c>
      <c r="D31" s="580">
        <v>3857.505</v>
      </c>
      <c r="E31" s="580">
        <v>500</v>
      </c>
    </row>
    <row r="32" s="579" customFormat="1" ht="33" spans="1:5">
      <c r="A32" s="10">
        <v>30</v>
      </c>
      <c r="B32" s="12" t="s">
        <v>201</v>
      </c>
      <c r="C32" s="580">
        <v>192875.25</v>
      </c>
      <c r="D32" s="580">
        <v>3857.505</v>
      </c>
      <c r="E32" s="580">
        <v>500</v>
      </c>
    </row>
    <row r="33" s="579" customFormat="1" ht="33" spans="1:5">
      <c r="A33" s="10">
        <v>31</v>
      </c>
      <c r="B33" s="12" t="s">
        <v>202</v>
      </c>
      <c r="C33" s="580">
        <v>247716.75</v>
      </c>
      <c r="D33" s="580">
        <v>4954.335</v>
      </c>
      <c r="E33" s="580">
        <v>500</v>
      </c>
    </row>
    <row r="34" s="579" customFormat="1" ht="33" spans="1:5">
      <c r="A34" s="10">
        <v>32</v>
      </c>
      <c r="B34" s="12" t="s">
        <v>206</v>
      </c>
      <c r="C34" s="580">
        <v>242018.08</v>
      </c>
      <c r="D34" s="580">
        <v>4840.3616</v>
      </c>
      <c r="E34" s="580">
        <v>500</v>
      </c>
    </row>
    <row r="35" s="579" customFormat="1" ht="33" spans="1:5">
      <c r="A35" s="10">
        <v>33</v>
      </c>
      <c r="B35" s="12" t="s">
        <v>211</v>
      </c>
      <c r="C35" s="580"/>
      <c r="D35" s="580"/>
      <c r="E35" s="580"/>
    </row>
    <row r="36" s="579" customFormat="1" ht="33" spans="1:5">
      <c r="A36" s="10">
        <v>34</v>
      </c>
      <c r="B36" s="12" t="s">
        <v>215</v>
      </c>
      <c r="C36" s="580">
        <v>222376.83</v>
      </c>
      <c r="D36" s="580">
        <v>4447.5366</v>
      </c>
      <c r="E36" s="580">
        <v>500</v>
      </c>
    </row>
    <row r="37" s="579" customFormat="1" ht="33" spans="1:5">
      <c r="A37" s="10">
        <v>35</v>
      </c>
      <c r="B37" s="12" t="s">
        <v>217</v>
      </c>
      <c r="C37" s="580">
        <v>291760.83</v>
      </c>
      <c r="D37" s="580">
        <v>5835.2166</v>
      </c>
      <c r="E37" s="580">
        <v>500</v>
      </c>
    </row>
    <row r="38" s="579" customFormat="1" ht="33" spans="1:5">
      <c r="A38" s="10">
        <v>36</v>
      </c>
      <c r="B38" s="12" t="s">
        <v>220</v>
      </c>
      <c r="C38" s="580">
        <v>222376.83</v>
      </c>
      <c r="D38" s="580">
        <v>4447.5366</v>
      </c>
      <c r="E38" s="580">
        <v>500</v>
      </c>
    </row>
    <row r="39" s="579" customFormat="1" ht="33" spans="1:5">
      <c r="A39" s="10">
        <v>37</v>
      </c>
      <c r="B39" s="12" t="s">
        <v>222</v>
      </c>
      <c r="C39" s="580">
        <v>512424.25</v>
      </c>
      <c r="D39" s="580">
        <v>10248.485</v>
      </c>
      <c r="E39" s="580">
        <v>500</v>
      </c>
    </row>
    <row r="40" s="579" customFormat="1" ht="33" spans="1:5">
      <c r="A40" s="10">
        <v>38</v>
      </c>
      <c r="B40" s="12" t="s">
        <v>224</v>
      </c>
      <c r="C40" s="580">
        <v>528238.58</v>
      </c>
      <c r="D40" s="580">
        <v>10564.7716</v>
      </c>
      <c r="E40" s="580">
        <v>500</v>
      </c>
    </row>
    <row r="41" s="579" customFormat="1" ht="33" spans="1:5">
      <c r="A41" s="10">
        <v>39</v>
      </c>
      <c r="B41" s="12" t="s">
        <v>226</v>
      </c>
      <c r="C41" s="580">
        <v>640512.08</v>
      </c>
      <c r="D41" s="580">
        <v>12810.2416</v>
      </c>
      <c r="E41" s="580">
        <v>500</v>
      </c>
    </row>
    <row r="42" s="579" customFormat="1" ht="33" spans="1:5">
      <c r="A42" s="10">
        <v>40</v>
      </c>
      <c r="B42" s="12" t="s">
        <v>230</v>
      </c>
      <c r="C42" s="580">
        <v>600738.25</v>
      </c>
      <c r="D42" s="580">
        <v>12014.765</v>
      </c>
      <c r="E42" s="580">
        <v>500</v>
      </c>
    </row>
    <row r="43" s="579" customFormat="1" ht="33" spans="1:5">
      <c r="A43" s="10">
        <v>41</v>
      </c>
      <c r="B43" s="12" t="s">
        <v>233</v>
      </c>
      <c r="C43" s="580">
        <v>600739.25</v>
      </c>
      <c r="D43" s="580">
        <v>12014.785</v>
      </c>
      <c r="E43" s="580">
        <v>500</v>
      </c>
    </row>
    <row r="44" s="579" customFormat="1" ht="33" spans="1:5">
      <c r="A44" s="10">
        <v>42</v>
      </c>
      <c r="B44" s="12" t="s">
        <v>234</v>
      </c>
      <c r="C44" s="580">
        <v>330200.646</v>
      </c>
      <c r="D44" s="580">
        <v>6604.01292</v>
      </c>
      <c r="E44" s="580">
        <v>500</v>
      </c>
    </row>
    <row r="45" s="579" customFormat="1" ht="33" spans="1:5">
      <c r="A45" s="10">
        <v>43</v>
      </c>
      <c r="B45" s="12" t="s">
        <v>237</v>
      </c>
      <c r="C45" s="580">
        <v>640512.08</v>
      </c>
      <c r="D45" s="580">
        <v>12810.2416</v>
      </c>
      <c r="E45" s="580">
        <v>500</v>
      </c>
    </row>
    <row r="46" s="579" customFormat="1" ht="33" spans="1:5">
      <c r="A46" s="10">
        <v>44</v>
      </c>
      <c r="B46" s="12" t="s">
        <v>240</v>
      </c>
      <c r="C46" s="580">
        <v>272045.25</v>
      </c>
      <c r="D46" s="580">
        <v>5440.905</v>
      </c>
      <c r="E46" s="580">
        <v>500</v>
      </c>
    </row>
    <row r="47" s="579" customFormat="1" ht="33" spans="1:5">
      <c r="A47" s="10">
        <v>45</v>
      </c>
      <c r="B47" s="12" t="s">
        <v>244</v>
      </c>
      <c r="C47" s="580">
        <v>240397.71</v>
      </c>
      <c r="D47" s="580">
        <v>4807.9542</v>
      </c>
      <c r="E47" s="580">
        <v>500</v>
      </c>
    </row>
    <row r="48" s="579" customFormat="1" ht="33" spans="1:5">
      <c r="A48" s="10">
        <v>46</v>
      </c>
      <c r="B48" s="12" t="s">
        <v>248</v>
      </c>
      <c r="C48" s="580">
        <v>779724.08</v>
      </c>
      <c r="D48" s="580">
        <v>15594.4816</v>
      </c>
      <c r="E48" s="580">
        <v>500</v>
      </c>
    </row>
    <row r="49" s="579" customFormat="1" ht="33" spans="1:5">
      <c r="A49" s="10">
        <v>47</v>
      </c>
      <c r="B49" s="12" t="s">
        <v>253</v>
      </c>
      <c r="C49" s="580">
        <v>272045.25</v>
      </c>
      <c r="D49" s="580">
        <v>5440.905</v>
      </c>
      <c r="E49" s="580">
        <v>500</v>
      </c>
    </row>
    <row r="50" s="579" customFormat="1" ht="33" spans="1:5">
      <c r="A50" s="10">
        <v>48</v>
      </c>
      <c r="B50" s="12" t="s">
        <v>256</v>
      </c>
      <c r="C50" s="580">
        <v>575681.83</v>
      </c>
      <c r="D50" s="580">
        <v>11513.6366</v>
      </c>
      <c r="E50" s="580">
        <v>500</v>
      </c>
    </row>
    <row r="51" s="579" customFormat="1" ht="33" spans="1:5">
      <c r="A51" s="10">
        <v>49</v>
      </c>
      <c r="B51" s="12" t="s">
        <v>260</v>
      </c>
      <c r="C51" s="580">
        <v>528238.58</v>
      </c>
      <c r="D51" s="580">
        <v>10564.7716</v>
      </c>
      <c r="E51" s="580">
        <v>500</v>
      </c>
    </row>
    <row r="52" s="579" customFormat="1" ht="33" spans="1:5">
      <c r="A52" s="10">
        <v>50</v>
      </c>
      <c r="B52" s="12" t="s">
        <v>261</v>
      </c>
      <c r="C52" s="580">
        <v>300368.625</v>
      </c>
      <c r="D52" s="580">
        <v>6007.3725</v>
      </c>
      <c r="E52" s="580">
        <v>500</v>
      </c>
    </row>
    <row r="53" s="579" customFormat="1" ht="33" spans="1:5">
      <c r="A53" s="10">
        <v>51</v>
      </c>
      <c r="B53" s="12" t="s">
        <v>262</v>
      </c>
      <c r="C53" s="580">
        <v>496609.83</v>
      </c>
      <c r="D53" s="580">
        <v>9932.1966</v>
      </c>
      <c r="E53" s="580">
        <v>500</v>
      </c>
    </row>
    <row r="54" s="579" customFormat="1" ht="33" spans="1:5">
      <c r="A54" s="10">
        <v>52</v>
      </c>
      <c r="B54" s="12" t="s">
        <v>265</v>
      </c>
      <c r="C54" s="580">
        <v>620624.58</v>
      </c>
      <c r="D54" s="580">
        <v>12412.4916</v>
      </c>
      <c r="E54" s="580">
        <v>500</v>
      </c>
    </row>
    <row r="55" s="579" customFormat="1" ht="33" spans="1:5">
      <c r="A55" s="10">
        <v>53</v>
      </c>
      <c r="B55" s="12" t="s">
        <v>268</v>
      </c>
      <c r="C55" s="580">
        <v>319130.33</v>
      </c>
      <c r="D55" s="580">
        <v>6382.6066</v>
      </c>
      <c r="E55" s="580">
        <v>500</v>
      </c>
    </row>
    <row r="56" s="579" customFormat="1" ht="33" spans="1:5">
      <c r="A56" s="10">
        <v>54</v>
      </c>
      <c r="B56" s="12" t="s">
        <v>271</v>
      </c>
      <c r="C56" s="580">
        <v>300883.92</v>
      </c>
      <c r="D56" s="580">
        <v>6017.6784</v>
      </c>
      <c r="E56" s="580">
        <v>500</v>
      </c>
    </row>
    <row r="57" s="579" customFormat="1" ht="33" spans="1:5">
      <c r="A57" s="10">
        <v>55</v>
      </c>
      <c r="B57" s="12" t="s">
        <v>274</v>
      </c>
      <c r="C57" s="580">
        <v>413255.25</v>
      </c>
      <c r="D57" s="580">
        <v>8265.105</v>
      </c>
      <c r="E57" s="580">
        <v>500</v>
      </c>
    </row>
    <row r="58" s="579" customFormat="1" ht="33" spans="1:5">
      <c r="A58" s="10">
        <v>56</v>
      </c>
      <c r="B58" s="12" t="s">
        <v>278</v>
      </c>
      <c r="C58" s="580">
        <v>253415.5</v>
      </c>
      <c r="D58" s="580">
        <v>5068.31</v>
      </c>
      <c r="E58" s="580">
        <v>500</v>
      </c>
    </row>
    <row r="59" s="579" customFormat="1" ht="33" spans="1:5">
      <c r="A59" s="10">
        <v>57</v>
      </c>
      <c r="B59" s="12" t="s">
        <v>282</v>
      </c>
      <c r="C59" s="580">
        <v>319130.33</v>
      </c>
      <c r="D59" s="580">
        <v>6382.6066</v>
      </c>
      <c r="E59" s="580">
        <v>500</v>
      </c>
    </row>
    <row r="60" s="579" customFormat="1" ht="33" spans="1:5">
      <c r="A60" s="10">
        <v>58</v>
      </c>
      <c r="B60" s="12" t="s">
        <v>285</v>
      </c>
      <c r="C60" s="580">
        <v>465589.33</v>
      </c>
      <c r="D60" s="580">
        <v>9311.7866</v>
      </c>
      <c r="E60" s="580">
        <v>500</v>
      </c>
    </row>
    <row r="61" s="579" customFormat="1" ht="33" spans="1:5">
      <c r="A61" s="10">
        <v>59</v>
      </c>
      <c r="B61" s="12" t="s">
        <v>289</v>
      </c>
      <c r="C61" s="580">
        <v>319130.33</v>
      </c>
      <c r="D61" s="580">
        <v>6382.6066</v>
      </c>
      <c r="E61" s="580">
        <v>500</v>
      </c>
    </row>
    <row r="62" s="579" customFormat="1" ht="33" spans="1:5">
      <c r="A62" s="10">
        <v>60</v>
      </c>
      <c r="B62" s="12" t="s">
        <v>290</v>
      </c>
      <c r="C62" s="580">
        <v>387088.17</v>
      </c>
      <c r="D62" s="580">
        <v>7741.7634</v>
      </c>
      <c r="E62" s="580">
        <v>500</v>
      </c>
    </row>
    <row r="63" s="579" customFormat="1" ht="33" spans="1:5">
      <c r="A63" s="10">
        <v>61</v>
      </c>
      <c r="B63" s="12" t="s">
        <v>293</v>
      </c>
      <c r="C63" s="580">
        <v>282637.75</v>
      </c>
      <c r="D63" s="580">
        <v>5652.755</v>
      </c>
      <c r="E63" s="580">
        <v>500</v>
      </c>
    </row>
    <row r="64" s="579" customFormat="1" ht="33" spans="1:5">
      <c r="A64" s="10">
        <v>62</v>
      </c>
      <c r="B64" s="12" t="s">
        <v>296</v>
      </c>
      <c r="C64" s="580">
        <v>310007.17</v>
      </c>
      <c r="D64" s="580">
        <v>6200.1434</v>
      </c>
      <c r="E64" s="580">
        <v>500</v>
      </c>
    </row>
    <row r="65" s="579" customFormat="1" ht="33" spans="1:5">
      <c r="A65" s="10">
        <v>63</v>
      </c>
      <c r="B65" s="12" t="s">
        <v>299</v>
      </c>
      <c r="C65" s="580">
        <v>310007.17</v>
      </c>
      <c r="D65" s="580">
        <v>6200.1434</v>
      </c>
      <c r="E65" s="580">
        <v>500</v>
      </c>
    </row>
    <row r="66" s="579" customFormat="1" ht="33" spans="1:5">
      <c r="A66" s="10">
        <v>64</v>
      </c>
      <c r="B66" s="12" t="s">
        <v>300</v>
      </c>
      <c r="C66" s="580">
        <v>465589.33</v>
      </c>
      <c r="D66" s="580">
        <v>9311.7866</v>
      </c>
      <c r="E66" s="580">
        <v>500</v>
      </c>
    </row>
    <row r="67" s="579" customFormat="1" ht="33" spans="1:5">
      <c r="A67" s="10">
        <v>65</v>
      </c>
      <c r="B67" s="12" t="s">
        <v>303</v>
      </c>
      <c r="C67" s="580">
        <v>779724.0795</v>
      </c>
      <c r="D67" s="580">
        <v>15594.48159</v>
      </c>
      <c r="E67" s="580">
        <v>500</v>
      </c>
    </row>
    <row r="68" s="579" customFormat="1" ht="33" spans="1:5">
      <c r="A68" s="10">
        <v>66</v>
      </c>
      <c r="B68" s="12" t="s">
        <v>306</v>
      </c>
      <c r="C68" s="580">
        <v>1000000</v>
      </c>
      <c r="D68" s="580">
        <v>20000</v>
      </c>
      <c r="E68" s="580">
        <v>500</v>
      </c>
    </row>
    <row r="69" s="579" customFormat="1" ht="33" spans="1:5">
      <c r="A69" s="10">
        <v>67</v>
      </c>
      <c r="B69" s="12" t="s">
        <v>310</v>
      </c>
      <c r="C69" s="580">
        <v>300883.92</v>
      </c>
      <c r="D69" s="580">
        <v>6017.6784</v>
      </c>
      <c r="E69" s="580">
        <v>500</v>
      </c>
    </row>
    <row r="70" s="579" customFormat="1" ht="33" spans="1:5">
      <c r="A70" s="10">
        <v>68</v>
      </c>
      <c r="B70" s="12" t="s">
        <v>312</v>
      </c>
      <c r="C70" s="580">
        <v>300883.92</v>
      </c>
      <c r="D70" s="580">
        <v>6017.6784</v>
      </c>
      <c r="E70" s="580">
        <v>500</v>
      </c>
    </row>
    <row r="71" s="579" customFormat="1" ht="33" spans="1:5">
      <c r="A71" s="10">
        <v>69</v>
      </c>
      <c r="B71" s="12" t="s">
        <v>314</v>
      </c>
      <c r="C71" s="580">
        <v>310007.17</v>
      </c>
      <c r="D71" s="580">
        <v>6200.1434</v>
      </c>
      <c r="E71" s="580">
        <v>500</v>
      </c>
    </row>
    <row r="72" s="579" customFormat="1" ht="33" spans="1:5">
      <c r="A72" s="10">
        <v>70</v>
      </c>
      <c r="B72" s="12" t="s">
        <v>316</v>
      </c>
      <c r="C72" s="580">
        <v>319130.33</v>
      </c>
      <c r="D72" s="580">
        <v>6382.6066</v>
      </c>
      <c r="E72" s="580">
        <v>500</v>
      </c>
    </row>
    <row r="73" s="579" customFormat="1" ht="33" spans="1:5">
      <c r="A73" s="10">
        <v>71</v>
      </c>
      <c r="B73" s="12" t="s">
        <v>318</v>
      </c>
      <c r="C73" s="580">
        <v>319130.33</v>
      </c>
      <c r="D73" s="580">
        <v>6382.6066</v>
      </c>
      <c r="E73" s="580">
        <v>500</v>
      </c>
    </row>
    <row r="74" s="579" customFormat="1" ht="33" spans="1:5">
      <c r="A74" s="10">
        <v>72</v>
      </c>
      <c r="B74" s="12" t="s">
        <v>320</v>
      </c>
      <c r="C74" s="580">
        <v>319130.33</v>
      </c>
      <c r="D74" s="580">
        <v>6382.6066</v>
      </c>
      <c r="E74" s="580">
        <v>500</v>
      </c>
    </row>
    <row r="75" s="579" customFormat="1" ht="33" spans="1:5">
      <c r="A75" s="10">
        <v>73</v>
      </c>
      <c r="B75" s="12" t="s">
        <v>321</v>
      </c>
      <c r="C75" s="580">
        <v>413255.25</v>
      </c>
      <c r="D75" s="580">
        <v>8265.105</v>
      </c>
      <c r="E75" s="580">
        <v>500</v>
      </c>
    </row>
    <row r="76" s="579" customFormat="1" ht="33" spans="1:5">
      <c r="A76" s="10">
        <v>74</v>
      </c>
      <c r="B76" s="12" t="s">
        <v>323</v>
      </c>
      <c r="C76" s="580">
        <v>413255.25</v>
      </c>
      <c r="D76" s="580">
        <v>8265.105</v>
      </c>
      <c r="E76" s="580">
        <v>500</v>
      </c>
    </row>
    <row r="77" s="579" customFormat="1" ht="33" spans="1:5">
      <c r="A77" s="10">
        <v>75</v>
      </c>
      <c r="B77" s="12" t="s">
        <v>324</v>
      </c>
      <c r="C77" s="580">
        <v>413255.25</v>
      </c>
      <c r="D77" s="580">
        <v>8265.105</v>
      </c>
      <c r="E77" s="580">
        <v>500</v>
      </c>
    </row>
    <row r="78" s="579" customFormat="1" ht="33" spans="1:5">
      <c r="A78" s="10">
        <v>76</v>
      </c>
      <c r="B78" s="12" t="s">
        <v>326</v>
      </c>
      <c r="C78" s="580">
        <v>465589.33</v>
      </c>
      <c r="D78" s="580">
        <v>9311.7866</v>
      </c>
      <c r="E78" s="580">
        <v>500</v>
      </c>
    </row>
    <row r="79" s="579" customFormat="1" ht="33" spans="1:5">
      <c r="A79" s="10">
        <v>77</v>
      </c>
      <c r="B79" s="12" t="s">
        <v>327</v>
      </c>
      <c r="C79" s="580">
        <v>413255.25</v>
      </c>
      <c r="D79" s="580">
        <v>8265.105</v>
      </c>
      <c r="E79" s="580">
        <v>500</v>
      </c>
    </row>
    <row r="80" s="579" customFormat="1" ht="33" spans="1:5">
      <c r="A80" s="10">
        <v>78</v>
      </c>
      <c r="B80" s="12" t="s">
        <v>330</v>
      </c>
      <c r="C80" s="580">
        <v>600737.25</v>
      </c>
      <c r="D80" s="580">
        <v>12014.745</v>
      </c>
      <c r="E80" s="580">
        <v>500</v>
      </c>
    </row>
    <row r="81" s="579" customFormat="1" ht="33" spans="1:5">
      <c r="A81" s="10">
        <v>79</v>
      </c>
      <c r="B81" s="12" t="s">
        <v>332</v>
      </c>
      <c r="C81" s="580">
        <v>426338.75</v>
      </c>
      <c r="D81" s="580">
        <v>8526.775</v>
      </c>
      <c r="E81" s="580">
        <v>500</v>
      </c>
    </row>
    <row r="82" s="579" customFormat="1" ht="33" spans="1:5">
      <c r="A82" s="10">
        <v>80</v>
      </c>
      <c r="B82" s="12" t="s">
        <v>334</v>
      </c>
      <c r="C82" s="580">
        <v>600737.25</v>
      </c>
      <c r="D82" s="580">
        <v>12014.745</v>
      </c>
      <c r="E82" s="580">
        <v>500</v>
      </c>
    </row>
    <row r="83" s="579" customFormat="1" ht="33" spans="1:5">
      <c r="A83" s="10">
        <v>81</v>
      </c>
      <c r="B83" s="12" t="s">
        <v>337</v>
      </c>
      <c r="C83" s="580">
        <v>439422.33</v>
      </c>
      <c r="D83" s="580">
        <v>8788.4466</v>
      </c>
      <c r="E83" s="580">
        <v>500</v>
      </c>
    </row>
    <row r="84" s="579" customFormat="1" ht="33" spans="1:5">
      <c r="A84" s="10">
        <v>82</v>
      </c>
      <c r="B84" s="12" t="s">
        <v>339</v>
      </c>
      <c r="C84" s="580">
        <v>779725.2</v>
      </c>
      <c r="D84" s="580">
        <v>15594.504</v>
      </c>
      <c r="E84" s="580">
        <v>500</v>
      </c>
    </row>
    <row r="85" s="579" customFormat="1" ht="33" spans="1:5">
      <c r="A85" s="10">
        <v>83</v>
      </c>
      <c r="B85" s="12" t="s">
        <v>342</v>
      </c>
      <c r="C85" s="580">
        <v>720061.83</v>
      </c>
      <c r="D85" s="580">
        <v>14401.2366</v>
      </c>
      <c r="E85" s="580">
        <v>500</v>
      </c>
    </row>
    <row r="86" s="579" customFormat="1" ht="33" spans="1:5">
      <c r="A86" s="10">
        <v>84</v>
      </c>
      <c r="B86" s="12" t="s">
        <v>345</v>
      </c>
      <c r="C86" s="580">
        <v>544053</v>
      </c>
      <c r="D86" s="580">
        <v>10881.06</v>
      </c>
      <c r="E86" s="580">
        <v>500</v>
      </c>
    </row>
    <row r="87" s="579" customFormat="1" ht="33" spans="1:5">
      <c r="A87" s="10">
        <v>85</v>
      </c>
      <c r="B87" s="12" t="s">
        <v>349</v>
      </c>
      <c r="C87" s="580">
        <v>319130.33</v>
      </c>
      <c r="D87" s="580">
        <v>6382.6066</v>
      </c>
      <c r="E87" s="580">
        <v>500</v>
      </c>
    </row>
    <row r="88" s="579" customFormat="1" ht="33" spans="1:5">
      <c r="A88" s="10">
        <v>86</v>
      </c>
      <c r="B88" s="12" t="s">
        <v>351</v>
      </c>
      <c r="C88" s="580">
        <v>206243.541666667</v>
      </c>
      <c r="D88" s="580">
        <v>4124.87083333333</v>
      </c>
      <c r="E88" s="580">
        <v>500</v>
      </c>
    </row>
    <row r="89" s="579" customFormat="1" ht="33" spans="1:5">
      <c r="A89" s="10">
        <v>87</v>
      </c>
      <c r="B89" s="12" t="s">
        <v>355</v>
      </c>
      <c r="C89" s="580">
        <v>413255.25</v>
      </c>
      <c r="D89" s="580">
        <v>8265.105</v>
      </c>
      <c r="E89" s="580">
        <v>500</v>
      </c>
    </row>
    <row r="90" s="579" customFormat="1" ht="33" spans="1:5">
      <c r="A90" s="10">
        <v>88</v>
      </c>
      <c r="B90" s="12" t="s">
        <v>357</v>
      </c>
      <c r="C90" s="580">
        <v>310007.17</v>
      </c>
      <c r="D90" s="580">
        <v>6200.1434</v>
      </c>
      <c r="E90" s="580">
        <v>500</v>
      </c>
    </row>
    <row r="91" s="579" customFormat="1" ht="33" spans="1:5">
      <c r="A91" s="10">
        <v>89</v>
      </c>
      <c r="B91" s="12" t="s">
        <v>359</v>
      </c>
      <c r="C91" s="580">
        <v>270511.5625</v>
      </c>
      <c r="D91" s="580">
        <v>5410.23125</v>
      </c>
      <c r="E91" s="580">
        <v>500</v>
      </c>
    </row>
    <row r="92" s="579" customFormat="1" ht="33" spans="1:5">
      <c r="A92" s="10">
        <v>90</v>
      </c>
      <c r="B92" s="12" t="s">
        <v>362</v>
      </c>
      <c r="C92" s="580">
        <v>136009.275</v>
      </c>
      <c r="D92" s="580">
        <v>2720.1855</v>
      </c>
      <c r="E92" s="580">
        <v>500</v>
      </c>
    </row>
    <row r="93" s="579" customFormat="1" ht="33" spans="1:5">
      <c r="A93" s="10">
        <v>91</v>
      </c>
      <c r="B93" s="12" t="s">
        <v>365</v>
      </c>
      <c r="C93" s="580">
        <v>319130.33</v>
      </c>
      <c r="D93" s="580">
        <v>6382.6066</v>
      </c>
      <c r="E93" s="580">
        <v>500</v>
      </c>
    </row>
    <row r="94" s="579" customFormat="1" ht="33" spans="1:5">
      <c r="A94" s="10">
        <v>92</v>
      </c>
      <c r="B94" s="12" t="s">
        <v>367</v>
      </c>
      <c r="C94" s="580">
        <v>259114.17</v>
      </c>
      <c r="D94" s="580">
        <v>5182.2834</v>
      </c>
      <c r="E94" s="580">
        <v>500</v>
      </c>
    </row>
    <row r="95" s="579" customFormat="1" ht="33" spans="1:5">
      <c r="A95" s="10">
        <v>93</v>
      </c>
      <c r="B95" s="12" t="s">
        <v>369</v>
      </c>
      <c r="C95" s="580">
        <v>310007.17</v>
      </c>
      <c r="D95" s="580">
        <v>6200.1434</v>
      </c>
      <c r="E95" s="580">
        <v>500</v>
      </c>
    </row>
    <row r="96" s="579" customFormat="1" ht="33" spans="1:5">
      <c r="A96" s="10">
        <v>94</v>
      </c>
      <c r="B96" s="12" t="s">
        <v>371</v>
      </c>
      <c r="C96" s="580">
        <v>600737.25</v>
      </c>
      <c r="D96" s="580">
        <v>12014.745</v>
      </c>
      <c r="E96" s="580">
        <v>500</v>
      </c>
    </row>
    <row r="97" s="579" customFormat="1" ht="33" spans="1:5">
      <c r="A97" s="10">
        <v>95</v>
      </c>
      <c r="B97" s="12" t="s">
        <v>373</v>
      </c>
      <c r="C97" s="580">
        <v>291760.83</v>
      </c>
      <c r="D97" s="580">
        <v>5835.2166</v>
      </c>
      <c r="E97" s="580">
        <v>500</v>
      </c>
    </row>
    <row r="98" s="579" customFormat="1" ht="33" spans="1:5">
      <c r="A98" s="10">
        <v>96</v>
      </c>
      <c r="B98" s="12" t="s">
        <v>375</v>
      </c>
      <c r="C98" s="580">
        <v>230620.67</v>
      </c>
      <c r="D98" s="580">
        <v>4612.4134</v>
      </c>
      <c r="E98" s="580">
        <v>500</v>
      </c>
    </row>
    <row r="99" s="579" customFormat="1" ht="33" spans="1:5">
      <c r="A99" s="10">
        <v>97</v>
      </c>
      <c r="B99" s="12" t="s">
        <v>378</v>
      </c>
      <c r="C99" s="580">
        <v>600000</v>
      </c>
      <c r="D99" s="580">
        <v>12000</v>
      </c>
      <c r="E99" s="580">
        <v>500</v>
      </c>
    </row>
    <row r="100" s="579" customFormat="1" ht="33" spans="1:5">
      <c r="A100" s="10">
        <v>98</v>
      </c>
      <c r="B100" s="12" t="s">
        <v>380</v>
      </c>
      <c r="C100" s="580">
        <v>555351.17</v>
      </c>
      <c r="D100" s="580">
        <v>11107.0234</v>
      </c>
      <c r="E100" s="580">
        <v>500</v>
      </c>
    </row>
    <row r="101" s="579" customFormat="1" ht="33" spans="1:5">
      <c r="A101" s="10">
        <v>99</v>
      </c>
      <c r="B101" s="12" t="s">
        <v>382</v>
      </c>
      <c r="C101" s="580">
        <v>291760.83</v>
      </c>
      <c r="D101" s="580">
        <v>5835.2166</v>
      </c>
      <c r="E101" s="580">
        <v>500</v>
      </c>
    </row>
    <row r="102" s="579" customFormat="1" ht="33" spans="1:5">
      <c r="A102" s="10">
        <v>100</v>
      </c>
      <c r="B102" s="12" t="s">
        <v>383</v>
      </c>
      <c r="C102" s="580">
        <v>227621.5</v>
      </c>
      <c r="D102" s="580">
        <v>4552.43</v>
      </c>
      <c r="E102" s="580">
        <v>500</v>
      </c>
    </row>
    <row r="103" s="579" customFormat="1" ht="33" spans="1:5">
      <c r="A103" s="10">
        <v>101</v>
      </c>
      <c r="B103" s="12" t="s">
        <v>386</v>
      </c>
      <c r="C103" s="580">
        <v>222376.88</v>
      </c>
      <c r="D103" s="580">
        <v>4447.5376</v>
      </c>
      <c r="E103" s="580">
        <v>500</v>
      </c>
    </row>
    <row r="104" s="579" customFormat="1" ht="33" spans="1:5">
      <c r="A104" s="10">
        <v>102</v>
      </c>
      <c r="B104" s="12" t="s">
        <v>388</v>
      </c>
      <c r="C104" s="580">
        <v>300883.92</v>
      </c>
      <c r="D104" s="580">
        <v>6017.6784</v>
      </c>
      <c r="E104" s="580">
        <v>500</v>
      </c>
    </row>
    <row r="105" s="579" customFormat="1" ht="33" spans="1:5">
      <c r="A105" s="10">
        <v>103</v>
      </c>
      <c r="B105" s="12" t="s">
        <v>389</v>
      </c>
      <c r="C105" s="580">
        <v>247716.75</v>
      </c>
      <c r="D105" s="580">
        <v>4954.335</v>
      </c>
      <c r="E105" s="580">
        <v>500</v>
      </c>
    </row>
    <row r="106" s="579" customFormat="1" ht="33" spans="1:5">
      <c r="A106" s="10">
        <v>104</v>
      </c>
      <c r="B106" s="12" t="s">
        <v>390</v>
      </c>
      <c r="C106" s="580">
        <v>242018.02</v>
      </c>
      <c r="D106" s="580">
        <v>4840.3604</v>
      </c>
      <c r="E106" s="580">
        <v>500</v>
      </c>
    </row>
    <row r="107" s="579" customFormat="1" ht="33" spans="1:5">
      <c r="A107" s="10">
        <v>105</v>
      </c>
      <c r="B107" s="12" t="s">
        <v>392</v>
      </c>
      <c r="C107" s="580">
        <v>426338.75</v>
      </c>
      <c r="D107" s="580">
        <v>8526.775</v>
      </c>
      <c r="E107" s="580">
        <v>500</v>
      </c>
    </row>
    <row r="108" s="579" customFormat="1" ht="33" spans="1:5">
      <c r="A108" s="10">
        <v>106</v>
      </c>
      <c r="B108" s="12" t="s">
        <v>393</v>
      </c>
      <c r="C108" s="580">
        <v>400171.75</v>
      </c>
      <c r="D108" s="580">
        <v>8003.435</v>
      </c>
      <c r="E108" s="580">
        <v>500</v>
      </c>
    </row>
    <row r="109" s="579" customFormat="1" ht="33" spans="1:5">
      <c r="A109" s="10">
        <v>107</v>
      </c>
      <c r="B109" s="12" t="s">
        <v>396</v>
      </c>
      <c r="C109" s="580">
        <v>464981</v>
      </c>
      <c r="D109" s="580">
        <v>9299.62</v>
      </c>
      <c r="E109" s="580">
        <v>500</v>
      </c>
    </row>
    <row r="110" s="579" customFormat="1" ht="33" spans="1:5">
      <c r="A110" s="10">
        <v>108</v>
      </c>
      <c r="B110" s="12" t="s">
        <v>397</v>
      </c>
      <c r="C110" s="580">
        <v>464981</v>
      </c>
      <c r="D110" s="580">
        <v>9299.62</v>
      </c>
      <c r="E110" s="580">
        <v>500</v>
      </c>
    </row>
    <row r="111" s="579" customFormat="1" ht="33" spans="1:5">
      <c r="A111" s="10">
        <v>109</v>
      </c>
      <c r="B111" s="12" t="s">
        <v>400</v>
      </c>
      <c r="C111" s="580">
        <v>464982</v>
      </c>
      <c r="D111" s="580">
        <v>9299.64</v>
      </c>
      <c r="E111" s="580">
        <v>500</v>
      </c>
    </row>
    <row r="112" s="579" customFormat="1" ht="33" spans="1:5">
      <c r="A112" s="10">
        <v>110</v>
      </c>
      <c r="B112" s="12" t="s">
        <v>403</v>
      </c>
      <c r="C112" s="580">
        <v>400171.75</v>
      </c>
      <c r="D112" s="580">
        <v>8003.435</v>
      </c>
      <c r="E112" s="580">
        <v>500</v>
      </c>
    </row>
    <row r="113" s="579" customFormat="1" ht="33" spans="1:5">
      <c r="A113" s="10">
        <v>111</v>
      </c>
      <c r="B113" s="12" t="s">
        <v>404</v>
      </c>
      <c r="C113" s="580">
        <v>464981</v>
      </c>
      <c r="D113" s="580">
        <v>9299.62</v>
      </c>
      <c r="E113" s="580">
        <v>500</v>
      </c>
    </row>
    <row r="114" s="579" customFormat="1" ht="33" spans="1:5">
      <c r="A114" s="10">
        <v>112</v>
      </c>
      <c r="B114" s="12" t="s">
        <v>406</v>
      </c>
      <c r="C114" s="580">
        <v>400171.75</v>
      </c>
      <c r="D114" s="580">
        <v>8003.435</v>
      </c>
      <c r="E114" s="580">
        <v>500</v>
      </c>
    </row>
    <row r="115" s="579" customFormat="1" ht="33" spans="1:5">
      <c r="A115" s="10">
        <v>113</v>
      </c>
      <c r="B115" s="12" t="s">
        <v>408</v>
      </c>
      <c r="C115" s="580">
        <v>247716.75</v>
      </c>
      <c r="D115" s="580">
        <v>4954.335</v>
      </c>
      <c r="E115" s="580">
        <v>500</v>
      </c>
    </row>
    <row r="116" s="579" customFormat="1" ht="33" spans="1:5">
      <c r="A116" s="10">
        <v>114</v>
      </c>
      <c r="B116" s="12" t="s">
        <v>410</v>
      </c>
      <c r="C116" s="580">
        <v>413255.25</v>
      </c>
      <c r="D116" s="580">
        <v>8265.105</v>
      </c>
      <c r="E116" s="580">
        <v>500</v>
      </c>
    </row>
    <row r="117" s="579" customFormat="1" ht="33" spans="1:5">
      <c r="A117" s="10">
        <v>115</v>
      </c>
      <c r="B117" s="12" t="s">
        <v>412</v>
      </c>
      <c r="C117" s="580">
        <v>413255.25</v>
      </c>
      <c r="D117" s="580">
        <v>8265.105</v>
      </c>
      <c r="E117" s="580">
        <v>500</v>
      </c>
    </row>
    <row r="118" s="579" customFormat="1" ht="33" spans="1:5">
      <c r="A118" s="10">
        <v>116</v>
      </c>
      <c r="B118" s="12" t="s">
        <v>413</v>
      </c>
      <c r="C118" s="580">
        <v>270511.5</v>
      </c>
      <c r="D118" s="580">
        <v>5410.23</v>
      </c>
      <c r="E118" s="580">
        <v>500</v>
      </c>
    </row>
    <row r="119" s="579" customFormat="1" ht="33" spans="1:5">
      <c r="A119" s="10">
        <v>117</v>
      </c>
      <c r="B119" s="12" t="s">
        <v>414</v>
      </c>
      <c r="C119" s="580">
        <v>328253.42</v>
      </c>
      <c r="D119" s="580">
        <v>6565.0684</v>
      </c>
      <c r="E119" s="580">
        <v>500</v>
      </c>
    </row>
    <row r="120" s="579" customFormat="1" ht="33" spans="1:5">
      <c r="A120" s="10">
        <v>118</v>
      </c>
      <c r="B120" s="12" t="s">
        <v>416</v>
      </c>
      <c r="C120" s="580">
        <v>310007.17</v>
      </c>
      <c r="D120" s="580">
        <v>6200.1434</v>
      </c>
      <c r="E120" s="580">
        <v>500</v>
      </c>
    </row>
    <row r="121" s="579" customFormat="1" ht="33" spans="1:5">
      <c r="A121" s="10">
        <v>119</v>
      </c>
      <c r="B121" s="12" t="s">
        <v>417</v>
      </c>
      <c r="C121" s="580">
        <v>126707.75</v>
      </c>
      <c r="D121" s="580">
        <v>2534.155</v>
      </c>
      <c r="E121" s="580">
        <v>500</v>
      </c>
    </row>
    <row r="122" s="579" customFormat="1" ht="33" spans="1:5">
      <c r="A122" s="10">
        <v>120</v>
      </c>
      <c r="B122" s="12" t="s">
        <v>421</v>
      </c>
      <c r="C122" s="580">
        <v>291760.83</v>
      </c>
      <c r="D122" s="580">
        <v>5835.2166</v>
      </c>
      <c r="E122" s="580">
        <v>500</v>
      </c>
    </row>
    <row r="123" s="579" customFormat="1" ht="33" spans="1:5">
      <c r="A123" s="10">
        <v>121</v>
      </c>
      <c r="B123" s="12" t="s">
        <v>423</v>
      </c>
      <c r="C123" s="580">
        <v>400171.75</v>
      </c>
      <c r="D123" s="580">
        <v>8003.435</v>
      </c>
      <c r="E123" s="580">
        <v>500</v>
      </c>
    </row>
    <row r="124" s="579" customFormat="1" ht="33" spans="1:5">
      <c r="A124" s="10">
        <v>122</v>
      </c>
      <c r="B124" s="12" t="s">
        <v>425</v>
      </c>
      <c r="C124" s="580">
        <v>400171.75</v>
      </c>
      <c r="D124" s="580">
        <v>8003.435</v>
      </c>
      <c r="E124" s="580">
        <v>500</v>
      </c>
    </row>
    <row r="125" s="579" customFormat="1" ht="33" spans="1:5">
      <c r="A125" s="10">
        <v>123</v>
      </c>
      <c r="B125" s="12" t="s">
        <v>427</v>
      </c>
      <c r="C125" s="580">
        <v>413255.25</v>
      </c>
      <c r="D125" s="580">
        <v>8265.105</v>
      </c>
      <c r="E125" s="580">
        <v>500</v>
      </c>
    </row>
    <row r="126" s="579" customFormat="1" ht="33" spans="1:5">
      <c r="A126" s="10">
        <v>124</v>
      </c>
      <c r="B126" s="12" t="s">
        <v>428</v>
      </c>
      <c r="C126" s="580">
        <v>247716.75</v>
      </c>
      <c r="D126" s="580">
        <v>4954.335</v>
      </c>
      <c r="E126" s="580">
        <v>500</v>
      </c>
    </row>
    <row r="127" s="579" customFormat="1" ht="33" spans="1:5">
      <c r="A127" s="10">
        <v>125</v>
      </c>
      <c r="B127" s="12" t="s">
        <v>429</v>
      </c>
      <c r="C127" s="580">
        <v>243355.67</v>
      </c>
      <c r="D127" s="580">
        <v>4867.1134</v>
      </c>
      <c r="E127" s="580">
        <v>500</v>
      </c>
    </row>
    <row r="128" s="579" customFormat="1" ht="33" spans="1:5">
      <c r="A128" s="10">
        <v>126</v>
      </c>
      <c r="B128" s="12" t="s">
        <v>431</v>
      </c>
      <c r="C128" s="580">
        <v>400171.75</v>
      </c>
      <c r="D128" s="580">
        <v>8003.435</v>
      </c>
      <c r="E128" s="580">
        <v>500</v>
      </c>
    </row>
    <row r="129" s="579" customFormat="1" ht="33" spans="1:5">
      <c r="A129" s="10">
        <v>127</v>
      </c>
      <c r="B129" s="12" t="s">
        <v>433</v>
      </c>
      <c r="C129" s="580">
        <v>282637.75</v>
      </c>
      <c r="D129" s="580">
        <v>5652.755</v>
      </c>
      <c r="E129" s="580">
        <v>500</v>
      </c>
    </row>
    <row r="130" s="579" customFormat="1" ht="33" spans="1:5">
      <c r="A130" s="10">
        <v>128</v>
      </c>
      <c r="B130" s="12" t="s">
        <v>434</v>
      </c>
      <c r="C130" s="580">
        <v>222376.83</v>
      </c>
      <c r="D130" s="580">
        <v>4447.5366</v>
      </c>
      <c r="E130" s="580">
        <v>500</v>
      </c>
    </row>
    <row r="131" s="579" customFormat="1" ht="33" spans="1:5">
      <c r="A131" s="10">
        <v>129</v>
      </c>
      <c r="B131" s="12" t="s">
        <v>437</v>
      </c>
      <c r="C131" s="580">
        <v>242018.020833333</v>
      </c>
      <c r="D131" s="580">
        <v>4840.36041666667</v>
      </c>
      <c r="E131" s="580">
        <v>500</v>
      </c>
    </row>
    <row r="132" s="579" customFormat="1" ht="33" spans="1:5">
      <c r="A132" s="10">
        <v>130</v>
      </c>
      <c r="B132" s="12" t="s">
        <v>438</v>
      </c>
      <c r="C132" s="580">
        <v>232866.25</v>
      </c>
      <c r="D132" s="580">
        <v>4657.325</v>
      </c>
      <c r="E132" s="580">
        <v>500</v>
      </c>
    </row>
    <row r="133" s="579" customFormat="1" ht="33" spans="1:5">
      <c r="A133" s="10">
        <v>131</v>
      </c>
      <c r="B133" s="12" t="s">
        <v>1829</v>
      </c>
      <c r="C133" s="580">
        <v>141318.86</v>
      </c>
      <c r="D133" s="580">
        <v>2826.3772</v>
      </c>
      <c r="E133" s="580">
        <v>500</v>
      </c>
    </row>
    <row r="134" s="579" customFormat="1" ht="33" spans="1:5">
      <c r="A134" s="10">
        <v>132</v>
      </c>
      <c r="B134" s="12" t="s">
        <v>441</v>
      </c>
      <c r="C134" s="580">
        <v>121009.04</v>
      </c>
      <c r="D134" s="580">
        <v>2420.1808</v>
      </c>
      <c r="E134" s="580">
        <v>500</v>
      </c>
    </row>
    <row r="135" s="579" customFormat="1" ht="33" spans="1:5">
      <c r="A135" s="10">
        <v>133</v>
      </c>
      <c r="B135" s="12" t="s">
        <v>443</v>
      </c>
      <c r="C135" s="580">
        <v>105943.625</v>
      </c>
      <c r="D135" s="580">
        <v>2118.8725</v>
      </c>
      <c r="E135" s="580">
        <v>500</v>
      </c>
    </row>
    <row r="136" s="579" customFormat="1" ht="33" spans="1:5">
      <c r="A136" s="10">
        <v>134</v>
      </c>
      <c r="B136" s="12" t="s">
        <v>447</v>
      </c>
      <c r="C136" s="580">
        <v>350087.145</v>
      </c>
      <c r="D136" s="580">
        <v>7001.7429</v>
      </c>
      <c r="E136" s="580">
        <v>500</v>
      </c>
    </row>
    <row r="137" s="579" customFormat="1" ht="33" spans="1:5">
      <c r="A137" s="10">
        <v>135</v>
      </c>
      <c r="B137" s="12" t="s">
        <v>451</v>
      </c>
      <c r="C137" s="580">
        <v>291760.83</v>
      </c>
      <c r="D137" s="580">
        <v>5835.2166</v>
      </c>
      <c r="E137" s="580">
        <v>500</v>
      </c>
    </row>
    <row r="138" s="579" customFormat="1" ht="33" spans="1:5">
      <c r="A138" s="10">
        <v>136</v>
      </c>
      <c r="B138" s="12" t="s">
        <v>452</v>
      </c>
      <c r="C138" s="580">
        <v>413255.25</v>
      </c>
      <c r="D138" s="580">
        <v>8265.105</v>
      </c>
      <c r="E138" s="580">
        <v>500</v>
      </c>
    </row>
    <row r="139" s="579" customFormat="1" ht="33" spans="1:5">
      <c r="A139" s="10">
        <v>137</v>
      </c>
      <c r="B139" s="12" t="s">
        <v>454</v>
      </c>
      <c r="C139" s="580">
        <v>242018.08</v>
      </c>
      <c r="D139" s="580">
        <v>4840.3616</v>
      </c>
      <c r="E139" s="580">
        <v>500</v>
      </c>
    </row>
    <row r="140" s="579" customFormat="1" ht="33" spans="1:5">
      <c r="A140" s="10">
        <v>138</v>
      </c>
      <c r="B140" s="12" t="s">
        <v>455</v>
      </c>
      <c r="C140" s="580">
        <v>413255.25</v>
      </c>
      <c r="D140" s="580">
        <v>8265.105</v>
      </c>
      <c r="E140" s="580">
        <v>500</v>
      </c>
    </row>
    <row r="141" s="579" customFormat="1" ht="33" spans="1:5">
      <c r="A141" s="10">
        <v>139</v>
      </c>
      <c r="B141" s="12" t="s">
        <v>457</v>
      </c>
      <c r="C141" s="580">
        <v>310007.17</v>
      </c>
      <c r="D141" s="580">
        <v>6200.1434</v>
      </c>
      <c r="E141" s="580">
        <v>500</v>
      </c>
    </row>
    <row r="142" s="579" customFormat="1" ht="33" spans="1:5">
      <c r="A142" s="10">
        <v>140</v>
      </c>
      <c r="B142" s="12" t="s">
        <v>458</v>
      </c>
      <c r="C142" s="580">
        <v>413255.25</v>
      </c>
      <c r="D142" s="580">
        <v>8265.105</v>
      </c>
      <c r="E142" s="580">
        <v>500</v>
      </c>
    </row>
    <row r="143" s="579" customFormat="1" ht="33" spans="1:5">
      <c r="A143" s="10">
        <v>141</v>
      </c>
      <c r="B143" s="12" t="s">
        <v>460</v>
      </c>
      <c r="C143" s="580">
        <v>291760.83</v>
      </c>
      <c r="D143" s="580">
        <v>5835.2166</v>
      </c>
      <c r="E143" s="580">
        <v>500</v>
      </c>
    </row>
    <row r="144" s="579" customFormat="1" ht="33" spans="1:5">
      <c r="A144" s="10">
        <v>142</v>
      </c>
      <c r="B144" s="12" t="s">
        <v>462</v>
      </c>
      <c r="C144" s="580">
        <v>291760.83</v>
      </c>
      <c r="D144" s="580">
        <v>5835.2166</v>
      </c>
      <c r="E144" s="580">
        <v>500</v>
      </c>
    </row>
    <row r="145" s="579" customFormat="1" ht="33" spans="1:5">
      <c r="A145" s="10">
        <v>143</v>
      </c>
      <c r="B145" s="12" t="s">
        <v>464</v>
      </c>
      <c r="C145" s="580"/>
      <c r="D145" s="580"/>
      <c r="E145" s="580"/>
    </row>
    <row r="146" s="579" customFormat="1" ht="33" spans="1:5">
      <c r="A146" s="10">
        <v>144</v>
      </c>
      <c r="B146" s="12" t="s">
        <v>468</v>
      </c>
      <c r="C146" s="580"/>
      <c r="D146" s="580"/>
      <c r="E146" s="580"/>
    </row>
    <row r="147" s="579" customFormat="1" ht="33" spans="1:5">
      <c r="A147" s="10">
        <v>145</v>
      </c>
      <c r="B147" s="12" t="s">
        <v>470</v>
      </c>
      <c r="C147" s="580">
        <v>247716.75</v>
      </c>
      <c r="D147" s="580">
        <v>4954.335</v>
      </c>
      <c r="E147" s="580">
        <v>500</v>
      </c>
    </row>
    <row r="148" s="579" customFormat="1" ht="33" spans="1:5">
      <c r="A148" s="10">
        <v>146</v>
      </c>
      <c r="B148" s="12" t="s">
        <v>472</v>
      </c>
      <c r="C148" s="580">
        <v>247716.75</v>
      </c>
      <c r="D148" s="580">
        <v>4954.335</v>
      </c>
      <c r="E148" s="580">
        <v>500</v>
      </c>
    </row>
    <row r="149" s="579" customFormat="1" ht="33" spans="1:5">
      <c r="A149" s="10">
        <v>147</v>
      </c>
      <c r="B149" s="12" t="s">
        <v>473</v>
      </c>
      <c r="C149" s="580">
        <v>247716.75</v>
      </c>
      <c r="D149" s="580">
        <v>4954.335</v>
      </c>
      <c r="E149" s="580">
        <v>500</v>
      </c>
    </row>
    <row r="150" s="579" customFormat="1" ht="33" spans="1:5">
      <c r="A150" s="10">
        <v>148</v>
      </c>
      <c r="B150" s="12" t="s">
        <v>475</v>
      </c>
      <c r="C150" s="580">
        <v>291760.83</v>
      </c>
      <c r="D150" s="580">
        <v>5835.2166</v>
      </c>
      <c r="E150" s="580">
        <v>500</v>
      </c>
    </row>
    <row r="151" s="579" customFormat="1" ht="33" spans="1:5">
      <c r="A151" s="10">
        <v>149</v>
      </c>
      <c r="B151" s="12" t="s">
        <v>477</v>
      </c>
      <c r="C151" s="580">
        <v>206243.541666667</v>
      </c>
      <c r="D151" s="580">
        <v>4124.87083333333</v>
      </c>
      <c r="E151" s="580">
        <v>500</v>
      </c>
    </row>
    <row r="152" s="579" customFormat="1" ht="33" spans="1:5">
      <c r="A152" s="10">
        <v>150</v>
      </c>
      <c r="B152" s="12" t="s">
        <v>478</v>
      </c>
      <c r="C152" s="580">
        <v>236319.33</v>
      </c>
      <c r="D152" s="580">
        <v>4726.3866</v>
      </c>
      <c r="E152" s="580">
        <v>500</v>
      </c>
    </row>
    <row r="153" s="579" customFormat="1" ht="33" spans="1:5">
      <c r="A153" s="10">
        <v>151</v>
      </c>
      <c r="B153" s="12" t="s">
        <v>479</v>
      </c>
      <c r="C153" s="580">
        <v>206243.541666667</v>
      </c>
      <c r="D153" s="580">
        <v>4124.87083333333</v>
      </c>
      <c r="E153" s="580">
        <v>500</v>
      </c>
    </row>
    <row r="154" s="579" customFormat="1" ht="33" spans="1:5">
      <c r="A154" s="10">
        <v>152</v>
      </c>
      <c r="B154" s="12" t="s">
        <v>481</v>
      </c>
      <c r="C154" s="580">
        <v>206243.541666667</v>
      </c>
      <c r="D154" s="580">
        <v>4124.87083333333</v>
      </c>
      <c r="E154" s="580">
        <v>500</v>
      </c>
    </row>
    <row r="155" s="579" customFormat="1" ht="33" spans="1:5">
      <c r="A155" s="10">
        <v>153</v>
      </c>
      <c r="B155" s="12" t="s">
        <v>482</v>
      </c>
      <c r="C155" s="580">
        <v>206243.541666667</v>
      </c>
      <c r="D155" s="580">
        <v>4124.87083333333</v>
      </c>
      <c r="E155" s="580">
        <v>500</v>
      </c>
    </row>
    <row r="156" s="579" customFormat="1" ht="33" spans="1:5">
      <c r="A156" s="10">
        <v>154</v>
      </c>
      <c r="B156" s="12" t="s">
        <v>484</v>
      </c>
      <c r="C156" s="580">
        <v>242018.08</v>
      </c>
      <c r="D156" s="580">
        <v>4840.3616</v>
      </c>
      <c r="E156" s="580">
        <v>500</v>
      </c>
    </row>
    <row r="157" s="579" customFormat="1" ht="33" spans="1:5">
      <c r="A157" s="10">
        <v>155</v>
      </c>
      <c r="B157" s="12" t="s">
        <v>485</v>
      </c>
      <c r="C157" s="580">
        <v>238110.92</v>
      </c>
      <c r="D157" s="580">
        <v>4762.2184</v>
      </c>
      <c r="E157" s="580">
        <v>500</v>
      </c>
    </row>
    <row r="158" s="579" customFormat="1" ht="33" spans="1:5">
      <c r="A158" s="10">
        <v>156</v>
      </c>
      <c r="B158" s="12" t="s">
        <v>488</v>
      </c>
      <c r="C158" s="580">
        <v>206243.541666667</v>
      </c>
      <c r="D158" s="580">
        <v>4124.87083333333</v>
      </c>
      <c r="E158" s="580">
        <v>500</v>
      </c>
    </row>
    <row r="159" s="579" customFormat="1" ht="33" spans="1:5">
      <c r="A159" s="10">
        <v>157</v>
      </c>
      <c r="B159" s="12" t="s">
        <v>490</v>
      </c>
      <c r="C159" s="580">
        <v>236319.33</v>
      </c>
      <c r="D159" s="580">
        <v>4726.3866</v>
      </c>
      <c r="E159" s="580">
        <v>500</v>
      </c>
    </row>
    <row r="160" s="579" customFormat="1" ht="33" spans="1:5">
      <c r="A160" s="10">
        <v>158</v>
      </c>
      <c r="B160" s="12" t="s">
        <v>492</v>
      </c>
      <c r="C160" s="580">
        <v>222376.83</v>
      </c>
      <c r="D160" s="580">
        <v>4447.5366</v>
      </c>
      <c r="E160" s="580">
        <v>500</v>
      </c>
    </row>
    <row r="161" s="579" customFormat="1" ht="33" spans="1:5">
      <c r="A161" s="10">
        <v>159</v>
      </c>
      <c r="B161" s="12" t="s">
        <v>494</v>
      </c>
      <c r="C161" s="580">
        <v>211887.25</v>
      </c>
      <c r="D161" s="580">
        <v>4237.745</v>
      </c>
      <c r="E161" s="580">
        <v>500</v>
      </c>
    </row>
    <row r="162" s="579" customFormat="1" ht="33" spans="1:5">
      <c r="A162" s="10">
        <v>160</v>
      </c>
      <c r="B162" s="12" t="s">
        <v>497</v>
      </c>
      <c r="C162" s="580">
        <v>197331.33</v>
      </c>
      <c r="D162" s="580">
        <v>3946.6266</v>
      </c>
      <c r="E162" s="580">
        <v>500</v>
      </c>
    </row>
    <row r="163" s="579" customFormat="1" ht="33" spans="1:5">
      <c r="A163" s="10">
        <v>161</v>
      </c>
      <c r="B163" s="12" t="s">
        <v>500</v>
      </c>
      <c r="C163" s="580">
        <v>197331.33</v>
      </c>
      <c r="D163" s="580">
        <v>3946.6266</v>
      </c>
      <c r="E163" s="580">
        <v>500</v>
      </c>
    </row>
    <row r="164" s="579" customFormat="1" ht="33" spans="1:5">
      <c r="A164" s="10">
        <v>162</v>
      </c>
      <c r="B164" s="12" t="s">
        <v>502</v>
      </c>
      <c r="C164" s="580">
        <v>192875.31</v>
      </c>
      <c r="D164" s="580">
        <v>3857.5062</v>
      </c>
      <c r="E164" s="580">
        <v>500</v>
      </c>
    </row>
    <row r="165" s="579" customFormat="1" ht="33" spans="1:5">
      <c r="A165" s="10">
        <v>163</v>
      </c>
      <c r="B165" s="12" t="s">
        <v>504</v>
      </c>
      <c r="C165" s="580">
        <v>192875.25</v>
      </c>
      <c r="D165" s="580">
        <v>3857.505</v>
      </c>
      <c r="E165" s="580">
        <v>500</v>
      </c>
    </row>
    <row r="166" s="579" customFormat="1" ht="33" spans="1:5">
      <c r="A166" s="10">
        <v>164</v>
      </c>
      <c r="B166" s="12" t="s">
        <v>507</v>
      </c>
      <c r="C166" s="580">
        <v>236319.33</v>
      </c>
      <c r="D166" s="580">
        <v>4726.3866</v>
      </c>
      <c r="E166" s="580">
        <v>500</v>
      </c>
    </row>
    <row r="167" s="579" customFormat="1" ht="33" spans="1:5">
      <c r="A167" s="10">
        <v>165</v>
      </c>
      <c r="B167" s="12" t="s">
        <v>508</v>
      </c>
      <c r="C167" s="580">
        <v>121009.04</v>
      </c>
      <c r="D167" s="580">
        <v>2420.1808</v>
      </c>
      <c r="E167" s="580">
        <v>500</v>
      </c>
    </row>
    <row r="168" s="579" customFormat="1" ht="33" spans="1:5">
      <c r="A168" s="10">
        <v>166</v>
      </c>
      <c r="B168" s="12" t="s">
        <v>510</v>
      </c>
      <c r="C168" s="580">
        <v>192875.25</v>
      </c>
      <c r="D168" s="580">
        <v>3857.505</v>
      </c>
      <c r="E168" s="580">
        <v>500</v>
      </c>
    </row>
    <row r="169" s="579" customFormat="1" ht="33" spans="1:5">
      <c r="A169" s="10">
        <v>167</v>
      </c>
      <c r="B169" s="12" t="s">
        <v>512</v>
      </c>
      <c r="C169" s="580">
        <v>300883.92</v>
      </c>
      <c r="D169" s="580">
        <v>6017.6784</v>
      </c>
      <c r="E169" s="580">
        <v>500</v>
      </c>
    </row>
    <row r="170" s="579" customFormat="1" ht="33" spans="1:5">
      <c r="A170" s="10">
        <v>168</v>
      </c>
      <c r="B170" s="12" t="s">
        <v>514</v>
      </c>
      <c r="C170" s="580">
        <v>779724.08</v>
      </c>
      <c r="D170" s="580">
        <v>15594.4816</v>
      </c>
      <c r="E170" s="580">
        <v>500</v>
      </c>
    </row>
    <row r="171" s="579" customFormat="1" ht="33" spans="1:5">
      <c r="A171" s="10">
        <v>169</v>
      </c>
      <c r="B171" s="12" t="s">
        <v>517</v>
      </c>
      <c r="C171" s="580">
        <v>328253.4375</v>
      </c>
      <c r="D171" s="580">
        <v>6565.06875</v>
      </c>
      <c r="E171" s="580">
        <v>500</v>
      </c>
    </row>
    <row r="172" s="579" customFormat="1" ht="33" spans="1:5">
      <c r="A172" s="10">
        <v>170</v>
      </c>
      <c r="B172" s="12" t="s">
        <v>521</v>
      </c>
      <c r="C172" s="580">
        <v>291760.83</v>
      </c>
      <c r="D172" s="580">
        <v>5835.2166</v>
      </c>
      <c r="E172" s="580">
        <v>500</v>
      </c>
    </row>
    <row r="173" s="579" customFormat="1" ht="33" spans="1:5">
      <c r="A173" s="10">
        <v>171</v>
      </c>
      <c r="B173" s="12" t="s">
        <v>522</v>
      </c>
      <c r="C173" s="580"/>
      <c r="D173" s="580"/>
      <c r="E173" s="580"/>
    </row>
    <row r="174" s="579" customFormat="1" ht="33" spans="1:5">
      <c r="A174" s="10">
        <v>172</v>
      </c>
      <c r="B174" s="12" t="s">
        <v>524</v>
      </c>
      <c r="C174" s="580">
        <v>242018.08</v>
      </c>
      <c r="D174" s="580">
        <v>4840.3616</v>
      </c>
      <c r="E174" s="580">
        <v>500</v>
      </c>
    </row>
    <row r="175" s="579" customFormat="1" ht="33" spans="1:5">
      <c r="A175" s="10">
        <v>173</v>
      </c>
      <c r="B175" s="12" t="s">
        <v>527</v>
      </c>
      <c r="C175" s="580">
        <v>242018.08</v>
      </c>
      <c r="D175" s="580">
        <v>4840.3616</v>
      </c>
      <c r="E175" s="580">
        <v>500</v>
      </c>
    </row>
    <row r="176" s="579" customFormat="1" ht="33" spans="1:5">
      <c r="A176" s="10">
        <v>174</v>
      </c>
      <c r="B176" s="12" t="s">
        <v>528</v>
      </c>
      <c r="C176" s="580">
        <v>242018.08</v>
      </c>
      <c r="D176" s="580">
        <v>4840.3616</v>
      </c>
      <c r="E176" s="580">
        <v>500</v>
      </c>
    </row>
    <row r="177" s="579" customFormat="1" ht="33" spans="1:5">
      <c r="A177" s="10">
        <v>175</v>
      </c>
      <c r="B177" s="12" t="s">
        <v>530</v>
      </c>
      <c r="C177" s="580">
        <v>400171.75</v>
      </c>
      <c r="D177" s="580">
        <v>8003.435</v>
      </c>
      <c r="E177" s="580">
        <v>500</v>
      </c>
    </row>
    <row r="178" s="579" customFormat="1" ht="33" spans="1:5">
      <c r="A178" s="10">
        <v>176</v>
      </c>
      <c r="B178" s="12" t="s">
        <v>533</v>
      </c>
      <c r="C178" s="580">
        <v>400171.75</v>
      </c>
      <c r="D178" s="580">
        <v>8003.435</v>
      </c>
      <c r="E178" s="580">
        <v>500</v>
      </c>
    </row>
    <row r="179" s="579" customFormat="1" ht="33" spans="1:5">
      <c r="A179" s="10">
        <v>177</v>
      </c>
      <c r="B179" s="12" t="s">
        <v>536</v>
      </c>
      <c r="C179" s="580">
        <v>400171.75</v>
      </c>
      <c r="D179" s="580">
        <v>8003.435</v>
      </c>
      <c r="E179" s="580">
        <v>500</v>
      </c>
    </row>
    <row r="180" s="579" customFormat="1" ht="33" spans="1:5">
      <c r="A180" s="10">
        <v>178</v>
      </c>
      <c r="B180" s="12" t="s">
        <v>539</v>
      </c>
      <c r="C180" s="580">
        <v>291760.83</v>
      </c>
      <c r="D180" s="580">
        <v>5835.2166</v>
      </c>
      <c r="E180" s="580">
        <v>500</v>
      </c>
    </row>
    <row r="181" s="579" customFormat="1" ht="33" spans="1:5">
      <c r="A181" s="10">
        <v>179</v>
      </c>
      <c r="B181" s="12" t="s">
        <v>541</v>
      </c>
      <c r="C181" s="580">
        <v>291760.83</v>
      </c>
      <c r="D181" s="580">
        <v>5835.2166</v>
      </c>
      <c r="E181" s="580">
        <v>500</v>
      </c>
    </row>
    <row r="182" s="579" customFormat="1" ht="33" spans="1:5">
      <c r="A182" s="10">
        <v>180</v>
      </c>
      <c r="B182" s="12" t="s">
        <v>543</v>
      </c>
      <c r="C182" s="580">
        <v>291760.83</v>
      </c>
      <c r="D182" s="580">
        <v>5835.2166</v>
      </c>
      <c r="E182" s="580">
        <v>500</v>
      </c>
    </row>
    <row r="183" s="579" customFormat="1" ht="33" spans="1:5">
      <c r="A183" s="10">
        <v>181</v>
      </c>
      <c r="B183" s="12" t="s">
        <v>545</v>
      </c>
      <c r="C183" s="580">
        <v>291760.83</v>
      </c>
      <c r="D183" s="580">
        <v>5835.2166</v>
      </c>
      <c r="E183" s="580">
        <v>500</v>
      </c>
    </row>
    <row r="184" s="579" customFormat="1" ht="33" spans="1:5">
      <c r="A184" s="10">
        <v>182</v>
      </c>
      <c r="B184" s="12" t="s">
        <v>548</v>
      </c>
      <c r="C184" s="580">
        <v>291760.83</v>
      </c>
      <c r="D184" s="580">
        <v>5835.2166</v>
      </c>
      <c r="E184" s="580">
        <v>500</v>
      </c>
    </row>
    <row r="185" s="579" customFormat="1" ht="33" spans="1:5">
      <c r="A185" s="10">
        <v>183</v>
      </c>
      <c r="B185" s="12" t="s">
        <v>551</v>
      </c>
      <c r="C185" s="580">
        <v>291760.83</v>
      </c>
      <c r="D185" s="580">
        <v>5835.2166</v>
      </c>
      <c r="E185" s="580">
        <v>500</v>
      </c>
    </row>
    <row r="186" s="579" customFormat="1" ht="33" spans="1:5">
      <c r="A186" s="10">
        <v>184</v>
      </c>
      <c r="B186" s="12" t="s">
        <v>553</v>
      </c>
      <c r="C186" s="580">
        <v>217132.08</v>
      </c>
      <c r="D186" s="580">
        <v>4342.6416</v>
      </c>
      <c r="E186" s="580">
        <v>500</v>
      </c>
    </row>
    <row r="187" s="579" customFormat="1" ht="33" spans="1:5">
      <c r="A187" s="10">
        <v>185</v>
      </c>
      <c r="B187" s="12" t="s">
        <v>557</v>
      </c>
      <c r="C187" s="580">
        <v>217132.08</v>
      </c>
      <c r="D187" s="580">
        <v>4342.6416</v>
      </c>
      <c r="E187" s="580">
        <v>500</v>
      </c>
    </row>
    <row r="188" s="579" customFormat="1" ht="33" spans="1:5">
      <c r="A188" s="10">
        <v>186</v>
      </c>
      <c r="B188" s="12" t="s">
        <v>560</v>
      </c>
      <c r="C188" s="580">
        <v>217132.08</v>
      </c>
      <c r="D188" s="580">
        <v>4342.6416</v>
      </c>
      <c r="E188" s="580">
        <v>500</v>
      </c>
    </row>
    <row r="189" s="579" customFormat="1" ht="33" spans="1:5">
      <c r="A189" s="10">
        <v>187</v>
      </c>
      <c r="B189" s="12" t="s">
        <v>563</v>
      </c>
      <c r="C189" s="580">
        <v>217132.08</v>
      </c>
      <c r="D189" s="580">
        <v>4342.6416</v>
      </c>
      <c r="E189" s="580">
        <v>500</v>
      </c>
    </row>
    <row r="190" s="579" customFormat="1" ht="33" spans="1:5">
      <c r="A190" s="10">
        <v>188</v>
      </c>
      <c r="B190" s="12" t="s">
        <v>565</v>
      </c>
      <c r="C190" s="580">
        <v>217132.08</v>
      </c>
      <c r="D190" s="580">
        <v>4342.6416</v>
      </c>
      <c r="E190" s="580">
        <v>500</v>
      </c>
    </row>
    <row r="191" s="579" customFormat="1" ht="33" spans="1:5">
      <c r="A191" s="10">
        <v>189</v>
      </c>
      <c r="B191" s="12" t="s">
        <v>567</v>
      </c>
      <c r="C191" s="580">
        <v>217132.08</v>
      </c>
      <c r="D191" s="580">
        <v>4342.6416</v>
      </c>
      <c r="E191" s="580">
        <v>500</v>
      </c>
    </row>
    <row r="192" s="579" customFormat="1" ht="33" spans="1:5">
      <c r="A192" s="10">
        <v>190</v>
      </c>
      <c r="B192" s="12" t="s">
        <v>569</v>
      </c>
      <c r="C192" s="580">
        <v>217132.08</v>
      </c>
      <c r="D192" s="580">
        <v>4342.6416</v>
      </c>
      <c r="E192" s="580">
        <v>500</v>
      </c>
    </row>
    <row r="193" s="579" customFormat="1" ht="33" spans="1:5">
      <c r="A193" s="10">
        <v>191</v>
      </c>
      <c r="B193" s="12" t="s">
        <v>570</v>
      </c>
      <c r="C193" s="580">
        <v>217132.08</v>
      </c>
      <c r="D193" s="580">
        <v>4342.6416</v>
      </c>
      <c r="E193" s="580">
        <v>500</v>
      </c>
    </row>
    <row r="194" s="579" customFormat="1" ht="33" spans="1:5">
      <c r="A194" s="10">
        <v>192</v>
      </c>
      <c r="B194" s="12" t="s">
        <v>572</v>
      </c>
      <c r="C194" s="580">
        <v>217132.08</v>
      </c>
      <c r="D194" s="580">
        <v>4342.6416</v>
      </c>
      <c r="E194" s="580">
        <v>500</v>
      </c>
    </row>
    <row r="195" s="579" customFormat="1" ht="33" spans="1:5">
      <c r="A195" s="10">
        <v>193</v>
      </c>
      <c r="B195" s="12" t="s">
        <v>574</v>
      </c>
      <c r="C195" s="580">
        <v>217132.08</v>
      </c>
      <c r="D195" s="580">
        <v>4342.6416</v>
      </c>
      <c r="E195" s="580">
        <v>500</v>
      </c>
    </row>
    <row r="196" s="579" customFormat="1" ht="33" spans="1:5">
      <c r="A196" s="10">
        <v>194</v>
      </c>
      <c r="B196" s="12" t="s">
        <v>576</v>
      </c>
      <c r="C196" s="580">
        <v>217132.08</v>
      </c>
      <c r="D196" s="580">
        <v>4342.6416</v>
      </c>
      <c r="E196" s="580">
        <v>500</v>
      </c>
    </row>
    <row r="197" s="579" customFormat="1" ht="33" spans="1:5">
      <c r="A197" s="10">
        <v>195</v>
      </c>
      <c r="B197" s="12" t="s">
        <v>577</v>
      </c>
      <c r="C197" s="580">
        <v>217132.08</v>
      </c>
      <c r="D197" s="580">
        <v>4342.6416</v>
      </c>
      <c r="E197" s="580">
        <v>500</v>
      </c>
    </row>
    <row r="198" s="579" customFormat="1" ht="33" spans="1:5">
      <c r="A198" s="10">
        <v>196</v>
      </c>
      <c r="B198" s="12" t="s">
        <v>580</v>
      </c>
      <c r="C198" s="580">
        <v>217132.08</v>
      </c>
      <c r="D198" s="580">
        <v>4342.6416</v>
      </c>
      <c r="E198" s="580">
        <v>500</v>
      </c>
    </row>
    <row r="199" s="579" customFormat="1" ht="33" spans="1:5">
      <c r="A199" s="10">
        <v>197</v>
      </c>
      <c r="B199" s="12" t="s">
        <v>582</v>
      </c>
      <c r="C199" s="580">
        <v>217132.08</v>
      </c>
      <c r="D199" s="580">
        <v>4342.6416</v>
      </c>
      <c r="E199" s="580">
        <v>500</v>
      </c>
    </row>
    <row r="200" s="579" customFormat="1" ht="33" spans="1:5">
      <c r="A200" s="10">
        <v>198</v>
      </c>
      <c r="B200" s="12" t="s">
        <v>585</v>
      </c>
      <c r="C200" s="580">
        <v>217132.08</v>
      </c>
      <c r="D200" s="580">
        <v>4342.6416</v>
      </c>
      <c r="E200" s="580">
        <v>500</v>
      </c>
    </row>
    <row r="201" s="579" customFormat="1" ht="33" spans="1:5">
      <c r="A201" s="10">
        <v>199</v>
      </c>
      <c r="B201" s="12" t="s">
        <v>587</v>
      </c>
      <c r="C201" s="580">
        <v>217132.08</v>
      </c>
      <c r="D201" s="580">
        <v>4342.6416</v>
      </c>
      <c r="E201" s="580">
        <v>500</v>
      </c>
    </row>
    <row r="202" s="579" customFormat="1" ht="33" spans="1:5">
      <c r="A202" s="10">
        <v>200</v>
      </c>
      <c r="B202" s="12" t="s">
        <v>589</v>
      </c>
      <c r="C202" s="580">
        <v>217132.08</v>
      </c>
      <c r="D202" s="580">
        <v>4342.6416</v>
      </c>
      <c r="E202" s="580">
        <v>500</v>
      </c>
    </row>
    <row r="203" s="579" customFormat="1" ht="33" spans="1:5">
      <c r="A203" s="10">
        <v>201</v>
      </c>
      <c r="B203" s="12" t="s">
        <v>592</v>
      </c>
      <c r="C203" s="580">
        <v>217132.08</v>
      </c>
      <c r="D203" s="580">
        <v>4342.6416</v>
      </c>
      <c r="E203" s="580">
        <v>500</v>
      </c>
    </row>
    <row r="204" s="579" customFormat="1" ht="33" spans="1:5">
      <c r="A204" s="10">
        <v>202</v>
      </c>
      <c r="B204" s="12" t="s">
        <v>594</v>
      </c>
      <c r="C204" s="580">
        <v>217132.08</v>
      </c>
      <c r="D204" s="580">
        <v>4342.6416</v>
      </c>
      <c r="E204" s="580">
        <v>500</v>
      </c>
    </row>
    <row r="205" s="579" customFormat="1" ht="33" spans="1:5">
      <c r="A205" s="10">
        <v>203</v>
      </c>
      <c r="B205" s="12" t="s">
        <v>596</v>
      </c>
      <c r="C205" s="580">
        <v>217132.08</v>
      </c>
      <c r="D205" s="580">
        <v>4342.6416</v>
      </c>
      <c r="E205" s="580">
        <v>500</v>
      </c>
    </row>
    <row r="206" s="579" customFormat="1" ht="33" spans="1:5">
      <c r="A206" s="10">
        <v>204</v>
      </c>
      <c r="B206" s="12" t="s">
        <v>598</v>
      </c>
      <c r="C206" s="580">
        <v>217132.08</v>
      </c>
      <c r="D206" s="580">
        <v>4342.6416</v>
      </c>
      <c r="E206" s="580">
        <v>500</v>
      </c>
    </row>
    <row r="207" s="579" customFormat="1" ht="33" spans="1:5">
      <c r="A207" s="10">
        <v>205</v>
      </c>
      <c r="B207" s="12" t="s">
        <v>601</v>
      </c>
      <c r="C207" s="580">
        <v>217132.08</v>
      </c>
      <c r="D207" s="580">
        <v>4342.6416</v>
      </c>
      <c r="E207" s="580">
        <v>500</v>
      </c>
    </row>
    <row r="208" s="579" customFormat="1" ht="33" spans="1:5">
      <c r="A208" s="10">
        <v>206</v>
      </c>
      <c r="B208" s="12" t="s">
        <v>603</v>
      </c>
      <c r="C208" s="580">
        <v>217132.08</v>
      </c>
      <c r="D208" s="580">
        <v>4342.6416</v>
      </c>
      <c r="E208" s="580">
        <v>500</v>
      </c>
    </row>
    <row r="209" s="579" customFormat="1" ht="33" spans="1:5">
      <c r="A209" s="10">
        <v>207</v>
      </c>
      <c r="B209" s="12" t="s">
        <v>605</v>
      </c>
      <c r="C209" s="580">
        <v>217132.08</v>
      </c>
      <c r="D209" s="580">
        <v>4342.6416</v>
      </c>
      <c r="E209" s="580">
        <v>500</v>
      </c>
    </row>
    <row r="210" s="579" customFormat="1" ht="33" spans="1:5">
      <c r="A210" s="10">
        <v>208</v>
      </c>
      <c r="B210" s="12" t="s">
        <v>608</v>
      </c>
      <c r="C210" s="580">
        <v>217132.08</v>
      </c>
      <c r="D210" s="580">
        <v>4342.6416</v>
      </c>
      <c r="E210" s="580">
        <v>500</v>
      </c>
    </row>
    <row r="211" s="579" customFormat="1" ht="33" spans="1:5">
      <c r="A211" s="10">
        <v>209</v>
      </c>
      <c r="B211" s="12" t="s">
        <v>610</v>
      </c>
      <c r="C211" s="580">
        <v>217132.08</v>
      </c>
      <c r="D211" s="580">
        <v>4342.6416</v>
      </c>
      <c r="E211" s="580">
        <v>500</v>
      </c>
    </row>
    <row r="212" s="579" customFormat="1" ht="33" spans="1:5">
      <c r="A212" s="10">
        <v>210</v>
      </c>
      <c r="B212" s="12" t="s">
        <v>612</v>
      </c>
      <c r="C212" s="580">
        <v>217132.08</v>
      </c>
      <c r="D212" s="580">
        <v>4342.6416</v>
      </c>
      <c r="E212" s="580">
        <v>500</v>
      </c>
    </row>
    <row r="213" s="579" customFormat="1" ht="33" spans="1:5">
      <c r="A213" s="10">
        <v>211</v>
      </c>
      <c r="B213" s="12" t="s">
        <v>614</v>
      </c>
      <c r="C213" s="580">
        <v>217132.08</v>
      </c>
      <c r="D213" s="580">
        <v>4342.6416</v>
      </c>
      <c r="E213" s="580">
        <v>500</v>
      </c>
    </row>
    <row r="214" s="579" customFormat="1" ht="33" spans="1:5">
      <c r="A214" s="10">
        <v>212</v>
      </c>
      <c r="B214" s="12" t="s">
        <v>616</v>
      </c>
      <c r="C214" s="580">
        <v>217132.08</v>
      </c>
      <c r="D214" s="580">
        <v>4342.6416</v>
      </c>
      <c r="E214" s="580">
        <v>500</v>
      </c>
    </row>
    <row r="215" s="579" customFormat="1" ht="33" spans="1:5">
      <c r="A215" s="10">
        <v>213</v>
      </c>
      <c r="B215" s="12" t="s">
        <v>618</v>
      </c>
      <c r="C215" s="580">
        <v>217132.08</v>
      </c>
      <c r="D215" s="580">
        <v>4342.6416</v>
      </c>
      <c r="E215" s="580">
        <v>500</v>
      </c>
    </row>
    <row r="216" s="579" customFormat="1" ht="33" spans="1:5">
      <c r="A216" s="10">
        <v>214</v>
      </c>
      <c r="B216" s="12" t="s">
        <v>620</v>
      </c>
      <c r="C216" s="580">
        <v>217132.08</v>
      </c>
      <c r="D216" s="580">
        <v>4342.6416</v>
      </c>
      <c r="E216" s="580">
        <v>500</v>
      </c>
    </row>
    <row r="217" s="579" customFormat="1" ht="33" spans="1:5">
      <c r="A217" s="10">
        <v>215</v>
      </c>
      <c r="B217" s="12" t="s">
        <v>622</v>
      </c>
      <c r="C217" s="580">
        <v>217132.08</v>
      </c>
      <c r="D217" s="580">
        <v>4342.6416</v>
      </c>
      <c r="E217" s="580">
        <v>500</v>
      </c>
    </row>
    <row r="218" s="579" customFormat="1" ht="33" spans="1:5">
      <c r="A218" s="10">
        <v>216</v>
      </c>
      <c r="B218" s="12" t="s">
        <v>624</v>
      </c>
      <c r="C218" s="580">
        <v>217132.08</v>
      </c>
      <c r="D218" s="580">
        <v>4342.6416</v>
      </c>
      <c r="E218" s="580">
        <v>500</v>
      </c>
    </row>
    <row r="219" s="579" customFormat="1" ht="33" spans="1:5">
      <c r="A219" s="10">
        <v>217</v>
      </c>
      <c r="B219" s="12" t="s">
        <v>626</v>
      </c>
      <c r="C219" s="580">
        <v>217132.08</v>
      </c>
      <c r="D219" s="580">
        <v>4342.6416</v>
      </c>
      <c r="E219" s="580">
        <v>500</v>
      </c>
    </row>
    <row r="220" s="579" customFormat="1" ht="33" spans="1:5">
      <c r="A220" s="10">
        <v>218</v>
      </c>
      <c r="B220" s="12" t="s">
        <v>628</v>
      </c>
      <c r="C220" s="580">
        <v>217132.08</v>
      </c>
      <c r="D220" s="580">
        <v>4342.6416</v>
      </c>
      <c r="E220" s="580">
        <v>500</v>
      </c>
    </row>
    <row r="221" s="579" customFormat="1" ht="33" spans="1:5">
      <c r="A221" s="10">
        <v>219</v>
      </c>
      <c r="B221" s="12" t="s">
        <v>630</v>
      </c>
      <c r="C221" s="580">
        <v>217132.08</v>
      </c>
      <c r="D221" s="580">
        <v>4342.6416</v>
      </c>
      <c r="E221" s="580">
        <v>500</v>
      </c>
    </row>
    <row r="222" s="579" customFormat="1" ht="33" spans="1:5">
      <c r="A222" s="10">
        <v>220</v>
      </c>
      <c r="B222" s="12" t="s">
        <v>632</v>
      </c>
      <c r="C222" s="580">
        <v>217132.08</v>
      </c>
      <c r="D222" s="580">
        <v>4342.6416</v>
      </c>
      <c r="E222" s="580">
        <v>500</v>
      </c>
    </row>
    <row r="223" s="579" customFormat="1" ht="33" spans="1:5">
      <c r="A223" s="10">
        <v>221</v>
      </c>
      <c r="B223" s="12" t="s">
        <v>634</v>
      </c>
      <c r="C223" s="580">
        <v>217132.08</v>
      </c>
      <c r="D223" s="580">
        <v>4342.6416</v>
      </c>
      <c r="E223" s="580">
        <v>500</v>
      </c>
    </row>
    <row r="224" s="579" customFormat="1" ht="33" spans="1:5">
      <c r="A224" s="10">
        <v>222</v>
      </c>
      <c r="B224" s="12" t="s">
        <v>637</v>
      </c>
      <c r="C224" s="580">
        <v>192875.25</v>
      </c>
      <c r="D224" s="580">
        <v>3857.505</v>
      </c>
      <c r="E224" s="580">
        <v>500</v>
      </c>
    </row>
    <row r="225" s="579" customFormat="1" ht="33" spans="1:5">
      <c r="A225" s="10">
        <v>223</v>
      </c>
      <c r="B225" s="12" t="s">
        <v>640</v>
      </c>
      <c r="C225" s="580">
        <v>217132.08</v>
      </c>
      <c r="D225" s="580">
        <v>4342.6416</v>
      </c>
      <c r="E225" s="580">
        <v>500</v>
      </c>
    </row>
    <row r="226" s="579" customFormat="1" ht="33" spans="1:5">
      <c r="A226" s="10">
        <v>224</v>
      </c>
      <c r="B226" s="12" t="s">
        <v>642</v>
      </c>
      <c r="C226" s="580">
        <v>217132.08</v>
      </c>
      <c r="D226" s="580">
        <v>4342.6416</v>
      </c>
      <c r="E226" s="580">
        <v>500</v>
      </c>
    </row>
    <row r="227" s="579" customFormat="1" ht="33" spans="1:5">
      <c r="A227" s="10">
        <v>225</v>
      </c>
      <c r="B227" s="12" t="s">
        <v>644</v>
      </c>
      <c r="C227" s="580">
        <v>217132.08</v>
      </c>
      <c r="D227" s="580">
        <v>4342.6416</v>
      </c>
      <c r="E227" s="580">
        <v>500</v>
      </c>
    </row>
    <row r="228" s="579" customFormat="1" ht="33" spans="1:5">
      <c r="A228" s="10">
        <v>226</v>
      </c>
      <c r="B228" s="12" t="s">
        <v>646</v>
      </c>
      <c r="C228" s="580">
        <v>217132.08</v>
      </c>
      <c r="D228" s="580">
        <v>4342.6416</v>
      </c>
      <c r="E228" s="580">
        <v>500</v>
      </c>
    </row>
    <row r="229" s="579" customFormat="1" ht="33" spans="1:5">
      <c r="A229" s="10">
        <v>227</v>
      </c>
      <c r="B229" s="12" t="s">
        <v>648</v>
      </c>
      <c r="C229" s="580">
        <v>217132.08</v>
      </c>
      <c r="D229" s="580">
        <v>4342.6416</v>
      </c>
      <c r="E229" s="580">
        <v>500</v>
      </c>
    </row>
    <row r="230" s="579" customFormat="1" ht="33" spans="1:5">
      <c r="A230" s="10">
        <v>228</v>
      </c>
      <c r="B230" s="12" t="s">
        <v>650</v>
      </c>
      <c r="C230" s="580">
        <v>217132.08</v>
      </c>
      <c r="D230" s="580">
        <v>4342.6416</v>
      </c>
      <c r="E230" s="580">
        <v>500</v>
      </c>
    </row>
    <row r="231" s="579" customFormat="1" ht="33" spans="1:5">
      <c r="A231" s="10">
        <v>229</v>
      </c>
      <c r="B231" s="12" t="s">
        <v>652</v>
      </c>
      <c r="C231" s="580">
        <v>236319.33</v>
      </c>
      <c r="D231" s="580">
        <v>4726.3866</v>
      </c>
      <c r="E231" s="580">
        <v>500</v>
      </c>
    </row>
    <row r="232" s="579" customFormat="1" ht="33" spans="1:5">
      <c r="A232" s="10">
        <v>230</v>
      </c>
      <c r="B232" s="12" t="s">
        <v>656</v>
      </c>
      <c r="C232" s="580">
        <v>217132.08</v>
      </c>
      <c r="D232" s="580">
        <v>4342.6416</v>
      </c>
      <c r="E232" s="580">
        <v>500</v>
      </c>
    </row>
    <row r="233" s="579" customFormat="1" ht="33" spans="1:5">
      <c r="A233" s="10">
        <v>231</v>
      </c>
      <c r="B233" s="12" t="s">
        <v>659</v>
      </c>
      <c r="C233" s="580">
        <v>217132.08</v>
      </c>
      <c r="D233" s="580">
        <v>4342.6416</v>
      </c>
      <c r="E233" s="580">
        <v>500</v>
      </c>
    </row>
    <row r="234" s="579" customFormat="1" ht="33" spans="1:5">
      <c r="A234" s="10">
        <v>232</v>
      </c>
      <c r="B234" s="12" t="s">
        <v>662</v>
      </c>
      <c r="C234" s="580"/>
      <c r="D234" s="580">
        <v>0</v>
      </c>
      <c r="E234" s="580"/>
    </row>
    <row r="235" s="579" customFormat="1" ht="33" spans="1:5">
      <c r="A235" s="10">
        <v>233</v>
      </c>
      <c r="B235" s="12" t="s">
        <v>665</v>
      </c>
      <c r="C235" s="580">
        <v>217132.08</v>
      </c>
      <c r="D235" s="580">
        <v>4342.6416</v>
      </c>
      <c r="E235" s="580">
        <v>500</v>
      </c>
    </row>
    <row r="236" s="579" customFormat="1" ht="33" spans="1:5">
      <c r="A236" s="10">
        <v>234</v>
      </c>
      <c r="B236" s="12" t="s">
        <v>668</v>
      </c>
      <c r="C236" s="580">
        <v>217132.08</v>
      </c>
      <c r="D236" s="580">
        <v>4342.6416</v>
      </c>
      <c r="E236" s="580">
        <v>500</v>
      </c>
    </row>
    <row r="237" s="579" customFormat="1" ht="33" spans="1:5">
      <c r="A237" s="10">
        <v>235</v>
      </c>
      <c r="B237" s="12" t="s">
        <v>670</v>
      </c>
      <c r="C237" s="580">
        <v>242018.08</v>
      </c>
      <c r="D237" s="580">
        <v>4840.3616</v>
      </c>
      <c r="E237" s="580">
        <v>500</v>
      </c>
    </row>
    <row r="238" s="579" customFormat="1" ht="33" spans="1:5">
      <c r="A238" s="10">
        <v>236</v>
      </c>
      <c r="B238" s="12" t="s">
        <v>673</v>
      </c>
      <c r="C238" s="580">
        <v>242018.08</v>
      </c>
      <c r="D238" s="580">
        <v>4840.3616</v>
      </c>
      <c r="E238" s="580">
        <v>500</v>
      </c>
    </row>
    <row r="239" s="579" customFormat="1" ht="33" spans="1:5">
      <c r="A239" s="10">
        <v>237</v>
      </c>
      <c r="B239" s="12" t="s">
        <v>677</v>
      </c>
      <c r="C239" s="580">
        <v>242018.08</v>
      </c>
      <c r="D239" s="580">
        <v>4840.3616</v>
      </c>
      <c r="E239" s="580">
        <v>500</v>
      </c>
    </row>
    <row r="240" s="579" customFormat="1" ht="33" spans="1:5">
      <c r="A240" s="10">
        <v>238</v>
      </c>
      <c r="B240" s="12" t="s">
        <v>680</v>
      </c>
      <c r="C240" s="580">
        <v>242018.08</v>
      </c>
      <c r="D240" s="580">
        <v>4840.3616</v>
      </c>
      <c r="E240" s="580">
        <v>500</v>
      </c>
    </row>
    <row r="241" s="579" customFormat="1" ht="33" spans="1:5">
      <c r="A241" s="10">
        <v>239</v>
      </c>
      <c r="B241" s="12" t="s">
        <v>682</v>
      </c>
      <c r="C241" s="580">
        <v>211887.25</v>
      </c>
      <c r="D241" s="580">
        <v>4237.745</v>
      </c>
      <c r="E241" s="580">
        <v>500</v>
      </c>
    </row>
    <row r="242" s="579" customFormat="1" ht="33" spans="1:5">
      <c r="A242" s="10">
        <v>240</v>
      </c>
      <c r="B242" s="12" t="s">
        <v>683</v>
      </c>
      <c r="C242" s="580">
        <v>217132.08</v>
      </c>
      <c r="D242" s="580">
        <v>4342.6416</v>
      </c>
      <c r="E242" s="580">
        <v>500</v>
      </c>
    </row>
    <row r="243" s="579" customFormat="1" ht="33" spans="1:5">
      <c r="A243" s="10">
        <v>241</v>
      </c>
      <c r="B243" s="12" t="s">
        <v>685</v>
      </c>
      <c r="C243" s="580">
        <v>217132.08</v>
      </c>
      <c r="D243" s="580">
        <v>4342.6416</v>
      </c>
      <c r="E243" s="580">
        <v>500</v>
      </c>
    </row>
    <row r="244" s="579" customFormat="1" ht="33" spans="1:5">
      <c r="A244" s="10">
        <v>242</v>
      </c>
      <c r="B244" s="12" t="s">
        <v>687</v>
      </c>
      <c r="C244" s="580">
        <v>217132.08</v>
      </c>
      <c r="D244" s="580">
        <v>4342.6416</v>
      </c>
      <c r="E244" s="580">
        <v>500</v>
      </c>
    </row>
    <row r="245" s="579" customFormat="1" ht="33" spans="1:5">
      <c r="A245" s="10">
        <v>243</v>
      </c>
      <c r="B245" s="12" t="s">
        <v>689</v>
      </c>
      <c r="C245" s="580">
        <v>217132.08</v>
      </c>
      <c r="D245" s="580">
        <v>4342.6416</v>
      </c>
      <c r="E245" s="580">
        <v>500</v>
      </c>
    </row>
    <row r="246" s="579" customFormat="1" ht="33" spans="1:5">
      <c r="A246" s="10">
        <v>244</v>
      </c>
      <c r="B246" s="12" t="s">
        <v>691</v>
      </c>
      <c r="C246" s="580">
        <v>217132.08</v>
      </c>
      <c r="D246" s="580">
        <v>4342.6416</v>
      </c>
      <c r="E246" s="580">
        <v>500</v>
      </c>
    </row>
    <row r="247" s="579" customFormat="1" ht="33" spans="1:5">
      <c r="A247" s="10">
        <v>245</v>
      </c>
      <c r="B247" s="12" t="s">
        <v>693</v>
      </c>
      <c r="C247" s="580">
        <v>217132.08</v>
      </c>
      <c r="D247" s="580">
        <v>4342.6416</v>
      </c>
      <c r="E247" s="580">
        <v>500</v>
      </c>
    </row>
    <row r="248" s="579" customFormat="1" ht="33" spans="1:5">
      <c r="A248" s="10">
        <v>246</v>
      </c>
      <c r="B248" s="12" t="s">
        <v>695</v>
      </c>
      <c r="C248" s="580">
        <v>217132.08</v>
      </c>
      <c r="D248" s="580">
        <v>4342.6416</v>
      </c>
      <c r="E248" s="580">
        <v>500</v>
      </c>
    </row>
    <row r="249" s="579" customFormat="1" ht="33" spans="1:5">
      <c r="A249" s="10">
        <v>247</v>
      </c>
      <c r="B249" s="12" t="s">
        <v>697</v>
      </c>
      <c r="C249" s="580">
        <v>217132.08</v>
      </c>
      <c r="D249" s="580">
        <v>4342.6416</v>
      </c>
      <c r="E249" s="580">
        <v>500</v>
      </c>
    </row>
    <row r="250" s="579" customFormat="1" ht="33" spans="1:5">
      <c r="A250" s="10">
        <v>248</v>
      </c>
      <c r="B250" s="12" t="s">
        <v>699</v>
      </c>
      <c r="C250" s="580">
        <v>217132.08</v>
      </c>
      <c r="D250" s="580">
        <v>4342.6416</v>
      </c>
      <c r="E250" s="580">
        <v>500</v>
      </c>
    </row>
    <row r="251" s="579" customFormat="1" ht="33" spans="1:5">
      <c r="A251" s="10">
        <v>249</v>
      </c>
      <c r="B251" s="12" t="s">
        <v>701</v>
      </c>
      <c r="C251" s="580">
        <v>217132.08</v>
      </c>
      <c r="D251" s="580">
        <v>4342.6416</v>
      </c>
      <c r="E251" s="580">
        <v>500</v>
      </c>
    </row>
    <row r="252" s="579" customFormat="1" ht="33" spans="1:5">
      <c r="A252" s="10">
        <v>250</v>
      </c>
      <c r="B252" s="12" t="s">
        <v>703</v>
      </c>
      <c r="C252" s="580">
        <v>217132.08</v>
      </c>
      <c r="D252" s="580">
        <v>4342.6416</v>
      </c>
      <c r="E252" s="580">
        <v>500</v>
      </c>
    </row>
    <row r="253" s="579" customFormat="1" ht="33" spans="1:5">
      <c r="A253" s="10">
        <v>251</v>
      </c>
      <c r="B253" s="12" t="s">
        <v>705</v>
      </c>
      <c r="C253" s="580">
        <v>217132.08</v>
      </c>
      <c r="D253" s="580">
        <v>4342.6416</v>
      </c>
      <c r="E253" s="580">
        <v>500</v>
      </c>
    </row>
    <row r="254" s="579" customFormat="1" ht="33" spans="1:5">
      <c r="A254" s="10">
        <v>252</v>
      </c>
      <c r="B254" s="12" t="s">
        <v>707</v>
      </c>
      <c r="C254" s="580">
        <v>217132.08</v>
      </c>
      <c r="D254" s="580">
        <v>4342.6416</v>
      </c>
      <c r="E254" s="580">
        <v>500</v>
      </c>
    </row>
    <row r="255" s="579" customFormat="1" ht="33" spans="1:5">
      <c r="A255" s="10">
        <v>253</v>
      </c>
      <c r="B255" s="12" t="s">
        <v>709</v>
      </c>
      <c r="C255" s="580">
        <v>217132.08</v>
      </c>
      <c r="D255" s="580">
        <v>4342.6416</v>
      </c>
      <c r="E255" s="580">
        <v>500</v>
      </c>
    </row>
    <row r="256" s="579" customFormat="1" ht="33" spans="1:5">
      <c r="A256" s="10">
        <v>254</v>
      </c>
      <c r="B256" s="12" t="s">
        <v>712</v>
      </c>
      <c r="C256" s="580">
        <v>217132.08</v>
      </c>
      <c r="D256" s="580">
        <v>4342.6416</v>
      </c>
      <c r="E256" s="580">
        <v>500</v>
      </c>
    </row>
    <row r="257" s="579" customFormat="1" ht="33" spans="1:5">
      <c r="A257" s="10">
        <v>255</v>
      </c>
      <c r="B257" s="12" t="s">
        <v>715</v>
      </c>
      <c r="C257" s="580">
        <v>217132.08</v>
      </c>
      <c r="D257" s="580">
        <v>4342.6416</v>
      </c>
      <c r="E257" s="580">
        <v>500</v>
      </c>
    </row>
    <row r="258" s="579" customFormat="1" ht="33" spans="1:5">
      <c r="A258" s="10">
        <v>256</v>
      </c>
      <c r="B258" s="12" t="s">
        <v>717</v>
      </c>
      <c r="C258" s="580">
        <v>217132.08</v>
      </c>
      <c r="D258" s="580">
        <v>4342.6416</v>
      </c>
      <c r="E258" s="580">
        <v>500</v>
      </c>
    </row>
    <row r="259" s="579" customFormat="1" ht="33" spans="1:5">
      <c r="A259" s="10">
        <v>257</v>
      </c>
      <c r="B259" s="12" t="s">
        <v>719</v>
      </c>
      <c r="C259" s="580">
        <v>242018.08</v>
      </c>
      <c r="D259" s="580">
        <v>4840.3616</v>
      </c>
      <c r="E259" s="580">
        <v>500</v>
      </c>
    </row>
    <row r="260" s="579" customFormat="1" ht="33" spans="1:5">
      <c r="A260" s="10">
        <v>258</v>
      </c>
      <c r="B260" s="12" t="s">
        <v>721</v>
      </c>
      <c r="C260" s="580">
        <v>217134.08</v>
      </c>
      <c r="D260" s="580">
        <v>4342.6816</v>
      </c>
      <c r="E260" s="580">
        <v>500</v>
      </c>
    </row>
    <row r="261" s="579" customFormat="1" ht="33" spans="1:5">
      <c r="A261" s="10">
        <v>259</v>
      </c>
      <c r="B261" s="12" t="s">
        <v>723</v>
      </c>
      <c r="C261" s="580">
        <v>242018.08</v>
      </c>
      <c r="D261" s="580">
        <v>4840.3616</v>
      </c>
      <c r="E261" s="580">
        <v>500</v>
      </c>
    </row>
    <row r="262" s="579" customFormat="1" ht="33" spans="1:5">
      <c r="A262" s="10">
        <v>260</v>
      </c>
      <c r="B262" s="12" t="s">
        <v>725</v>
      </c>
      <c r="C262" s="580">
        <v>217132.08</v>
      </c>
      <c r="D262" s="580">
        <v>4342.6416</v>
      </c>
      <c r="E262" s="580">
        <v>500</v>
      </c>
    </row>
    <row r="263" s="579" customFormat="1" ht="33" spans="1:5">
      <c r="A263" s="10">
        <v>261</v>
      </c>
      <c r="B263" s="12" t="s">
        <v>727</v>
      </c>
      <c r="C263" s="580">
        <v>242018.08</v>
      </c>
      <c r="D263" s="580">
        <v>4840.3616</v>
      </c>
      <c r="E263" s="580">
        <v>500</v>
      </c>
    </row>
    <row r="264" s="579" customFormat="1" ht="33" spans="1:5">
      <c r="A264" s="10">
        <v>262</v>
      </c>
      <c r="B264" s="12" t="s">
        <v>729</v>
      </c>
      <c r="C264" s="580">
        <v>242018.08</v>
      </c>
      <c r="D264" s="580">
        <v>4840.3616</v>
      </c>
      <c r="E264" s="580">
        <v>500</v>
      </c>
    </row>
    <row r="265" s="579" customFormat="1" ht="33" spans="1:5">
      <c r="A265" s="10">
        <v>263</v>
      </c>
      <c r="B265" s="12" t="s">
        <v>731</v>
      </c>
      <c r="C265" s="580">
        <v>242018.08</v>
      </c>
      <c r="D265" s="580">
        <v>4840.3616</v>
      </c>
      <c r="E265" s="580">
        <v>500</v>
      </c>
    </row>
    <row r="266" s="579" customFormat="1" ht="33" spans="1:5">
      <c r="A266" s="10">
        <v>264</v>
      </c>
      <c r="B266" s="12" t="s">
        <v>733</v>
      </c>
      <c r="C266" s="580">
        <v>242018.08</v>
      </c>
      <c r="D266" s="580">
        <v>4840.3616</v>
      </c>
      <c r="E266" s="580">
        <v>500</v>
      </c>
    </row>
    <row r="267" s="579" customFormat="1" ht="33" spans="1:5">
      <c r="A267" s="10">
        <v>265</v>
      </c>
      <c r="B267" s="12" t="s">
        <v>735</v>
      </c>
      <c r="C267" s="580">
        <v>242018.08</v>
      </c>
      <c r="D267" s="580">
        <v>4840.3616</v>
      </c>
      <c r="E267" s="580">
        <v>500</v>
      </c>
    </row>
    <row r="268" s="579" customFormat="1" ht="33" spans="1:5">
      <c r="A268" s="10">
        <v>266</v>
      </c>
      <c r="B268" s="12" t="s">
        <v>737</v>
      </c>
      <c r="C268" s="580">
        <v>242018.08</v>
      </c>
      <c r="D268" s="580">
        <v>4840.3616</v>
      </c>
      <c r="E268" s="580">
        <v>500</v>
      </c>
    </row>
    <row r="269" s="579" customFormat="1" ht="33" spans="1:5">
      <c r="A269" s="10">
        <v>267</v>
      </c>
      <c r="B269" s="12" t="s">
        <v>739</v>
      </c>
      <c r="C269" s="580">
        <v>242018.08</v>
      </c>
      <c r="D269" s="580">
        <v>4840.3616</v>
      </c>
      <c r="E269" s="580">
        <v>500</v>
      </c>
    </row>
    <row r="270" s="579" customFormat="1" ht="33" spans="1:5">
      <c r="A270" s="10">
        <v>268</v>
      </c>
      <c r="B270" s="12" t="s">
        <v>741</v>
      </c>
      <c r="C270" s="580">
        <v>217132.08</v>
      </c>
      <c r="D270" s="580">
        <v>4342.6416</v>
      </c>
      <c r="E270" s="580">
        <v>500</v>
      </c>
    </row>
    <row r="271" s="579" customFormat="1" ht="33" spans="1:5">
      <c r="A271" s="10">
        <v>269</v>
      </c>
      <c r="B271" s="12" t="s">
        <v>743</v>
      </c>
      <c r="C271" s="580">
        <v>242018.08</v>
      </c>
      <c r="D271" s="580">
        <v>4840.3616</v>
      </c>
      <c r="E271" s="580">
        <v>500</v>
      </c>
    </row>
    <row r="272" s="579" customFormat="1" ht="33" spans="1:5">
      <c r="A272" s="10">
        <v>270</v>
      </c>
      <c r="B272" s="12" t="s">
        <v>745</v>
      </c>
      <c r="C272" s="580">
        <v>242018.08</v>
      </c>
      <c r="D272" s="580">
        <v>4840.3616</v>
      </c>
      <c r="E272" s="580">
        <v>500</v>
      </c>
    </row>
    <row r="273" s="579" customFormat="1" ht="33" spans="1:5">
      <c r="A273" s="10">
        <v>271</v>
      </c>
      <c r="B273" s="12" t="s">
        <v>747</v>
      </c>
      <c r="C273" s="580">
        <v>242018.08</v>
      </c>
      <c r="D273" s="580">
        <v>4840.3616</v>
      </c>
      <c r="E273" s="580">
        <v>500</v>
      </c>
    </row>
    <row r="274" s="579" customFormat="1" ht="33" spans="1:5">
      <c r="A274" s="10">
        <v>272</v>
      </c>
      <c r="B274" s="12" t="s">
        <v>749</v>
      </c>
      <c r="C274" s="580">
        <v>242018.08</v>
      </c>
      <c r="D274" s="580">
        <v>4840.3616</v>
      </c>
      <c r="E274" s="580">
        <v>500</v>
      </c>
    </row>
    <row r="275" s="579" customFormat="1" ht="33" spans="1:5">
      <c r="A275" s="10">
        <v>273</v>
      </c>
      <c r="B275" s="12" t="s">
        <v>751</v>
      </c>
      <c r="C275" s="580">
        <v>242018.08</v>
      </c>
      <c r="D275" s="580">
        <v>4840.3616</v>
      </c>
      <c r="E275" s="580">
        <v>500</v>
      </c>
    </row>
    <row r="276" s="579" customFormat="1" ht="33" spans="1:5">
      <c r="A276" s="10">
        <v>274</v>
      </c>
      <c r="B276" s="12" t="s">
        <v>753</v>
      </c>
      <c r="C276" s="580">
        <v>242018.08</v>
      </c>
      <c r="D276" s="580">
        <v>4840.3616</v>
      </c>
      <c r="E276" s="580">
        <v>500</v>
      </c>
    </row>
    <row r="277" s="579" customFormat="1" ht="33" spans="1:5">
      <c r="A277" s="10">
        <v>275</v>
      </c>
      <c r="B277" s="12" t="s">
        <v>755</v>
      </c>
      <c r="C277" s="580">
        <v>242018.08</v>
      </c>
      <c r="D277" s="580">
        <v>4840.3616</v>
      </c>
      <c r="E277" s="580">
        <v>500</v>
      </c>
    </row>
    <row r="278" s="579" customFormat="1" ht="33" spans="1:5">
      <c r="A278" s="10">
        <v>276</v>
      </c>
      <c r="B278" s="12" t="s">
        <v>757</v>
      </c>
      <c r="C278" s="580">
        <v>242018.08</v>
      </c>
      <c r="D278" s="580">
        <v>4840.3616</v>
      </c>
      <c r="E278" s="580">
        <v>500</v>
      </c>
    </row>
    <row r="279" s="579" customFormat="1" ht="33" spans="1:5">
      <c r="A279" s="10">
        <v>277</v>
      </c>
      <c r="B279" s="12" t="s">
        <v>759</v>
      </c>
      <c r="C279" s="580">
        <v>242018.08</v>
      </c>
      <c r="D279" s="580">
        <v>4840.3616</v>
      </c>
      <c r="E279" s="580">
        <v>500</v>
      </c>
    </row>
    <row r="280" s="579" customFormat="1" ht="33" spans="1:5">
      <c r="A280" s="10">
        <v>278</v>
      </c>
      <c r="B280" s="12" t="s">
        <v>761</v>
      </c>
      <c r="C280" s="580">
        <v>300883.83</v>
      </c>
      <c r="D280" s="580">
        <v>6017.6766</v>
      </c>
      <c r="E280" s="580">
        <v>500</v>
      </c>
    </row>
    <row r="281" s="579" customFormat="1" ht="33" spans="1:5">
      <c r="A281" s="10">
        <v>279</v>
      </c>
      <c r="B281" s="12" t="s">
        <v>763</v>
      </c>
      <c r="C281" s="580">
        <v>291750.83</v>
      </c>
      <c r="D281" s="580">
        <v>5835.0166</v>
      </c>
      <c r="E281" s="580">
        <v>500</v>
      </c>
    </row>
    <row r="282" s="579" customFormat="1" ht="33" spans="1:5">
      <c r="A282" s="10">
        <v>280</v>
      </c>
      <c r="B282" s="12" t="s">
        <v>765</v>
      </c>
      <c r="C282" s="580">
        <v>291750.83</v>
      </c>
      <c r="D282" s="580">
        <v>5835.0166</v>
      </c>
      <c r="E282" s="580">
        <v>500</v>
      </c>
    </row>
    <row r="283" s="579" customFormat="1" ht="33" spans="1:5">
      <c r="A283" s="10">
        <v>281</v>
      </c>
      <c r="B283" s="12" t="s">
        <v>767</v>
      </c>
      <c r="C283" s="580">
        <v>242018.08</v>
      </c>
      <c r="D283" s="580">
        <v>4840.3616</v>
      </c>
      <c r="E283" s="580">
        <v>500</v>
      </c>
    </row>
    <row r="284" s="579" customFormat="1" ht="33" spans="1:5">
      <c r="A284" s="10">
        <v>282</v>
      </c>
      <c r="B284" s="12" t="s">
        <v>769</v>
      </c>
      <c r="C284" s="580">
        <v>242018.08</v>
      </c>
      <c r="D284" s="580">
        <v>4840.3616</v>
      </c>
      <c r="E284" s="580">
        <v>500</v>
      </c>
    </row>
    <row r="285" s="579" customFormat="1" ht="33" spans="1:5">
      <c r="A285" s="10">
        <v>283</v>
      </c>
      <c r="B285" s="12" t="s">
        <v>771</v>
      </c>
      <c r="C285" s="580">
        <v>242018.08</v>
      </c>
      <c r="D285" s="580">
        <v>4840.3616</v>
      </c>
      <c r="E285" s="580">
        <v>500</v>
      </c>
    </row>
    <row r="286" s="579" customFormat="1" ht="33" spans="1:5">
      <c r="A286" s="10">
        <v>284</v>
      </c>
      <c r="B286" s="12" t="s">
        <v>773</v>
      </c>
      <c r="C286" s="580">
        <v>242018.08</v>
      </c>
      <c r="D286" s="580">
        <v>4840.3616</v>
      </c>
      <c r="E286" s="580">
        <v>500</v>
      </c>
    </row>
    <row r="287" s="579" customFormat="1" ht="33" spans="1:5">
      <c r="A287" s="10">
        <v>285</v>
      </c>
      <c r="B287" s="12" t="s">
        <v>775</v>
      </c>
      <c r="C287" s="580">
        <v>242018.08</v>
      </c>
      <c r="D287" s="580">
        <v>4840.3616</v>
      </c>
      <c r="E287" s="580">
        <v>500</v>
      </c>
    </row>
    <row r="288" s="579" customFormat="1" ht="33" spans="1:5">
      <c r="A288" s="10">
        <v>286</v>
      </c>
      <c r="B288" s="12" t="s">
        <v>777</v>
      </c>
      <c r="C288" s="580">
        <v>242018.08</v>
      </c>
      <c r="D288" s="580">
        <v>4840.3616</v>
      </c>
      <c r="E288" s="580">
        <v>500</v>
      </c>
    </row>
    <row r="289" s="579" customFormat="1" ht="33" spans="1:5">
      <c r="A289" s="10">
        <v>287</v>
      </c>
      <c r="B289" s="12" t="s">
        <v>779</v>
      </c>
      <c r="C289" s="580">
        <v>242018.08</v>
      </c>
      <c r="D289" s="580">
        <v>4840.3616</v>
      </c>
      <c r="E289" s="580">
        <v>500</v>
      </c>
    </row>
    <row r="290" s="579" customFormat="1" ht="33" spans="1:5">
      <c r="A290" s="10">
        <v>288</v>
      </c>
      <c r="B290" s="12" t="s">
        <v>781</v>
      </c>
      <c r="C290" s="580">
        <v>242018.08</v>
      </c>
      <c r="D290" s="580">
        <v>4840.3616</v>
      </c>
      <c r="E290" s="580">
        <v>500</v>
      </c>
    </row>
    <row r="291" s="579" customFormat="1" ht="33" spans="1:5">
      <c r="A291" s="10">
        <v>289</v>
      </c>
      <c r="B291" s="12" t="s">
        <v>783</v>
      </c>
      <c r="C291" s="580">
        <v>242018.08</v>
      </c>
      <c r="D291" s="580">
        <v>4840.3616</v>
      </c>
      <c r="E291" s="580">
        <v>500</v>
      </c>
    </row>
    <row r="292" s="579" customFormat="1" ht="33" spans="1:5">
      <c r="A292" s="10">
        <v>290</v>
      </c>
      <c r="B292" s="12" t="s">
        <v>785</v>
      </c>
      <c r="C292" s="580">
        <v>242018.08</v>
      </c>
      <c r="D292" s="580">
        <v>4840.3616</v>
      </c>
      <c r="E292" s="580">
        <v>500</v>
      </c>
    </row>
    <row r="293" s="579" customFormat="1" ht="33" spans="1:5">
      <c r="A293" s="10">
        <v>291</v>
      </c>
      <c r="B293" s="12" t="s">
        <v>787</v>
      </c>
      <c r="C293" s="580">
        <v>242018.08</v>
      </c>
      <c r="D293" s="580">
        <v>4840.3616</v>
      </c>
      <c r="E293" s="580">
        <v>500</v>
      </c>
    </row>
    <row r="294" s="579" customFormat="1" ht="33" spans="1:5">
      <c r="A294" s="10">
        <v>292</v>
      </c>
      <c r="B294" s="12" t="s">
        <v>789</v>
      </c>
      <c r="C294" s="580">
        <v>242018.08</v>
      </c>
      <c r="D294" s="580">
        <v>4840.3616</v>
      </c>
      <c r="E294" s="580">
        <v>500</v>
      </c>
    </row>
    <row r="295" s="579" customFormat="1" ht="33" spans="1:5">
      <c r="A295" s="10">
        <v>293</v>
      </c>
      <c r="B295" s="12" t="s">
        <v>791</v>
      </c>
      <c r="C295" s="580">
        <v>242018.08</v>
      </c>
      <c r="D295" s="580">
        <v>4840.3616</v>
      </c>
      <c r="E295" s="580">
        <v>500</v>
      </c>
    </row>
    <row r="296" s="579" customFormat="1" ht="33" spans="1:5">
      <c r="A296" s="10">
        <v>294</v>
      </c>
      <c r="B296" s="12" t="s">
        <v>793</v>
      </c>
      <c r="C296" s="580">
        <v>242018.08</v>
      </c>
      <c r="D296" s="580">
        <v>4840.3616</v>
      </c>
      <c r="E296" s="580">
        <v>500</v>
      </c>
    </row>
    <row r="297" s="579" customFormat="1" ht="33" spans="1:5">
      <c r="A297" s="10">
        <v>295</v>
      </c>
      <c r="B297" s="12" t="s">
        <v>795</v>
      </c>
      <c r="C297" s="580">
        <v>192875.25</v>
      </c>
      <c r="D297" s="580">
        <v>3857.505</v>
      </c>
      <c r="E297" s="580">
        <v>500</v>
      </c>
    </row>
    <row r="298" s="579" customFormat="1" ht="33" spans="1:5">
      <c r="A298" s="10">
        <v>296</v>
      </c>
      <c r="B298" s="12" t="s">
        <v>797</v>
      </c>
      <c r="C298" s="580">
        <v>192875.25</v>
      </c>
      <c r="D298" s="580">
        <v>3857.505</v>
      </c>
      <c r="E298" s="580">
        <v>500</v>
      </c>
    </row>
    <row r="299" s="579" customFormat="1" ht="33" spans="1:5">
      <c r="A299" s="10">
        <v>297</v>
      </c>
      <c r="B299" s="12" t="s">
        <v>799</v>
      </c>
      <c r="C299" s="580">
        <v>192875.25</v>
      </c>
      <c r="D299" s="580">
        <v>3857.505</v>
      </c>
      <c r="E299" s="580">
        <v>500</v>
      </c>
    </row>
    <row r="300" s="579" customFormat="1" ht="33" spans="1:5">
      <c r="A300" s="10">
        <v>298</v>
      </c>
      <c r="B300" s="12" t="s">
        <v>801</v>
      </c>
      <c r="C300" s="580">
        <v>192875.25</v>
      </c>
      <c r="D300" s="580">
        <v>3857.505</v>
      </c>
      <c r="E300" s="580">
        <v>500</v>
      </c>
    </row>
    <row r="301" s="579" customFormat="1" ht="33" spans="1:5">
      <c r="A301" s="10">
        <v>299</v>
      </c>
      <c r="B301" s="12" t="s">
        <v>803</v>
      </c>
      <c r="C301" s="580">
        <v>217132.08</v>
      </c>
      <c r="D301" s="580">
        <v>4342.6416</v>
      </c>
      <c r="E301" s="580">
        <v>500</v>
      </c>
    </row>
    <row r="302" s="579" customFormat="1" ht="33" spans="1:5">
      <c r="A302" s="10">
        <v>300</v>
      </c>
      <c r="B302" s="12" t="s">
        <v>805</v>
      </c>
      <c r="C302" s="580">
        <v>192875.25</v>
      </c>
      <c r="D302" s="580">
        <v>3857.505</v>
      </c>
      <c r="E302" s="580">
        <v>500</v>
      </c>
    </row>
    <row r="303" s="579" customFormat="1" ht="33" spans="1:5">
      <c r="A303" s="10">
        <v>301</v>
      </c>
      <c r="B303" s="12" t="s">
        <v>807</v>
      </c>
      <c r="C303" s="580">
        <v>188419.17</v>
      </c>
      <c r="D303" s="580">
        <v>3768.3834</v>
      </c>
      <c r="E303" s="580">
        <v>500</v>
      </c>
    </row>
    <row r="304" s="579" customFormat="1" ht="33" spans="1:5">
      <c r="A304" s="10">
        <v>302</v>
      </c>
      <c r="B304" s="12" t="s">
        <v>810</v>
      </c>
      <c r="C304" s="580">
        <v>188419.17</v>
      </c>
      <c r="D304" s="580">
        <v>3768.3834</v>
      </c>
      <c r="E304" s="580">
        <v>500</v>
      </c>
    </row>
    <row r="305" s="579" customFormat="1" ht="33" spans="1:5">
      <c r="A305" s="10">
        <v>303</v>
      </c>
      <c r="B305" s="12" t="s">
        <v>812</v>
      </c>
      <c r="C305" s="580">
        <v>188419.17</v>
      </c>
      <c r="D305" s="580">
        <v>3768.3834</v>
      </c>
      <c r="E305" s="580">
        <v>500</v>
      </c>
    </row>
    <row r="306" s="579" customFormat="1" ht="33" spans="1:5">
      <c r="A306" s="10">
        <v>304</v>
      </c>
      <c r="B306" s="12" t="s">
        <v>814</v>
      </c>
      <c r="C306" s="580">
        <v>188419.17</v>
      </c>
      <c r="D306" s="580">
        <v>3768.3834</v>
      </c>
      <c r="E306" s="580">
        <v>500</v>
      </c>
    </row>
    <row r="307" s="579" customFormat="1" ht="33" spans="1:5">
      <c r="A307" s="10">
        <v>305</v>
      </c>
      <c r="B307" s="12" t="s">
        <v>817</v>
      </c>
      <c r="C307" s="580">
        <v>188419.17</v>
      </c>
      <c r="D307" s="580">
        <v>3768.3834</v>
      </c>
      <c r="E307" s="580">
        <v>500</v>
      </c>
    </row>
    <row r="308" s="579" customFormat="1" ht="33" spans="1:5">
      <c r="A308" s="10">
        <v>306</v>
      </c>
      <c r="B308" s="12" t="s">
        <v>819</v>
      </c>
      <c r="C308" s="580">
        <v>188419.17</v>
      </c>
      <c r="D308" s="580">
        <v>3768.3834</v>
      </c>
      <c r="E308" s="580">
        <v>500</v>
      </c>
    </row>
    <row r="309" s="579" customFormat="1" ht="33" spans="1:5">
      <c r="A309" s="10">
        <v>307</v>
      </c>
      <c r="B309" s="12" t="s">
        <v>821</v>
      </c>
      <c r="C309" s="580">
        <v>188419.17</v>
      </c>
      <c r="D309" s="580">
        <v>3768.3834</v>
      </c>
      <c r="E309" s="580">
        <v>500</v>
      </c>
    </row>
    <row r="310" s="579" customFormat="1" ht="33" spans="1:5">
      <c r="A310" s="10">
        <v>308</v>
      </c>
      <c r="B310" s="12" t="s">
        <v>823</v>
      </c>
      <c r="C310" s="580">
        <v>188419.17</v>
      </c>
      <c r="D310" s="580">
        <v>3768.3834</v>
      </c>
      <c r="E310" s="580">
        <v>500</v>
      </c>
    </row>
    <row r="311" s="579" customFormat="1" ht="33" spans="1:5">
      <c r="A311" s="10">
        <v>309</v>
      </c>
      <c r="B311" s="12" t="s">
        <v>825</v>
      </c>
      <c r="C311" s="580">
        <v>188419.17</v>
      </c>
      <c r="D311" s="580">
        <v>3768.3834</v>
      </c>
      <c r="E311" s="580">
        <v>500</v>
      </c>
    </row>
    <row r="312" s="579" customFormat="1" ht="33" spans="1:5">
      <c r="A312" s="10">
        <v>310</v>
      </c>
      <c r="B312" s="12" t="s">
        <v>827</v>
      </c>
      <c r="C312" s="580">
        <v>188419.17</v>
      </c>
      <c r="D312" s="580">
        <v>3768.3834</v>
      </c>
      <c r="E312" s="580">
        <v>500</v>
      </c>
    </row>
    <row r="313" s="579" customFormat="1" ht="33" spans="1:5">
      <c r="A313" s="10">
        <v>311</v>
      </c>
      <c r="B313" s="12" t="s">
        <v>829</v>
      </c>
      <c r="C313" s="580">
        <v>188419.17</v>
      </c>
      <c r="D313" s="580">
        <v>3768.3834</v>
      </c>
      <c r="E313" s="580">
        <v>500</v>
      </c>
    </row>
    <row r="314" s="579" customFormat="1" ht="33" spans="1:5">
      <c r="A314" s="10">
        <v>312</v>
      </c>
      <c r="B314" s="12" t="s">
        <v>831</v>
      </c>
      <c r="C314" s="580">
        <v>188419.17</v>
      </c>
      <c r="D314" s="580">
        <v>3768.3834</v>
      </c>
      <c r="E314" s="580">
        <v>500</v>
      </c>
    </row>
    <row r="315" s="579" customFormat="1" ht="33" spans="1:5">
      <c r="A315" s="10">
        <v>313</v>
      </c>
      <c r="B315" s="12" t="s">
        <v>833</v>
      </c>
      <c r="C315" s="580">
        <v>188420.17</v>
      </c>
      <c r="D315" s="580">
        <v>3768.4034</v>
      </c>
      <c r="E315" s="580">
        <v>500</v>
      </c>
    </row>
    <row r="316" s="579" customFormat="1" ht="33" spans="1:5">
      <c r="A316" s="10">
        <v>314</v>
      </c>
      <c r="B316" s="12" t="s">
        <v>835</v>
      </c>
      <c r="C316" s="580">
        <v>188419.17</v>
      </c>
      <c r="D316" s="580">
        <v>3768.3834</v>
      </c>
      <c r="E316" s="580">
        <v>500</v>
      </c>
    </row>
    <row r="317" s="579" customFormat="1" ht="33" spans="1:5">
      <c r="A317" s="10">
        <v>315</v>
      </c>
      <c r="B317" s="12" t="s">
        <v>836</v>
      </c>
      <c r="C317" s="580">
        <v>188420.17</v>
      </c>
      <c r="D317" s="580">
        <v>3768.4034</v>
      </c>
      <c r="E317" s="580">
        <v>500</v>
      </c>
    </row>
    <row r="318" s="579" customFormat="1" ht="33" spans="1:5">
      <c r="A318" s="10">
        <v>316</v>
      </c>
      <c r="B318" s="12" t="s">
        <v>837</v>
      </c>
      <c r="C318" s="580">
        <v>236319.33</v>
      </c>
      <c r="D318" s="580">
        <v>4726.3866</v>
      </c>
      <c r="E318" s="580">
        <v>500</v>
      </c>
    </row>
    <row r="319" s="579" customFormat="1" ht="33" spans="1:5">
      <c r="A319" s="10">
        <v>317</v>
      </c>
      <c r="B319" s="12" t="s">
        <v>839</v>
      </c>
      <c r="C319" s="580">
        <v>211887</v>
      </c>
      <c r="D319" s="580">
        <v>4237.74</v>
      </c>
      <c r="E319" s="580">
        <v>500</v>
      </c>
    </row>
    <row r="320" s="579" customFormat="1" ht="33" spans="1:5">
      <c r="A320" s="10">
        <v>318</v>
      </c>
      <c r="B320" s="12" t="s">
        <v>843</v>
      </c>
      <c r="C320" s="580">
        <v>188419.17</v>
      </c>
      <c r="D320" s="580">
        <v>3768.3834</v>
      </c>
      <c r="E320" s="580">
        <v>500</v>
      </c>
    </row>
    <row r="321" s="579" customFormat="1" ht="33" spans="1:5">
      <c r="A321" s="10">
        <v>319</v>
      </c>
      <c r="B321" s="12" t="s">
        <v>845</v>
      </c>
      <c r="C321" s="580">
        <v>188420.17</v>
      </c>
      <c r="D321" s="580">
        <v>3768.4034</v>
      </c>
      <c r="E321" s="580">
        <v>500</v>
      </c>
    </row>
    <row r="322" s="579" customFormat="1" ht="33" spans="1:5">
      <c r="A322" s="10">
        <v>320</v>
      </c>
      <c r="B322" s="12" t="s">
        <v>847</v>
      </c>
      <c r="C322" s="580">
        <v>188421.17</v>
      </c>
      <c r="D322" s="580">
        <v>3768.4234</v>
      </c>
      <c r="E322" s="580">
        <v>500</v>
      </c>
    </row>
    <row r="323" s="579" customFormat="1" ht="33" spans="1:5">
      <c r="A323" s="10">
        <v>321</v>
      </c>
      <c r="B323" s="12" t="s">
        <v>848</v>
      </c>
      <c r="C323" s="580">
        <v>188421.17</v>
      </c>
      <c r="D323" s="580">
        <v>3768.4234</v>
      </c>
      <c r="E323" s="580">
        <v>500</v>
      </c>
    </row>
    <row r="324" s="579" customFormat="1" ht="33" spans="1:5">
      <c r="A324" s="10">
        <v>322</v>
      </c>
      <c r="B324" s="12" t="s">
        <v>850</v>
      </c>
      <c r="C324" s="580">
        <v>188421.17</v>
      </c>
      <c r="D324" s="580">
        <v>3768.4234</v>
      </c>
      <c r="E324" s="580">
        <v>500</v>
      </c>
    </row>
    <row r="325" s="579" customFormat="1" ht="33" spans="1:5">
      <c r="A325" s="10">
        <v>323</v>
      </c>
      <c r="B325" s="12" t="s">
        <v>852</v>
      </c>
      <c r="C325" s="580">
        <v>188422.17</v>
      </c>
      <c r="D325" s="580">
        <v>3768.4434</v>
      </c>
      <c r="E325" s="580">
        <v>500</v>
      </c>
    </row>
    <row r="326" s="579" customFormat="1" ht="33" spans="1:5">
      <c r="A326" s="10">
        <v>324</v>
      </c>
      <c r="B326" s="12" t="s">
        <v>854</v>
      </c>
      <c r="C326" s="580">
        <v>188423.17</v>
      </c>
      <c r="D326" s="580">
        <v>3768.4634</v>
      </c>
      <c r="E326" s="580">
        <v>500</v>
      </c>
    </row>
    <row r="327" s="579" customFormat="1" ht="33" spans="1:5">
      <c r="A327" s="10">
        <v>325</v>
      </c>
      <c r="B327" s="12" t="s">
        <v>855</v>
      </c>
      <c r="C327" s="580">
        <v>188419.17</v>
      </c>
      <c r="D327" s="580">
        <v>3768.3834</v>
      </c>
      <c r="E327" s="580">
        <v>500</v>
      </c>
    </row>
    <row r="328" s="579" customFormat="1" ht="33" spans="1:5">
      <c r="A328" s="10">
        <v>326</v>
      </c>
      <c r="B328" s="12" t="s">
        <v>856</v>
      </c>
      <c r="C328" s="580">
        <v>188419.17</v>
      </c>
      <c r="D328" s="580">
        <v>3768.3834</v>
      </c>
      <c r="E328" s="580">
        <v>500</v>
      </c>
    </row>
    <row r="329" ht="105" customHeight="1" spans="1:5">
      <c r="A329" s="581"/>
      <c r="B329" s="19" t="s">
        <v>867</v>
      </c>
      <c r="C329" s="582">
        <f>SUM(C3:C328)</f>
        <v>95193273.8163331</v>
      </c>
      <c r="D329" s="582">
        <f>SUM(D3:D328)</f>
        <v>1903865.47632666</v>
      </c>
      <c r="E329" s="582">
        <f>SUM(E3:E328)</f>
        <v>160500</v>
      </c>
    </row>
    <row r="330" ht="105" customHeight="1"/>
    <row r="331" ht="105" customHeight="1"/>
    <row r="332" ht="105" customHeight="1"/>
    <row r="333" ht="105" customHeight="1"/>
  </sheetData>
  <mergeCells count="1">
    <mergeCell ref="A1:E1"/>
  </mergeCells>
  <pageMargins left="0.7" right="0.7" top="0.75" bottom="0.75" header="0.3" footer="0.3"/>
  <pageSetup paperSize="1" scale="3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9"/>
  <sheetViews>
    <sheetView view="pageBreakPreview" zoomScale="60" zoomScaleNormal="100" workbookViewId="0">
      <selection activeCell="B15" sqref="B15"/>
    </sheetView>
  </sheetViews>
  <sheetFormatPr defaultColWidth="11" defaultRowHeight="15" outlineLevelCol="3"/>
  <cols>
    <col min="1" max="1" width="19.5047619047619" style="2" customWidth="1"/>
    <col min="2" max="2" width="72.3333333333333" customWidth="1"/>
    <col min="3" max="3" width="44.6666666666667" customWidth="1"/>
  </cols>
  <sheetData>
    <row r="1" ht="101" customHeight="1" spans="1:3">
      <c r="A1" s="576" t="s">
        <v>1833</v>
      </c>
      <c r="B1" s="576"/>
      <c r="C1" s="576"/>
    </row>
    <row r="2" ht="57" customHeight="1" spans="1:3">
      <c r="A2" s="32" t="s">
        <v>2</v>
      </c>
      <c r="B2" s="32" t="s">
        <v>3</v>
      </c>
      <c r="C2" s="32" t="s">
        <v>862</v>
      </c>
    </row>
    <row r="3" ht="32.25" spans="1:3">
      <c r="A3" s="10">
        <v>1</v>
      </c>
      <c r="B3" s="12" t="s">
        <v>89</v>
      </c>
      <c r="C3" s="13">
        <v>100000</v>
      </c>
    </row>
    <row r="4" ht="32.25" spans="1:3">
      <c r="A4" s="10">
        <v>2</v>
      </c>
      <c r="B4" s="12" t="s">
        <v>129</v>
      </c>
      <c r="C4" s="13">
        <v>21000</v>
      </c>
    </row>
    <row r="5" ht="32.25" spans="1:3">
      <c r="A5" s="10">
        <v>3</v>
      </c>
      <c r="B5" s="12" t="s">
        <v>137</v>
      </c>
      <c r="C5" s="13">
        <v>101667</v>
      </c>
    </row>
    <row r="6" ht="32.25" spans="1:3">
      <c r="A6" s="10">
        <v>4</v>
      </c>
      <c r="B6" s="12" t="s">
        <v>166</v>
      </c>
      <c r="C6" s="13">
        <v>21000</v>
      </c>
    </row>
    <row r="7" ht="32.25" spans="1:3">
      <c r="A7" s="10">
        <v>5</v>
      </c>
      <c r="B7" s="12" t="s">
        <v>173</v>
      </c>
      <c r="C7" s="13">
        <v>76667</v>
      </c>
    </row>
    <row r="8" ht="32.25" spans="1:3">
      <c r="A8" s="10">
        <v>6</v>
      </c>
      <c r="B8" s="12" t="s">
        <v>180</v>
      </c>
      <c r="C8" s="13">
        <v>93334</v>
      </c>
    </row>
    <row r="9" ht="32.25" spans="1:3">
      <c r="A9" s="10">
        <v>7</v>
      </c>
      <c r="B9" s="12" t="s">
        <v>182</v>
      </c>
      <c r="C9" s="13">
        <v>109688</v>
      </c>
    </row>
    <row r="10" ht="32.25" spans="1:3">
      <c r="A10" s="10">
        <v>8</v>
      </c>
      <c r="B10" s="12" t="s">
        <v>184</v>
      </c>
      <c r="C10" s="13">
        <v>40834</v>
      </c>
    </row>
    <row r="11" ht="32.25" spans="1:3">
      <c r="A11" s="10">
        <v>9</v>
      </c>
      <c r="B11" s="12" t="s">
        <v>190</v>
      </c>
      <c r="C11" s="13">
        <v>26667</v>
      </c>
    </row>
    <row r="12" ht="32.25" spans="1:3">
      <c r="A12" s="10">
        <v>10</v>
      </c>
      <c r="B12" s="12" t="s">
        <v>202</v>
      </c>
      <c r="C12" s="13">
        <v>61667</v>
      </c>
    </row>
    <row r="13" ht="32.25" spans="1:3">
      <c r="A13" s="10">
        <v>11</v>
      </c>
      <c r="B13" s="12" t="s">
        <v>222</v>
      </c>
      <c r="C13" s="13">
        <v>45000</v>
      </c>
    </row>
    <row r="14" ht="32.25" spans="1:3">
      <c r="A14" s="10">
        <v>12</v>
      </c>
      <c r="B14" s="12" t="s">
        <v>224</v>
      </c>
      <c r="C14" s="13">
        <v>75000</v>
      </c>
    </row>
    <row r="15" ht="32.25" spans="1:3">
      <c r="A15" s="10">
        <v>13</v>
      </c>
      <c r="B15" s="12" t="s">
        <v>262</v>
      </c>
      <c r="C15" s="13">
        <v>30000</v>
      </c>
    </row>
    <row r="16" ht="32.25" spans="1:3">
      <c r="A16" s="10">
        <v>14</v>
      </c>
      <c r="B16" s="12" t="s">
        <v>265</v>
      </c>
      <c r="C16" s="13">
        <v>11000</v>
      </c>
    </row>
    <row r="17" ht="32.25" spans="1:3">
      <c r="A17" s="10">
        <v>15</v>
      </c>
      <c r="B17" s="12" t="s">
        <v>282</v>
      </c>
      <c r="C17" s="13">
        <v>52250</v>
      </c>
    </row>
    <row r="18" ht="32.25" spans="1:3">
      <c r="A18" s="10">
        <v>16</v>
      </c>
      <c r="B18" s="12" t="s">
        <v>289</v>
      </c>
      <c r="C18" s="13">
        <v>71667</v>
      </c>
    </row>
    <row r="19" ht="32.25" spans="1:3">
      <c r="A19" s="10">
        <v>17</v>
      </c>
      <c r="B19" s="12" t="s">
        <v>290</v>
      </c>
      <c r="C19" s="13">
        <v>88334</v>
      </c>
    </row>
    <row r="20" ht="32.25" spans="1:3">
      <c r="A20" s="10">
        <v>18</v>
      </c>
      <c r="B20" s="12" t="s">
        <v>300</v>
      </c>
      <c r="C20" s="13">
        <v>100000</v>
      </c>
    </row>
    <row r="21" ht="32.25" spans="1:3">
      <c r="A21" s="10">
        <v>19</v>
      </c>
      <c r="B21" s="12" t="s">
        <v>312</v>
      </c>
      <c r="C21" s="13">
        <v>21667</v>
      </c>
    </row>
    <row r="22" ht="32.25" spans="1:3">
      <c r="A22" s="10">
        <v>20</v>
      </c>
      <c r="B22" s="12" t="s">
        <v>320</v>
      </c>
      <c r="C22" s="13">
        <v>50000</v>
      </c>
    </row>
    <row r="23" ht="32.25" spans="1:3">
      <c r="A23" s="10">
        <v>21</v>
      </c>
      <c r="B23" s="12" t="s">
        <v>324</v>
      </c>
      <c r="C23" s="13">
        <v>61667</v>
      </c>
    </row>
    <row r="24" ht="32.25" spans="1:3">
      <c r="A24" s="10">
        <v>22</v>
      </c>
      <c r="B24" s="12" t="s">
        <v>326</v>
      </c>
      <c r="C24" s="13">
        <v>10000</v>
      </c>
    </row>
    <row r="25" ht="32.25" spans="1:3">
      <c r="A25" s="10">
        <v>23</v>
      </c>
      <c r="B25" s="12" t="s">
        <v>327</v>
      </c>
      <c r="C25" s="13">
        <v>5000</v>
      </c>
    </row>
    <row r="26" ht="32.25" spans="1:3">
      <c r="A26" s="10">
        <v>24</v>
      </c>
      <c r="B26" s="12" t="s">
        <v>330</v>
      </c>
      <c r="C26" s="13">
        <v>130625</v>
      </c>
    </row>
    <row r="27" ht="32.25" spans="1:3">
      <c r="A27" s="10">
        <v>25</v>
      </c>
      <c r="B27" s="12" t="s">
        <v>339</v>
      </c>
      <c r="C27" s="13">
        <v>135000</v>
      </c>
    </row>
    <row r="28" ht="32.25" spans="1:3">
      <c r="A28" s="10">
        <v>26</v>
      </c>
      <c r="B28" s="12" t="s">
        <v>355</v>
      </c>
      <c r="C28" s="13">
        <v>106250</v>
      </c>
    </row>
    <row r="29" ht="32.25" spans="1:3">
      <c r="A29" s="10">
        <v>27</v>
      </c>
      <c r="B29" s="12" t="s">
        <v>367</v>
      </c>
      <c r="C29" s="13">
        <v>70000</v>
      </c>
    </row>
    <row r="30" ht="32.25" spans="1:3">
      <c r="A30" s="10">
        <v>28</v>
      </c>
      <c r="B30" s="12" t="s">
        <v>371</v>
      </c>
      <c r="C30" s="13">
        <v>71667</v>
      </c>
    </row>
    <row r="31" ht="32.25" spans="1:3">
      <c r="A31" s="10">
        <v>29</v>
      </c>
      <c r="B31" s="12" t="s">
        <v>373</v>
      </c>
      <c r="C31" s="13">
        <v>35000</v>
      </c>
    </row>
    <row r="32" ht="32.25" spans="1:3">
      <c r="A32" s="10">
        <v>30</v>
      </c>
      <c r="B32" s="12" t="s">
        <v>375</v>
      </c>
      <c r="C32" s="13">
        <v>74167</v>
      </c>
    </row>
    <row r="33" ht="32.25" spans="1:3">
      <c r="A33" s="10">
        <v>31</v>
      </c>
      <c r="B33" s="12" t="s">
        <v>382</v>
      </c>
      <c r="C33" s="13">
        <v>10000</v>
      </c>
    </row>
    <row r="34" ht="32.25" spans="1:3">
      <c r="A34" s="10">
        <v>32</v>
      </c>
      <c r="B34" s="12" t="s">
        <v>383</v>
      </c>
      <c r="C34" s="13">
        <v>43718.75</v>
      </c>
    </row>
    <row r="35" ht="32.25" spans="1:3">
      <c r="A35" s="10">
        <v>33</v>
      </c>
      <c r="B35" s="12" t="s">
        <v>388</v>
      </c>
      <c r="C35" s="13">
        <v>44000</v>
      </c>
    </row>
    <row r="36" ht="32.25" spans="1:3">
      <c r="A36" s="10">
        <v>34</v>
      </c>
      <c r="B36" s="12" t="s">
        <v>390</v>
      </c>
      <c r="C36" s="13">
        <v>43334</v>
      </c>
    </row>
    <row r="37" ht="32.25" spans="1:3">
      <c r="A37" s="10">
        <v>35</v>
      </c>
      <c r="B37" s="12" t="s">
        <v>393</v>
      </c>
      <c r="C37" s="13">
        <v>20000</v>
      </c>
    </row>
    <row r="38" ht="32.25" spans="1:3">
      <c r="A38" s="10">
        <v>36</v>
      </c>
      <c r="B38" s="12" t="s">
        <v>396</v>
      </c>
      <c r="C38" s="13">
        <v>5000</v>
      </c>
    </row>
    <row r="39" ht="32.25" spans="1:3">
      <c r="A39" s="10">
        <v>37</v>
      </c>
      <c r="B39" s="12" t="s">
        <v>397</v>
      </c>
      <c r="C39" s="13">
        <v>26000</v>
      </c>
    </row>
    <row r="40" ht="32.25" spans="1:3">
      <c r="A40" s="10">
        <v>38</v>
      </c>
      <c r="B40" s="12" t="s">
        <v>400</v>
      </c>
      <c r="C40" s="13">
        <v>5000</v>
      </c>
    </row>
    <row r="41" ht="32.25" spans="1:3">
      <c r="A41" s="10">
        <v>39</v>
      </c>
      <c r="B41" s="12" t="s">
        <v>403</v>
      </c>
      <c r="C41" s="13">
        <v>121324</v>
      </c>
    </row>
    <row r="42" ht="32.25" spans="1:3">
      <c r="A42" s="10">
        <v>40</v>
      </c>
      <c r="B42" s="12" t="s">
        <v>404</v>
      </c>
      <c r="C42" s="13">
        <v>88334</v>
      </c>
    </row>
    <row r="43" ht="32.25" spans="1:3">
      <c r="A43" s="10">
        <v>41</v>
      </c>
      <c r="B43" s="12" t="s">
        <v>410</v>
      </c>
      <c r="C43" s="13">
        <v>5000</v>
      </c>
    </row>
    <row r="44" ht="32.25" spans="1:3">
      <c r="A44" s="10">
        <v>42</v>
      </c>
      <c r="B44" s="12" t="s">
        <v>412</v>
      </c>
      <c r="C44" s="13">
        <v>10000</v>
      </c>
    </row>
    <row r="45" ht="32.25" spans="1:3">
      <c r="A45" s="10">
        <v>43</v>
      </c>
      <c r="B45" s="12" t="s">
        <v>416</v>
      </c>
      <c r="C45" s="13">
        <v>10000</v>
      </c>
    </row>
    <row r="46" ht="32.25" spans="1:3">
      <c r="A46" s="10">
        <v>44</v>
      </c>
      <c r="B46" s="12" t="s">
        <v>417</v>
      </c>
      <c r="C46" s="13">
        <v>91667</v>
      </c>
    </row>
    <row r="47" ht="32.25" spans="1:3">
      <c r="A47" s="10">
        <v>45</v>
      </c>
      <c r="B47" s="12" t="s">
        <v>421</v>
      </c>
      <c r="C47" s="13">
        <v>47500</v>
      </c>
    </row>
    <row r="48" ht="32.25" spans="1:3">
      <c r="A48" s="10">
        <v>46</v>
      </c>
      <c r="B48" s="12" t="s">
        <v>423</v>
      </c>
      <c r="C48" s="13">
        <v>76667</v>
      </c>
    </row>
    <row r="49" ht="32.25" spans="1:3">
      <c r="A49" s="10">
        <v>47</v>
      </c>
      <c r="B49" s="12" t="s">
        <v>427</v>
      </c>
      <c r="C49" s="13">
        <v>31667</v>
      </c>
    </row>
    <row r="50" ht="32.25" spans="1:3">
      <c r="A50" s="10">
        <v>48</v>
      </c>
      <c r="B50" s="12" t="s">
        <v>429</v>
      </c>
      <c r="C50" s="13">
        <v>47500</v>
      </c>
    </row>
    <row r="51" ht="32.25" spans="1:3">
      <c r="A51" s="10">
        <v>49</v>
      </c>
      <c r="B51" s="12" t="s">
        <v>433</v>
      </c>
      <c r="C51" s="13">
        <v>20000</v>
      </c>
    </row>
    <row r="52" ht="32.25" spans="1:3">
      <c r="A52" s="10">
        <v>50</v>
      </c>
      <c r="B52" s="12" t="s">
        <v>452</v>
      </c>
      <c r="C52" s="13">
        <v>57780</v>
      </c>
    </row>
    <row r="53" ht="32.25" spans="1:3">
      <c r="A53" s="10">
        <v>51</v>
      </c>
      <c r="B53" s="12" t="s">
        <v>455</v>
      </c>
      <c r="C53" s="13">
        <v>93334</v>
      </c>
    </row>
    <row r="54" ht="32.25" spans="1:3">
      <c r="A54" s="10">
        <v>52</v>
      </c>
      <c r="B54" s="12" t="s">
        <v>457</v>
      </c>
      <c r="C54" s="13">
        <v>10000</v>
      </c>
    </row>
    <row r="55" ht="32.25" spans="1:3">
      <c r="A55" s="10">
        <v>53</v>
      </c>
      <c r="B55" s="12" t="s">
        <v>460</v>
      </c>
      <c r="C55" s="13">
        <v>36667</v>
      </c>
    </row>
    <row r="56" ht="32.25" spans="1:3">
      <c r="A56" s="10">
        <v>54</v>
      </c>
      <c r="B56" s="12" t="s">
        <v>462</v>
      </c>
      <c r="C56" s="13">
        <v>30000</v>
      </c>
    </row>
    <row r="57" ht="32.25" spans="1:3">
      <c r="A57" s="10">
        <v>55</v>
      </c>
      <c r="B57" s="12" t="s">
        <v>470</v>
      </c>
      <c r="C57" s="13">
        <v>53750</v>
      </c>
    </row>
    <row r="58" ht="32.25" spans="1:3">
      <c r="A58" s="10">
        <v>56</v>
      </c>
      <c r="B58" s="12" t="s">
        <v>475</v>
      </c>
      <c r="C58" s="13">
        <v>35000</v>
      </c>
    </row>
    <row r="59" ht="32.25" spans="1:3">
      <c r="A59" s="10">
        <v>57</v>
      </c>
      <c r="B59" s="12" t="s">
        <v>477</v>
      </c>
      <c r="C59" s="13">
        <v>75715</v>
      </c>
    </row>
    <row r="60" ht="32.25" spans="1:3">
      <c r="A60" s="10">
        <v>58</v>
      </c>
      <c r="B60" s="12" t="s">
        <v>481</v>
      </c>
      <c r="C60" s="13">
        <v>61667</v>
      </c>
    </row>
    <row r="61" ht="32.25" spans="1:3">
      <c r="A61" s="10">
        <v>59</v>
      </c>
      <c r="B61" s="12" t="s">
        <v>488</v>
      </c>
      <c r="C61" s="13">
        <v>60000</v>
      </c>
    </row>
    <row r="62" ht="32.25" spans="1:3">
      <c r="A62" s="10">
        <v>60</v>
      </c>
      <c r="B62" s="12" t="s">
        <v>490</v>
      </c>
      <c r="C62" s="13">
        <v>55875</v>
      </c>
    </row>
    <row r="63" ht="32.25" spans="1:3">
      <c r="A63" s="10">
        <v>61</v>
      </c>
      <c r="B63" s="12" t="s">
        <v>512</v>
      </c>
      <c r="C63" s="13">
        <v>27917</v>
      </c>
    </row>
    <row r="64" ht="32.25" spans="1:3">
      <c r="A64" s="10">
        <v>62</v>
      </c>
      <c r="B64" s="12" t="s">
        <v>517</v>
      </c>
      <c r="C64" s="13">
        <v>50000</v>
      </c>
    </row>
    <row r="65" ht="32.25" spans="1:3">
      <c r="A65" s="10">
        <v>63</v>
      </c>
      <c r="B65" s="12" t="s">
        <v>524</v>
      </c>
      <c r="C65" s="13">
        <v>60000</v>
      </c>
    </row>
    <row r="66" ht="32.25" spans="1:3">
      <c r="A66" s="10">
        <v>64</v>
      </c>
      <c r="B66" s="12" t="s">
        <v>539</v>
      </c>
      <c r="C66" s="13">
        <v>11000</v>
      </c>
    </row>
    <row r="67" ht="32.25" spans="1:3">
      <c r="A67" s="10">
        <v>65</v>
      </c>
      <c r="B67" s="12" t="s">
        <v>548</v>
      </c>
      <c r="C67" s="13">
        <v>50000</v>
      </c>
    </row>
    <row r="68" ht="32.25" spans="1:3">
      <c r="A68" s="10">
        <v>66</v>
      </c>
      <c r="B68" s="12" t="s">
        <v>719</v>
      </c>
      <c r="C68" s="13">
        <v>11000</v>
      </c>
    </row>
    <row r="69" ht="32.25" spans="1:3">
      <c r="A69" s="10">
        <v>67</v>
      </c>
      <c r="B69" s="12" t="s">
        <v>757</v>
      </c>
      <c r="C69" s="13">
        <v>40000</v>
      </c>
    </row>
    <row r="70" ht="72" customHeight="1" spans="1:3">
      <c r="A70" s="577"/>
      <c r="B70" s="487" t="s">
        <v>867</v>
      </c>
      <c r="C70" s="578">
        <f>SUM(C3:C69)</f>
        <v>3463234.75</v>
      </c>
    </row>
    <row r="71" ht="15.75"/>
    <row r="329" spans="4:4">
      <c r="D329" s="2"/>
    </row>
  </sheetData>
  <mergeCells count="1">
    <mergeCell ref="A1:C1"/>
  </mergeCells>
  <pageMargins left="0.7" right="0.7" top="0.75" bottom="0.75" header="0.3" footer="0.3"/>
  <pageSetup paperSize="1" scale="57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8"/>
  <sheetViews>
    <sheetView view="pageBreakPreview" zoomScale="60" zoomScaleNormal="100" topLeftCell="A117" workbookViewId="0">
      <selection activeCell="B15" sqref="B15"/>
    </sheetView>
  </sheetViews>
  <sheetFormatPr defaultColWidth="11.5047619047619" defaultRowHeight="36" outlineLevelCol="2"/>
  <cols>
    <col min="1" max="1" width="11.5047619047619" style="28"/>
    <col min="2" max="2" width="101.504761904762" style="549" customWidth="1"/>
    <col min="3" max="3" width="52.5047619047619" style="2" customWidth="1"/>
    <col min="4" max="4" width="22.5047619047619" customWidth="1"/>
    <col min="6" max="6" width="11.1619047619048" customWidth="1"/>
  </cols>
  <sheetData>
    <row r="1" ht="227" customHeight="1" spans="1:3">
      <c r="A1" s="64" t="s">
        <v>1834</v>
      </c>
      <c r="B1" s="64"/>
      <c r="C1" s="64"/>
    </row>
    <row r="2" ht="48" spans="1:3">
      <c r="A2" s="570" t="s">
        <v>2</v>
      </c>
      <c r="B2" s="66" t="s">
        <v>3</v>
      </c>
      <c r="C2" s="51" t="s">
        <v>862</v>
      </c>
    </row>
    <row r="3" ht="35.25" spans="1:3">
      <c r="A3" s="71">
        <v>1</v>
      </c>
      <c r="B3" s="571" t="s">
        <v>883</v>
      </c>
      <c r="C3" s="572">
        <v>2991.9849</v>
      </c>
    </row>
    <row r="4" ht="35.25" spans="1:3">
      <c r="A4" s="71">
        <v>2</v>
      </c>
      <c r="B4" s="571" t="s">
        <v>885</v>
      </c>
      <c r="C4" s="572">
        <v>4963.245</v>
      </c>
    </row>
    <row r="5" ht="35.25" spans="1:3">
      <c r="A5" s="71">
        <v>3</v>
      </c>
      <c r="B5" s="571" t="s">
        <v>886</v>
      </c>
      <c r="C5" s="572">
        <v>4829.5626</v>
      </c>
    </row>
    <row r="6" ht="35.25" spans="1:3">
      <c r="A6" s="71">
        <v>4</v>
      </c>
      <c r="B6" s="571" t="s">
        <v>888</v>
      </c>
      <c r="C6" s="572">
        <v>3305.0475</v>
      </c>
    </row>
    <row r="7" ht="35.25" spans="1:3">
      <c r="A7" s="71">
        <v>5</v>
      </c>
      <c r="B7" s="571" t="s">
        <v>912</v>
      </c>
      <c r="C7" s="572">
        <v>3305.0475</v>
      </c>
    </row>
    <row r="8" ht="35.25" spans="1:3">
      <c r="A8" s="71">
        <v>6</v>
      </c>
      <c r="B8" s="571" t="s">
        <v>917</v>
      </c>
      <c r="C8" s="572">
        <v>3032.1576</v>
      </c>
    </row>
    <row r="9" ht="35.25" spans="1:3">
      <c r="A9" s="71">
        <v>7</v>
      </c>
      <c r="B9" s="571" t="s">
        <v>923</v>
      </c>
      <c r="C9" s="572">
        <v>4829.5626</v>
      </c>
    </row>
    <row r="10" ht="35.25" spans="1:3">
      <c r="A10" s="71">
        <v>8</v>
      </c>
      <c r="B10" s="571" t="s">
        <v>949</v>
      </c>
      <c r="C10" s="572">
        <v>3730.065</v>
      </c>
    </row>
    <row r="11" ht="35.25" spans="1:3">
      <c r="A11" s="71">
        <v>9</v>
      </c>
      <c r="B11" s="571" t="s">
        <v>951</v>
      </c>
      <c r="C11" s="572">
        <v>3730.065</v>
      </c>
    </row>
    <row r="12" ht="35.25" spans="1:3">
      <c r="A12" s="71">
        <v>10</v>
      </c>
      <c r="B12" s="571" t="s">
        <v>953</v>
      </c>
      <c r="C12" s="572">
        <v>3930.502475</v>
      </c>
    </row>
    <row r="13" ht="35.25" spans="1:3">
      <c r="A13" s="71">
        <v>11</v>
      </c>
      <c r="B13" s="571" t="s">
        <v>957</v>
      </c>
      <c r="C13" s="572">
        <v>3830.2551</v>
      </c>
    </row>
    <row r="14" ht="35.25" spans="1:3">
      <c r="A14" s="71">
        <v>12</v>
      </c>
      <c r="B14" s="571" t="s">
        <v>959</v>
      </c>
      <c r="C14" s="572">
        <v>2947.2024</v>
      </c>
    </row>
    <row r="15" ht="35.25" spans="1:3">
      <c r="A15" s="71">
        <v>13</v>
      </c>
      <c r="B15" s="571" t="s">
        <v>961</v>
      </c>
      <c r="C15" s="572">
        <v>5096.9274</v>
      </c>
    </row>
    <row r="16" ht="35.25" spans="1:3">
      <c r="A16" s="71">
        <v>14</v>
      </c>
      <c r="B16" s="571" t="s">
        <v>962</v>
      </c>
      <c r="C16" s="572">
        <v>3730.065</v>
      </c>
    </row>
    <row r="17" ht="35.25" spans="1:3">
      <c r="A17" s="71">
        <v>15</v>
      </c>
      <c r="B17" s="571" t="s">
        <v>964</v>
      </c>
      <c r="C17" s="572">
        <v>3730.065</v>
      </c>
    </row>
    <row r="18" ht="35.25" spans="1:3">
      <c r="A18" s="71">
        <v>16</v>
      </c>
      <c r="B18" s="571" t="s">
        <v>966</v>
      </c>
      <c r="C18" s="572">
        <v>3730.065</v>
      </c>
    </row>
    <row r="19" ht="35.25" spans="1:3">
      <c r="A19" s="71">
        <v>17</v>
      </c>
      <c r="B19" s="571" t="s">
        <v>968</v>
      </c>
      <c r="C19" s="572">
        <v>2922.9999</v>
      </c>
    </row>
    <row r="20" ht="35.25" spans="1:3">
      <c r="A20" s="71">
        <v>18</v>
      </c>
      <c r="B20" s="571" t="s">
        <v>970</v>
      </c>
      <c r="C20" s="572">
        <v>2633.6901</v>
      </c>
    </row>
    <row r="21" ht="35.25" spans="1:3">
      <c r="A21" s="71">
        <v>19</v>
      </c>
      <c r="B21" s="571" t="s">
        <v>972</v>
      </c>
      <c r="C21" s="572">
        <v>2541.0225</v>
      </c>
    </row>
    <row r="22" ht="35.25" spans="1:3">
      <c r="A22" s="71">
        <v>20</v>
      </c>
      <c r="B22" s="571" t="s">
        <v>973</v>
      </c>
      <c r="C22" s="572">
        <v>2541.0225</v>
      </c>
    </row>
    <row r="23" ht="35.25" spans="1:3">
      <c r="A23" s="71">
        <v>21</v>
      </c>
      <c r="B23" s="571" t="s">
        <v>974</v>
      </c>
      <c r="C23" s="572">
        <v>2541.0225</v>
      </c>
    </row>
    <row r="24" ht="35.25" spans="1:3">
      <c r="A24" s="71">
        <v>22</v>
      </c>
      <c r="B24" s="571" t="s">
        <v>976</v>
      </c>
      <c r="C24" s="572">
        <v>2541.0225</v>
      </c>
    </row>
    <row r="25" ht="35.25" spans="1:3">
      <c r="A25" s="71">
        <v>23</v>
      </c>
      <c r="B25" s="571" t="s">
        <v>978</v>
      </c>
      <c r="C25" s="572">
        <v>3730.065</v>
      </c>
    </row>
    <row r="26" ht="35.25" spans="1:3">
      <c r="A26" s="71">
        <v>24</v>
      </c>
      <c r="B26" s="571" t="s">
        <v>980</v>
      </c>
      <c r="C26" s="572">
        <v>3629.8446</v>
      </c>
    </row>
    <row r="27" ht="35.25" spans="1:3">
      <c r="A27" s="71">
        <v>25</v>
      </c>
      <c r="B27" s="571" t="s">
        <v>982</v>
      </c>
      <c r="C27" s="572">
        <v>3730.065</v>
      </c>
    </row>
    <row r="28" ht="35.25" spans="1:3">
      <c r="A28" s="71">
        <v>26</v>
      </c>
      <c r="B28" s="571" t="s">
        <v>984</v>
      </c>
      <c r="C28" s="572">
        <v>2650.1751</v>
      </c>
    </row>
    <row r="29" ht="35.25" spans="1:3">
      <c r="A29" s="71">
        <v>27</v>
      </c>
      <c r="B29" s="571" t="s">
        <v>985</v>
      </c>
      <c r="C29" s="572">
        <v>2650.1751</v>
      </c>
    </row>
    <row r="30" ht="35.25" spans="1:3">
      <c r="A30" s="71">
        <v>28</v>
      </c>
      <c r="B30" s="571" t="s">
        <v>987</v>
      </c>
      <c r="C30" s="572">
        <v>2977.5774</v>
      </c>
    </row>
    <row r="31" ht="35.25" spans="1:3">
      <c r="A31" s="71">
        <v>29</v>
      </c>
      <c r="B31" s="571" t="s">
        <v>989</v>
      </c>
      <c r="C31" s="572">
        <v>2922.9999</v>
      </c>
    </row>
    <row r="32" ht="35.25" spans="1:3">
      <c r="A32" s="71">
        <v>30</v>
      </c>
      <c r="B32" s="571" t="s">
        <v>993</v>
      </c>
      <c r="C32" s="572">
        <v>2611.635</v>
      </c>
    </row>
    <row r="33" ht="35.25" spans="1:3">
      <c r="A33" s="71">
        <v>31</v>
      </c>
      <c r="B33" s="571" t="s">
        <v>994</v>
      </c>
      <c r="C33" s="572">
        <v>4829.5626</v>
      </c>
    </row>
    <row r="34" ht="35.25" spans="1:3">
      <c r="A34" s="71">
        <v>32</v>
      </c>
      <c r="B34" s="571" t="s">
        <v>995</v>
      </c>
      <c r="C34" s="572">
        <v>3930.5025</v>
      </c>
    </row>
    <row r="35" ht="35.25" spans="1:3">
      <c r="A35" s="71">
        <v>33</v>
      </c>
      <c r="B35" s="571" t="s">
        <v>996</v>
      </c>
      <c r="C35" s="572">
        <v>3930.5025</v>
      </c>
    </row>
    <row r="36" ht="35.25" spans="1:3">
      <c r="A36" s="71">
        <v>34</v>
      </c>
      <c r="B36" s="571" t="s">
        <v>999</v>
      </c>
      <c r="C36" s="572">
        <v>3930.5025</v>
      </c>
    </row>
    <row r="37" ht="35.25" spans="1:3">
      <c r="A37" s="71">
        <v>35</v>
      </c>
      <c r="B37" s="571" t="s">
        <v>1000</v>
      </c>
      <c r="C37" s="572">
        <v>3930.5025</v>
      </c>
    </row>
    <row r="38" ht="35.25" spans="1:3">
      <c r="A38" s="71">
        <v>36</v>
      </c>
      <c r="B38" s="571" t="s">
        <v>1001</v>
      </c>
      <c r="C38" s="572">
        <v>3930.5025</v>
      </c>
    </row>
    <row r="39" ht="35.25" spans="1:3">
      <c r="A39" s="71">
        <v>37</v>
      </c>
      <c r="B39" s="571" t="s">
        <v>1003</v>
      </c>
      <c r="C39" s="572">
        <v>3930.5025</v>
      </c>
    </row>
    <row r="40" ht="35.25" spans="1:3">
      <c r="A40" s="71">
        <v>38</v>
      </c>
      <c r="B40" s="571" t="s">
        <v>1039</v>
      </c>
      <c r="C40" s="572">
        <v>2922.9999</v>
      </c>
    </row>
    <row r="41" ht="35.25" spans="1:3">
      <c r="A41" s="71">
        <v>39</v>
      </c>
      <c r="B41" s="571" t="s">
        <v>1045</v>
      </c>
      <c r="C41" s="572">
        <v>2429.9994</v>
      </c>
    </row>
    <row r="42" ht="35.25" spans="1:3">
      <c r="A42" s="71">
        <v>40</v>
      </c>
      <c r="B42" s="571" t="s">
        <v>1047</v>
      </c>
      <c r="C42" s="572">
        <v>2429.9994</v>
      </c>
    </row>
    <row r="43" ht="35.25" spans="1:3">
      <c r="A43" s="71">
        <v>41</v>
      </c>
      <c r="B43" s="571" t="s">
        <v>1049</v>
      </c>
      <c r="C43" s="572">
        <v>2429.9994</v>
      </c>
    </row>
    <row r="44" ht="35.25" spans="1:3">
      <c r="A44" s="71">
        <v>42</v>
      </c>
      <c r="B44" s="571" t="s">
        <v>1051</v>
      </c>
      <c r="C44" s="572">
        <v>3730.065</v>
      </c>
    </row>
    <row r="45" ht="35.25" spans="1:3">
      <c r="A45" s="71">
        <v>43</v>
      </c>
      <c r="B45" s="571" t="s">
        <v>1112</v>
      </c>
      <c r="C45" s="572">
        <v>2813.8449</v>
      </c>
    </row>
    <row r="46" ht="35.25" spans="1:3">
      <c r="A46" s="71">
        <v>44</v>
      </c>
      <c r="B46" s="571" t="s">
        <v>1114</v>
      </c>
      <c r="C46" s="572">
        <v>3730.065</v>
      </c>
    </row>
    <row r="47" ht="35.25" spans="1:3">
      <c r="A47" s="71">
        <v>45</v>
      </c>
      <c r="B47" s="571" t="s">
        <v>1116</v>
      </c>
      <c r="C47" s="572">
        <v>3730.065</v>
      </c>
    </row>
    <row r="48" ht="35.25" spans="1:3">
      <c r="A48" s="71">
        <v>46</v>
      </c>
      <c r="B48" s="571" t="s">
        <v>1118</v>
      </c>
      <c r="C48" s="572">
        <v>2813.5449</v>
      </c>
    </row>
    <row r="49" ht="35.25" spans="1:3">
      <c r="A49" s="71">
        <v>47</v>
      </c>
      <c r="B49" s="571" t="s">
        <v>1120</v>
      </c>
      <c r="C49" s="572">
        <v>5364.2901</v>
      </c>
    </row>
    <row r="50" ht="35.25" spans="1:3">
      <c r="A50" s="71">
        <v>48</v>
      </c>
      <c r="B50" s="571" t="s">
        <v>1124</v>
      </c>
      <c r="C50" s="572">
        <v>2573.0949</v>
      </c>
    </row>
    <row r="51" ht="35.25" spans="1:3">
      <c r="A51" s="71">
        <v>49</v>
      </c>
      <c r="B51" s="571" t="s">
        <v>1126</v>
      </c>
      <c r="C51" s="572">
        <v>2534.5524</v>
      </c>
    </row>
    <row r="52" ht="35.25" spans="1:3">
      <c r="A52" s="71">
        <v>50</v>
      </c>
      <c r="B52" s="571" t="s">
        <v>1127</v>
      </c>
      <c r="C52" s="572">
        <v>2534.5524</v>
      </c>
    </row>
    <row r="53" ht="35.25" spans="1:3">
      <c r="A53" s="71">
        <v>51</v>
      </c>
      <c r="B53" s="571" t="s">
        <v>1128</v>
      </c>
      <c r="C53" s="572">
        <v>2534.5524</v>
      </c>
    </row>
    <row r="54" ht="35.25" spans="1:3">
      <c r="A54" s="71">
        <v>52</v>
      </c>
      <c r="B54" s="571" t="s">
        <v>1130</v>
      </c>
      <c r="C54" s="572">
        <v>2813.5449</v>
      </c>
    </row>
    <row r="55" ht="35.25" spans="1:3">
      <c r="A55" s="71">
        <v>53</v>
      </c>
      <c r="B55" s="571" t="s">
        <v>1132</v>
      </c>
      <c r="C55" s="572">
        <v>2678.4774</v>
      </c>
    </row>
    <row r="56" ht="35.25" spans="1:3">
      <c r="A56" s="71">
        <v>54</v>
      </c>
      <c r="B56" s="571" t="s">
        <v>1134</v>
      </c>
      <c r="C56" s="572">
        <v>5364.2901</v>
      </c>
    </row>
    <row r="57" ht="35.25" spans="1:3">
      <c r="A57" s="71">
        <v>55</v>
      </c>
      <c r="B57" s="571" t="s">
        <v>1136</v>
      </c>
      <c r="C57" s="572">
        <v>2813.5449</v>
      </c>
    </row>
    <row r="58" ht="35.25" spans="1:3">
      <c r="A58" s="71">
        <v>56</v>
      </c>
      <c r="B58" s="571" t="s">
        <v>1138</v>
      </c>
      <c r="C58" s="572">
        <v>3930.5025</v>
      </c>
    </row>
    <row r="59" ht="35.25" spans="1:3">
      <c r="A59" s="71">
        <v>57</v>
      </c>
      <c r="B59" s="571" t="s">
        <v>1140</v>
      </c>
      <c r="C59" s="572">
        <v>2813.5449</v>
      </c>
    </row>
    <row r="60" ht="35.25" spans="1:3">
      <c r="A60" s="71">
        <v>58</v>
      </c>
      <c r="B60" s="571" t="s">
        <v>1142</v>
      </c>
      <c r="C60" s="572">
        <v>2813.5449</v>
      </c>
    </row>
    <row r="61" ht="35.25" spans="1:3">
      <c r="A61" s="71">
        <v>59</v>
      </c>
      <c r="B61" s="571" t="s">
        <v>1146</v>
      </c>
      <c r="C61" s="572">
        <v>2678.4774</v>
      </c>
    </row>
    <row r="62" ht="35.25" spans="1:3">
      <c r="A62" s="71">
        <v>60</v>
      </c>
      <c r="B62" s="571" t="s">
        <v>1148</v>
      </c>
      <c r="C62" s="572">
        <v>2813.5449</v>
      </c>
    </row>
    <row r="63" ht="35.25" spans="1:3">
      <c r="A63" s="71">
        <v>61</v>
      </c>
      <c r="B63" s="571" t="s">
        <v>1153</v>
      </c>
      <c r="C63" s="572">
        <v>2678.4774</v>
      </c>
    </row>
    <row r="64" ht="35.25" spans="1:3">
      <c r="A64" s="71">
        <v>62</v>
      </c>
      <c r="B64" s="571" t="s">
        <v>1155</v>
      </c>
      <c r="C64" s="572">
        <v>2813.5449</v>
      </c>
    </row>
    <row r="65" ht="35.25" spans="1:3">
      <c r="A65" s="71">
        <v>63</v>
      </c>
      <c r="B65" s="571" t="s">
        <v>1157</v>
      </c>
      <c r="C65" s="572">
        <v>2813.5449</v>
      </c>
    </row>
    <row r="66" ht="35.25" spans="1:3">
      <c r="A66" s="71">
        <v>64</v>
      </c>
      <c r="B66" s="571" t="s">
        <v>1159</v>
      </c>
      <c r="C66" s="572">
        <v>2534.5524</v>
      </c>
    </row>
    <row r="67" ht="35.25" spans="1:3">
      <c r="A67" s="71">
        <v>65</v>
      </c>
      <c r="B67" s="571" t="s">
        <v>1161</v>
      </c>
      <c r="C67" s="572">
        <v>2573.1075</v>
      </c>
    </row>
    <row r="68" ht="35.25" spans="1:3">
      <c r="A68" s="71">
        <v>66</v>
      </c>
      <c r="B68" s="571" t="s">
        <v>1163</v>
      </c>
      <c r="C68" s="572">
        <v>2573.0949</v>
      </c>
    </row>
    <row r="69" ht="35.25" spans="1:3">
      <c r="A69" s="71">
        <v>67</v>
      </c>
      <c r="B69" s="571" t="s">
        <v>1164</v>
      </c>
      <c r="C69" s="572">
        <v>2678.4774</v>
      </c>
    </row>
    <row r="70" ht="35.25" spans="1:3">
      <c r="A70" s="71">
        <v>68</v>
      </c>
      <c r="B70" s="571" t="s">
        <v>1166</v>
      </c>
      <c r="C70" s="572">
        <v>2813.8449</v>
      </c>
    </row>
    <row r="71" ht="35.25" spans="1:3">
      <c r="A71" s="71">
        <v>69</v>
      </c>
      <c r="B71" s="571" t="s">
        <v>1168</v>
      </c>
      <c r="C71" s="572">
        <v>2678.4774</v>
      </c>
    </row>
    <row r="72" ht="35.25" spans="1:3">
      <c r="A72" s="71">
        <v>70</v>
      </c>
      <c r="B72" s="571" t="s">
        <v>1170</v>
      </c>
      <c r="C72" s="572">
        <v>2678.4774</v>
      </c>
    </row>
    <row r="73" ht="35.25" spans="1:3">
      <c r="A73" s="71">
        <v>71</v>
      </c>
      <c r="B73" s="571" t="s">
        <v>1172</v>
      </c>
      <c r="C73" s="572">
        <v>2678.4774</v>
      </c>
    </row>
    <row r="74" ht="35.25" spans="1:3">
      <c r="A74" s="71">
        <v>72</v>
      </c>
      <c r="B74" s="571" t="s">
        <v>1174</v>
      </c>
      <c r="C74" s="572">
        <v>2678.4774</v>
      </c>
    </row>
    <row r="75" ht="35.25" spans="1:3">
      <c r="A75" s="71">
        <v>73</v>
      </c>
      <c r="B75" s="571" t="s">
        <v>1176</v>
      </c>
      <c r="C75" s="572">
        <v>2541.0213</v>
      </c>
    </row>
    <row r="76" ht="35.25" spans="1:3">
      <c r="A76" s="71">
        <v>74</v>
      </c>
      <c r="B76" s="571" t="s">
        <v>1178</v>
      </c>
      <c r="C76" s="572">
        <v>2541.0213</v>
      </c>
    </row>
    <row r="77" ht="35.25" spans="1:3">
      <c r="A77" s="71">
        <v>75</v>
      </c>
      <c r="B77" s="571" t="s">
        <v>1180</v>
      </c>
      <c r="C77" s="572">
        <v>2541.0225</v>
      </c>
    </row>
    <row r="78" ht="35.25" spans="1:3">
      <c r="A78" s="71">
        <v>76</v>
      </c>
      <c r="B78" s="571" t="s">
        <v>1181</v>
      </c>
      <c r="C78" s="572">
        <v>2605.1901</v>
      </c>
    </row>
    <row r="79" ht="35.25" spans="1:3">
      <c r="A79" s="71">
        <v>77</v>
      </c>
      <c r="B79" s="571" t="s">
        <v>1182</v>
      </c>
      <c r="C79" s="572">
        <v>2573.1075</v>
      </c>
    </row>
    <row r="80" ht="35.25" spans="1:3">
      <c r="A80" s="71">
        <v>78</v>
      </c>
      <c r="B80" s="571" t="s">
        <v>1183</v>
      </c>
      <c r="C80" s="572">
        <v>2541.0225</v>
      </c>
    </row>
    <row r="81" ht="35.25" spans="1:3">
      <c r="A81" s="71">
        <v>79</v>
      </c>
      <c r="B81" s="571" t="s">
        <v>1185</v>
      </c>
      <c r="C81" s="572">
        <v>2607.6951</v>
      </c>
    </row>
    <row r="82" ht="35.25" spans="1:3">
      <c r="A82" s="71">
        <v>80</v>
      </c>
      <c r="B82" s="571" t="s">
        <v>1187</v>
      </c>
      <c r="C82" s="572">
        <v>2611.635</v>
      </c>
    </row>
    <row r="83" ht="35.25" spans="1:3">
      <c r="A83" s="71">
        <v>81</v>
      </c>
      <c r="B83" s="571" t="s">
        <v>1188</v>
      </c>
      <c r="C83" s="572">
        <v>2611.635</v>
      </c>
    </row>
    <row r="84" ht="35.25" spans="1:3">
      <c r="A84" s="71">
        <v>82</v>
      </c>
      <c r="B84" s="571" t="s">
        <v>1190</v>
      </c>
      <c r="C84" s="572">
        <v>2573.0931</v>
      </c>
    </row>
    <row r="85" ht="35.25" spans="1:3">
      <c r="A85" s="71">
        <v>83</v>
      </c>
      <c r="B85" s="571" t="s">
        <v>1192</v>
      </c>
      <c r="C85" s="572">
        <v>2508.9375</v>
      </c>
    </row>
    <row r="86" ht="35.25" spans="1:3">
      <c r="A86" s="71">
        <v>84</v>
      </c>
      <c r="B86" s="571" t="s">
        <v>1193</v>
      </c>
      <c r="C86" s="572">
        <v>2677.5774</v>
      </c>
    </row>
    <row r="87" ht="35.25" spans="1:3">
      <c r="A87" s="71">
        <v>85</v>
      </c>
      <c r="B87" s="571" t="s">
        <v>1194</v>
      </c>
      <c r="C87" s="572">
        <v>2677.5774</v>
      </c>
    </row>
    <row r="88" ht="35.25" spans="1:3">
      <c r="A88" s="71">
        <v>86</v>
      </c>
      <c r="B88" s="571" t="s">
        <v>1196</v>
      </c>
      <c r="C88" s="572">
        <v>2677.5774</v>
      </c>
    </row>
    <row r="89" ht="35.25" spans="1:3">
      <c r="A89" s="71">
        <v>87</v>
      </c>
      <c r="B89" s="571" t="s">
        <v>1198</v>
      </c>
      <c r="C89" s="572">
        <v>2677.5774</v>
      </c>
    </row>
    <row r="90" ht="35.25" spans="1:3">
      <c r="A90" s="71">
        <v>88</v>
      </c>
      <c r="B90" s="571" t="s">
        <v>1200</v>
      </c>
      <c r="C90" s="572">
        <v>2541.02115</v>
      </c>
    </row>
    <row r="91" ht="35.25" spans="1:3">
      <c r="A91" s="71">
        <v>89</v>
      </c>
      <c r="B91" s="571" t="s">
        <v>1202</v>
      </c>
      <c r="C91" s="572">
        <v>2541.0213</v>
      </c>
    </row>
    <row r="92" ht="35.25" spans="1:3">
      <c r="A92" s="71">
        <v>90</v>
      </c>
      <c r="B92" s="571" t="s">
        <v>1204</v>
      </c>
      <c r="C92" s="572">
        <v>2541.0213</v>
      </c>
    </row>
    <row r="93" ht="35.25" spans="1:3">
      <c r="A93" s="71">
        <v>91</v>
      </c>
      <c r="B93" s="571" t="s">
        <v>1205</v>
      </c>
      <c r="C93" s="572">
        <v>2678.4774</v>
      </c>
    </row>
    <row r="94" ht="35.25" spans="1:3">
      <c r="A94" s="71">
        <v>92</v>
      </c>
      <c r="B94" s="571" t="s">
        <v>1207</v>
      </c>
      <c r="C94" s="572">
        <v>2678.4774</v>
      </c>
    </row>
    <row r="95" ht="35.25" spans="1:3">
      <c r="A95" s="71">
        <v>93</v>
      </c>
      <c r="B95" s="571" t="s">
        <v>1208</v>
      </c>
      <c r="C95" s="572">
        <v>2678.4774</v>
      </c>
    </row>
    <row r="96" ht="35.25" spans="1:3">
      <c r="A96" s="71">
        <v>94</v>
      </c>
      <c r="B96" s="571" t="s">
        <v>1210</v>
      </c>
      <c r="C96" s="572">
        <v>2678.4774</v>
      </c>
    </row>
    <row r="97" ht="35.25" spans="1:3">
      <c r="A97" s="71">
        <v>95</v>
      </c>
      <c r="B97" s="571" t="s">
        <v>1212</v>
      </c>
      <c r="C97" s="572">
        <v>2678.4774</v>
      </c>
    </row>
    <row r="98" ht="35.25" spans="1:3">
      <c r="A98" s="71">
        <v>96</v>
      </c>
      <c r="B98" s="571" t="s">
        <v>1214</v>
      </c>
      <c r="C98" s="572">
        <v>2678.4774</v>
      </c>
    </row>
    <row r="99" ht="35.25" spans="1:3">
      <c r="A99" s="71">
        <v>97</v>
      </c>
      <c r="B99" s="571" t="s">
        <v>1216</v>
      </c>
      <c r="C99" s="572">
        <v>2678.4774</v>
      </c>
    </row>
    <row r="100" ht="35.25" spans="1:3">
      <c r="A100" s="71">
        <v>98</v>
      </c>
      <c r="B100" s="571" t="s">
        <v>1217</v>
      </c>
      <c r="C100" s="572">
        <v>2678.4774</v>
      </c>
    </row>
    <row r="101" ht="35.25" spans="1:3">
      <c r="A101" s="71">
        <v>99</v>
      </c>
      <c r="B101" s="571" t="s">
        <v>1219</v>
      </c>
      <c r="C101" s="572">
        <v>2678.4774</v>
      </c>
    </row>
    <row r="102" ht="35.25" spans="1:3">
      <c r="A102" s="71">
        <v>100</v>
      </c>
      <c r="B102" s="571" t="s">
        <v>1221</v>
      </c>
      <c r="C102" s="572">
        <v>2678.4774</v>
      </c>
    </row>
    <row r="103" ht="35.25" spans="1:3">
      <c r="A103" s="71">
        <v>101</v>
      </c>
      <c r="B103" s="571" t="s">
        <v>1223</v>
      </c>
      <c r="C103" s="572">
        <v>2678.4774</v>
      </c>
    </row>
    <row r="104" ht="35.25" spans="1:3">
      <c r="A104" s="71">
        <v>102</v>
      </c>
      <c r="B104" s="571" t="s">
        <v>1225</v>
      </c>
      <c r="C104" s="572">
        <v>2678.4774</v>
      </c>
    </row>
    <row r="105" ht="35.25" spans="1:3">
      <c r="A105" s="71">
        <v>103</v>
      </c>
      <c r="B105" s="571" t="s">
        <v>1227</v>
      </c>
      <c r="C105" s="572">
        <v>2678.4774</v>
      </c>
    </row>
    <row r="106" ht="35.25" spans="1:3">
      <c r="A106" s="71">
        <v>104</v>
      </c>
      <c r="B106" s="571" t="s">
        <v>1229</v>
      </c>
      <c r="C106" s="572">
        <v>2678.4774</v>
      </c>
    </row>
    <row r="107" ht="35.25" spans="1:3">
      <c r="A107" s="71">
        <v>105</v>
      </c>
      <c r="B107" s="571" t="s">
        <v>1231</v>
      </c>
      <c r="C107" s="572">
        <v>2678.4774</v>
      </c>
    </row>
    <row r="108" ht="35.25" spans="1:3">
      <c r="A108" s="71">
        <v>106</v>
      </c>
      <c r="B108" s="571" t="s">
        <v>1232</v>
      </c>
      <c r="C108" s="572">
        <v>2678.4774</v>
      </c>
    </row>
    <row r="109" ht="35.25" spans="1:3">
      <c r="A109" s="71">
        <v>107</v>
      </c>
      <c r="B109" s="571" t="s">
        <v>1233</v>
      </c>
      <c r="C109" s="572">
        <v>2678.4774</v>
      </c>
    </row>
    <row r="110" ht="35.25" spans="1:3">
      <c r="A110" s="71">
        <v>108</v>
      </c>
      <c r="B110" s="571" t="s">
        <v>1235</v>
      </c>
      <c r="C110" s="572">
        <v>2678.4774</v>
      </c>
    </row>
    <row r="111" ht="35.25" spans="1:3">
      <c r="A111" s="71">
        <v>109</v>
      </c>
      <c r="B111" s="571" t="s">
        <v>1237</v>
      </c>
      <c r="C111" s="572">
        <v>2678.4774</v>
      </c>
    </row>
    <row r="112" ht="35.25" spans="1:3">
      <c r="A112" s="71">
        <v>110</v>
      </c>
      <c r="B112" s="571" t="s">
        <v>1239</v>
      </c>
      <c r="C112" s="572">
        <v>2678.4774</v>
      </c>
    </row>
    <row r="113" ht="35.25" spans="1:3">
      <c r="A113" s="71">
        <v>111</v>
      </c>
      <c r="B113" s="571" t="s">
        <v>1241</v>
      </c>
      <c r="C113" s="572">
        <v>2678.4774</v>
      </c>
    </row>
    <row r="114" ht="35.25" spans="1:3">
      <c r="A114" s="71">
        <v>112</v>
      </c>
      <c r="B114" s="571" t="s">
        <v>1243</v>
      </c>
      <c r="C114" s="572">
        <v>2189.70168333333</v>
      </c>
    </row>
    <row r="115" ht="35.25" spans="1:3">
      <c r="A115" s="71">
        <v>113</v>
      </c>
      <c r="B115" s="571" t="s">
        <v>1245</v>
      </c>
      <c r="C115" s="572">
        <v>2496.0119</v>
      </c>
    </row>
    <row r="116" ht="35.25" spans="1:3">
      <c r="A116" s="71">
        <v>114</v>
      </c>
      <c r="B116" s="571" t="s">
        <v>1246</v>
      </c>
      <c r="C116" s="572">
        <v>2573.0949</v>
      </c>
    </row>
    <row r="117" ht="35.25" spans="1:3">
      <c r="A117" s="71">
        <v>115</v>
      </c>
      <c r="B117" s="571" t="s">
        <v>1248</v>
      </c>
      <c r="C117" s="572">
        <v>2400</v>
      </c>
    </row>
    <row r="118" ht="35.25" spans="1:3">
      <c r="A118" s="71">
        <v>116</v>
      </c>
      <c r="B118" s="571" t="s">
        <v>1253</v>
      </c>
      <c r="C118" s="572">
        <v>3737.615625</v>
      </c>
    </row>
    <row r="119" ht="35.25" spans="1:3">
      <c r="A119" s="71">
        <v>117</v>
      </c>
      <c r="B119" s="571" t="s">
        <v>1306</v>
      </c>
      <c r="C119" s="572">
        <v>4130.940625</v>
      </c>
    </row>
    <row r="120" ht="35.25" spans="1:3">
      <c r="A120" s="71">
        <v>118</v>
      </c>
      <c r="B120" s="571" t="s">
        <v>1308</v>
      </c>
      <c r="C120" s="572">
        <v>2573.09315</v>
      </c>
    </row>
    <row r="121" ht="35.25" spans="1:3">
      <c r="A121" s="71">
        <v>119</v>
      </c>
      <c r="B121" s="571" t="s">
        <v>1310</v>
      </c>
      <c r="C121" s="572">
        <v>2633.6901</v>
      </c>
    </row>
    <row r="122" ht="35.25" spans="1:3">
      <c r="A122" s="71">
        <v>120</v>
      </c>
      <c r="B122" s="571" t="s">
        <v>1312</v>
      </c>
      <c r="C122" s="572">
        <v>2400</v>
      </c>
    </row>
    <row r="123" ht="35.25" spans="1:3">
      <c r="A123" s="71">
        <v>121</v>
      </c>
      <c r="B123" s="571" t="s">
        <v>1314</v>
      </c>
      <c r="C123" s="572">
        <v>2400</v>
      </c>
    </row>
    <row r="124" ht="35.25" spans="1:3">
      <c r="A124" s="71">
        <v>122</v>
      </c>
      <c r="B124" s="571" t="s">
        <v>1316</v>
      </c>
      <c r="C124" s="572">
        <v>2400</v>
      </c>
    </row>
    <row r="125" ht="35.25" spans="1:3">
      <c r="A125" s="71">
        <v>123</v>
      </c>
      <c r="B125" s="571" t="s">
        <v>1318</v>
      </c>
      <c r="C125" s="572">
        <v>2400</v>
      </c>
    </row>
    <row r="126" ht="35.25" spans="1:3">
      <c r="A126" s="71">
        <v>124</v>
      </c>
      <c r="B126" s="571" t="s">
        <v>1320</v>
      </c>
      <c r="C126" s="572">
        <v>2400</v>
      </c>
    </row>
    <row r="127" ht="35.25" spans="1:3">
      <c r="A127" s="71">
        <v>125</v>
      </c>
      <c r="B127" s="571" t="s">
        <v>1334</v>
      </c>
      <c r="C127" s="572">
        <v>3150</v>
      </c>
    </row>
    <row r="128" ht="48" spans="1:3">
      <c r="A128" s="573"/>
      <c r="B128" s="574" t="s">
        <v>867</v>
      </c>
      <c r="C128" s="575">
        <f>SUM(C3:C127)</f>
        <v>374952.293308333</v>
      </c>
    </row>
  </sheetData>
  <mergeCells count="1">
    <mergeCell ref="A1:C1"/>
  </mergeCells>
  <pageMargins left="0.7" right="0.7" top="0.75" bottom="0.75" header="0.3" footer="0.3"/>
  <pageSetup paperSize="1" scale="38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0"/>
  <sheetViews>
    <sheetView view="pageBreakPreview" zoomScale="60" zoomScaleNormal="100" workbookViewId="0">
      <selection activeCell="B15" sqref="B15"/>
    </sheetView>
  </sheetViews>
  <sheetFormatPr defaultColWidth="11.5047619047619" defaultRowHeight="15" outlineLevelCol="5"/>
  <cols>
    <col min="1" max="1" width="11" customWidth="1"/>
    <col min="2" max="2" width="90.1619047619048" customWidth="1"/>
    <col min="3" max="3" width="56.6666666666667" customWidth="1"/>
    <col min="4" max="4" width="46.3333333333333" customWidth="1"/>
    <col min="5" max="5" width="42.5047619047619" customWidth="1"/>
    <col min="6" max="6" width="72" customWidth="1"/>
  </cols>
  <sheetData>
    <row r="1" ht="224" customHeight="1" spans="1:6">
      <c r="A1" s="441" t="s">
        <v>1835</v>
      </c>
      <c r="B1" s="441"/>
      <c r="C1" s="441"/>
      <c r="D1" s="442"/>
      <c r="E1" s="442"/>
      <c r="F1" s="442"/>
    </row>
    <row r="2" ht="108" customHeight="1" spans="1:6">
      <c r="A2" s="557" t="s">
        <v>2</v>
      </c>
      <c r="B2" s="558" t="s">
        <v>1836</v>
      </c>
      <c r="C2" s="558" t="s">
        <v>862</v>
      </c>
      <c r="D2" s="558" t="s">
        <v>1837</v>
      </c>
      <c r="E2" s="558" t="s">
        <v>1838</v>
      </c>
      <c r="F2" s="557" t="s">
        <v>1839</v>
      </c>
    </row>
    <row r="3" ht="127" customHeight="1" spans="1:6">
      <c r="A3" s="443">
        <v>3</v>
      </c>
      <c r="B3" s="559" t="s">
        <v>1840</v>
      </c>
      <c r="C3" s="560">
        <f>'NON TEACHING STAFF'!BS16</f>
        <v>50720</v>
      </c>
      <c r="D3" s="561">
        <v>333486</v>
      </c>
      <c r="E3" s="557" t="s">
        <v>1841</v>
      </c>
      <c r="F3" s="557" t="s">
        <v>1842</v>
      </c>
    </row>
    <row r="4" ht="127" customHeight="1" spans="1:6">
      <c r="A4" s="443">
        <v>8</v>
      </c>
      <c r="B4" s="559" t="s">
        <v>1054</v>
      </c>
      <c r="C4" s="560">
        <f>'NON TEACHING STAFF'!BS109</f>
        <v>15427</v>
      </c>
      <c r="D4" s="560">
        <v>268800</v>
      </c>
      <c r="E4" s="448">
        <v>45870</v>
      </c>
      <c r="F4" s="562" t="s">
        <v>1843</v>
      </c>
    </row>
    <row r="5" ht="96.75" customHeight="1" spans="1:6">
      <c r="A5" s="443">
        <v>11</v>
      </c>
      <c r="B5" s="563" t="s">
        <v>1324</v>
      </c>
      <c r="C5" s="560">
        <f>'NON TEACHING STAFF'!BS255</f>
        <v>38647</v>
      </c>
      <c r="D5" s="564">
        <v>240000</v>
      </c>
      <c r="E5" s="560" t="s">
        <v>1844</v>
      </c>
      <c r="F5" s="562" t="s">
        <v>1845</v>
      </c>
    </row>
    <row r="6" ht="96.75" customHeight="1" spans="1:6">
      <c r="A6" s="443">
        <v>14</v>
      </c>
      <c r="B6" s="565" t="str">
        <f>'NON TEACHING STAFF'!B294</f>
        <v>AMBAYAI WILLIAMS  KENNETH</v>
      </c>
      <c r="C6" s="566">
        <f>'NON TEACHING STAFF'!BS294</f>
        <v>40277</v>
      </c>
      <c r="D6" s="564"/>
      <c r="E6" s="560"/>
      <c r="F6" s="562"/>
    </row>
    <row r="7" ht="96.75" customHeight="1" spans="1:6">
      <c r="A7" s="443">
        <v>17</v>
      </c>
      <c r="B7" s="565" t="s">
        <v>1846</v>
      </c>
      <c r="C7" s="566">
        <f>'NON TEACHING STAFF'!BS268</f>
        <v>48800</v>
      </c>
      <c r="D7" s="564"/>
      <c r="E7" s="560"/>
      <c r="F7" s="562"/>
    </row>
    <row r="8" ht="96.75" customHeight="1" spans="1:6">
      <c r="A8" s="443">
        <v>20</v>
      </c>
      <c r="B8" s="565" t="str">
        <f>'NON TEACHING STAFF'!B312</f>
        <v>FALAGHA NUMONYU</v>
      </c>
      <c r="C8" s="566">
        <f>'NON TEACHING STAFF'!BS312</f>
        <v>16800</v>
      </c>
      <c r="D8" s="564"/>
      <c r="E8" s="560"/>
      <c r="F8" s="562"/>
    </row>
    <row r="9" ht="63" spans="1:6">
      <c r="A9" s="443">
        <v>23</v>
      </c>
      <c r="B9" s="567" t="s">
        <v>867</v>
      </c>
      <c r="C9" s="567">
        <f>SUM(C3:C8)</f>
        <v>210671</v>
      </c>
      <c r="D9" s="568"/>
      <c r="E9" s="569"/>
      <c r="F9" s="569"/>
    </row>
    <row r="10" ht="15.75"/>
  </sheetData>
  <mergeCells count="1">
    <mergeCell ref="A1:F1"/>
  </mergeCells>
  <pageMargins left="0.7" right="0.7" top="0.75" bottom="0.75" header="0.3" footer="0.3"/>
  <pageSetup paperSize="9" scale="38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view="pageBreakPreview" zoomScale="60" zoomScaleNormal="100" topLeftCell="A45" workbookViewId="0">
      <selection activeCell="B15" sqref="B15"/>
    </sheetView>
  </sheetViews>
  <sheetFormatPr defaultColWidth="11.5047619047619" defaultRowHeight="36" outlineLevelCol="3"/>
  <cols>
    <col min="1" max="1" width="11.5047619047619" style="28"/>
    <col min="2" max="2" width="109.666666666667" style="549" customWidth="1"/>
    <col min="3" max="3" width="52.5047619047619" style="2" customWidth="1"/>
    <col min="4" max="4" width="22.5047619047619" customWidth="1"/>
    <col min="6" max="6" width="11.1619047619048" customWidth="1"/>
  </cols>
  <sheetData>
    <row r="1" ht="227" customHeight="1" spans="1:3">
      <c r="A1" s="64" t="s">
        <v>1847</v>
      </c>
      <c r="B1" s="64"/>
      <c r="C1" s="64"/>
    </row>
    <row r="2" ht="48" spans="1:3">
      <c r="A2" s="550" t="s">
        <v>2</v>
      </c>
      <c r="B2" s="551" t="s">
        <v>3</v>
      </c>
      <c r="C2" s="51" t="s">
        <v>862</v>
      </c>
    </row>
    <row r="3" spans="1:3">
      <c r="A3" s="552">
        <v>1</v>
      </c>
      <c r="B3" s="553" t="s">
        <v>89</v>
      </c>
      <c r="C3" s="35">
        <v>100000</v>
      </c>
    </row>
    <row r="4" spans="1:3">
      <c r="A4" s="552">
        <v>2</v>
      </c>
      <c r="B4" s="553" t="s">
        <v>129</v>
      </c>
      <c r="C4" s="35">
        <v>21000</v>
      </c>
    </row>
    <row r="5" spans="1:3">
      <c r="A5" s="552">
        <v>3</v>
      </c>
      <c r="B5" s="553" t="s">
        <v>137</v>
      </c>
      <c r="C5" s="35">
        <v>101667</v>
      </c>
    </row>
    <row r="6" spans="1:3">
      <c r="A6" s="552">
        <v>4</v>
      </c>
      <c r="B6" s="553" t="s">
        <v>166</v>
      </c>
      <c r="C6" s="35">
        <v>21000</v>
      </c>
    </row>
    <row r="7" spans="1:3">
      <c r="A7" s="552">
        <v>5</v>
      </c>
      <c r="B7" s="553" t="s">
        <v>173</v>
      </c>
      <c r="C7" s="35">
        <v>76667</v>
      </c>
    </row>
    <row r="8" spans="1:3">
      <c r="A8" s="552">
        <v>6</v>
      </c>
      <c r="B8" s="553" t="s">
        <v>180</v>
      </c>
      <c r="C8" s="35">
        <v>93334</v>
      </c>
    </row>
    <row r="9" spans="1:3">
      <c r="A9" s="552">
        <v>7</v>
      </c>
      <c r="B9" s="553" t="s">
        <v>182</v>
      </c>
      <c r="C9" s="35">
        <v>109688</v>
      </c>
    </row>
    <row r="10" spans="1:3">
      <c r="A10" s="552">
        <v>8</v>
      </c>
      <c r="B10" s="553" t="s">
        <v>184</v>
      </c>
      <c r="C10" s="35">
        <v>40834</v>
      </c>
    </row>
    <row r="11" spans="1:3">
      <c r="A11" s="552">
        <v>9</v>
      </c>
      <c r="B11" s="553" t="s">
        <v>190</v>
      </c>
      <c r="C11" s="35">
        <v>26667</v>
      </c>
    </row>
    <row r="12" spans="1:3">
      <c r="A12" s="552">
        <v>10</v>
      </c>
      <c r="B12" s="553" t="s">
        <v>202</v>
      </c>
      <c r="C12" s="35">
        <v>61667</v>
      </c>
    </row>
    <row r="13" spans="1:3">
      <c r="A13" s="552">
        <v>11</v>
      </c>
      <c r="B13" s="553" t="s">
        <v>222</v>
      </c>
      <c r="C13" s="35">
        <v>45000</v>
      </c>
    </row>
    <row r="14" spans="1:3">
      <c r="A14" s="552">
        <v>12</v>
      </c>
      <c r="B14" s="553" t="s">
        <v>224</v>
      </c>
      <c r="C14" s="35">
        <v>75000</v>
      </c>
    </row>
    <row r="15" spans="1:3">
      <c r="A15" s="552">
        <v>13</v>
      </c>
      <c r="B15" s="553" t="s">
        <v>262</v>
      </c>
      <c r="C15" s="35">
        <v>30000</v>
      </c>
    </row>
    <row r="16" spans="1:3">
      <c r="A16" s="552">
        <v>14</v>
      </c>
      <c r="B16" s="553" t="s">
        <v>265</v>
      </c>
      <c r="C16" s="35">
        <v>11000</v>
      </c>
    </row>
    <row r="17" spans="1:3">
      <c r="A17" s="552">
        <v>15</v>
      </c>
      <c r="B17" s="553" t="s">
        <v>282</v>
      </c>
      <c r="C17" s="35">
        <v>52250</v>
      </c>
    </row>
    <row r="18" spans="1:3">
      <c r="A18" s="552">
        <v>16</v>
      </c>
      <c r="B18" s="553" t="s">
        <v>289</v>
      </c>
      <c r="C18" s="35">
        <v>71667</v>
      </c>
    </row>
    <row r="19" spans="1:3">
      <c r="A19" s="552">
        <v>17</v>
      </c>
      <c r="B19" s="553" t="s">
        <v>290</v>
      </c>
      <c r="C19" s="35">
        <v>88334</v>
      </c>
    </row>
    <row r="20" spans="1:3">
      <c r="A20" s="552">
        <v>18</v>
      </c>
      <c r="B20" s="553" t="s">
        <v>300</v>
      </c>
      <c r="C20" s="35">
        <v>100000</v>
      </c>
    </row>
    <row r="21" spans="1:3">
      <c r="A21" s="552">
        <v>19</v>
      </c>
      <c r="B21" s="553" t="s">
        <v>312</v>
      </c>
      <c r="C21" s="35">
        <v>21667</v>
      </c>
    </row>
    <row r="22" spans="1:3">
      <c r="A22" s="552">
        <v>20</v>
      </c>
      <c r="B22" s="553" t="s">
        <v>320</v>
      </c>
      <c r="C22" s="35">
        <v>50000</v>
      </c>
    </row>
    <row r="23" spans="1:3">
      <c r="A23" s="552">
        <v>21</v>
      </c>
      <c r="B23" s="553" t="s">
        <v>324</v>
      </c>
      <c r="C23" s="35">
        <v>61667</v>
      </c>
    </row>
    <row r="24" spans="1:3">
      <c r="A24" s="552">
        <v>22</v>
      </c>
      <c r="B24" s="553" t="s">
        <v>326</v>
      </c>
      <c r="C24" s="35">
        <v>10000</v>
      </c>
    </row>
    <row r="25" spans="1:3">
      <c r="A25" s="552">
        <v>23</v>
      </c>
      <c r="B25" s="554" t="s">
        <v>327</v>
      </c>
      <c r="C25" s="35">
        <v>5000</v>
      </c>
    </row>
    <row r="26" spans="1:3">
      <c r="A26" s="552">
        <v>24</v>
      </c>
      <c r="B26" s="553" t="s">
        <v>330</v>
      </c>
      <c r="C26" s="35">
        <v>130625</v>
      </c>
    </row>
    <row r="27" spans="1:3">
      <c r="A27" s="552">
        <v>25</v>
      </c>
      <c r="B27" s="553" t="s">
        <v>339</v>
      </c>
      <c r="C27" s="35">
        <v>135000</v>
      </c>
    </row>
    <row r="28" spans="1:3">
      <c r="A28" s="552">
        <v>26</v>
      </c>
      <c r="B28" s="553" t="s">
        <v>355</v>
      </c>
      <c r="C28" s="35">
        <v>106250</v>
      </c>
    </row>
    <row r="29" spans="1:3">
      <c r="A29" s="552">
        <v>27</v>
      </c>
      <c r="B29" s="553" t="s">
        <v>367</v>
      </c>
      <c r="C29" s="35">
        <v>70000</v>
      </c>
    </row>
    <row r="30" spans="1:3">
      <c r="A30" s="552">
        <v>28</v>
      </c>
      <c r="B30" s="553" t="s">
        <v>371</v>
      </c>
      <c r="C30" s="35">
        <v>71667</v>
      </c>
    </row>
    <row r="31" spans="1:3">
      <c r="A31" s="552">
        <v>29</v>
      </c>
      <c r="B31" s="553" t="s">
        <v>373</v>
      </c>
      <c r="C31" s="35">
        <v>35000</v>
      </c>
    </row>
    <row r="32" spans="1:3">
      <c r="A32" s="552">
        <v>30</v>
      </c>
      <c r="B32" s="553" t="s">
        <v>375</v>
      </c>
      <c r="C32" s="35">
        <v>74167</v>
      </c>
    </row>
    <row r="33" spans="1:3">
      <c r="A33" s="552">
        <v>31</v>
      </c>
      <c r="B33" s="553" t="s">
        <v>382</v>
      </c>
      <c r="C33" s="35">
        <v>10000</v>
      </c>
    </row>
    <row r="34" spans="1:3">
      <c r="A34" s="552">
        <v>32</v>
      </c>
      <c r="B34" s="553" t="s">
        <v>383</v>
      </c>
      <c r="C34" s="35">
        <v>43718.75</v>
      </c>
    </row>
    <row r="35" spans="1:3">
      <c r="A35" s="552">
        <v>33</v>
      </c>
      <c r="B35" s="553" t="s">
        <v>388</v>
      </c>
      <c r="C35" s="35">
        <v>44000</v>
      </c>
    </row>
    <row r="36" spans="1:3">
      <c r="A36" s="552">
        <v>34</v>
      </c>
      <c r="B36" s="553" t="s">
        <v>390</v>
      </c>
      <c r="C36" s="35">
        <v>43334</v>
      </c>
    </row>
    <row r="37" spans="1:3">
      <c r="A37" s="552">
        <v>35</v>
      </c>
      <c r="B37" s="553" t="s">
        <v>393</v>
      </c>
      <c r="C37" s="35">
        <v>20000</v>
      </c>
    </row>
    <row r="38" spans="1:3">
      <c r="A38" s="552">
        <v>36</v>
      </c>
      <c r="B38" s="553" t="s">
        <v>396</v>
      </c>
      <c r="C38" s="35">
        <v>5000</v>
      </c>
    </row>
    <row r="39" spans="1:3">
      <c r="A39" s="552">
        <v>37</v>
      </c>
      <c r="B39" s="553" t="s">
        <v>397</v>
      </c>
      <c r="C39" s="35">
        <v>26000</v>
      </c>
    </row>
    <row r="40" spans="1:3">
      <c r="A40" s="552">
        <v>38</v>
      </c>
      <c r="B40" s="553" t="s">
        <v>400</v>
      </c>
      <c r="C40" s="35">
        <v>5000</v>
      </c>
    </row>
    <row r="41" spans="1:3">
      <c r="A41" s="552">
        <v>39</v>
      </c>
      <c r="B41" s="553" t="s">
        <v>403</v>
      </c>
      <c r="C41" s="35">
        <v>121324</v>
      </c>
    </row>
    <row r="42" spans="1:3">
      <c r="A42" s="552">
        <v>40</v>
      </c>
      <c r="B42" s="553" t="s">
        <v>404</v>
      </c>
      <c r="C42" s="35">
        <v>88334</v>
      </c>
    </row>
    <row r="43" spans="1:3">
      <c r="A43" s="552">
        <v>41</v>
      </c>
      <c r="B43" s="553" t="s">
        <v>410</v>
      </c>
      <c r="C43" s="35">
        <v>5000</v>
      </c>
    </row>
    <row r="44" spans="1:3">
      <c r="A44" s="552">
        <v>42</v>
      </c>
      <c r="B44" s="553" t="s">
        <v>412</v>
      </c>
      <c r="C44" s="35">
        <v>10000</v>
      </c>
    </row>
    <row r="45" spans="1:3">
      <c r="A45" s="552">
        <v>43</v>
      </c>
      <c r="B45" s="553" t="s">
        <v>416</v>
      </c>
      <c r="C45" s="35">
        <v>10000</v>
      </c>
    </row>
    <row r="46" spans="1:3">
      <c r="A46" s="552">
        <v>44</v>
      </c>
      <c r="B46" s="553" t="s">
        <v>417</v>
      </c>
      <c r="C46" s="35">
        <v>91667</v>
      </c>
    </row>
    <row r="47" spans="1:3">
      <c r="A47" s="552">
        <v>45</v>
      </c>
      <c r="B47" s="553" t="s">
        <v>421</v>
      </c>
      <c r="C47" s="35">
        <v>47500</v>
      </c>
    </row>
    <row r="48" spans="1:3">
      <c r="A48" s="552">
        <v>46</v>
      </c>
      <c r="B48" s="553" t="s">
        <v>423</v>
      </c>
      <c r="C48" s="35">
        <v>76667</v>
      </c>
    </row>
    <row r="49" spans="1:3">
      <c r="A49" s="552">
        <v>47</v>
      </c>
      <c r="B49" s="553" t="s">
        <v>427</v>
      </c>
      <c r="C49" s="35">
        <v>31667</v>
      </c>
    </row>
    <row r="50" spans="1:3">
      <c r="A50" s="552">
        <v>48</v>
      </c>
      <c r="B50" s="553" t="s">
        <v>429</v>
      </c>
      <c r="C50" s="35">
        <v>47500</v>
      </c>
    </row>
    <row r="51" spans="1:3">
      <c r="A51" s="552">
        <v>49</v>
      </c>
      <c r="B51" s="553" t="s">
        <v>433</v>
      </c>
      <c r="C51" s="35">
        <v>20000</v>
      </c>
    </row>
    <row r="52" spans="1:3">
      <c r="A52" s="552">
        <v>50</v>
      </c>
      <c r="B52" s="553" t="s">
        <v>452</v>
      </c>
      <c r="C52" s="35">
        <v>57780</v>
      </c>
    </row>
    <row r="53" spans="1:3">
      <c r="A53" s="552">
        <v>51</v>
      </c>
      <c r="B53" s="553" t="s">
        <v>455</v>
      </c>
      <c r="C53" s="35">
        <v>93334</v>
      </c>
    </row>
    <row r="54" spans="1:3">
      <c r="A54" s="552">
        <v>52</v>
      </c>
      <c r="B54" s="553" t="s">
        <v>457</v>
      </c>
      <c r="C54" s="35">
        <v>10000</v>
      </c>
    </row>
    <row r="55" spans="1:3">
      <c r="A55" s="552">
        <v>53</v>
      </c>
      <c r="B55" s="553" t="s">
        <v>460</v>
      </c>
      <c r="C55" s="35">
        <v>36667</v>
      </c>
    </row>
    <row r="56" spans="1:3">
      <c r="A56" s="552">
        <v>54</v>
      </c>
      <c r="B56" s="553" t="s">
        <v>462</v>
      </c>
      <c r="C56" s="35">
        <v>30000</v>
      </c>
    </row>
    <row r="57" spans="1:3">
      <c r="A57" s="552">
        <v>55</v>
      </c>
      <c r="B57" s="553" t="s">
        <v>470</v>
      </c>
      <c r="C57" s="35">
        <v>53750</v>
      </c>
    </row>
    <row r="58" spans="1:3">
      <c r="A58" s="552">
        <v>56</v>
      </c>
      <c r="B58" s="553" t="s">
        <v>475</v>
      </c>
      <c r="C58" s="35">
        <v>35000</v>
      </c>
    </row>
    <row r="59" spans="1:3">
      <c r="A59" s="552">
        <v>57</v>
      </c>
      <c r="B59" s="553" t="s">
        <v>477</v>
      </c>
      <c r="C59" s="35">
        <v>75715</v>
      </c>
    </row>
    <row r="60" spans="1:3">
      <c r="A60" s="552">
        <v>58</v>
      </c>
      <c r="B60" s="553" t="s">
        <v>481</v>
      </c>
      <c r="C60" s="35">
        <v>61667</v>
      </c>
    </row>
    <row r="61" spans="1:3">
      <c r="A61" s="552">
        <v>59</v>
      </c>
      <c r="B61" s="553" t="s">
        <v>488</v>
      </c>
      <c r="C61" s="35">
        <v>60000</v>
      </c>
    </row>
    <row r="62" spans="1:3">
      <c r="A62" s="552">
        <v>60</v>
      </c>
      <c r="B62" s="553" t="s">
        <v>490</v>
      </c>
      <c r="C62" s="35">
        <v>55875</v>
      </c>
    </row>
    <row r="63" spans="1:3">
      <c r="A63" s="552">
        <v>61</v>
      </c>
      <c r="B63" s="553" t="s">
        <v>512</v>
      </c>
      <c r="C63" s="35">
        <v>27917</v>
      </c>
    </row>
    <row r="64" spans="1:3">
      <c r="A64" s="552">
        <v>62</v>
      </c>
      <c r="B64" s="553" t="s">
        <v>517</v>
      </c>
      <c r="C64" s="35">
        <v>50000</v>
      </c>
    </row>
    <row r="65" spans="1:3">
      <c r="A65" s="552">
        <v>63</v>
      </c>
      <c r="B65" s="553" t="s">
        <v>524</v>
      </c>
      <c r="C65" s="35">
        <v>60000</v>
      </c>
    </row>
    <row r="66" spans="1:3">
      <c r="A66" s="552">
        <v>64</v>
      </c>
      <c r="B66" s="553" t="s">
        <v>539</v>
      </c>
      <c r="C66" s="35">
        <v>11000</v>
      </c>
    </row>
    <row r="67" spans="1:3">
      <c r="A67" s="552">
        <v>65</v>
      </c>
      <c r="B67" s="553" t="s">
        <v>548</v>
      </c>
      <c r="C67" s="35">
        <v>50000</v>
      </c>
    </row>
    <row r="68" spans="1:3">
      <c r="A68" s="552">
        <v>66</v>
      </c>
      <c r="B68" s="553" t="s">
        <v>719</v>
      </c>
      <c r="C68" s="35">
        <v>11000</v>
      </c>
    </row>
    <row r="69" spans="1:3">
      <c r="A69" s="552">
        <v>67</v>
      </c>
      <c r="B69" s="553" t="s">
        <v>757</v>
      </c>
      <c r="C69" s="35">
        <v>40000</v>
      </c>
    </row>
    <row r="70" ht="46.5" spans="1:4">
      <c r="A70" s="552"/>
      <c r="B70" s="555" t="s">
        <v>1848</v>
      </c>
      <c r="C70" s="556">
        <f>SUM(C3:C69)</f>
        <v>3463234.75</v>
      </c>
      <c r="D70" s="243"/>
    </row>
  </sheetData>
  <mergeCells count="1">
    <mergeCell ref="A1:C1"/>
  </mergeCells>
  <pageMargins left="0.7" right="0.7" top="0.75" bottom="0.75" header="0.3" footer="0.3"/>
  <pageSetup paperSize="9" scale="39" fitToHeight="5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view="pageBreakPreview" zoomScale="60" zoomScaleNormal="100" topLeftCell="A7" workbookViewId="0">
      <selection activeCell="B15" sqref="B15"/>
    </sheetView>
  </sheetViews>
  <sheetFormatPr defaultColWidth="8.82857142857143" defaultRowHeight="36"/>
  <cols>
    <col min="1" max="1" width="9.33333333333333" customWidth="1"/>
    <col min="2" max="2" width="67.1619047619048" style="471" customWidth="1"/>
    <col min="3" max="3" width="58.5047619047619" customWidth="1"/>
    <col min="4" max="4" width="56" customWidth="1"/>
    <col min="5" max="5" width="33.5047619047619" customWidth="1"/>
    <col min="6" max="6" width="48" customWidth="1"/>
    <col min="7" max="7" width="56.1619047619048" style="472" customWidth="1"/>
    <col min="8" max="8" width="34.5047619047619" style="472" customWidth="1"/>
    <col min="9" max="9" width="49.8285714285714" customWidth="1"/>
    <col min="10" max="10" width="39.8285714285714" customWidth="1"/>
    <col min="11" max="11" width="48" style="2" customWidth="1"/>
    <col min="12" max="12" width="58" customWidth="1"/>
  </cols>
  <sheetData>
    <row r="1" ht="231" customHeight="1" spans="1:12">
      <c r="A1" s="473" t="s">
        <v>1849</v>
      </c>
      <c r="B1" s="474"/>
      <c r="C1" s="474"/>
      <c r="D1" s="474"/>
      <c r="E1" s="474"/>
      <c r="F1" s="474"/>
      <c r="G1" s="474"/>
      <c r="H1" s="474"/>
      <c r="I1" s="474"/>
      <c r="J1" s="474"/>
      <c r="K1" s="528"/>
      <c r="L1" s="529"/>
    </row>
    <row r="2" ht="58.5" customHeight="1" spans="1:12">
      <c r="A2" s="475" t="s">
        <v>1850</v>
      </c>
      <c r="B2" s="475"/>
      <c r="C2" s="475"/>
      <c r="D2" s="475"/>
      <c r="E2" s="475"/>
      <c r="F2" s="475"/>
      <c r="G2" s="475"/>
      <c r="H2" s="475"/>
      <c r="I2" s="475"/>
      <c r="J2" s="475"/>
      <c r="K2" s="530"/>
      <c r="L2" s="529"/>
    </row>
    <row r="3" s="466" customFormat="1" ht="110" customHeight="1" spans="1:12">
      <c r="A3" s="476" t="s">
        <v>2</v>
      </c>
      <c r="B3" s="476" t="s">
        <v>1851</v>
      </c>
      <c r="C3" s="477" t="s">
        <v>1852</v>
      </c>
      <c r="D3" s="477" t="s">
        <v>1853</v>
      </c>
      <c r="E3" s="478" t="s">
        <v>1854</v>
      </c>
      <c r="F3" s="478" t="s">
        <v>1855</v>
      </c>
      <c r="G3" s="479" t="s">
        <v>1856</v>
      </c>
      <c r="H3" s="479"/>
      <c r="I3" s="478" t="s">
        <v>1857</v>
      </c>
      <c r="J3" s="478" t="s">
        <v>1858</v>
      </c>
      <c r="K3" s="477" t="s">
        <v>1859</v>
      </c>
      <c r="L3" s="20" t="s">
        <v>88</v>
      </c>
    </row>
    <row r="4" s="466" customFormat="1" ht="82" customHeight="1" spans="1:12">
      <c r="A4" s="476"/>
      <c r="B4" s="480" t="s">
        <v>1860</v>
      </c>
      <c r="C4" s="481"/>
      <c r="D4" s="481"/>
      <c r="E4" s="481"/>
      <c r="F4" s="481"/>
      <c r="G4" s="481"/>
      <c r="H4" s="481"/>
      <c r="I4" s="481"/>
      <c r="J4" s="481"/>
      <c r="K4" s="531"/>
      <c r="L4" s="20"/>
    </row>
    <row r="5" s="467" customFormat="1" ht="124.5" customHeight="1" spans="1:12">
      <c r="A5" s="482">
        <v>1</v>
      </c>
      <c r="B5" s="483" t="s">
        <v>1183</v>
      </c>
      <c r="C5" s="484" t="s">
        <v>1861</v>
      </c>
      <c r="D5" s="485">
        <v>118000</v>
      </c>
      <c r="E5" s="485"/>
      <c r="F5" s="485"/>
      <c r="G5" s="486">
        <v>9833.3333</v>
      </c>
      <c r="H5" s="486"/>
      <c r="I5" s="532" t="s">
        <v>1862</v>
      </c>
      <c r="J5" s="533">
        <v>12</v>
      </c>
      <c r="K5" s="534" t="s">
        <v>1863</v>
      </c>
      <c r="L5" s="535" t="s">
        <v>1864</v>
      </c>
    </row>
    <row r="6" s="466" customFormat="1" ht="124.5" customHeight="1" spans="1:12">
      <c r="A6" s="487">
        <v>2</v>
      </c>
      <c r="B6" s="488" t="s">
        <v>1865</v>
      </c>
      <c r="C6" s="489" t="s">
        <v>1866</v>
      </c>
      <c r="D6" s="490">
        <v>130000</v>
      </c>
      <c r="E6" s="490"/>
      <c r="F6" s="490"/>
      <c r="G6" s="491">
        <v>11818.182</v>
      </c>
      <c r="H6" s="491"/>
      <c r="I6" s="536" t="s">
        <v>1862</v>
      </c>
      <c r="J6" s="537">
        <v>11</v>
      </c>
      <c r="K6" s="19" t="s">
        <v>1867</v>
      </c>
      <c r="L6" s="20"/>
    </row>
    <row r="7" s="466" customFormat="1" ht="73.5" customHeight="1" spans="1:12">
      <c r="A7" s="20"/>
      <c r="B7" s="492"/>
      <c r="C7" s="493"/>
      <c r="D7" s="494" t="s">
        <v>867</v>
      </c>
      <c r="E7" s="495"/>
      <c r="F7" s="496"/>
      <c r="G7" s="497">
        <f>SUM(G5:G6)</f>
        <v>21651.5153</v>
      </c>
      <c r="H7" s="497"/>
      <c r="I7" s="493"/>
      <c r="J7" s="538"/>
      <c r="K7" s="20"/>
      <c r="L7" s="20"/>
    </row>
    <row r="8" s="466" customFormat="1" ht="73.5" customHeight="1" spans="1:12">
      <c r="A8" s="20"/>
      <c r="B8" s="498" t="s">
        <v>1868</v>
      </c>
      <c r="C8" s="499"/>
      <c r="D8" s="499"/>
      <c r="E8" s="499"/>
      <c r="F8" s="499"/>
      <c r="G8" s="499"/>
      <c r="H8" s="499"/>
      <c r="I8" s="499"/>
      <c r="J8" s="499"/>
      <c r="K8" s="539"/>
      <c r="L8" s="20"/>
    </row>
    <row r="9" s="466" customFormat="1" ht="115" customHeight="1" spans="1:12">
      <c r="A9" s="24">
        <v>1</v>
      </c>
      <c r="B9" s="20" t="s">
        <v>1869</v>
      </c>
      <c r="C9" s="500" t="s">
        <v>1870</v>
      </c>
      <c r="D9" s="501">
        <v>3000000</v>
      </c>
      <c r="E9" s="501">
        <v>450000</v>
      </c>
      <c r="F9" s="502">
        <f>'NON TEACHING STAFF'!BB18</f>
        <v>50000</v>
      </c>
      <c r="G9" s="503">
        <f>D9-E9</f>
        <v>2550000</v>
      </c>
      <c r="H9" s="1460" t="s">
        <v>1871</v>
      </c>
      <c r="I9" s="32" t="s">
        <v>1872</v>
      </c>
      <c r="J9" s="1461" t="s">
        <v>1873</v>
      </c>
      <c r="K9" s="1462" t="s">
        <v>1874</v>
      </c>
      <c r="L9" s="20"/>
    </row>
    <row r="10" s="468" customFormat="1" ht="72.75" customHeight="1" spans="1:12">
      <c r="A10" s="505">
        <v>2</v>
      </c>
      <c r="B10" s="506" t="s">
        <v>1875</v>
      </c>
      <c r="C10" s="507" t="s">
        <v>1876</v>
      </c>
      <c r="D10" s="508">
        <v>200000</v>
      </c>
      <c r="E10" s="508"/>
      <c r="F10" s="509">
        <v>15000</v>
      </c>
      <c r="G10" s="510"/>
      <c r="H10" s="510"/>
      <c r="I10" s="541"/>
      <c r="J10" s="542"/>
      <c r="K10" s="541"/>
      <c r="L10" s="543"/>
    </row>
    <row r="11" s="466" customFormat="1" ht="72.75" customHeight="1" spans="1:12">
      <c r="A11" s="24">
        <v>3</v>
      </c>
      <c r="B11" s="492" t="s">
        <v>1877</v>
      </c>
      <c r="C11" s="500" t="s">
        <v>1878</v>
      </c>
      <c r="D11" s="501">
        <v>600000</v>
      </c>
      <c r="E11" s="501"/>
      <c r="F11" s="502">
        <v>25000</v>
      </c>
      <c r="G11" s="503"/>
      <c r="H11" s="503"/>
      <c r="I11" s="32" t="s">
        <v>1879</v>
      </c>
      <c r="J11" s="544">
        <v>24</v>
      </c>
      <c r="K11" s="32" t="s">
        <v>1880</v>
      </c>
      <c r="L11" s="20"/>
    </row>
    <row r="12" s="466" customFormat="1" ht="94" customHeight="1" spans="1:12">
      <c r="A12" s="24">
        <v>4</v>
      </c>
      <c r="B12" s="492" t="s">
        <v>1881</v>
      </c>
      <c r="C12" s="500" t="s">
        <v>1882</v>
      </c>
      <c r="D12" s="501">
        <v>3000000</v>
      </c>
      <c r="E12" s="501"/>
      <c r="F12" s="502">
        <v>250000</v>
      </c>
      <c r="G12" s="503"/>
      <c r="H12" s="503"/>
      <c r="I12" s="32" t="s">
        <v>1879</v>
      </c>
      <c r="J12" s="1461" t="s">
        <v>1873</v>
      </c>
      <c r="K12" s="1463" t="s">
        <v>1883</v>
      </c>
      <c r="L12" s="20"/>
    </row>
    <row r="13" s="466" customFormat="1" ht="94" customHeight="1" spans="1:12">
      <c r="A13" s="24">
        <v>5</v>
      </c>
      <c r="B13" s="492" t="s">
        <v>1884</v>
      </c>
      <c r="C13" s="500" t="s">
        <v>1885</v>
      </c>
      <c r="D13" s="501">
        <v>250000</v>
      </c>
      <c r="E13" s="501"/>
      <c r="F13" s="502">
        <v>13890</v>
      </c>
      <c r="G13" s="503"/>
      <c r="H13" s="503"/>
      <c r="I13" s="32" t="s">
        <v>1841</v>
      </c>
      <c r="J13" s="1461" t="s">
        <v>1886</v>
      </c>
      <c r="K13" s="1463" t="s">
        <v>1887</v>
      </c>
      <c r="L13" s="20"/>
    </row>
    <row r="14" s="466" customFormat="1" ht="94" customHeight="1" spans="1:12">
      <c r="A14" s="24">
        <v>6</v>
      </c>
      <c r="B14" s="492" t="s">
        <v>1888</v>
      </c>
      <c r="C14" s="500" t="s">
        <v>1889</v>
      </c>
      <c r="D14" s="501">
        <v>300000</v>
      </c>
      <c r="E14" s="501"/>
      <c r="F14" s="502">
        <v>50000</v>
      </c>
      <c r="G14" s="511"/>
      <c r="H14" s="511"/>
      <c r="I14" s="32" t="s">
        <v>1890</v>
      </c>
      <c r="J14" s="1461" t="s">
        <v>1891</v>
      </c>
      <c r="K14" s="1463" t="s">
        <v>1892</v>
      </c>
      <c r="L14" s="20" t="s">
        <v>1893</v>
      </c>
    </row>
    <row r="15" s="466" customFormat="1" ht="94" customHeight="1" spans="1:12">
      <c r="A15" s="24">
        <v>7</v>
      </c>
      <c r="B15" s="492" t="s">
        <v>1894</v>
      </c>
      <c r="C15" s="500" t="s">
        <v>1895</v>
      </c>
      <c r="D15" s="501">
        <v>500000</v>
      </c>
      <c r="E15" s="501"/>
      <c r="F15" s="502">
        <v>50000</v>
      </c>
      <c r="G15" s="503"/>
      <c r="H15" s="503"/>
      <c r="I15" s="32" t="s">
        <v>1841</v>
      </c>
      <c r="J15" s="1461" t="s">
        <v>1896</v>
      </c>
      <c r="K15" s="1463" t="s">
        <v>1883</v>
      </c>
      <c r="L15" s="20"/>
    </row>
    <row r="16" s="466" customFormat="1" ht="94" customHeight="1" spans="1:12">
      <c r="A16" s="24">
        <v>8</v>
      </c>
      <c r="B16" s="492" t="s">
        <v>1897</v>
      </c>
      <c r="C16" s="500" t="s">
        <v>1898</v>
      </c>
      <c r="D16" s="501">
        <v>300000</v>
      </c>
      <c r="E16" s="501"/>
      <c r="F16" s="502">
        <v>30000</v>
      </c>
      <c r="G16" s="503"/>
      <c r="H16" s="503"/>
      <c r="I16" s="32" t="s">
        <v>1841</v>
      </c>
      <c r="J16" s="1461" t="s">
        <v>1896</v>
      </c>
      <c r="K16" s="1463" t="s">
        <v>1883</v>
      </c>
      <c r="L16" s="20"/>
    </row>
    <row r="17" s="466" customFormat="1" ht="94" customHeight="1" spans="1:12">
      <c r="A17" s="24">
        <v>9</v>
      </c>
      <c r="B17" s="492" t="s">
        <v>1899</v>
      </c>
      <c r="C17" s="500" t="s">
        <v>1900</v>
      </c>
      <c r="D17" s="501">
        <v>250000</v>
      </c>
      <c r="E17" s="501"/>
      <c r="F17" s="502">
        <f>'TEACHING STAFF'!AI99</f>
        <v>20833.33</v>
      </c>
      <c r="G17" s="503"/>
      <c r="H17" s="503"/>
      <c r="I17" s="1463" t="s">
        <v>1841</v>
      </c>
      <c r="J17" s="1461" t="s">
        <v>1873</v>
      </c>
      <c r="K17" s="1463" t="s">
        <v>1901</v>
      </c>
      <c r="L17" s="20"/>
    </row>
    <row r="18" s="469" customFormat="1" ht="94" customHeight="1" spans="1:12">
      <c r="A18" s="24">
        <v>10</v>
      </c>
      <c r="B18" s="506" t="s">
        <v>1902</v>
      </c>
      <c r="C18" s="507" t="s">
        <v>1903</v>
      </c>
      <c r="D18" s="508">
        <v>600000</v>
      </c>
      <c r="E18" s="508"/>
      <c r="F18" s="509">
        <v>50000</v>
      </c>
      <c r="G18" s="512"/>
      <c r="H18" s="512"/>
      <c r="I18" s="1464" t="s">
        <v>1841</v>
      </c>
      <c r="J18" s="1465" t="s">
        <v>1873</v>
      </c>
      <c r="K18" s="1464" t="s">
        <v>1901</v>
      </c>
      <c r="L18" s="545"/>
    </row>
    <row r="19" s="469" customFormat="1" ht="94" customHeight="1" spans="1:12">
      <c r="A19" s="24">
        <v>11</v>
      </c>
      <c r="B19" s="506" t="s">
        <v>1904</v>
      </c>
      <c r="C19" s="507" t="s">
        <v>1905</v>
      </c>
      <c r="D19" s="508">
        <v>300000</v>
      </c>
      <c r="E19" s="508"/>
      <c r="F19" s="509">
        <v>50000</v>
      </c>
      <c r="G19" s="512"/>
      <c r="H19" s="512"/>
      <c r="I19" s="541" t="s">
        <v>1863</v>
      </c>
      <c r="J19" s="1465" t="s">
        <v>1906</v>
      </c>
      <c r="K19" s="1464" t="s">
        <v>1907</v>
      </c>
      <c r="L19" s="545"/>
    </row>
    <row r="20" s="470" customFormat="1" ht="94" customHeight="1" spans="1:12">
      <c r="A20" s="24">
        <v>13</v>
      </c>
      <c r="B20" s="513" t="s">
        <v>1908</v>
      </c>
      <c r="C20" s="514" t="s">
        <v>1909</v>
      </c>
      <c r="D20" s="1466" t="s">
        <v>1910</v>
      </c>
      <c r="E20" s="515"/>
      <c r="F20" s="516">
        <v>25000</v>
      </c>
      <c r="G20" s="517"/>
      <c r="H20" s="517"/>
      <c r="I20" s="546" t="s">
        <v>1911</v>
      </c>
      <c r="J20" s="1467" t="s">
        <v>1912</v>
      </c>
      <c r="K20" s="1468" t="s">
        <v>1913</v>
      </c>
      <c r="L20" s="548"/>
    </row>
    <row r="21" s="466" customFormat="1" ht="94" customHeight="1" spans="1:12">
      <c r="A21" s="24">
        <v>14</v>
      </c>
      <c r="B21" s="492" t="s">
        <v>1914</v>
      </c>
      <c r="C21" s="500" t="s">
        <v>1915</v>
      </c>
      <c r="D21" s="501">
        <v>500000</v>
      </c>
      <c r="E21" s="501"/>
      <c r="F21" s="502">
        <f>'NON TEACHING STAFF'!BB190</f>
        <v>27777.8</v>
      </c>
      <c r="G21" s="503"/>
      <c r="H21" s="503"/>
      <c r="I21" s="32" t="s">
        <v>1916</v>
      </c>
      <c r="J21" s="540"/>
      <c r="K21" s="32"/>
      <c r="L21" s="20"/>
    </row>
    <row r="22" s="466" customFormat="1" ht="94" customHeight="1" spans="1:12">
      <c r="A22" s="24">
        <v>15</v>
      </c>
      <c r="B22" s="492" t="s">
        <v>1917</v>
      </c>
      <c r="C22" s="500" t="s">
        <v>1918</v>
      </c>
      <c r="D22" s="501">
        <v>200000</v>
      </c>
      <c r="E22" s="501"/>
      <c r="F22" s="502">
        <f>'NON TEACHING STAFF'!BB225</f>
        <v>25000</v>
      </c>
      <c r="G22" s="503"/>
      <c r="H22" s="503"/>
      <c r="I22" s="32" t="s">
        <v>1916</v>
      </c>
      <c r="J22" s="1461" t="s">
        <v>1906</v>
      </c>
      <c r="K22" s="1463" t="s">
        <v>1883</v>
      </c>
      <c r="L22" s="20"/>
    </row>
    <row r="23" s="469" customFormat="1" ht="94" customHeight="1" spans="1:12">
      <c r="A23" s="24">
        <v>16</v>
      </c>
      <c r="B23" s="506" t="s">
        <v>1919</v>
      </c>
      <c r="C23" s="507" t="s">
        <v>1920</v>
      </c>
      <c r="D23" s="508">
        <v>300000</v>
      </c>
      <c r="E23" s="508"/>
      <c r="F23" s="509">
        <v>25000</v>
      </c>
      <c r="G23" s="512"/>
      <c r="H23" s="512"/>
      <c r="I23" s="541" t="s">
        <v>1916</v>
      </c>
      <c r="J23" s="1465" t="s">
        <v>1873</v>
      </c>
      <c r="K23" s="1464" t="s">
        <v>1921</v>
      </c>
      <c r="L23" s="545"/>
    </row>
    <row r="24" s="469" customFormat="1" ht="94" customHeight="1" spans="1:12">
      <c r="A24" s="24">
        <v>17</v>
      </c>
      <c r="B24" s="506" t="s">
        <v>1922</v>
      </c>
      <c r="C24" s="507" t="s">
        <v>1923</v>
      </c>
      <c r="D24" s="508">
        <v>220000</v>
      </c>
      <c r="E24" s="508"/>
      <c r="F24" s="509">
        <f>'TEACHING STAFF'!AI77</f>
        <v>18333.33</v>
      </c>
      <c r="G24" s="512"/>
      <c r="H24" s="512"/>
      <c r="I24" s="541" t="s">
        <v>1916</v>
      </c>
      <c r="J24" s="1465" t="s">
        <v>1873</v>
      </c>
      <c r="K24" s="1464" t="s">
        <v>1921</v>
      </c>
      <c r="L24" s="545"/>
    </row>
    <row r="25" s="469" customFormat="1" ht="94" customHeight="1" spans="1:12">
      <c r="A25" s="24">
        <v>18</v>
      </c>
      <c r="B25" s="506" t="s">
        <v>1924</v>
      </c>
      <c r="C25" s="507" t="s">
        <v>1925</v>
      </c>
      <c r="D25" s="508">
        <v>3000000</v>
      </c>
      <c r="E25" s="508"/>
      <c r="F25" s="509">
        <v>100000</v>
      </c>
      <c r="G25" s="512"/>
      <c r="H25" s="512"/>
      <c r="I25" s="541" t="s">
        <v>1926</v>
      </c>
      <c r="J25" s="1465" t="s">
        <v>1873</v>
      </c>
      <c r="K25" s="1464" t="s">
        <v>1927</v>
      </c>
      <c r="L25" s="545"/>
    </row>
    <row r="26" s="469" customFormat="1" ht="94" customHeight="1" spans="1:12">
      <c r="A26" s="24">
        <v>19</v>
      </c>
      <c r="B26" s="506" t="s">
        <v>1928</v>
      </c>
      <c r="C26" s="507" t="s">
        <v>1929</v>
      </c>
      <c r="D26" s="508">
        <v>60000</v>
      </c>
      <c r="E26" s="508"/>
      <c r="F26" s="509">
        <v>5000</v>
      </c>
      <c r="G26" s="512"/>
      <c r="H26" s="512"/>
      <c r="I26" s="541" t="s">
        <v>1926</v>
      </c>
      <c r="J26" s="1465" t="s">
        <v>1873</v>
      </c>
      <c r="K26" s="1464" t="s">
        <v>1930</v>
      </c>
      <c r="L26" s="545"/>
    </row>
    <row r="27" s="469" customFormat="1" ht="94" customHeight="1" spans="1:12">
      <c r="A27" s="24">
        <v>20</v>
      </c>
      <c r="B27" s="506" t="s">
        <v>1931</v>
      </c>
      <c r="C27" s="507" t="s">
        <v>1932</v>
      </c>
      <c r="D27" s="508"/>
      <c r="E27" s="508"/>
      <c r="F27" s="509">
        <f>'TEACHING STAFF'!AI34</f>
        <v>50000</v>
      </c>
      <c r="G27" s="512"/>
      <c r="H27" s="512"/>
      <c r="I27" s="541"/>
      <c r="J27" s="542"/>
      <c r="K27" s="541"/>
      <c r="L27" s="545"/>
    </row>
    <row r="28" s="466" customFormat="1" ht="94" customHeight="1" spans="1:12">
      <c r="A28" s="24">
        <v>21</v>
      </c>
      <c r="B28" s="518" t="s">
        <v>1933</v>
      </c>
      <c r="C28" s="500"/>
      <c r="D28" s="501">
        <v>150000</v>
      </c>
      <c r="E28" s="501"/>
      <c r="F28" s="502">
        <v>12500</v>
      </c>
      <c r="G28" s="503"/>
      <c r="H28" s="503"/>
      <c r="I28" s="32" t="s">
        <v>1926</v>
      </c>
      <c r="J28" s="1461" t="s">
        <v>1873</v>
      </c>
      <c r="K28" s="32" t="s">
        <v>1934</v>
      </c>
      <c r="L28" s="20"/>
    </row>
    <row r="29" s="466" customFormat="1" ht="94" customHeight="1" spans="1:12">
      <c r="A29" s="24">
        <v>22</v>
      </c>
      <c r="B29" s="492" t="s">
        <v>1935</v>
      </c>
      <c r="C29" s="500" t="s">
        <v>1936</v>
      </c>
      <c r="D29" s="501">
        <v>500000</v>
      </c>
      <c r="E29" s="501"/>
      <c r="F29" s="502">
        <f>'NON TEACHING STAFF'!BB102</f>
        <v>41666.67</v>
      </c>
      <c r="G29" s="503"/>
      <c r="H29" s="503"/>
      <c r="I29" s="32" t="s">
        <v>1937</v>
      </c>
      <c r="J29" s="1461" t="s">
        <v>1873</v>
      </c>
      <c r="K29" s="1463" t="s">
        <v>1887</v>
      </c>
      <c r="L29" s="20"/>
    </row>
    <row r="30" s="466" customFormat="1" ht="94" customHeight="1" spans="1:12">
      <c r="A30" s="24">
        <v>23</v>
      </c>
      <c r="B30" s="492" t="s">
        <v>1938</v>
      </c>
      <c r="C30" s="500" t="s">
        <v>1939</v>
      </c>
      <c r="D30" s="501">
        <v>100000</v>
      </c>
      <c r="E30" s="501"/>
      <c r="F30" s="502">
        <v>25000</v>
      </c>
      <c r="G30" s="503"/>
      <c r="H30" s="503"/>
      <c r="I30" s="1463" t="s">
        <v>1940</v>
      </c>
      <c r="J30" s="1461" t="s">
        <v>1941</v>
      </c>
      <c r="K30" s="1463" t="s">
        <v>1942</v>
      </c>
      <c r="L30" s="20"/>
    </row>
    <row r="31" s="466" customFormat="1" ht="94" customHeight="1" spans="1:12">
      <c r="A31" s="24">
        <v>24</v>
      </c>
      <c r="B31" s="492" t="s">
        <v>1943</v>
      </c>
      <c r="C31" s="500" t="s">
        <v>1944</v>
      </c>
      <c r="D31" s="501">
        <v>3000000</v>
      </c>
      <c r="E31" s="501"/>
      <c r="F31" s="502">
        <f>'NON TEACHING STAFF'!BB122</f>
        <v>150000</v>
      </c>
      <c r="G31" s="503"/>
      <c r="H31" s="503"/>
      <c r="I31" s="32" t="s">
        <v>1937</v>
      </c>
      <c r="J31" s="1461" t="s">
        <v>1873</v>
      </c>
      <c r="K31" s="1463" t="s">
        <v>1887</v>
      </c>
      <c r="L31" s="20"/>
    </row>
    <row r="32" s="466" customFormat="1" ht="94" customHeight="1" spans="1:12">
      <c r="A32" s="24">
        <v>25</v>
      </c>
      <c r="B32" s="492" t="s">
        <v>1945</v>
      </c>
      <c r="C32" s="500" t="s">
        <v>1946</v>
      </c>
      <c r="D32" s="519" t="s">
        <v>1947</v>
      </c>
      <c r="E32" s="501"/>
      <c r="F32" s="502">
        <v>83333.33</v>
      </c>
      <c r="G32" s="503"/>
      <c r="H32" s="503"/>
      <c r="I32" s="32" t="s">
        <v>1948</v>
      </c>
      <c r="J32" s="1461" t="s">
        <v>1873</v>
      </c>
      <c r="K32" s="1463" t="s">
        <v>1949</v>
      </c>
      <c r="L32" s="20"/>
    </row>
    <row r="33" s="466" customFormat="1" ht="94" customHeight="1" spans="1:12">
      <c r="A33" s="24">
        <v>27</v>
      </c>
      <c r="B33" s="492" t="s">
        <v>1950</v>
      </c>
      <c r="C33" s="500" t="s">
        <v>1951</v>
      </c>
      <c r="D33" s="519">
        <v>300000</v>
      </c>
      <c r="E33" s="501"/>
      <c r="F33" s="502">
        <f>'NON TEACHING STAFF'!BB331</f>
        <v>40000</v>
      </c>
      <c r="G33" s="503"/>
      <c r="H33" s="503"/>
      <c r="I33" s="32"/>
      <c r="J33" s="540"/>
      <c r="K33" s="32"/>
      <c r="L33" s="20"/>
    </row>
    <row r="34" s="466" customFormat="1" ht="94" customHeight="1" spans="1:12">
      <c r="A34" s="24">
        <v>28</v>
      </c>
      <c r="B34" s="492" t="s">
        <v>1163</v>
      </c>
      <c r="C34" s="500"/>
      <c r="D34" s="519"/>
      <c r="E34" s="501"/>
      <c r="F34" s="502">
        <f>'NON TEACHING STAFF'!BB165</f>
        <v>12500</v>
      </c>
      <c r="G34" s="503"/>
      <c r="H34" s="503"/>
      <c r="I34" s="32"/>
      <c r="J34" s="540"/>
      <c r="K34" s="32"/>
      <c r="L34" s="20"/>
    </row>
    <row r="35" s="466" customFormat="1" ht="94" customHeight="1" spans="1:12">
      <c r="A35" s="24">
        <v>29</v>
      </c>
      <c r="B35" s="492" t="s">
        <v>957</v>
      </c>
      <c r="C35" s="500"/>
      <c r="D35" s="519"/>
      <c r="E35" s="501"/>
      <c r="F35" s="502">
        <f>'NON TEACHING STAFF'!BB53</f>
        <v>25000</v>
      </c>
      <c r="G35" s="503"/>
      <c r="H35" s="503"/>
      <c r="I35" s="32"/>
      <c r="J35" s="540"/>
      <c r="K35" s="32"/>
      <c r="L35" s="20"/>
    </row>
    <row r="36" s="466" customFormat="1" ht="94" customHeight="1" spans="1:12">
      <c r="A36" s="24">
        <v>30</v>
      </c>
      <c r="B36" s="492" t="s">
        <v>1952</v>
      </c>
      <c r="C36" s="500" t="s">
        <v>1953</v>
      </c>
      <c r="D36" s="519"/>
      <c r="E36" s="501"/>
      <c r="F36" s="502">
        <f>'NON TEACHING STAFF'!BB34</f>
        <v>20000</v>
      </c>
      <c r="G36" s="503"/>
      <c r="H36" s="503"/>
      <c r="I36" s="32"/>
      <c r="J36" s="540"/>
      <c r="K36" s="32"/>
      <c r="L36" s="20"/>
    </row>
    <row r="37" s="466" customFormat="1" ht="94" customHeight="1" spans="1:12">
      <c r="A37" s="24">
        <v>31</v>
      </c>
      <c r="B37" s="520" t="s">
        <v>1441</v>
      </c>
      <c r="C37" s="500"/>
      <c r="D37" s="519"/>
      <c r="E37" s="501"/>
      <c r="F37" s="502">
        <f>'NON TEACHING STAFF'!BB330</f>
        <v>20833.33</v>
      </c>
      <c r="G37" s="503"/>
      <c r="H37" s="503"/>
      <c r="I37" s="32"/>
      <c r="J37" s="540"/>
      <c r="K37" s="32"/>
      <c r="L37" s="20"/>
    </row>
    <row r="38" s="466" customFormat="1" ht="94" customHeight="1" spans="1:12">
      <c r="A38" s="24">
        <v>32</v>
      </c>
      <c r="B38" s="520" t="s">
        <v>993</v>
      </c>
      <c r="C38" s="500"/>
      <c r="D38" s="519"/>
      <c r="E38" s="501"/>
      <c r="F38" s="502">
        <f>'NON TEACHING STAFF'!BB73</f>
        <v>15000</v>
      </c>
      <c r="G38" s="503"/>
      <c r="H38" s="503"/>
      <c r="I38" s="32"/>
      <c r="J38" s="540"/>
      <c r="K38" s="32"/>
      <c r="L38" s="20"/>
    </row>
    <row r="39" s="466" customFormat="1" ht="94" customHeight="1" spans="1:12">
      <c r="A39" s="24">
        <v>33</v>
      </c>
      <c r="B39" s="520" t="s">
        <v>477</v>
      </c>
      <c r="C39" s="500"/>
      <c r="D39" s="519"/>
      <c r="E39" s="501"/>
      <c r="F39" s="502">
        <f>'TEACHING STAFF'!AI152</f>
        <v>25000</v>
      </c>
      <c r="G39" s="503"/>
      <c r="H39" s="503"/>
      <c r="I39" s="32"/>
      <c r="J39" s="540"/>
      <c r="K39" s="32"/>
      <c r="L39" s="20"/>
    </row>
    <row r="40" s="466" customFormat="1" ht="94" customHeight="1" spans="1:12">
      <c r="A40" s="24">
        <v>34</v>
      </c>
      <c r="B40" s="520" t="s">
        <v>991</v>
      </c>
      <c r="C40" s="500"/>
      <c r="D40" s="519"/>
      <c r="E40" s="501"/>
      <c r="F40" s="502">
        <f>'NON TEACHING STAFF'!BB72</f>
        <v>41666.67</v>
      </c>
      <c r="G40" s="503"/>
      <c r="H40" s="503"/>
      <c r="I40" s="32"/>
      <c r="J40" s="540"/>
      <c r="K40" s="32"/>
      <c r="L40" s="20"/>
    </row>
    <row r="41" s="466" customFormat="1" ht="94" customHeight="1" spans="1:12">
      <c r="A41" s="24">
        <v>35</v>
      </c>
      <c r="B41" s="520" t="s">
        <v>577</v>
      </c>
      <c r="C41" s="500"/>
      <c r="D41" s="519"/>
      <c r="E41" s="501"/>
      <c r="F41" s="502">
        <f>'TEACHING STAFF'!AI198</f>
        <v>25000</v>
      </c>
      <c r="G41" s="503"/>
      <c r="H41" s="503"/>
      <c r="I41" s="32"/>
      <c r="J41" s="540"/>
      <c r="K41" s="32"/>
      <c r="L41" s="20"/>
    </row>
    <row r="42" s="466" customFormat="1" ht="94" customHeight="1" spans="1:12">
      <c r="A42" s="24">
        <v>36</v>
      </c>
      <c r="B42" s="520" t="s">
        <v>1344</v>
      </c>
      <c r="C42" s="500"/>
      <c r="D42" s="519"/>
      <c r="E42" s="501"/>
      <c r="F42" s="502">
        <f>'NON TEACHING STAFF'!BB268</f>
        <v>25000</v>
      </c>
      <c r="G42" s="503"/>
      <c r="H42" s="503"/>
      <c r="I42" s="32"/>
      <c r="J42" s="540"/>
      <c r="K42" s="32"/>
      <c r="L42" s="20"/>
    </row>
    <row r="43" s="466" customFormat="1" ht="94" customHeight="1" spans="1:12">
      <c r="A43" s="24">
        <v>37</v>
      </c>
      <c r="B43" s="520" t="s">
        <v>1954</v>
      </c>
      <c r="C43" s="500" t="s">
        <v>1955</v>
      </c>
      <c r="D43" s="519">
        <v>400000</v>
      </c>
      <c r="E43" s="501"/>
      <c r="F43" s="502">
        <f>'NON TEACHING STAFF'!BB32</f>
        <v>33333.33</v>
      </c>
      <c r="G43" s="503"/>
      <c r="H43" s="503"/>
      <c r="I43" s="32" t="s">
        <v>1863</v>
      </c>
      <c r="J43" s="1461" t="s">
        <v>1873</v>
      </c>
      <c r="K43" s="1463" t="s">
        <v>1956</v>
      </c>
      <c r="L43" s="20"/>
    </row>
    <row r="44" s="466" customFormat="1" ht="94" customHeight="1" spans="1:12">
      <c r="A44" s="24">
        <v>38</v>
      </c>
      <c r="B44" s="520" t="s">
        <v>801</v>
      </c>
      <c r="C44" s="500"/>
      <c r="D44" s="519"/>
      <c r="E44" s="501"/>
      <c r="F44" s="502">
        <f>'TEACHING STAFF'!AI301</f>
        <v>41667</v>
      </c>
      <c r="G44" s="503"/>
      <c r="H44" s="503"/>
      <c r="I44" s="32"/>
      <c r="J44" s="540"/>
      <c r="K44" s="32"/>
      <c r="L44" s="20"/>
    </row>
    <row r="45" s="466" customFormat="1" ht="94" customHeight="1" spans="1:12">
      <c r="A45" s="24">
        <v>39</v>
      </c>
      <c r="B45" s="520" t="s">
        <v>1957</v>
      </c>
      <c r="C45" s="500" t="s">
        <v>1958</v>
      </c>
      <c r="D45" s="519">
        <v>300000</v>
      </c>
      <c r="E45" s="501"/>
      <c r="F45" s="502">
        <v>60000</v>
      </c>
      <c r="G45" s="503"/>
      <c r="H45" s="503"/>
      <c r="I45" s="32" t="s">
        <v>1863</v>
      </c>
      <c r="J45" s="1461" t="s">
        <v>1941</v>
      </c>
      <c r="K45" s="1463" t="s">
        <v>1959</v>
      </c>
      <c r="L45" s="20"/>
    </row>
    <row r="46" s="466" customFormat="1" ht="94" customHeight="1" spans="1:12">
      <c r="A46" s="24">
        <v>40</v>
      </c>
      <c r="B46" s="520" t="s">
        <v>1960</v>
      </c>
      <c r="C46" s="500"/>
      <c r="D46" s="519">
        <v>360000</v>
      </c>
      <c r="E46" s="501"/>
      <c r="F46" s="502">
        <f>'NON TEACHING STAFF'!BB335</f>
        <v>30000</v>
      </c>
      <c r="G46" s="503"/>
      <c r="H46" s="503"/>
      <c r="I46" s="32" t="s">
        <v>1863</v>
      </c>
      <c r="J46" s="1461" t="s">
        <v>1873</v>
      </c>
      <c r="K46" s="1463" t="s">
        <v>1956</v>
      </c>
      <c r="L46" s="20"/>
    </row>
    <row r="47" s="466" customFormat="1" ht="94" customHeight="1" spans="1:12">
      <c r="A47" s="24">
        <v>41</v>
      </c>
      <c r="B47" s="492" t="s">
        <v>1961</v>
      </c>
      <c r="C47" s="500" t="s">
        <v>1962</v>
      </c>
      <c r="D47" s="519">
        <v>300000</v>
      </c>
      <c r="E47" s="501"/>
      <c r="F47" s="502">
        <f>'NON TEACHING STAFF'!BB168</f>
        <v>25000</v>
      </c>
      <c r="G47" s="503"/>
      <c r="H47" s="503"/>
      <c r="I47" s="32" t="s">
        <v>1890</v>
      </c>
      <c r="J47" s="1461" t="s">
        <v>1873</v>
      </c>
      <c r="K47" s="1463" t="s">
        <v>1913</v>
      </c>
      <c r="L47" s="20"/>
    </row>
    <row r="48" s="466" customFormat="1" ht="94" customHeight="1" spans="1:12">
      <c r="A48" s="24"/>
      <c r="B48" s="492" t="s">
        <v>1963</v>
      </c>
      <c r="C48" s="500" t="s">
        <v>1964</v>
      </c>
      <c r="D48" s="519">
        <v>200000</v>
      </c>
      <c r="E48" s="501"/>
      <c r="F48" s="502">
        <v>25000</v>
      </c>
      <c r="G48" s="503"/>
      <c r="H48" s="503"/>
      <c r="I48" s="32" t="s">
        <v>1965</v>
      </c>
      <c r="J48" s="1461" t="s">
        <v>1873</v>
      </c>
      <c r="K48" s="1463" t="s">
        <v>1863</v>
      </c>
      <c r="L48" s="20"/>
    </row>
    <row r="49" s="466" customFormat="1" ht="94" customHeight="1" spans="1:12">
      <c r="A49" s="24"/>
      <c r="B49" s="492" t="s">
        <v>1966</v>
      </c>
      <c r="C49" s="500" t="s">
        <v>1967</v>
      </c>
      <c r="D49" s="519">
        <v>2000000</v>
      </c>
      <c r="E49" s="501"/>
      <c r="F49" s="502">
        <f>'TEACHING STAFF'!AI90</f>
        <v>83500</v>
      </c>
      <c r="G49" s="503"/>
      <c r="H49" s="503"/>
      <c r="I49" s="32" t="s">
        <v>1965</v>
      </c>
      <c r="J49" s="1461" t="s">
        <v>1968</v>
      </c>
      <c r="K49" s="1463" t="s">
        <v>1969</v>
      </c>
      <c r="L49" s="20"/>
    </row>
    <row r="50" s="466" customFormat="1" ht="94" customHeight="1" spans="1:12">
      <c r="A50" s="24"/>
      <c r="B50" s="492" t="s">
        <v>1970</v>
      </c>
      <c r="C50" s="500" t="s">
        <v>1971</v>
      </c>
      <c r="D50" s="519">
        <v>500000</v>
      </c>
      <c r="E50" s="501"/>
      <c r="F50" s="502">
        <f>'TEACHING STAFF'!AI238</f>
        <v>41666.66</v>
      </c>
      <c r="G50" s="503"/>
      <c r="H50" s="503"/>
      <c r="I50" s="32" t="s">
        <v>1965</v>
      </c>
      <c r="J50" s="1461" t="s">
        <v>1873</v>
      </c>
      <c r="K50" s="1463" t="s">
        <v>1863</v>
      </c>
      <c r="L50" s="20"/>
    </row>
    <row r="51" s="466" customFormat="1" ht="94" customHeight="1" spans="1:12">
      <c r="A51" s="24"/>
      <c r="B51" s="492" t="s">
        <v>1972</v>
      </c>
      <c r="C51" s="500" t="s">
        <v>1973</v>
      </c>
      <c r="D51" s="519">
        <v>100000</v>
      </c>
      <c r="E51" s="501"/>
      <c r="F51" s="502">
        <v>25000</v>
      </c>
      <c r="G51" s="503"/>
      <c r="H51" s="503"/>
      <c r="I51" s="32" t="s">
        <v>1965</v>
      </c>
      <c r="J51" s="1461" t="s">
        <v>1941</v>
      </c>
      <c r="K51" s="1463" t="s">
        <v>1892</v>
      </c>
      <c r="L51" s="20"/>
    </row>
    <row r="52" s="466" customFormat="1" ht="94" customHeight="1" spans="1:12">
      <c r="A52" s="24"/>
      <c r="B52" s="492" t="s">
        <v>1974</v>
      </c>
      <c r="C52" s="500" t="s">
        <v>1975</v>
      </c>
      <c r="D52" s="519">
        <v>300000</v>
      </c>
      <c r="E52" s="501"/>
      <c r="F52" s="502">
        <v>25000</v>
      </c>
      <c r="G52" s="503"/>
      <c r="H52" s="503"/>
      <c r="I52" s="32" t="s">
        <v>1965</v>
      </c>
      <c r="J52" s="1461" t="s">
        <v>1873</v>
      </c>
      <c r="K52" s="1463" t="s">
        <v>1863</v>
      </c>
      <c r="L52" s="20"/>
    </row>
    <row r="53" s="466" customFormat="1" ht="94" customHeight="1" spans="1:12">
      <c r="A53" s="24"/>
      <c r="B53" s="492" t="s">
        <v>1976</v>
      </c>
      <c r="C53" s="500" t="s">
        <v>1977</v>
      </c>
      <c r="D53" s="519">
        <v>500000</v>
      </c>
      <c r="E53" s="501"/>
      <c r="F53" s="502">
        <v>41666.67</v>
      </c>
      <c r="G53" s="503"/>
      <c r="H53" s="503"/>
      <c r="I53" s="32" t="s">
        <v>1965</v>
      </c>
      <c r="J53" s="1461" t="s">
        <v>1873</v>
      </c>
      <c r="K53" s="1463" t="s">
        <v>1863</v>
      </c>
      <c r="L53" s="20"/>
    </row>
    <row r="54" s="466" customFormat="1" ht="94" customHeight="1" spans="1:12">
      <c r="A54" s="24"/>
      <c r="B54" s="492" t="s">
        <v>1978</v>
      </c>
      <c r="C54" s="500" t="s">
        <v>1979</v>
      </c>
      <c r="D54" s="519">
        <v>240000</v>
      </c>
      <c r="E54" s="501"/>
      <c r="F54" s="502">
        <v>40000</v>
      </c>
      <c r="G54" s="503"/>
      <c r="H54" s="503"/>
      <c r="I54" s="32" t="s">
        <v>1965</v>
      </c>
      <c r="J54" s="1461" t="s">
        <v>1891</v>
      </c>
      <c r="K54" s="1463" t="s">
        <v>1934</v>
      </c>
      <c r="L54" s="20"/>
    </row>
    <row r="55" s="466" customFormat="1" ht="83" customHeight="1" spans="1:12">
      <c r="A55" s="24"/>
      <c r="B55" s="521" t="s">
        <v>1464</v>
      </c>
      <c r="C55" s="521"/>
      <c r="D55" s="521"/>
      <c r="E55" s="522"/>
      <c r="F55" s="522">
        <f>'NON TEACHING STAFF'!BB343</f>
        <v>1921002.33</v>
      </c>
      <c r="G55" s="523"/>
      <c r="H55" s="524"/>
      <c r="I55" s="32"/>
      <c r="J55" s="21"/>
      <c r="K55" s="71"/>
      <c r="L55" s="20"/>
    </row>
    <row r="56" hidden="1"/>
    <row r="58" spans="6:7">
      <c r="F58" s="525"/>
      <c r="G58" s="526"/>
    </row>
    <row r="63" spans="7:8">
      <c r="G63" s="527"/>
      <c r="H63" s="527"/>
    </row>
  </sheetData>
  <mergeCells count="6">
    <mergeCell ref="A1:K1"/>
    <mergeCell ref="A2:K2"/>
    <mergeCell ref="B4:K4"/>
    <mergeCell ref="D7:F7"/>
    <mergeCell ref="B8:K8"/>
    <mergeCell ref="B55:D55"/>
  </mergeCells>
  <pageMargins left="0.7" right="0.7" top="0.75" bottom="0.75" header="0.3" footer="0.3"/>
  <pageSetup paperSize="9" scale="22" orientation="landscape"/>
  <headerFooter/>
  <rowBreaks count="1" manualBreakCount="1">
    <brk id="55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view="pageBreakPreview" zoomScale="60" zoomScaleNormal="100" workbookViewId="0">
      <selection activeCell="B15" sqref="B15"/>
    </sheetView>
  </sheetViews>
  <sheetFormatPr defaultColWidth="11.5047619047619" defaultRowHeight="33.75" outlineLevelCol="2"/>
  <cols>
    <col min="1" max="1" width="11.5047619047619" style="63"/>
    <col min="2" max="2" width="81.3333333333333" customWidth="1"/>
    <col min="3" max="3" width="52.5047619047619" style="2" customWidth="1"/>
    <col min="6" max="6" width="11.1619047619048" customWidth="1"/>
  </cols>
  <sheetData>
    <row r="1" ht="219.75" customHeight="1" spans="1:3">
      <c r="A1" s="64" t="s">
        <v>1980</v>
      </c>
      <c r="B1" s="64"/>
      <c r="C1" s="64"/>
    </row>
    <row r="2" ht="48" spans="1:3">
      <c r="A2" s="65" t="s">
        <v>2</v>
      </c>
      <c r="B2" s="66" t="s">
        <v>3</v>
      </c>
      <c r="C2" s="51" t="s">
        <v>862</v>
      </c>
    </row>
    <row r="3" ht="34.5" spans="1:3">
      <c r="A3" s="67">
        <v>1</v>
      </c>
      <c r="B3" s="68" t="s">
        <v>166</v>
      </c>
      <c r="C3" s="455">
        <v>2500</v>
      </c>
    </row>
    <row r="4" ht="34.5" spans="1:3">
      <c r="A4" s="67">
        <v>2</v>
      </c>
      <c r="B4" s="68" t="s">
        <v>429</v>
      </c>
      <c r="C4" s="455">
        <v>1250</v>
      </c>
    </row>
    <row r="5" ht="34.5" spans="1:3">
      <c r="A5" s="67">
        <v>3</v>
      </c>
      <c r="B5" s="68" t="s">
        <v>479</v>
      </c>
      <c r="C5" s="455">
        <v>1250</v>
      </c>
    </row>
    <row r="6" ht="34.5" spans="1:3">
      <c r="A6" s="71"/>
      <c r="B6" s="456" t="s">
        <v>867</v>
      </c>
      <c r="C6" s="457">
        <f>SUM(C3:C5)</f>
        <v>5000</v>
      </c>
    </row>
    <row r="7" ht="93" customHeight="1" spans="1:3">
      <c r="A7" s="458"/>
      <c r="B7" s="459" t="s">
        <v>1830</v>
      </c>
      <c r="C7" s="460"/>
    </row>
    <row r="8" ht="34.5" spans="1:3">
      <c r="A8" s="71">
        <v>5</v>
      </c>
      <c r="B8" s="461" t="s">
        <v>1006</v>
      </c>
      <c r="C8" s="462">
        <v>1500</v>
      </c>
    </row>
    <row r="9" ht="34.5" spans="1:3">
      <c r="A9" s="71">
        <v>6</v>
      </c>
      <c r="B9" s="461" t="s">
        <v>1110</v>
      </c>
      <c r="C9" s="462">
        <v>1250</v>
      </c>
    </row>
    <row r="10" ht="34.5" spans="1:3">
      <c r="A10" s="71">
        <v>7</v>
      </c>
      <c r="B10" s="461" t="s">
        <v>919</v>
      </c>
      <c r="C10" s="462">
        <v>1250</v>
      </c>
    </row>
    <row r="11" ht="35.25" spans="1:3">
      <c r="A11" s="463"/>
      <c r="B11" s="464" t="s">
        <v>867</v>
      </c>
      <c r="C11" s="465">
        <f>SUM(C8:C10)</f>
        <v>4000</v>
      </c>
    </row>
    <row r="12" ht="35.25" spans="1:3">
      <c r="A12" s="463"/>
      <c r="B12" s="464" t="s">
        <v>1465</v>
      </c>
      <c r="C12" s="465">
        <f>C11+C6</f>
        <v>9000</v>
      </c>
    </row>
  </sheetData>
  <mergeCells count="2">
    <mergeCell ref="A1:C1"/>
    <mergeCell ref="B7:C7"/>
  </mergeCells>
  <pageMargins left="0.7" right="0.7" top="0.75" bottom="0.75" header="0.3" footer="0.3"/>
  <pageSetup paperSize="9" scale="2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5:G15"/>
  <sheetViews>
    <sheetView view="pageBreakPreview" zoomScale="60" zoomScaleNormal="100" workbookViewId="0">
      <selection activeCell="B15" sqref="B15"/>
    </sheetView>
  </sheetViews>
  <sheetFormatPr defaultColWidth="59" defaultRowHeight="15" outlineLevelCol="6"/>
  <cols>
    <col min="1" max="1" width="18.5047619047619" customWidth="1"/>
    <col min="2" max="2" width="90.6666666666667" customWidth="1"/>
    <col min="3" max="3" width="59" style="439"/>
    <col min="5" max="6" width="59" style="440"/>
  </cols>
  <sheetData>
    <row r="5" ht="130" customHeight="1" spans="1:6">
      <c r="A5" s="441" t="s">
        <v>1981</v>
      </c>
      <c r="B5" s="441"/>
      <c r="C5" s="441"/>
      <c r="D5" s="442"/>
      <c r="E5" s="442"/>
      <c r="F5" s="442"/>
    </row>
    <row r="6" ht="97" customHeight="1" spans="1:7">
      <c r="A6" s="443" t="s">
        <v>2</v>
      </c>
      <c r="B6" s="444" t="s">
        <v>1836</v>
      </c>
      <c r="C6" s="444" t="s">
        <v>862</v>
      </c>
      <c r="D6" s="444" t="s">
        <v>1837</v>
      </c>
      <c r="E6" s="444" t="s">
        <v>1838</v>
      </c>
      <c r="F6" s="443" t="s">
        <v>1839</v>
      </c>
      <c r="G6" s="2"/>
    </row>
    <row r="7" s="27" customFormat="1" ht="97" customHeight="1" spans="1:6">
      <c r="A7" s="443">
        <v>1</v>
      </c>
      <c r="B7" s="445" t="s">
        <v>1982</v>
      </c>
      <c r="C7" s="446">
        <v>66667</v>
      </c>
      <c r="D7" s="446">
        <v>500000</v>
      </c>
      <c r="E7" s="443" t="s">
        <v>1983</v>
      </c>
      <c r="F7" s="443" t="s">
        <v>1892</v>
      </c>
    </row>
    <row r="8" s="27" customFormat="1" ht="97" customHeight="1" spans="1:6">
      <c r="A8" s="443">
        <v>2</v>
      </c>
      <c r="B8" s="445" t="s">
        <v>1266</v>
      </c>
      <c r="C8" s="446">
        <v>40000</v>
      </c>
      <c r="D8" s="447">
        <v>300000</v>
      </c>
      <c r="E8" s="448" t="s">
        <v>1984</v>
      </c>
      <c r="F8" s="443" t="s">
        <v>1985</v>
      </c>
    </row>
    <row r="9" s="27" customFormat="1" ht="97" customHeight="1" spans="1:6">
      <c r="A9" s="443">
        <v>3</v>
      </c>
      <c r="B9" s="445" t="s">
        <v>1986</v>
      </c>
      <c r="C9" s="446">
        <v>93334</v>
      </c>
      <c r="D9" s="447">
        <v>700000</v>
      </c>
      <c r="E9" s="448" t="s">
        <v>1987</v>
      </c>
      <c r="F9" s="443" t="s">
        <v>1988</v>
      </c>
    </row>
    <row r="10" s="27" customFormat="1" ht="97" customHeight="1" spans="1:6">
      <c r="A10" s="443">
        <v>4</v>
      </c>
      <c r="B10" s="445" t="s">
        <v>1840</v>
      </c>
      <c r="C10" s="446">
        <f>'NON TEACHING STAFF'!BM16</f>
        <v>66667</v>
      </c>
      <c r="D10" s="447">
        <v>500000</v>
      </c>
      <c r="E10" s="448" t="s">
        <v>1987</v>
      </c>
      <c r="F10" s="443" t="s">
        <v>1988</v>
      </c>
    </row>
    <row r="11" s="27" customFormat="1" ht="97" customHeight="1" spans="1:6">
      <c r="A11" s="443">
        <v>5</v>
      </c>
      <c r="B11" s="445" t="str">
        <f>'TEACHING STAFF'!B295</f>
        <v>LELEGI PETER AMAMIEMIEYE</v>
      </c>
      <c r="C11" s="446">
        <f>'TEACHING STAFF'!AL295</f>
        <v>93334</v>
      </c>
      <c r="D11" s="447"/>
      <c r="E11" s="448"/>
      <c r="F11" s="443"/>
    </row>
    <row r="12" s="27" customFormat="1" ht="97" customHeight="1" spans="1:6">
      <c r="A12" s="443">
        <v>6</v>
      </c>
      <c r="B12" s="449" t="str">
        <f>'NON TEACHING STAFF'!B244</f>
        <v> OPUENE  SERGENT </v>
      </c>
      <c r="C12" s="446">
        <f>'NON TEACHING STAFF'!BM244</f>
        <v>96429</v>
      </c>
      <c r="D12" s="447">
        <v>500000</v>
      </c>
      <c r="E12" s="448" t="s">
        <v>1987</v>
      </c>
      <c r="F12" s="443" t="s">
        <v>1892</v>
      </c>
    </row>
    <row r="13" s="27" customFormat="1" ht="97" customHeight="1" spans="1:6">
      <c r="A13" s="443">
        <v>7</v>
      </c>
      <c r="B13" s="445" t="s">
        <v>1989</v>
      </c>
      <c r="C13" s="446">
        <f>'NON TEACHING STAFF'!BM115</f>
        <v>81334</v>
      </c>
      <c r="D13" s="446">
        <v>610000</v>
      </c>
      <c r="E13" s="443" t="s">
        <v>1990</v>
      </c>
      <c r="F13" s="443" t="s">
        <v>1991</v>
      </c>
    </row>
    <row r="14" s="27" customFormat="1" ht="63" spans="1:6">
      <c r="A14" s="450"/>
      <c r="B14" s="451" t="s">
        <v>867</v>
      </c>
      <c r="C14" s="452">
        <f>SUM(C7:C13)</f>
        <v>537765</v>
      </c>
      <c r="D14" s="453">
        <f>SUM(D7:D13)</f>
        <v>3110000</v>
      </c>
      <c r="E14" s="446"/>
      <c r="F14" s="454"/>
    </row>
    <row r="15" ht="15.75"/>
  </sheetData>
  <mergeCells count="1">
    <mergeCell ref="A5:F5"/>
  </mergeCells>
  <pageMargins left="0.7" right="0.7" top="0.75" bottom="0.75" header="0.3" footer="0.3"/>
  <pageSetup paperSize="9" scale="24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79"/>
  <sheetViews>
    <sheetView topLeftCell="BA1" workbookViewId="0">
      <selection activeCell="BA1" sqref="BA$1:BN$1048576"/>
    </sheetView>
  </sheetViews>
  <sheetFormatPr defaultColWidth="11.5047619047619" defaultRowHeight="15"/>
  <cols>
    <col min="2" max="2" width="36.1619047619048" customWidth="1"/>
    <col min="3" max="3" width="34.5047619047619" customWidth="1"/>
    <col min="4" max="4" width="18.5047619047619" customWidth="1"/>
    <col min="6" max="6" width="22.8285714285714" customWidth="1"/>
    <col min="7" max="7" width="7.33333333333333" customWidth="1"/>
    <col min="8" max="8" width="5.82857142857143" customWidth="1"/>
    <col min="9" max="9" width="5.5047619047619" customWidth="1"/>
    <col min="10" max="10" width="4.66666666666667" customWidth="1"/>
    <col min="11" max="11" width="6" customWidth="1"/>
    <col min="12" max="12" width="5.5047619047619" customWidth="1"/>
    <col min="13" max="13" width="4.66666666666667" customWidth="1"/>
    <col min="14" max="14" width="3.33333333333333" customWidth="1"/>
    <col min="15" max="15" width="6.33333333333333" customWidth="1"/>
    <col min="16" max="16" width="6.16190476190476" customWidth="1"/>
    <col min="17" max="17" width="5.33333333333333" customWidth="1"/>
    <col min="18" max="18" width="6.16190476190476" customWidth="1"/>
    <col min="19" max="19" width="7.5047619047619" customWidth="1"/>
    <col min="20" max="20" width="10.8285714285714" customWidth="1"/>
    <col min="33" max="33" width="4" customWidth="1"/>
    <col min="34" max="34" width="8.33333333333333" customWidth="1"/>
    <col min="35" max="35" width="6.33333333333333" customWidth="1"/>
    <col min="43" max="43" width="5.66666666666667" customWidth="1"/>
    <col min="67" max="67" width="21.6666666666667" customWidth="1"/>
    <col min="68" max="68" width="27" customWidth="1"/>
  </cols>
  <sheetData>
    <row r="1" ht="292.55" spans="1:68">
      <c r="A1" s="250" t="s">
        <v>2</v>
      </c>
      <c r="B1" s="251" t="s">
        <v>3</v>
      </c>
      <c r="C1" s="252" t="s">
        <v>5</v>
      </c>
      <c r="D1" s="252" t="s">
        <v>6</v>
      </c>
      <c r="E1" s="253" t="s">
        <v>7</v>
      </c>
      <c r="F1" s="253" t="s">
        <v>8</v>
      </c>
      <c r="G1" s="254" t="s">
        <v>9</v>
      </c>
      <c r="H1" s="254" t="s">
        <v>14</v>
      </c>
      <c r="I1" s="268" t="s">
        <v>15</v>
      </c>
      <c r="J1" s="268" t="s">
        <v>16</v>
      </c>
      <c r="K1" s="268" t="s">
        <v>17</v>
      </c>
      <c r="L1" s="268" t="s">
        <v>18</v>
      </c>
      <c r="M1" s="268" t="s">
        <v>19</v>
      </c>
      <c r="N1" s="268" t="s">
        <v>20</v>
      </c>
      <c r="O1" s="268" t="s">
        <v>1992</v>
      </c>
      <c r="P1" s="268" t="s">
        <v>1993</v>
      </c>
      <c r="Q1" s="268" t="s">
        <v>22</v>
      </c>
      <c r="R1" s="268" t="s">
        <v>23</v>
      </c>
      <c r="S1" s="268" t="s">
        <v>24</v>
      </c>
      <c r="T1" s="268" t="s">
        <v>1994</v>
      </c>
      <c r="U1" s="268" t="s">
        <v>26</v>
      </c>
      <c r="V1" s="268" t="s">
        <v>27</v>
      </c>
      <c r="W1" s="269" t="s">
        <v>28</v>
      </c>
      <c r="X1" s="268" t="s">
        <v>29</v>
      </c>
      <c r="Y1" s="268" t="s">
        <v>30</v>
      </c>
      <c r="Z1" s="268" t="s">
        <v>31</v>
      </c>
      <c r="AA1" s="268" t="s">
        <v>32</v>
      </c>
      <c r="AB1" s="268" t="s">
        <v>33</v>
      </c>
      <c r="AC1" s="268"/>
      <c r="AD1" s="254" t="s">
        <v>34</v>
      </c>
      <c r="AE1" s="254" t="s">
        <v>35</v>
      </c>
      <c r="AF1" s="254" t="s">
        <v>1995</v>
      </c>
      <c r="AG1" s="272" t="s">
        <v>38</v>
      </c>
      <c r="AH1" s="273" t="s">
        <v>41</v>
      </c>
      <c r="AI1" s="274" t="s">
        <v>1996</v>
      </c>
      <c r="AJ1" s="275" t="s">
        <v>44</v>
      </c>
      <c r="AK1" s="276" t="s">
        <v>46</v>
      </c>
      <c r="AL1" s="276" t="s">
        <v>1997</v>
      </c>
      <c r="AM1" s="276" t="s">
        <v>52</v>
      </c>
      <c r="AN1" s="277" t="s">
        <v>55</v>
      </c>
      <c r="AO1" s="254" t="s">
        <v>56</v>
      </c>
      <c r="AP1" s="254" t="s">
        <v>57</v>
      </c>
      <c r="AQ1" s="277" t="s">
        <v>58</v>
      </c>
      <c r="AR1" s="254" t="s">
        <v>59</v>
      </c>
      <c r="AS1" s="254" t="s">
        <v>60</v>
      </c>
      <c r="AT1" s="254" t="s">
        <v>61</v>
      </c>
      <c r="AU1" s="254" t="s">
        <v>62</v>
      </c>
      <c r="AV1" s="277" t="s">
        <v>63</v>
      </c>
      <c r="AW1" s="254" t="s">
        <v>64</v>
      </c>
      <c r="AX1" s="254" t="s">
        <v>65</v>
      </c>
      <c r="AY1" s="254" t="s">
        <v>66</v>
      </c>
      <c r="AZ1" s="254" t="s">
        <v>67</v>
      </c>
      <c r="BA1" s="303" t="s">
        <v>68</v>
      </c>
      <c r="BB1" s="303" t="s">
        <v>69</v>
      </c>
      <c r="BC1" s="303" t="s">
        <v>60</v>
      </c>
      <c r="BD1" s="303" t="s">
        <v>70</v>
      </c>
      <c r="BE1" s="303" t="s">
        <v>71</v>
      </c>
      <c r="BF1" s="303" t="s">
        <v>72</v>
      </c>
      <c r="BG1" s="303" t="s">
        <v>73</v>
      </c>
      <c r="BH1" s="303" t="s">
        <v>74</v>
      </c>
      <c r="BI1" s="303" t="s">
        <v>75</v>
      </c>
      <c r="BJ1" s="303" t="s">
        <v>76</v>
      </c>
      <c r="BK1" s="303" t="s">
        <v>77</v>
      </c>
      <c r="BL1" s="303" t="s">
        <v>78</v>
      </c>
      <c r="BM1" s="303" t="s">
        <v>79</v>
      </c>
      <c r="BN1" s="315" t="s">
        <v>80</v>
      </c>
      <c r="BO1" s="316" t="s">
        <v>81</v>
      </c>
      <c r="BP1" s="316" t="s">
        <v>82</v>
      </c>
    </row>
    <row r="2" s="245" customFormat="1" ht="167" customHeight="1" spans="1:76">
      <c r="A2" s="255">
        <v>1</v>
      </c>
      <c r="B2" s="70" t="s">
        <v>89</v>
      </c>
      <c r="C2" s="129" t="s">
        <v>1998</v>
      </c>
      <c r="D2" s="129" t="s">
        <v>92</v>
      </c>
      <c r="E2" s="256" t="s">
        <v>675</v>
      </c>
      <c r="F2" s="256">
        <v>2017212564</v>
      </c>
      <c r="G2" s="257">
        <f t="shared" ref="G2:G5" si="0">H2*12</f>
        <v>9356702.4</v>
      </c>
      <c r="H2" s="258">
        <f>'TEACHING STAFF'!M4</f>
        <v>779725.2</v>
      </c>
      <c r="I2" s="258">
        <f>H2*0.35/3</f>
        <v>90967.94</v>
      </c>
      <c r="J2" s="258">
        <v>8333.33</v>
      </c>
      <c r="K2" s="258"/>
      <c r="L2" s="258"/>
      <c r="M2" s="258">
        <v>2500</v>
      </c>
      <c r="N2" s="258"/>
      <c r="O2" s="258"/>
      <c r="P2" s="258"/>
      <c r="Q2" s="258"/>
      <c r="R2" s="258"/>
      <c r="S2" s="258"/>
      <c r="T2" s="258"/>
      <c r="U2" s="258">
        <v>383.33</v>
      </c>
      <c r="V2" s="258">
        <v>250000</v>
      </c>
      <c r="W2" s="265"/>
      <c r="X2" s="258"/>
      <c r="Y2" s="258"/>
      <c r="Z2" s="258"/>
      <c r="AA2" s="258"/>
      <c r="AB2" s="258"/>
      <c r="AC2" s="258"/>
      <c r="AD2" s="270"/>
      <c r="AE2" s="258"/>
      <c r="AF2" s="258"/>
      <c r="AG2" s="270">
        <f>H2*0.02</f>
        <v>15594.504</v>
      </c>
      <c r="AH2" s="270">
        <f>100000</f>
        <v>100000</v>
      </c>
      <c r="AI2" s="278"/>
      <c r="AJ2" s="279">
        <v>1000</v>
      </c>
      <c r="AK2" s="280"/>
      <c r="AL2" s="280"/>
      <c r="AM2" s="281">
        <v>362500</v>
      </c>
      <c r="AN2" s="258">
        <v>25000</v>
      </c>
      <c r="AO2" s="299">
        <v>3500</v>
      </c>
      <c r="AP2" s="299">
        <v>3500</v>
      </c>
      <c r="AQ2" s="299"/>
      <c r="AR2" s="299">
        <f>AV2*0.02</f>
        <v>22638.196</v>
      </c>
      <c r="AS2" s="300"/>
      <c r="AT2" s="300"/>
      <c r="AU2" s="299">
        <f>BP2</f>
        <v>195993.348266667</v>
      </c>
      <c r="AV2" s="299">
        <f>W2+V2+U2+N2+M2+K2+J2+I2+H2</f>
        <v>1131909.8</v>
      </c>
      <c r="AW2" s="299">
        <f>AU2+AR2+AQ2+AO2+AN2+AM2+AK2+AJ2+AH2+AI2+AG2</f>
        <v>726226.048266667</v>
      </c>
      <c r="AX2" s="304"/>
      <c r="AY2" s="304"/>
      <c r="AZ2" s="299">
        <f>AV2-AW2</f>
        <v>405683.751733333</v>
      </c>
      <c r="BA2" s="429">
        <f t="shared" ref="BA2:BA65" si="1">AV2*12</f>
        <v>13582917.6</v>
      </c>
      <c r="BB2" s="430">
        <f t="shared" ref="BB2:BB65" si="2">200000+(0.2*BA2)</f>
        <v>2916583.52</v>
      </c>
      <c r="BC2" s="307">
        <f t="shared" ref="BC2:BC65" si="3">AS2*12</f>
        <v>0</v>
      </c>
      <c r="BD2" s="308">
        <f t="shared" ref="BD2:BD65" si="4">SUM(BB2:BC2)</f>
        <v>2916583.52</v>
      </c>
      <c r="BE2" s="313">
        <f t="shared" ref="BE2:BE65" si="5">+BA2-BD2</f>
        <v>10666334.08</v>
      </c>
      <c r="BF2" s="430"/>
      <c r="BG2" s="307">
        <f t="shared" ref="BG2:BG65" si="6">IF((BE2&gt;0),(IF((BE2&gt;300000),(300000*7%),(BE2*7%))),(BA2*1%))</f>
        <v>21000</v>
      </c>
      <c r="BH2" s="307">
        <f t="shared" ref="BH2:BH65" si="7">IF((BE2-300000)&gt;0,(IF((BE2&gt;600000),(300000*11%),((BE2-300000)*11%))),(""))</f>
        <v>33000</v>
      </c>
      <c r="BI2" s="307">
        <f t="shared" ref="BI2:BI65" si="8">IF(((BE2-600000)&gt;0),(IF((BE2&gt;1100000),(500000*15%),((BE2-600000)*15%))),(""))</f>
        <v>75000</v>
      </c>
      <c r="BJ2" s="307">
        <f t="shared" ref="BJ2:BJ65" si="9">IF(((BE2-(1100000))&gt;0),(IF((BE2&gt;(1600000)),((500000)*19%),((BE2-(1100000))*19%))),(""))</f>
        <v>95000</v>
      </c>
      <c r="BK2" s="307">
        <f t="shared" ref="BK2:BK65" si="10">IF(((BE2-(1600000))&gt;0),(IF((BE2&gt;(3200000)),((1600000)*21%),((BE2-(1600000))*21%))),(""))</f>
        <v>336000</v>
      </c>
      <c r="BL2" s="307">
        <f t="shared" ref="BL2:BL65" si="11">IF(((BE2-(3200000))&gt;0),(IF((BE2&gt;(3200000)),((BE2-(3200000))*24%),(0))),(""))</f>
        <v>1791920.1792</v>
      </c>
      <c r="BM2" s="429">
        <f t="shared" ref="BM2:BM65" si="12">SUM(BG2:BL2)</f>
        <v>2351920.1792</v>
      </c>
      <c r="BN2" s="320">
        <f t="shared" ref="BN2:BN65" si="13">1%*BA2</f>
        <v>135829.176</v>
      </c>
      <c r="BO2" s="321">
        <f t="shared" ref="BO2:BO11" si="14">MAX(BM2:BN2)</f>
        <v>2351920.1792</v>
      </c>
      <c r="BP2" s="322">
        <f t="shared" ref="BP2:BP65" si="15">+BO2/12</f>
        <v>195993.348266667</v>
      </c>
      <c r="BQ2" s="323"/>
      <c r="BR2" s="324"/>
      <c r="BS2" s="325"/>
      <c r="BT2" s="326"/>
      <c r="BU2" s="326"/>
      <c r="BV2" s="334"/>
      <c r="BW2" s="335"/>
      <c r="BX2" s="335"/>
    </row>
    <row r="3" s="245" customFormat="1" ht="134" customHeight="1" spans="1:76">
      <c r="A3" s="255">
        <v>2</v>
      </c>
      <c r="B3" s="70" t="s">
        <v>94</v>
      </c>
      <c r="C3" s="129" t="s">
        <v>1999</v>
      </c>
      <c r="D3" s="129" t="s">
        <v>92</v>
      </c>
      <c r="E3" s="256" t="s">
        <v>97</v>
      </c>
      <c r="F3" s="1469" t="s">
        <v>98</v>
      </c>
      <c r="G3" s="257">
        <f t="shared" si="0"/>
        <v>9356702.4</v>
      </c>
      <c r="H3" s="258">
        <f>'TEACHING STAFF'!M5</f>
        <v>779725.2</v>
      </c>
      <c r="I3" s="258"/>
      <c r="J3" s="258"/>
      <c r="K3" s="258">
        <f>K78</f>
        <v>41667</v>
      </c>
      <c r="L3" s="258"/>
      <c r="M3" s="258">
        <v>2500</v>
      </c>
      <c r="N3" s="258"/>
      <c r="O3" s="258"/>
      <c r="P3" s="258"/>
      <c r="Q3" s="258"/>
      <c r="R3" s="258"/>
      <c r="S3" s="258"/>
      <c r="T3" s="258"/>
      <c r="U3" s="258"/>
      <c r="V3" s="258"/>
      <c r="W3" s="265"/>
      <c r="X3" s="258"/>
      <c r="Y3" s="258"/>
      <c r="Z3" s="258"/>
      <c r="AA3" s="258"/>
      <c r="AB3" s="258"/>
      <c r="AC3" s="258"/>
      <c r="AD3" s="270"/>
      <c r="AE3" s="258"/>
      <c r="AF3" s="258"/>
      <c r="AG3" s="270">
        <f>H3*0.02</f>
        <v>15594.504</v>
      </c>
      <c r="AH3" s="270"/>
      <c r="AI3" s="282">
        <v>1000</v>
      </c>
      <c r="AJ3" s="279"/>
      <c r="AK3" s="279"/>
      <c r="AL3" s="279"/>
      <c r="AM3" s="281"/>
      <c r="AN3" s="258">
        <v>25000</v>
      </c>
      <c r="AO3" s="299">
        <v>3500</v>
      </c>
      <c r="AP3" s="299">
        <v>3500</v>
      </c>
      <c r="AQ3" s="299"/>
      <c r="AR3" s="299">
        <f>AV3*0.02</f>
        <v>16477.844</v>
      </c>
      <c r="AS3" s="300"/>
      <c r="AT3" s="300"/>
      <c r="AU3" s="299">
        <f>BP3</f>
        <v>136853.969066667</v>
      </c>
      <c r="AV3" s="299">
        <f>V3+U3+N3+M3+K3+J3+I3+H3</f>
        <v>823892.2</v>
      </c>
      <c r="AW3" s="299">
        <f>AU3+AR3+AQ3+AO3+AN3+AM3+AK3+AI3+AH3+AG3+AF3+AE3+AD3</f>
        <v>198426.317066667</v>
      </c>
      <c r="AX3" s="304"/>
      <c r="AY3" s="304"/>
      <c r="AZ3" s="299">
        <f>AV3-AW3</f>
        <v>625465.882933333</v>
      </c>
      <c r="BA3" s="429">
        <f t="shared" si="1"/>
        <v>9886706.4</v>
      </c>
      <c r="BB3" s="430">
        <f t="shared" si="2"/>
        <v>2177341.28</v>
      </c>
      <c r="BC3" s="307">
        <f t="shared" si="3"/>
        <v>0</v>
      </c>
      <c r="BD3" s="308">
        <f t="shared" si="4"/>
        <v>2177341.28</v>
      </c>
      <c r="BE3" s="313">
        <f t="shared" si="5"/>
        <v>7709365.12</v>
      </c>
      <c r="BF3" s="430"/>
      <c r="BG3" s="307">
        <f t="shared" si="6"/>
        <v>21000</v>
      </c>
      <c r="BH3" s="307">
        <f t="shared" si="7"/>
        <v>33000</v>
      </c>
      <c r="BI3" s="307">
        <f t="shared" si="8"/>
        <v>75000</v>
      </c>
      <c r="BJ3" s="307">
        <f t="shared" si="9"/>
        <v>95000</v>
      </c>
      <c r="BK3" s="307">
        <f t="shared" si="10"/>
        <v>336000</v>
      </c>
      <c r="BL3" s="307">
        <f t="shared" si="11"/>
        <v>1082247.6288</v>
      </c>
      <c r="BM3" s="429">
        <f t="shared" si="12"/>
        <v>1642247.6288</v>
      </c>
      <c r="BN3" s="320">
        <f t="shared" si="13"/>
        <v>98867.064</v>
      </c>
      <c r="BO3" s="321">
        <f t="shared" si="14"/>
        <v>1642247.6288</v>
      </c>
      <c r="BP3" s="322">
        <f t="shared" si="15"/>
        <v>136853.969066667</v>
      </c>
      <c r="BQ3" s="323"/>
      <c r="BR3" s="324"/>
      <c r="BS3" s="325"/>
      <c r="BT3" s="326"/>
      <c r="BU3" s="326"/>
      <c r="BV3" s="334"/>
      <c r="BW3" s="335"/>
      <c r="BX3" s="335"/>
    </row>
    <row r="4" s="245" customFormat="1" ht="161.25" customHeight="1" spans="1:75">
      <c r="A4" s="255">
        <v>3</v>
      </c>
      <c r="B4" s="70" t="s">
        <v>2000</v>
      </c>
      <c r="C4" s="129" t="s">
        <v>100</v>
      </c>
      <c r="D4" s="129" t="s">
        <v>92</v>
      </c>
      <c r="E4" s="256" t="s">
        <v>101</v>
      </c>
      <c r="F4" s="1470" t="str">
        <f>'[9]SEPT SALARY, 2021 BANK COPY'!$E$4</f>
        <v>0072045836</v>
      </c>
      <c r="G4" s="257" t="e">
        <f t="shared" si="0"/>
        <v>#REF!</v>
      </c>
      <c r="H4" s="258" t="e">
        <f>'TEACHING STAFF'!#REF!</f>
        <v>#REF!</v>
      </c>
      <c r="I4" s="258"/>
      <c r="J4" s="258"/>
      <c r="K4" s="258"/>
      <c r="L4" s="258"/>
      <c r="M4" s="258">
        <v>2500</v>
      </c>
      <c r="N4" s="258"/>
      <c r="O4" s="258"/>
      <c r="P4" s="258"/>
      <c r="Q4" s="258"/>
      <c r="R4" s="258"/>
      <c r="S4" s="258"/>
      <c r="T4" s="258"/>
      <c r="U4" s="258">
        <v>383.33</v>
      </c>
      <c r="V4" s="258"/>
      <c r="W4" s="265"/>
      <c r="X4" s="258">
        <v>0</v>
      </c>
      <c r="Y4" s="258"/>
      <c r="Z4" s="258"/>
      <c r="AA4" s="258"/>
      <c r="AB4" s="258"/>
      <c r="AC4" s="258"/>
      <c r="AD4" s="270"/>
      <c r="AE4" s="258"/>
      <c r="AF4" s="258"/>
      <c r="AG4" s="270" t="e">
        <f t="shared" ref="AG4:AG80" si="16">H4*0.02</f>
        <v>#REF!</v>
      </c>
      <c r="AH4" s="270"/>
      <c r="AI4" s="282">
        <v>1000</v>
      </c>
      <c r="AJ4" s="279"/>
      <c r="AK4" s="279"/>
      <c r="AL4" s="279"/>
      <c r="AM4" s="281"/>
      <c r="AN4" s="258">
        <v>8333.33</v>
      </c>
      <c r="AO4" s="299">
        <v>3500</v>
      </c>
      <c r="AP4" s="299"/>
      <c r="AQ4" s="299"/>
      <c r="AR4" s="299" t="e">
        <f t="shared" ref="AR4:AR80" si="17">AV4*0.02</f>
        <v>#REF!</v>
      </c>
      <c r="AS4" s="300"/>
      <c r="AT4" s="300"/>
      <c r="AU4" s="299">
        <f>29831.41*2</f>
        <v>59662.82</v>
      </c>
      <c r="AV4" s="299" t="e">
        <f>W4+V4+U4+N4+M4+K4+J4+I4+H4</f>
        <v>#REF!</v>
      </c>
      <c r="AW4" s="299" t="e">
        <f t="shared" ref="AW4:AW73" si="18">AU4+AR4+AQ4+AO4+AN4+AM4+AK4+AI4+AH4+AG4+AF4+AE4+AD4</f>
        <v>#REF!</v>
      </c>
      <c r="AX4" s="299"/>
      <c r="AY4" s="299"/>
      <c r="AZ4" s="299" t="e">
        <f t="shared" ref="AZ4:AZ74" si="19">AV4-AW4</f>
        <v>#REF!</v>
      </c>
      <c r="BA4" s="429" t="e">
        <f t="shared" si="1"/>
        <v>#REF!</v>
      </c>
      <c r="BB4" s="430" t="e">
        <f t="shared" si="2"/>
        <v>#REF!</v>
      </c>
      <c r="BC4" s="307">
        <f t="shared" si="3"/>
        <v>0</v>
      </c>
      <c r="BD4" s="308" t="e">
        <f t="shared" si="4"/>
        <v>#REF!</v>
      </c>
      <c r="BE4" s="313" t="e">
        <f t="shared" si="5"/>
        <v>#REF!</v>
      </c>
      <c r="BF4" s="430"/>
      <c r="BG4" s="307" t="e">
        <f t="shared" si="6"/>
        <v>#REF!</v>
      </c>
      <c r="BH4" s="307" t="e">
        <f t="shared" si="7"/>
        <v>#REF!</v>
      </c>
      <c r="BI4" s="307" t="e">
        <f t="shared" si="8"/>
        <v>#REF!</v>
      </c>
      <c r="BJ4" s="307" t="e">
        <f t="shared" si="9"/>
        <v>#REF!</v>
      </c>
      <c r="BK4" s="307" t="e">
        <f t="shared" si="10"/>
        <v>#REF!</v>
      </c>
      <c r="BL4" s="307" t="e">
        <f t="shared" si="11"/>
        <v>#REF!</v>
      </c>
      <c r="BM4" s="429" t="e">
        <f t="shared" si="12"/>
        <v>#REF!</v>
      </c>
      <c r="BN4" s="320" t="e">
        <f t="shared" si="13"/>
        <v>#REF!</v>
      </c>
      <c r="BO4" s="321" t="e">
        <f t="shared" si="14"/>
        <v>#REF!</v>
      </c>
      <c r="BP4" s="322">
        <f>AU4</f>
        <v>59662.82</v>
      </c>
      <c r="BQ4" s="323"/>
      <c r="BR4" s="324"/>
      <c r="BS4" s="325"/>
      <c r="BT4" s="326"/>
      <c r="BU4" s="326"/>
      <c r="BV4" s="334"/>
      <c r="BW4" s="335"/>
    </row>
    <row r="5" s="245" customFormat="1" ht="161.25" customHeight="1" spans="1:75">
      <c r="A5" s="255">
        <v>4</v>
      </c>
      <c r="B5" s="70" t="s">
        <v>103</v>
      </c>
      <c r="C5" s="129" t="s">
        <v>105</v>
      </c>
      <c r="D5" s="129" t="s">
        <v>106</v>
      </c>
      <c r="E5" s="256" t="s">
        <v>97</v>
      </c>
      <c r="F5" s="1470" t="s">
        <v>107</v>
      </c>
      <c r="G5" s="257">
        <f t="shared" si="0"/>
        <v>3830943.96</v>
      </c>
      <c r="H5" s="258">
        <f>319245.33</f>
        <v>319245.33</v>
      </c>
      <c r="I5" s="258"/>
      <c r="J5" s="258"/>
      <c r="K5" s="258"/>
      <c r="L5" s="258"/>
      <c r="M5" s="258">
        <v>2500</v>
      </c>
      <c r="N5" s="258"/>
      <c r="O5" s="258"/>
      <c r="P5" s="258"/>
      <c r="Q5" s="258"/>
      <c r="R5" s="258"/>
      <c r="S5" s="258"/>
      <c r="T5" s="258"/>
      <c r="U5" s="258"/>
      <c r="V5" s="258"/>
      <c r="W5" s="265"/>
      <c r="X5" s="258">
        <v>0</v>
      </c>
      <c r="Y5" s="258"/>
      <c r="Z5" s="258"/>
      <c r="AA5" s="258"/>
      <c r="AB5" s="258"/>
      <c r="AC5" s="258"/>
      <c r="AD5" s="270"/>
      <c r="AE5" s="258"/>
      <c r="AF5" s="258"/>
      <c r="AG5" s="270">
        <f t="shared" si="16"/>
        <v>6384.9066</v>
      </c>
      <c r="AH5" s="270"/>
      <c r="AI5" s="282">
        <v>1000</v>
      </c>
      <c r="AJ5" s="279"/>
      <c r="AK5" s="279"/>
      <c r="AL5" s="279"/>
      <c r="AM5" s="281"/>
      <c r="AN5" s="258"/>
      <c r="AO5" s="299">
        <v>3500</v>
      </c>
      <c r="AP5" s="299"/>
      <c r="AQ5" s="299"/>
      <c r="AR5" s="299">
        <f t="shared" si="17"/>
        <v>6434.9066</v>
      </c>
      <c r="AS5" s="300"/>
      <c r="AT5" s="300"/>
      <c r="AU5" s="299">
        <f>29831.41*2</f>
        <v>59662.82</v>
      </c>
      <c r="AV5" s="299">
        <f>W5+V5+U5+N5+M5+K5+J5+I5+H5</f>
        <v>321745.33</v>
      </c>
      <c r="AW5" s="299">
        <f t="shared" si="18"/>
        <v>76982.6332</v>
      </c>
      <c r="AX5" s="299"/>
      <c r="AY5" s="299"/>
      <c r="AZ5" s="299">
        <f t="shared" si="19"/>
        <v>244762.6968</v>
      </c>
      <c r="BA5" s="429">
        <f t="shared" si="1"/>
        <v>3860943.96</v>
      </c>
      <c r="BB5" s="430">
        <f t="shared" si="2"/>
        <v>972188.792</v>
      </c>
      <c r="BC5" s="307">
        <f t="shared" si="3"/>
        <v>0</v>
      </c>
      <c r="BD5" s="308">
        <f t="shared" si="4"/>
        <v>972188.792</v>
      </c>
      <c r="BE5" s="313">
        <f t="shared" si="5"/>
        <v>2888755.168</v>
      </c>
      <c r="BF5" s="430"/>
      <c r="BG5" s="307">
        <f t="shared" si="6"/>
        <v>21000</v>
      </c>
      <c r="BH5" s="307">
        <f t="shared" si="7"/>
        <v>33000</v>
      </c>
      <c r="BI5" s="307">
        <f t="shared" si="8"/>
        <v>75000</v>
      </c>
      <c r="BJ5" s="307">
        <f t="shared" si="9"/>
        <v>95000</v>
      </c>
      <c r="BK5" s="307">
        <f t="shared" si="10"/>
        <v>270638.58528</v>
      </c>
      <c r="BL5" s="307" t="str">
        <f t="shared" si="11"/>
        <v/>
      </c>
      <c r="BM5" s="429">
        <f t="shared" si="12"/>
        <v>494638.58528</v>
      </c>
      <c r="BN5" s="320">
        <f t="shared" si="13"/>
        <v>38609.4396</v>
      </c>
      <c r="BO5" s="321">
        <f t="shared" si="14"/>
        <v>494638.58528</v>
      </c>
      <c r="BP5" s="322">
        <f>AU5</f>
        <v>59662.82</v>
      </c>
      <c r="BQ5" s="323"/>
      <c r="BR5" s="324"/>
      <c r="BS5" s="325"/>
      <c r="BT5" s="326"/>
      <c r="BU5" s="326"/>
      <c r="BV5" s="334"/>
      <c r="BW5" s="335"/>
    </row>
    <row r="6" s="245" customFormat="1" ht="172.5" customHeight="1" spans="1:75">
      <c r="A6" s="255">
        <v>5</v>
      </c>
      <c r="B6" s="70" t="s">
        <v>119</v>
      </c>
      <c r="C6" s="129" t="s">
        <v>130</v>
      </c>
      <c r="D6" s="129" t="s">
        <v>2001</v>
      </c>
      <c r="E6" s="128" t="s">
        <v>122</v>
      </c>
      <c r="F6" s="1469" t="s">
        <v>123</v>
      </c>
      <c r="G6" s="257">
        <v>2425322</v>
      </c>
      <c r="H6" s="258">
        <f t="shared" ref="H6:H22" si="20">G6/12</f>
        <v>202110.166666667</v>
      </c>
      <c r="I6" s="258">
        <f t="shared" ref="I6:I34" si="21">H6*0.35/3</f>
        <v>23579.5194444444</v>
      </c>
      <c r="J6" s="258">
        <v>5000</v>
      </c>
      <c r="K6" s="258">
        <v>41667</v>
      </c>
      <c r="L6" s="258"/>
      <c r="M6" s="258">
        <v>2500</v>
      </c>
      <c r="N6" s="258"/>
      <c r="O6" s="258"/>
      <c r="P6" s="258"/>
      <c r="Q6" s="258"/>
      <c r="R6" s="258"/>
      <c r="S6" s="258"/>
      <c r="T6" s="258"/>
      <c r="U6" s="258">
        <v>383.33</v>
      </c>
      <c r="V6" s="258"/>
      <c r="W6" s="265"/>
      <c r="X6" s="258"/>
      <c r="Y6" s="258"/>
      <c r="Z6" s="258"/>
      <c r="AA6" s="258"/>
      <c r="AB6" s="258"/>
      <c r="AC6" s="258"/>
      <c r="AD6" s="270"/>
      <c r="AE6" s="258"/>
      <c r="AF6" s="258"/>
      <c r="AG6" s="270">
        <f t="shared" si="16"/>
        <v>4042.20333333333</v>
      </c>
      <c r="AH6" s="270"/>
      <c r="AI6" s="282">
        <v>1000</v>
      </c>
      <c r="AJ6" s="279"/>
      <c r="AK6" s="279"/>
      <c r="AL6" s="279"/>
      <c r="AM6" s="281"/>
      <c r="AN6" s="258"/>
      <c r="AO6" s="299">
        <v>1500</v>
      </c>
      <c r="AP6" s="299"/>
      <c r="AQ6" s="299"/>
      <c r="AR6" s="299">
        <f t="shared" si="17"/>
        <v>5504.80032222222</v>
      </c>
      <c r="AS6" s="300"/>
      <c r="AT6" s="300"/>
      <c r="AU6" s="299">
        <f t="shared" ref="AU6:AU49" si="22">BP6</f>
        <v>33406.9893733333</v>
      </c>
      <c r="AV6" s="299">
        <f t="shared" ref="AV6:AV8" si="23">W6+V6+U6+N6+M6+K6+J6+I6+H6</f>
        <v>275240.016111111</v>
      </c>
      <c r="AW6" s="299">
        <f t="shared" si="18"/>
        <v>45453.9930288889</v>
      </c>
      <c r="AX6" s="299"/>
      <c r="AY6" s="299"/>
      <c r="AZ6" s="299">
        <f t="shared" si="19"/>
        <v>229786.023082222</v>
      </c>
      <c r="BA6" s="429">
        <f t="shared" si="1"/>
        <v>3302880.19333333</v>
      </c>
      <c r="BB6" s="430">
        <f t="shared" si="2"/>
        <v>860576.038666667</v>
      </c>
      <c r="BC6" s="307">
        <f t="shared" si="3"/>
        <v>0</v>
      </c>
      <c r="BD6" s="308">
        <f t="shared" si="4"/>
        <v>860576.038666667</v>
      </c>
      <c r="BE6" s="313">
        <f t="shared" si="5"/>
        <v>2442304.15466667</v>
      </c>
      <c r="BF6" s="430"/>
      <c r="BG6" s="307">
        <f t="shared" si="6"/>
        <v>21000</v>
      </c>
      <c r="BH6" s="307">
        <f t="shared" si="7"/>
        <v>33000</v>
      </c>
      <c r="BI6" s="307">
        <f t="shared" si="8"/>
        <v>75000</v>
      </c>
      <c r="BJ6" s="307">
        <f t="shared" si="9"/>
        <v>95000</v>
      </c>
      <c r="BK6" s="307">
        <f t="shared" si="10"/>
        <v>176883.87248</v>
      </c>
      <c r="BL6" s="307" t="str">
        <f t="shared" si="11"/>
        <v/>
      </c>
      <c r="BM6" s="429">
        <f t="shared" si="12"/>
        <v>400883.87248</v>
      </c>
      <c r="BN6" s="320">
        <f t="shared" si="13"/>
        <v>33028.8019333333</v>
      </c>
      <c r="BO6" s="321">
        <f t="shared" si="14"/>
        <v>400883.87248</v>
      </c>
      <c r="BP6" s="322">
        <f t="shared" si="15"/>
        <v>33406.9893733333</v>
      </c>
      <c r="BQ6" s="323"/>
      <c r="BR6" s="324"/>
      <c r="BS6" s="325"/>
      <c r="BT6" s="326"/>
      <c r="BU6" s="326"/>
      <c r="BV6" s="334"/>
      <c r="BW6" s="335"/>
    </row>
    <row r="7" s="245" customFormat="1" ht="172.5" customHeight="1" spans="1:75">
      <c r="A7" s="255">
        <v>6</v>
      </c>
      <c r="B7" s="70" t="s">
        <v>2002</v>
      </c>
      <c r="C7" s="129" t="s">
        <v>221</v>
      </c>
      <c r="D7" s="129" t="s">
        <v>2003</v>
      </c>
      <c r="E7" s="256" t="s">
        <v>127</v>
      </c>
      <c r="F7" s="1469" t="s">
        <v>128</v>
      </c>
      <c r="G7" s="257">
        <v>2048214</v>
      </c>
      <c r="H7" s="258">
        <f t="shared" si="20"/>
        <v>170684.5</v>
      </c>
      <c r="I7" s="258">
        <f t="shared" si="21"/>
        <v>19913.1916666667</v>
      </c>
      <c r="J7" s="258">
        <v>5000</v>
      </c>
      <c r="K7" s="258"/>
      <c r="L7" s="258"/>
      <c r="M7" s="258">
        <v>2500</v>
      </c>
      <c r="N7" s="258"/>
      <c r="O7" s="258"/>
      <c r="P7" s="258"/>
      <c r="Q7" s="258"/>
      <c r="R7" s="258"/>
      <c r="S7" s="258"/>
      <c r="T7" s="258"/>
      <c r="U7" s="258">
        <v>383.33</v>
      </c>
      <c r="V7" s="258"/>
      <c r="W7" s="265"/>
      <c r="X7" s="258"/>
      <c r="Y7" s="258"/>
      <c r="Z7" s="258"/>
      <c r="AA7" s="258"/>
      <c r="AB7" s="258"/>
      <c r="AC7" s="258"/>
      <c r="AD7" s="270"/>
      <c r="AE7" s="258"/>
      <c r="AF7" s="258"/>
      <c r="AG7" s="270">
        <f t="shared" si="16"/>
        <v>3413.69</v>
      </c>
      <c r="AH7" s="270"/>
      <c r="AI7" s="282">
        <v>1000</v>
      </c>
      <c r="AJ7" s="282"/>
      <c r="AK7" s="279"/>
      <c r="AL7" s="279"/>
      <c r="AM7" s="281"/>
      <c r="AN7" s="258"/>
      <c r="AO7" s="299">
        <v>1000</v>
      </c>
      <c r="AP7" s="299"/>
      <c r="AQ7" s="299"/>
      <c r="AR7" s="299">
        <f t="shared" si="17"/>
        <v>3969.62043333333</v>
      </c>
      <c r="AS7" s="300"/>
      <c r="AT7" s="300"/>
      <c r="AU7" s="299">
        <f t="shared" si="22"/>
        <v>20511.4783066667</v>
      </c>
      <c r="AV7" s="299">
        <f t="shared" si="23"/>
        <v>198481.021666667</v>
      </c>
      <c r="AW7" s="299">
        <f t="shared" si="18"/>
        <v>29894.78874</v>
      </c>
      <c r="AX7" s="299"/>
      <c r="AY7" s="299"/>
      <c r="AZ7" s="299">
        <f t="shared" si="19"/>
        <v>168586.232926667</v>
      </c>
      <c r="BA7" s="429">
        <f t="shared" si="1"/>
        <v>2381772.26</v>
      </c>
      <c r="BB7" s="430">
        <f t="shared" si="2"/>
        <v>676354.452</v>
      </c>
      <c r="BC7" s="307">
        <f t="shared" si="3"/>
        <v>0</v>
      </c>
      <c r="BD7" s="308">
        <f t="shared" si="4"/>
        <v>676354.452</v>
      </c>
      <c r="BE7" s="313">
        <f t="shared" si="5"/>
        <v>1705417.808</v>
      </c>
      <c r="BF7" s="430"/>
      <c r="BG7" s="307">
        <f t="shared" si="6"/>
        <v>21000</v>
      </c>
      <c r="BH7" s="307">
        <f t="shared" si="7"/>
        <v>33000</v>
      </c>
      <c r="BI7" s="307">
        <f t="shared" si="8"/>
        <v>75000</v>
      </c>
      <c r="BJ7" s="307">
        <f t="shared" si="9"/>
        <v>95000</v>
      </c>
      <c r="BK7" s="307">
        <f t="shared" si="10"/>
        <v>22137.7396799999</v>
      </c>
      <c r="BL7" s="307" t="str">
        <f t="shared" si="11"/>
        <v/>
      </c>
      <c r="BM7" s="429">
        <f t="shared" si="12"/>
        <v>246137.73968</v>
      </c>
      <c r="BN7" s="320">
        <f t="shared" si="13"/>
        <v>23817.7226</v>
      </c>
      <c r="BO7" s="321">
        <f t="shared" si="14"/>
        <v>246137.73968</v>
      </c>
      <c r="BP7" s="322">
        <f t="shared" si="15"/>
        <v>20511.4783066667</v>
      </c>
      <c r="BQ7" s="323"/>
      <c r="BR7" s="324"/>
      <c r="BS7" s="325"/>
      <c r="BT7" s="326"/>
      <c r="BU7" s="326"/>
      <c r="BV7" s="334"/>
      <c r="BW7" s="335"/>
    </row>
    <row r="8" s="245" customFormat="1" ht="172.5" customHeight="1" spans="1:75">
      <c r="A8" s="255">
        <v>7</v>
      </c>
      <c r="B8" s="70" t="s">
        <v>2004</v>
      </c>
      <c r="C8" s="129" t="s">
        <v>105</v>
      </c>
      <c r="D8" s="129" t="s">
        <v>251</v>
      </c>
      <c r="E8" s="256" t="s">
        <v>113</v>
      </c>
      <c r="F8" s="261">
        <f>'[9]SEPT SALARY, 2021 BANK COPY'!$E$108</f>
        <v>1006415522</v>
      </c>
      <c r="G8" s="257">
        <f>6664214/2</f>
        <v>3332107</v>
      </c>
      <c r="H8" s="258">
        <f t="shared" si="20"/>
        <v>277675.583333333</v>
      </c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65"/>
      <c r="X8" s="258"/>
      <c r="Y8" s="258"/>
      <c r="Z8" s="258"/>
      <c r="AA8" s="258"/>
      <c r="AB8" s="258"/>
      <c r="AC8" s="258"/>
      <c r="AD8" s="270"/>
      <c r="AE8" s="258"/>
      <c r="AF8" s="258"/>
      <c r="AG8" s="270">
        <f t="shared" si="16"/>
        <v>5553.51166666667</v>
      </c>
      <c r="AH8" s="270"/>
      <c r="AI8" s="282"/>
      <c r="AJ8" s="279">
        <v>1000</v>
      </c>
      <c r="AK8" s="279"/>
      <c r="AL8" s="279"/>
      <c r="AM8" s="281"/>
      <c r="AN8" s="258"/>
      <c r="AO8" s="299">
        <v>1750</v>
      </c>
      <c r="AP8" s="299"/>
      <c r="AQ8" s="299"/>
      <c r="AR8" s="299">
        <f t="shared" si="17"/>
        <v>5553.51166666667</v>
      </c>
      <c r="AS8" s="300"/>
      <c r="AT8" s="300"/>
      <c r="AU8" s="299">
        <f t="shared" si="22"/>
        <v>33816.1646666667</v>
      </c>
      <c r="AV8" s="299">
        <f t="shared" si="23"/>
        <v>277675.583333333</v>
      </c>
      <c r="AW8" s="299">
        <f t="shared" si="18"/>
        <v>46673.188</v>
      </c>
      <c r="AX8" s="299"/>
      <c r="AY8" s="299"/>
      <c r="AZ8" s="299">
        <f t="shared" si="19"/>
        <v>231002.395333333</v>
      </c>
      <c r="BA8" s="429">
        <f t="shared" si="1"/>
        <v>3332107</v>
      </c>
      <c r="BB8" s="430">
        <f t="shared" si="2"/>
        <v>866421.4</v>
      </c>
      <c r="BC8" s="307">
        <f t="shared" si="3"/>
        <v>0</v>
      </c>
      <c r="BD8" s="308">
        <f t="shared" si="4"/>
        <v>866421.4</v>
      </c>
      <c r="BE8" s="313">
        <f t="shared" si="5"/>
        <v>2465685.6</v>
      </c>
      <c r="BF8" s="430"/>
      <c r="BG8" s="307">
        <f t="shared" si="6"/>
        <v>21000</v>
      </c>
      <c r="BH8" s="307">
        <f t="shared" si="7"/>
        <v>33000</v>
      </c>
      <c r="BI8" s="307">
        <f t="shared" si="8"/>
        <v>75000</v>
      </c>
      <c r="BJ8" s="307">
        <f t="shared" si="9"/>
        <v>95000</v>
      </c>
      <c r="BK8" s="307">
        <f t="shared" si="10"/>
        <v>181793.976</v>
      </c>
      <c r="BL8" s="307" t="str">
        <f t="shared" si="11"/>
        <v/>
      </c>
      <c r="BM8" s="429">
        <f t="shared" si="12"/>
        <v>405793.976</v>
      </c>
      <c r="BN8" s="320">
        <f t="shared" si="13"/>
        <v>33321.07</v>
      </c>
      <c r="BO8" s="321">
        <f t="shared" si="14"/>
        <v>405793.976</v>
      </c>
      <c r="BP8" s="322">
        <f t="shared" si="15"/>
        <v>33816.1646666667</v>
      </c>
      <c r="BQ8" s="323"/>
      <c r="BR8" s="324"/>
      <c r="BS8" s="325"/>
      <c r="BT8" s="326"/>
      <c r="BU8" s="326"/>
      <c r="BV8" s="334"/>
      <c r="BW8" s="335"/>
    </row>
    <row r="9" s="245" customFormat="1" ht="172.5" customHeight="1" spans="1:75">
      <c r="A9" s="255">
        <v>8</v>
      </c>
      <c r="B9" s="70" t="s">
        <v>129</v>
      </c>
      <c r="C9" s="129" t="s">
        <v>204</v>
      </c>
      <c r="D9" s="129" t="s">
        <v>2005</v>
      </c>
      <c r="E9" s="256" t="s">
        <v>113</v>
      </c>
      <c r="F9" s="256">
        <v>2067246166</v>
      </c>
      <c r="G9" s="257">
        <v>2308911</v>
      </c>
      <c r="H9" s="258">
        <f t="shared" si="20"/>
        <v>192409.25</v>
      </c>
      <c r="I9" s="258">
        <f t="shared" si="21"/>
        <v>22447.7458333333</v>
      </c>
      <c r="J9" s="258">
        <v>5000</v>
      </c>
      <c r="K9" s="258"/>
      <c r="L9" s="258"/>
      <c r="M9" s="258">
        <v>2500</v>
      </c>
      <c r="N9" s="258"/>
      <c r="O9" s="258"/>
      <c r="P9" s="258"/>
      <c r="Q9" s="258"/>
      <c r="R9" s="258"/>
      <c r="S9" s="258"/>
      <c r="T9" s="258"/>
      <c r="U9" s="258">
        <v>383.33</v>
      </c>
      <c r="V9" s="258"/>
      <c r="W9" s="265"/>
      <c r="X9" s="258"/>
      <c r="Y9" s="258"/>
      <c r="Z9" s="258"/>
      <c r="AA9" s="258"/>
      <c r="AB9" s="258"/>
      <c r="AC9" s="258"/>
      <c r="AD9" s="270"/>
      <c r="AE9" s="258"/>
      <c r="AF9" s="258">
        <v>4250</v>
      </c>
      <c r="AG9" s="270">
        <f t="shared" si="16"/>
        <v>3848.185</v>
      </c>
      <c r="AH9" s="270"/>
      <c r="AI9" s="282">
        <v>1000</v>
      </c>
      <c r="AJ9" s="279"/>
      <c r="AK9" s="279"/>
      <c r="AL9" s="279"/>
      <c r="AM9" s="281"/>
      <c r="AN9" s="258"/>
      <c r="AO9" s="299">
        <v>1500</v>
      </c>
      <c r="AP9" s="299"/>
      <c r="AQ9" s="299"/>
      <c r="AR9" s="299">
        <f t="shared" si="17"/>
        <v>4454.80651666667</v>
      </c>
      <c r="AS9" s="300"/>
      <c r="AT9" s="300"/>
      <c r="AU9" s="299">
        <f t="shared" si="22"/>
        <v>24587.0414066667</v>
      </c>
      <c r="AV9" s="299">
        <f t="shared" ref="AV9" si="24">V9+U9+N9+M9+K9+J9+I9+H9</f>
        <v>222740.325833333</v>
      </c>
      <c r="AW9" s="299">
        <f t="shared" si="18"/>
        <v>39640.0329233333</v>
      </c>
      <c r="AX9" s="299"/>
      <c r="AY9" s="299"/>
      <c r="AZ9" s="299">
        <f t="shared" si="19"/>
        <v>183100.29291</v>
      </c>
      <c r="BA9" s="429">
        <f t="shared" si="1"/>
        <v>2672883.91</v>
      </c>
      <c r="BB9" s="430">
        <f t="shared" si="2"/>
        <v>734576.782</v>
      </c>
      <c r="BC9" s="307">
        <f t="shared" si="3"/>
        <v>0</v>
      </c>
      <c r="BD9" s="308">
        <f t="shared" si="4"/>
        <v>734576.782</v>
      </c>
      <c r="BE9" s="313">
        <f t="shared" si="5"/>
        <v>1938307.128</v>
      </c>
      <c r="BF9" s="430"/>
      <c r="BG9" s="307">
        <f t="shared" si="6"/>
        <v>21000</v>
      </c>
      <c r="BH9" s="307">
        <f t="shared" si="7"/>
        <v>33000</v>
      </c>
      <c r="BI9" s="307">
        <f t="shared" si="8"/>
        <v>75000</v>
      </c>
      <c r="BJ9" s="307">
        <f t="shared" si="9"/>
        <v>95000</v>
      </c>
      <c r="BK9" s="307">
        <f t="shared" si="10"/>
        <v>71044.49688</v>
      </c>
      <c r="BL9" s="307" t="str">
        <f t="shared" si="11"/>
        <v/>
      </c>
      <c r="BM9" s="429">
        <f t="shared" si="12"/>
        <v>295044.49688</v>
      </c>
      <c r="BN9" s="320">
        <f t="shared" si="13"/>
        <v>26728.8391</v>
      </c>
      <c r="BO9" s="321">
        <f t="shared" si="14"/>
        <v>295044.49688</v>
      </c>
      <c r="BP9" s="322">
        <f t="shared" si="15"/>
        <v>24587.0414066667</v>
      </c>
      <c r="BQ9" s="323"/>
      <c r="BR9" s="324"/>
      <c r="BS9" s="325"/>
      <c r="BT9" s="326"/>
      <c r="BU9" s="326"/>
      <c r="BV9" s="334"/>
      <c r="BW9" s="335"/>
    </row>
    <row r="10" s="245" customFormat="1" ht="172.5" customHeight="1" spans="1:75">
      <c r="A10" s="255">
        <v>9</v>
      </c>
      <c r="B10" s="70" t="s">
        <v>132</v>
      </c>
      <c r="C10" s="129" t="s">
        <v>130</v>
      </c>
      <c r="D10" s="129" t="s">
        <v>161</v>
      </c>
      <c r="E10" s="256" t="s">
        <v>135</v>
      </c>
      <c r="F10" s="1470" t="s">
        <v>136</v>
      </c>
      <c r="G10" s="257">
        <v>2688069</v>
      </c>
      <c r="H10" s="258">
        <f t="shared" si="20"/>
        <v>224005.75</v>
      </c>
      <c r="I10" s="258">
        <f t="shared" si="21"/>
        <v>26134.0041666667</v>
      </c>
      <c r="J10" s="258">
        <v>5000</v>
      </c>
      <c r="K10" s="258"/>
      <c r="L10" s="258"/>
      <c r="M10" s="258">
        <v>2500</v>
      </c>
      <c r="N10" s="258"/>
      <c r="O10" s="258"/>
      <c r="P10" s="258"/>
      <c r="Q10" s="258"/>
      <c r="R10" s="258"/>
      <c r="S10" s="258"/>
      <c r="T10" s="258"/>
      <c r="U10" s="258">
        <v>383.33</v>
      </c>
      <c r="V10" s="258"/>
      <c r="W10" s="265"/>
      <c r="X10" s="258"/>
      <c r="Y10" s="258"/>
      <c r="Z10" s="258"/>
      <c r="AA10" s="258"/>
      <c r="AB10" s="258"/>
      <c r="AC10" s="258"/>
      <c r="AD10" s="270"/>
      <c r="AE10" s="258"/>
      <c r="AF10" s="258">
        <v>500</v>
      </c>
      <c r="AG10" s="270">
        <f t="shared" si="16"/>
        <v>4480.115</v>
      </c>
      <c r="AH10" s="270"/>
      <c r="AI10" s="282">
        <v>1000</v>
      </c>
      <c r="AJ10" s="279"/>
      <c r="AK10" s="279"/>
      <c r="AL10" s="279"/>
      <c r="AM10" s="281">
        <f>19333.33+17500</f>
        <v>36833.33</v>
      </c>
      <c r="AN10" s="258"/>
      <c r="AO10" s="299">
        <v>1500</v>
      </c>
      <c r="AP10" s="299"/>
      <c r="AQ10" s="299"/>
      <c r="AR10" s="299">
        <f t="shared" si="17"/>
        <v>5160.46168333333</v>
      </c>
      <c r="AS10" s="300"/>
      <c r="AT10" s="300"/>
      <c r="AU10" s="299">
        <f t="shared" si="22"/>
        <v>30514.5448066667</v>
      </c>
      <c r="AV10" s="299">
        <f t="shared" ref="AV10" si="25">W10+V10+U10+N10+M10+K10+J10+I10+H10</f>
        <v>258023.084166667</v>
      </c>
      <c r="AW10" s="299">
        <f t="shared" si="18"/>
        <v>79988.45149</v>
      </c>
      <c r="AX10" s="299"/>
      <c r="AY10" s="299"/>
      <c r="AZ10" s="299">
        <f t="shared" si="19"/>
        <v>178034.632676667</v>
      </c>
      <c r="BA10" s="429">
        <f t="shared" si="1"/>
        <v>3096277.01</v>
      </c>
      <c r="BB10" s="430">
        <f t="shared" si="2"/>
        <v>819255.402</v>
      </c>
      <c r="BC10" s="307">
        <f t="shared" si="3"/>
        <v>0</v>
      </c>
      <c r="BD10" s="308">
        <f t="shared" si="4"/>
        <v>819255.402</v>
      </c>
      <c r="BE10" s="313">
        <f t="shared" si="5"/>
        <v>2277021.608</v>
      </c>
      <c r="BF10" s="430"/>
      <c r="BG10" s="307">
        <f t="shared" si="6"/>
        <v>21000</v>
      </c>
      <c r="BH10" s="307">
        <f t="shared" si="7"/>
        <v>33000</v>
      </c>
      <c r="BI10" s="307">
        <f t="shared" si="8"/>
        <v>75000</v>
      </c>
      <c r="BJ10" s="307">
        <f t="shared" si="9"/>
        <v>95000</v>
      </c>
      <c r="BK10" s="307">
        <f t="shared" si="10"/>
        <v>142174.53768</v>
      </c>
      <c r="BL10" s="307" t="str">
        <f t="shared" si="11"/>
        <v/>
      </c>
      <c r="BM10" s="429">
        <f t="shared" si="12"/>
        <v>366174.53768</v>
      </c>
      <c r="BN10" s="320">
        <f t="shared" si="13"/>
        <v>30962.7701</v>
      </c>
      <c r="BO10" s="321">
        <f t="shared" si="14"/>
        <v>366174.53768</v>
      </c>
      <c r="BP10" s="322">
        <f t="shared" si="15"/>
        <v>30514.5448066667</v>
      </c>
      <c r="BQ10" s="323"/>
      <c r="BR10" s="324"/>
      <c r="BS10" s="325"/>
      <c r="BT10" s="326"/>
      <c r="BU10" s="326"/>
      <c r="BV10" s="334"/>
      <c r="BW10" s="335"/>
    </row>
    <row r="11" s="245" customFormat="1" ht="172.5" customHeight="1" spans="1:75">
      <c r="A11" s="255">
        <v>10</v>
      </c>
      <c r="B11" s="70" t="s">
        <v>137</v>
      </c>
      <c r="C11" s="129" t="s">
        <v>143</v>
      </c>
      <c r="D11" s="129" t="s">
        <v>171</v>
      </c>
      <c r="E11" s="256" t="s">
        <v>135</v>
      </c>
      <c r="F11" s="1469" t="s">
        <v>140</v>
      </c>
      <c r="G11" s="257">
        <v>3588849</v>
      </c>
      <c r="H11" s="258">
        <v>296137.42</v>
      </c>
      <c r="I11" s="258">
        <f t="shared" si="21"/>
        <v>34549.3656666667</v>
      </c>
      <c r="J11" s="258">
        <v>5000</v>
      </c>
      <c r="K11" s="258"/>
      <c r="L11" s="258"/>
      <c r="M11" s="258">
        <v>2500</v>
      </c>
      <c r="N11" s="258"/>
      <c r="O11" s="258"/>
      <c r="P11" s="258"/>
      <c r="Q11" s="258"/>
      <c r="R11" s="258"/>
      <c r="S11" s="258"/>
      <c r="T11" s="258"/>
      <c r="U11" s="258">
        <v>383.33</v>
      </c>
      <c r="V11" s="258"/>
      <c r="W11" s="265"/>
      <c r="X11" s="258"/>
      <c r="Y11" s="258"/>
      <c r="Z11" s="258"/>
      <c r="AA11" s="258"/>
      <c r="AB11" s="258"/>
      <c r="AC11" s="258"/>
      <c r="AD11" s="270"/>
      <c r="AE11" s="258"/>
      <c r="AF11" s="258"/>
      <c r="AG11" s="270">
        <f t="shared" si="16"/>
        <v>5922.7484</v>
      </c>
      <c r="AH11" s="270">
        <v>10000</v>
      </c>
      <c r="AI11" s="282">
        <v>1000</v>
      </c>
      <c r="AJ11" s="279"/>
      <c r="AK11" s="279"/>
      <c r="AL11" s="279"/>
      <c r="AM11" s="281">
        <f>106250+12250</f>
        <v>118500</v>
      </c>
      <c r="AN11" s="258">
        <v>15000</v>
      </c>
      <c r="AO11" s="299">
        <v>2000</v>
      </c>
      <c r="AP11" s="299"/>
      <c r="AQ11" s="299"/>
      <c r="AR11" s="299">
        <f t="shared" si="17"/>
        <v>6771.40231333333</v>
      </c>
      <c r="AS11" s="300"/>
      <c r="AT11" s="300"/>
      <c r="AU11" s="299">
        <f t="shared" si="22"/>
        <v>44046.4460986667</v>
      </c>
      <c r="AV11" s="299">
        <f t="shared" ref="AV11:AV13" si="26">V11+U11+N11+M11+K11+J11+I11+H11</f>
        <v>338570.115666667</v>
      </c>
      <c r="AW11" s="299">
        <f t="shared" si="18"/>
        <v>203240.596812</v>
      </c>
      <c r="AX11" s="299"/>
      <c r="AY11" s="299"/>
      <c r="AZ11" s="299">
        <f t="shared" si="19"/>
        <v>135329.518854667</v>
      </c>
      <c r="BA11" s="429">
        <f t="shared" si="1"/>
        <v>4062841.388</v>
      </c>
      <c r="BB11" s="430">
        <f t="shared" si="2"/>
        <v>1012568.2776</v>
      </c>
      <c r="BC11" s="307">
        <f t="shared" si="3"/>
        <v>0</v>
      </c>
      <c r="BD11" s="308">
        <f t="shared" si="4"/>
        <v>1012568.2776</v>
      </c>
      <c r="BE11" s="313">
        <f t="shared" si="5"/>
        <v>3050273.1104</v>
      </c>
      <c r="BF11" s="430"/>
      <c r="BG11" s="307">
        <f t="shared" si="6"/>
        <v>21000</v>
      </c>
      <c r="BH11" s="307">
        <f t="shared" si="7"/>
        <v>33000</v>
      </c>
      <c r="BI11" s="307">
        <f t="shared" si="8"/>
        <v>75000</v>
      </c>
      <c r="BJ11" s="307">
        <f t="shared" si="9"/>
        <v>95000</v>
      </c>
      <c r="BK11" s="307">
        <f t="shared" si="10"/>
        <v>304557.353184</v>
      </c>
      <c r="BL11" s="307" t="str">
        <f t="shared" si="11"/>
        <v/>
      </c>
      <c r="BM11" s="429">
        <f t="shared" si="12"/>
        <v>528557.353184</v>
      </c>
      <c r="BN11" s="320">
        <f t="shared" si="13"/>
        <v>40628.41388</v>
      </c>
      <c r="BO11" s="321">
        <f t="shared" si="14"/>
        <v>528557.353184</v>
      </c>
      <c r="BP11" s="322">
        <f t="shared" si="15"/>
        <v>44046.4460986667</v>
      </c>
      <c r="BQ11" s="323"/>
      <c r="BR11" s="324"/>
      <c r="BS11" s="325"/>
      <c r="BT11" s="326"/>
      <c r="BU11" s="326"/>
      <c r="BV11" s="334"/>
      <c r="BW11" s="335"/>
    </row>
    <row r="12" s="245" customFormat="1" ht="172.5" customHeight="1" spans="1:75">
      <c r="A12" s="255">
        <v>11</v>
      </c>
      <c r="B12" s="70" t="s">
        <v>147</v>
      </c>
      <c r="C12" s="129" t="s">
        <v>2006</v>
      </c>
      <c r="D12" s="129" t="s">
        <v>171</v>
      </c>
      <c r="E12" s="256" t="s">
        <v>151</v>
      </c>
      <c r="F12" s="256">
        <v>3013002388</v>
      </c>
      <c r="G12" s="257">
        <v>3588849</v>
      </c>
      <c r="H12" s="258">
        <v>296137.42</v>
      </c>
      <c r="I12" s="258">
        <f t="shared" si="21"/>
        <v>34549.3656666667</v>
      </c>
      <c r="J12" s="258">
        <v>5000</v>
      </c>
      <c r="K12" s="258"/>
      <c r="L12" s="258"/>
      <c r="M12" s="258">
        <v>2500</v>
      </c>
      <c r="N12" s="258"/>
      <c r="O12" s="258"/>
      <c r="P12" s="258"/>
      <c r="Q12" s="258"/>
      <c r="R12" s="258"/>
      <c r="S12" s="258"/>
      <c r="T12" s="258"/>
      <c r="U12" s="258">
        <v>383.33</v>
      </c>
      <c r="V12" s="258"/>
      <c r="W12" s="265"/>
      <c r="X12" s="258"/>
      <c r="Y12" s="258"/>
      <c r="Z12" s="258"/>
      <c r="AA12" s="258"/>
      <c r="AB12" s="258"/>
      <c r="AC12" s="258"/>
      <c r="AD12" s="270"/>
      <c r="AE12" s="258"/>
      <c r="AF12" s="258"/>
      <c r="AG12" s="270">
        <f t="shared" si="16"/>
        <v>5922.7484</v>
      </c>
      <c r="AH12" s="270">
        <v>10000</v>
      </c>
      <c r="AI12" s="282">
        <v>1000</v>
      </c>
      <c r="AJ12" s="279"/>
      <c r="AK12" s="279"/>
      <c r="AL12" s="279"/>
      <c r="AM12" s="281"/>
      <c r="AN12" s="258"/>
      <c r="AO12" s="299">
        <v>2000</v>
      </c>
      <c r="AP12" s="299"/>
      <c r="AQ12" s="299"/>
      <c r="AR12" s="299">
        <f t="shared" si="17"/>
        <v>6771.40231333333</v>
      </c>
      <c r="AS12" s="300"/>
      <c r="AT12" s="300"/>
      <c r="AU12" s="299">
        <f>AU11</f>
        <v>44046.4460986667</v>
      </c>
      <c r="AV12" s="299">
        <f t="shared" si="26"/>
        <v>338570.115666667</v>
      </c>
      <c r="AW12" s="299">
        <f t="shared" si="18"/>
        <v>69740.596812</v>
      </c>
      <c r="AX12" s="299"/>
      <c r="AY12" s="299"/>
      <c r="AZ12" s="299">
        <f t="shared" si="19"/>
        <v>268829.518854667</v>
      </c>
      <c r="BA12" s="429"/>
      <c r="BB12" s="430"/>
      <c r="BC12" s="307"/>
      <c r="BD12" s="308"/>
      <c r="BE12" s="313"/>
      <c r="BF12" s="430"/>
      <c r="BG12" s="307"/>
      <c r="BH12" s="307"/>
      <c r="BI12" s="307"/>
      <c r="BJ12" s="307"/>
      <c r="BK12" s="307"/>
      <c r="BL12" s="307"/>
      <c r="BM12" s="429"/>
      <c r="BN12" s="320"/>
      <c r="BO12" s="321"/>
      <c r="BP12" s="322">
        <f t="shared" si="15"/>
        <v>0</v>
      </c>
      <c r="BQ12" s="323"/>
      <c r="BR12" s="324"/>
      <c r="BS12" s="325"/>
      <c r="BT12" s="326"/>
      <c r="BU12" s="326"/>
      <c r="BV12" s="334"/>
      <c r="BW12" s="335"/>
    </row>
    <row r="13" s="245" customFormat="1" ht="172.5" customHeight="1" spans="1:75">
      <c r="A13" s="255">
        <v>12</v>
      </c>
      <c r="B13" s="70" t="s">
        <v>152</v>
      </c>
      <c r="C13" s="129" t="s">
        <v>130</v>
      </c>
      <c r="D13" s="129" t="s">
        <v>297</v>
      </c>
      <c r="E13" s="256" t="s">
        <v>93</v>
      </c>
      <c r="F13" s="256">
        <v>3041696126</v>
      </c>
      <c r="G13" s="257">
        <v>2688069</v>
      </c>
      <c r="H13" s="258">
        <f t="shared" si="20"/>
        <v>224005.75</v>
      </c>
      <c r="I13" s="258">
        <f t="shared" si="21"/>
        <v>26134.0041666667</v>
      </c>
      <c r="J13" s="258">
        <v>5000</v>
      </c>
      <c r="K13" s="258"/>
      <c r="L13" s="258"/>
      <c r="M13" s="258">
        <v>2500</v>
      </c>
      <c r="N13" s="258"/>
      <c r="O13" s="258"/>
      <c r="P13" s="258"/>
      <c r="Q13" s="258"/>
      <c r="R13" s="258"/>
      <c r="S13" s="258"/>
      <c r="T13" s="258"/>
      <c r="U13" s="258">
        <v>383.33</v>
      </c>
      <c r="V13" s="258"/>
      <c r="W13" s="265"/>
      <c r="X13" s="258"/>
      <c r="Y13" s="258"/>
      <c r="Z13" s="258"/>
      <c r="AA13" s="258"/>
      <c r="AB13" s="258"/>
      <c r="AC13" s="258"/>
      <c r="AD13" s="270"/>
      <c r="AE13" s="258"/>
      <c r="AF13" s="258">
        <v>3750</v>
      </c>
      <c r="AG13" s="270">
        <f t="shared" si="16"/>
        <v>4480.115</v>
      </c>
      <c r="AH13" s="270"/>
      <c r="AI13" s="282">
        <v>1000</v>
      </c>
      <c r="AJ13" s="279"/>
      <c r="AK13" s="279"/>
      <c r="AL13" s="279"/>
      <c r="AM13" s="281">
        <v>10000</v>
      </c>
      <c r="AN13" s="258">
        <v>10000</v>
      </c>
      <c r="AO13" s="299">
        <v>1500</v>
      </c>
      <c r="AP13" s="299">
        <v>2000</v>
      </c>
      <c r="AQ13" s="299"/>
      <c r="AR13" s="299">
        <f t="shared" si="17"/>
        <v>5160.46168333333</v>
      </c>
      <c r="AS13" s="300"/>
      <c r="AT13" s="300"/>
      <c r="AU13" s="299">
        <f t="shared" ref="AU13" si="27">BP13</f>
        <v>30514.5448066667</v>
      </c>
      <c r="AV13" s="299">
        <f t="shared" si="26"/>
        <v>258023.084166667</v>
      </c>
      <c r="AW13" s="299">
        <f t="shared" si="18"/>
        <v>66405.12149</v>
      </c>
      <c r="AX13" s="299"/>
      <c r="AY13" s="299"/>
      <c r="AZ13" s="299">
        <f t="shared" si="19"/>
        <v>191617.962676667</v>
      </c>
      <c r="BA13" s="429">
        <f t="shared" ref="BA13" si="28">AV13*12</f>
        <v>3096277.01</v>
      </c>
      <c r="BB13" s="430">
        <f t="shared" ref="BB13" si="29">200000+(0.2*BA13)</f>
        <v>819255.402</v>
      </c>
      <c r="BC13" s="307">
        <f t="shared" ref="BC13" si="30">AS13*12</f>
        <v>0</v>
      </c>
      <c r="BD13" s="308">
        <f t="shared" ref="BD13" si="31">SUM(BB13:BC13)</f>
        <v>819255.402</v>
      </c>
      <c r="BE13" s="313">
        <f t="shared" ref="BE13" si="32">+BA13-BD13</f>
        <v>2277021.608</v>
      </c>
      <c r="BF13" s="430"/>
      <c r="BG13" s="307">
        <f t="shared" ref="BG13" si="33">IF((BE13&gt;0),(IF((BE13&gt;300000),(300000*7%),(BE13*7%))),(BA13*1%))</f>
        <v>21000</v>
      </c>
      <c r="BH13" s="307">
        <f t="shared" ref="BH13" si="34">IF((BE13-300000)&gt;0,(IF((BE13&gt;600000),(300000*11%),((BE13-300000)*11%))),(""))</f>
        <v>33000</v>
      </c>
      <c r="BI13" s="307">
        <f t="shared" ref="BI13" si="35">IF(((BE13-600000)&gt;0),(IF((BE13&gt;1100000),(500000*15%),((BE13-600000)*15%))),(""))</f>
        <v>75000</v>
      </c>
      <c r="BJ13" s="307">
        <f t="shared" ref="BJ13" si="36">IF(((BE13-(1100000))&gt;0),(IF((BE13&gt;(1600000)),((500000)*19%),((BE13-(1100000))*19%))),(""))</f>
        <v>95000</v>
      </c>
      <c r="BK13" s="307">
        <f t="shared" ref="BK13" si="37">IF(((BE13-(1600000))&gt;0),(IF((BE13&gt;(3200000)),((1600000)*21%),((BE13-(1600000))*21%))),(""))</f>
        <v>142174.53768</v>
      </c>
      <c r="BL13" s="307" t="str">
        <f t="shared" ref="BL13" si="38">IF(((BE13-(3200000))&gt;0),(IF((BE13&gt;(3200000)),((BE13-(3200000))*24%),(0))),(""))</f>
        <v/>
      </c>
      <c r="BM13" s="429">
        <f t="shared" ref="BM13" si="39">SUM(BG13:BL13)</f>
        <v>366174.53768</v>
      </c>
      <c r="BN13" s="320">
        <f t="shared" ref="BN13" si="40">1%*BA13</f>
        <v>30962.7701</v>
      </c>
      <c r="BO13" s="321">
        <f t="shared" ref="BO13:BO44" si="41">MAX(BM13:BN13)</f>
        <v>366174.53768</v>
      </c>
      <c r="BP13" s="322">
        <f t="shared" si="15"/>
        <v>30514.5448066667</v>
      </c>
      <c r="BQ13" s="323"/>
      <c r="BR13" s="324"/>
      <c r="BS13" s="325"/>
      <c r="BT13" s="326"/>
      <c r="BU13" s="326"/>
      <c r="BV13" s="334"/>
      <c r="BW13" s="335"/>
    </row>
    <row r="14" s="245" customFormat="1" ht="179" customHeight="1" spans="1:75">
      <c r="A14" s="255">
        <v>13</v>
      </c>
      <c r="B14" s="70" t="s">
        <v>154</v>
      </c>
      <c r="C14" s="129" t="s">
        <v>155</v>
      </c>
      <c r="D14" s="129" t="s">
        <v>134</v>
      </c>
      <c r="E14" s="256" t="s">
        <v>157</v>
      </c>
      <c r="F14" s="1469" t="s">
        <v>158</v>
      </c>
      <c r="G14" s="257">
        <v>2863233</v>
      </c>
      <c r="H14" s="258">
        <f t="shared" si="20"/>
        <v>238602.75</v>
      </c>
      <c r="I14" s="258">
        <f t="shared" si="21"/>
        <v>27836.9875</v>
      </c>
      <c r="J14" s="258">
        <v>5000</v>
      </c>
      <c r="K14" s="258"/>
      <c r="L14" s="258"/>
      <c r="M14" s="258">
        <v>2500</v>
      </c>
      <c r="N14" s="258"/>
      <c r="O14" s="258"/>
      <c r="P14" s="258"/>
      <c r="Q14" s="258"/>
      <c r="R14" s="258"/>
      <c r="S14" s="258"/>
      <c r="T14" s="258"/>
      <c r="U14" s="258">
        <v>383.33</v>
      </c>
      <c r="V14" s="258"/>
      <c r="W14" s="265"/>
      <c r="X14" s="258"/>
      <c r="Y14" s="258"/>
      <c r="Z14" s="258"/>
      <c r="AA14" s="258"/>
      <c r="AB14" s="258"/>
      <c r="AC14" s="258"/>
      <c r="AD14" s="270"/>
      <c r="AE14" s="258"/>
      <c r="AF14" s="258"/>
      <c r="AG14" s="270">
        <f t="shared" si="16"/>
        <v>4772.055</v>
      </c>
      <c r="AH14" s="270"/>
      <c r="AI14" s="282">
        <v>1000</v>
      </c>
      <c r="AJ14" s="279"/>
      <c r="AK14" s="279"/>
      <c r="AL14" s="279"/>
      <c r="AM14" s="281"/>
      <c r="AN14" s="258">
        <v>15000</v>
      </c>
      <c r="AO14" s="299">
        <v>1500</v>
      </c>
      <c r="AP14" s="299"/>
      <c r="AQ14" s="299"/>
      <c r="AR14" s="299">
        <f t="shared" si="17"/>
        <v>5486.46135</v>
      </c>
      <c r="AS14" s="300"/>
      <c r="AT14" s="300"/>
      <c r="AU14" s="299">
        <f t="shared" si="22"/>
        <v>33252.9420066667</v>
      </c>
      <c r="AV14" s="299">
        <f t="shared" ref="AV14" si="42">W14+V14+U14+N14+M14+K14+J14+I14+H14</f>
        <v>274323.0675</v>
      </c>
      <c r="AW14" s="299">
        <f t="shared" si="18"/>
        <v>61011.4583566667</v>
      </c>
      <c r="AX14" s="299"/>
      <c r="AY14" s="299"/>
      <c r="AZ14" s="299">
        <f t="shared" si="19"/>
        <v>213311.609143333</v>
      </c>
      <c r="BA14" s="429">
        <f t="shared" si="1"/>
        <v>3291876.81</v>
      </c>
      <c r="BB14" s="430">
        <f t="shared" si="2"/>
        <v>858375.362</v>
      </c>
      <c r="BC14" s="307">
        <f t="shared" si="3"/>
        <v>0</v>
      </c>
      <c r="BD14" s="308">
        <f t="shared" si="4"/>
        <v>858375.362</v>
      </c>
      <c r="BE14" s="313">
        <f t="shared" si="5"/>
        <v>2433501.448</v>
      </c>
      <c r="BF14" s="430"/>
      <c r="BG14" s="307">
        <f t="shared" si="6"/>
        <v>21000</v>
      </c>
      <c r="BH14" s="307">
        <f t="shared" si="7"/>
        <v>33000</v>
      </c>
      <c r="BI14" s="307">
        <f t="shared" si="8"/>
        <v>75000</v>
      </c>
      <c r="BJ14" s="307">
        <f t="shared" si="9"/>
        <v>95000</v>
      </c>
      <c r="BK14" s="307">
        <f t="shared" si="10"/>
        <v>175035.30408</v>
      </c>
      <c r="BL14" s="307" t="str">
        <f t="shared" si="11"/>
        <v/>
      </c>
      <c r="BM14" s="429">
        <f t="shared" si="12"/>
        <v>399035.30408</v>
      </c>
      <c r="BN14" s="320">
        <f t="shared" si="13"/>
        <v>32918.7681</v>
      </c>
      <c r="BO14" s="321">
        <f t="shared" si="41"/>
        <v>399035.30408</v>
      </c>
      <c r="BP14" s="322">
        <f t="shared" si="15"/>
        <v>33252.9420066667</v>
      </c>
      <c r="BQ14" s="323"/>
      <c r="BR14" s="324"/>
      <c r="BS14" s="325"/>
      <c r="BT14" s="326"/>
      <c r="BU14" s="326"/>
      <c r="BV14" s="334"/>
      <c r="BW14" s="335"/>
    </row>
    <row r="15" s="245" customFormat="1" ht="172.5" customHeight="1" spans="1:75">
      <c r="A15" s="255">
        <v>14</v>
      </c>
      <c r="B15" s="70" t="s">
        <v>2007</v>
      </c>
      <c r="C15" s="129" t="s">
        <v>130</v>
      </c>
      <c r="D15" s="129" t="s">
        <v>161</v>
      </c>
      <c r="E15" s="256" t="s">
        <v>127</v>
      </c>
      <c r="F15" s="1469" t="s">
        <v>2008</v>
      </c>
      <c r="G15" s="257">
        <f>G13</f>
        <v>2688069</v>
      </c>
      <c r="H15" s="258">
        <f t="shared" si="20"/>
        <v>224005.75</v>
      </c>
      <c r="I15" s="258">
        <f t="shared" si="21"/>
        <v>26134.0041666667</v>
      </c>
      <c r="J15" s="258">
        <v>5000</v>
      </c>
      <c r="K15" s="258"/>
      <c r="L15" s="258"/>
      <c r="M15" s="258">
        <v>2500</v>
      </c>
      <c r="N15" s="258"/>
      <c r="O15" s="258"/>
      <c r="P15" s="258"/>
      <c r="Q15" s="258"/>
      <c r="R15" s="258"/>
      <c r="S15" s="258"/>
      <c r="T15" s="258"/>
      <c r="U15" s="258">
        <v>383.33</v>
      </c>
      <c r="V15" s="258"/>
      <c r="W15" s="265"/>
      <c r="X15" s="258"/>
      <c r="Y15" s="258"/>
      <c r="Z15" s="258"/>
      <c r="AA15" s="258"/>
      <c r="AB15" s="258"/>
      <c r="AC15" s="258"/>
      <c r="AD15" s="270"/>
      <c r="AE15" s="258"/>
      <c r="AF15" s="258">
        <v>1250</v>
      </c>
      <c r="AG15" s="270">
        <f t="shared" si="16"/>
        <v>4480.115</v>
      </c>
      <c r="AH15" s="270"/>
      <c r="AI15" s="283">
        <v>1000</v>
      </c>
      <c r="AJ15" s="280"/>
      <c r="AK15" s="280"/>
      <c r="AL15" s="280"/>
      <c r="AM15" s="281"/>
      <c r="AN15" s="258">
        <v>8333.33</v>
      </c>
      <c r="AO15" s="299">
        <v>1500</v>
      </c>
      <c r="AP15" s="299"/>
      <c r="AQ15" s="299"/>
      <c r="AR15" s="299">
        <f t="shared" si="17"/>
        <v>5160.46168333333</v>
      </c>
      <c r="AS15" s="300"/>
      <c r="AT15" s="300"/>
      <c r="AU15" s="299">
        <f t="shared" si="22"/>
        <v>30514.5448066667</v>
      </c>
      <c r="AV15" s="299">
        <f t="shared" ref="AV15" si="43">V15+U15+N15+M15+K15+J15+I15+H15</f>
        <v>258023.084166667</v>
      </c>
      <c r="AW15" s="299">
        <f t="shared" si="18"/>
        <v>52238.45149</v>
      </c>
      <c r="AX15" s="299"/>
      <c r="AY15" s="299"/>
      <c r="AZ15" s="299">
        <f t="shared" si="19"/>
        <v>205784.632676667</v>
      </c>
      <c r="BA15" s="429">
        <f t="shared" si="1"/>
        <v>3096277.01</v>
      </c>
      <c r="BB15" s="430">
        <f t="shared" si="2"/>
        <v>819255.402</v>
      </c>
      <c r="BC15" s="307">
        <f t="shared" si="3"/>
        <v>0</v>
      </c>
      <c r="BD15" s="308">
        <f t="shared" si="4"/>
        <v>819255.402</v>
      </c>
      <c r="BE15" s="313">
        <f t="shared" si="5"/>
        <v>2277021.608</v>
      </c>
      <c r="BF15" s="430"/>
      <c r="BG15" s="307">
        <f t="shared" si="6"/>
        <v>21000</v>
      </c>
      <c r="BH15" s="307">
        <f t="shared" si="7"/>
        <v>33000</v>
      </c>
      <c r="BI15" s="307">
        <f t="shared" si="8"/>
        <v>75000</v>
      </c>
      <c r="BJ15" s="307">
        <f t="shared" si="9"/>
        <v>95000</v>
      </c>
      <c r="BK15" s="307">
        <f t="shared" si="10"/>
        <v>142174.53768</v>
      </c>
      <c r="BL15" s="307" t="str">
        <f t="shared" si="11"/>
        <v/>
      </c>
      <c r="BM15" s="429">
        <f t="shared" si="12"/>
        <v>366174.53768</v>
      </c>
      <c r="BN15" s="320">
        <f t="shared" si="13"/>
        <v>30962.7701</v>
      </c>
      <c r="BO15" s="321">
        <f t="shared" si="41"/>
        <v>366174.53768</v>
      </c>
      <c r="BP15" s="322">
        <f t="shared" si="15"/>
        <v>30514.5448066667</v>
      </c>
      <c r="BQ15" s="323"/>
      <c r="BR15" s="324"/>
      <c r="BS15" s="325"/>
      <c r="BT15" s="326"/>
      <c r="BU15" s="326"/>
      <c r="BV15" s="334"/>
      <c r="BW15" s="335"/>
    </row>
    <row r="16" s="245" customFormat="1" ht="172.5" customHeight="1" spans="1:75">
      <c r="A16" s="255">
        <v>15</v>
      </c>
      <c r="B16" s="70" t="s">
        <v>159</v>
      </c>
      <c r="C16" s="129" t="s">
        <v>204</v>
      </c>
      <c r="D16" s="129" t="s">
        <v>126</v>
      </c>
      <c r="E16" s="128" t="s">
        <v>122</v>
      </c>
      <c r="F16" s="1469" t="s">
        <v>162</v>
      </c>
      <c r="G16" s="257">
        <v>2199496</v>
      </c>
      <c r="H16" s="258">
        <f t="shared" si="20"/>
        <v>183291.333333333</v>
      </c>
      <c r="I16" s="258">
        <f t="shared" si="21"/>
        <v>21383.9888888889</v>
      </c>
      <c r="J16" s="258">
        <v>5000</v>
      </c>
      <c r="K16" s="258"/>
      <c r="L16" s="258"/>
      <c r="M16" s="258">
        <v>2500</v>
      </c>
      <c r="N16" s="258"/>
      <c r="O16" s="258"/>
      <c r="P16" s="258"/>
      <c r="Q16" s="258"/>
      <c r="R16" s="258"/>
      <c r="S16" s="258"/>
      <c r="T16" s="258"/>
      <c r="U16" s="258">
        <v>383.33</v>
      </c>
      <c r="V16" s="258"/>
      <c r="W16" s="265"/>
      <c r="X16" s="258"/>
      <c r="Y16" s="258"/>
      <c r="Z16" s="258"/>
      <c r="AA16" s="258"/>
      <c r="AB16" s="258"/>
      <c r="AC16" s="258"/>
      <c r="AD16" s="270"/>
      <c r="AE16" s="258"/>
      <c r="AF16" s="258">
        <v>2250</v>
      </c>
      <c r="AG16" s="270">
        <f t="shared" si="16"/>
        <v>3665.82666666667</v>
      </c>
      <c r="AH16" s="270"/>
      <c r="AI16" s="278"/>
      <c r="AJ16" s="280"/>
      <c r="AK16" s="280"/>
      <c r="AL16" s="284">
        <v>1000</v>
      </c>
      <c r="AM16" s="281">
        <v>32125</v>
      </c>
      <c r="AN16" s="258"/>
      <c r="AO16" s="299">
        <v>1500</v>
      </c>
      <c r="AP16" s="299"/>
      <c r="AQ16" s="299"/>
      <c r="AR16" s="299">
        <f t="shared" si="17"/>
        <v>4251.17304444444</v>
      </c>
      <c r="AS16" s="300"/>
      <c r="AT16" s="300"/>
      <c r="AU16" s="299">
        <f t="shared" si="22"/>
        <v>22876.52024</v>
      </c>
      <c r="AV16" s="299">
        <f t="shared" ref="AV16:AV17" si="44">W16+V16+U16+N16+M16+K16+J16+I16+H16</f>
        <v>212558.652222222</v>
      </c>
      <c r="AW16" s="299">
        <f>AU16+AR16+AO16+AM16+AL16+AG16+AF16</f>
        <v>67668.5199511111</v>
      </c>
      <c r="AX16" s="299"/>
      <c r="AY16" s="299"/>
      <c r="AZ16" s="299">
        <f t="shared" si="19"/>
        <v>144890.132271111</v>
      </c>
      <c r="BA16" s="429">
        <f t="shared" si="1"/>
        <v>2550703.82666667</v>
      </c>
      <c r="BB16" s="430">
        <f t="shared" si="2"/>
        <v>710140.765333334</v>
      </c>
      <c r="BC16" s="307">
        <f t="shared" si="3"/>
        <v>0</v>
      </c>
      <c r="BD16" s="308">
        <f t="shared" si="4"/>
        <v>710140.765333334</v>
      </c>
      <c r="BE16" s="313">
        <f t="shared" si="5"/>
        <v>1840563.06133333</v>
      </c>
      <c r="BF16" s="430"/>
      <c r="BG16" s="307">
        <f t="shared" si="6"/>
        <v>21000</v>
      </c>
      <c r="BH16" s="307">
        <f t="shared" si="7"/>
        <v>33000</v>
      </c>
      <c r="BI16" s="307">
        <f t="shared" si="8"/>
        <v>75000</v>
      </c>
      <c r="BJ16" s="307">
        <f t="shared" si="9"/>
        <v>95000</v>
      </c>
      <c r="BK16" s="307">
        <f t="shared" si="10"/>
        <v>50518.2428800001</v>
      </c>
      <c r="BL16" s="307" t="str">
        <f t="shared" si="11"/>
        <v/>
      </c>
      <c r="BM16" s="429">
        <f t="shared" si="12"/>
        <v>274518.24288</v>
      </c>
      <c r="BN16" s="320">
        <f t="shared" si="13"/>
        <v>25507.0382666667</v>
      </c>
      <c r="BO16" s="321">
        <f t="shared" si="41"/>
        <v>274518.24288</v>
      </c>
      <c r="BP16" s="322">
        <f t="shared" si="15"/>
        <v>22876.52024</v>
      </c>
      <c r="BQ16" s="323"/>
      <c r="BR16" s="324"/>
      <c r="BS16" s="325"/>
      <c r="BT16" s="326"/>
      <c r="BU16" s="326"/>
      <c r="BV16" s="334"/>
      <c r="BW16" s="335"/>
    </row>
    <row r="17" s="245" customFormat="1" ht="172.5" customHeight="1" spans="1:75">
      <c r="A17" s="255">
        <v>16</v>
      </c>
      <c r="B17" s="70" t="s">
        <v>163</v>
      </c>
      <c r="C17" s="129" t="s">
        <v>130</v>
      </c>
      <c r="D17" s="129" t="s">
        <v>161</v>
      </c>
      <c r="E17" s="256" t="s">
        <v>165</v>
      </c>
      <c r="F17" s="256">
        <v>2178561969</v>
      </c>
      <c r="G17" s="257">
        <f>G15</f>
        <v>2688069</v>
      </c>
      <c r="H17" s="258">
        <f t="shared" si="20"/>
        <v>224005.75</v>
      </c>
      <c r="I17" s="258">
        <f t="shared" si="21"/>
        <v>26134.0041666667</v>
      </c>
      <c r="J17" s="258">
        <v>5000</v>
      </c>
      <c r="K17" s="258"/>
      <c r="L17" s="258"/>
      <c r="M17" s="258">
        <v>2500</v>
      </c>
      <c r="N17" s="258"/>
      <c r="O17" s="258"/>
      <c r="P17" s="258"/>
      <c r="Q17" s="258"/>
      <c r="R17" s="258"/>
      <c r="S17" s="258"/>
      <c r="T17" s="258"/>
      <c r="U17" s="258">
        <v>383.33</v>
      </c>
      <c r="V17" s="258"/>
      <c r="W17" s="265"/>
      <c r="X17" s="258"/>
      <c r="Y17" s="258"/>
      <c r="Z17" s="258"/>
      <c r="AA17" s="258"/>
      <c r="AB17" s="258"/>
      <c r="AC17" s="258"/>
      <c r="AD17" s="270"/>
      <c r="AE17" s="258"/>
      <c r="AF17" s="258">
        <v>750</v>
      </c>
      <c r="AG17" s="270">
        <f t="shared" si="16"/>
        <v>4480.115</v>
      </c>
      <c r="AH17" s="270"/>
      <c r="AI17" s="278"/>
      <c r="AJ17" s="280"/>
      <c r="AK17" s="280"/>
      <c r="AL17" s="280"/>
      <c r="AM17" s="281"/>
      <c r="AN17" s="258">
        <v>10000</v>
      </c>
      <c r="AO17" s="299">
        <v>1500</v>
      </c>
      <c r="AP17" s="299"/>
      <c r="AQ17" s="299"/>
      <c r="AR17" s="299">
        <f t="shared" si="17"/>
        <v>5160.46168333333</v>
      </c>
      <c r="AS17" s="300"/>
      <c r="AT17" s="300"/>
      <c r="AU17" s="299">
        <f t="shared" si="22"/>
        <v>30514.5448066667</v>
      </c>
      <c r="AV17" s="299">
        <f t="shared" si="44"/>
        <v>258023.084166667</v>
      </c>
      <c r="AW17" s="299">
        <f t="shared" si="18"/>
        <v>52405.12149</v>
      </c>
      <c r="AX17" s="299"/>
      <c r="AY17" s="299"/>
      <c r="AZ17" s="299">
        <f t="shared" si="19"/>
        <v>205617.962676667</v>
      </c>
      <c r="BA17" s="429">
        <f t="shared" si="1"/>
        <v>3096277.01</v>
      </c>
      <c r="BB17" s="430">
        <f t="shared" si="2"/>
        <v>819255.402</v>
      </c>
      <c r="BC17" s="307">
        <f t="shared" si="3"/>
        <v>0</v>
      </c>
      <c r="BD17" s="308">
        <f t="shared" si="4"/>
        <v>819255.402</v>
      </c>
      <c r="BE17" s="313">
        <f t="shared" si="5"/>
        <v>2277021.608</v>
      </c>
      <c r="BF17" s="430"/>
      <c r="BG17" s="307">
        <f t="shared" si="6"/>
        <v>21000</v>
      </c>
      <c r="BH17" s="307">
        <f t="shared" si="7"/>
        <v>33000</v>
      </c>
      <c r="BI17" s="307">
        <f t="shared" si="8"/>
        <v>75000</v>
      </c>
      <c r="BJ17" s="307">
        <f t="shared" si="9"/>
        <v>95000</v>
      </c>
      <c r="BK17" s="307">
        <f t="shared" si="10"/>
        <v>142174.53768</v>
      </c>
      <c r="BL17" s="307" t="str">
        <f t="shared" si="11"/>
        <v/>
      </c>
      <c r="BM17" s="429">
        <f t="shared" si="12"/>
        <v>366174.53768</v>
      </c>
      <c r="BN17" s="320">
        <f t="shared" si="13"/>
        <v>30962.7701</v>
      </c>
      <c r="BO17" s="321">
        <f t="shared" si="41"/>
        <v>366174.53768</v>
      </c>
      <c r="BP17" s="322">
        <f t="shared" si="15"/>
        <v>30514.5448066667</v>
      </c>
      <c r="BQ17" s="323"/>
      <c r="BR17" s="324"/>
      <c r="BS17" s="325"/>
      <c r="BT17" s="326"/>
      <c r="BU17" s="326"/>
      <c r="BV17" s="334"/>
      <c r="BW17" s="335"/>
    </row>
    <row r="18" s="245" customFormat="1" ht="172.5" customHeight="1" spans="1:75">
      <c r="A18" s="255">
        <v>17</v>
      </c>
      <c r="B18" s="70" t="s">
        <v>166</v>
      </c>
      <c r="C18" s="129" t="s">
        <v>130</v>
      </c>
      <c r="D18" s="129" t="s">
        <v>2009</v>
      </c>
      <c r="E18" s="256" t="s">
        <v>135</v>
      </c>
      <c r="F18" s="1470" t="str">
        <f>'[10]FEB SALARY, 2022 BANK COPY'!$E$281</f>
        <v>0077210321</v>
      </c>
      <c r="G18" s="257">
        <v>2775651</v>
      </c>
      <c r="H18" s="258">
        <f t="shared" si="20"/>
        <v>231304.25</v>
      </c>
      <c r="I18" s="258">
        <f t="shared" si="21"/>
        <v>26985.4958333333</v>
      </c>
      <c r="J18" s="258">
        <v>5000</v>
      </c>
      <c r="K18" s="258">
        <v>20833.33</v>
      </c>
      <c r="L18" s="258"/>
      <c r="M18" s="258">
        <v>2500</v>
      </c>
      <c r="N18" s="258"/>
      <c r="O18" s="258"/>
      <c r="P18" s="258"/>
      <c r="Q18" s="258"/>
      <c r="R18" s="258"/>
      <c r="S18" s="258"/>
      <c r="T18" s="258"/>
      <c r="U18" s="258">
        <v>383.33</v>
      </c>
      <c r="V18" s="258">
        <v>30000</v>
      </c>
      <c r="W18" s="265"/>
      <c r="X18" s="258"/>
      <c r="Y18" s="258"/>
      <c r="Z18" s="258"/>
      <c r="AA18" s="258"/>
      <c r="AB18" s="258"/>
      <c r="AC18" s="258"/>
      <c r="AD18" s="270"/>
      <c r="AE18" s="258"/>
      <c r="AF18" s="258"/>
      <c r="AG18" s="270">
        <f t="shared" si="16"/>
        <v>4626.085</v>
      </c>
      <c r="AH18" s="270"/>
      <c r="AI18" s="278"/>
      <c r="AJ18" s="280"/>
      <c r="AK18" s="280"/>
      <c r="AL18" s="284">
        <v>1000</v>
      </c>
      <c r="AM18" s="281">
        <f>31875+17500</f>
        <v>49375</v>
      </c>
      <c r="AN18" s="258"/>
      <c r="AO18" s="299">
        <v>1500</v>
      </c>
      <c r="AP18" s="299"/>
      <c r="AQ18" s="299">
        <f>1250*2</f>
        <v>2500</v>
      </c>
      <c r="AR18" s="299">
        <f t="shared" si="17"/>
        <v>6340.12811666667</v>
      </c>
      <c r="AS18" s="300"/>
      <c r="AT18" s="300"/>
      <c r="AU18" s="299">
        <f t="shared" si="22"/>
        <v>40423.7428466667</v>
      </c>
      <c r="AV18" s="299">
        <f t="shared" ref="AV18" si="45">V18+U18+N18+M18+K18+J18+I18+H18</f>
        <v>317006.405833333</v>
      </c>
      <c r="AW18" s="299">
        <f>AU18+AR18+AQ18+AO18+AN18+AM18+AK18+AI18+AH18+AG18+AF18+AE18+AD18+AL18</f>
        <v>105764.955963333</v>
      </c>
      <c r="AX18" s="299"/>
      <c r="AY18" s="299"/>
      <c r="AZ18" s="299">
        <f t="shared" si="19"/>
        <v>211241.44987</v>
      </c>
      <c r="BA18" s="429">
        <f t="shared" si="1"/>
        <v>3804076.87</v>
      </c>
      <c r="BB18" s="430">
        <f t="shared" si="2"/>
        <v>960815.374</v>
      </c>
      <c r="BC18" s="307">
        <f t="shared" si="3"/>
        <v>0</v>
      </c>
      <c r="BD18" s="308">
        <f t="shared" si="4"/>
        <v>960815.374</v>
      </c>
      <c r="BE18" s="313">
        <f t="shared" si="5"/>
        <v>2843261.496</v>
      </c>
      <c r="BF18" s="430"/>
      <c r="BG18" s="307">
        <f t="shared" si="6"/>
        <v>21000</v>
      </c>
      <c r="BH18" s="307">
        <f t="shared" si="7"/>
        <v>33000</v>
      </c>
      <c r="BI18" s="307">
        <f t="shared" si="8"/>
        <v>75000</v>
      </c>
      <c r="BJ18" s="307">
        <f t="shared" si="9"/>
        <v>95000</v>
      </c>
      <c r="BK18" s="307">
        <f t="shared" si="10"/>
        <v>261084.91416</v>
      </c>
      <c r="BL18" s="307" t="str">
        <f t="shared" si="11"/>
        <v/>
      </c>
      <c r="BM18" s="429">
        <f t="shared" si="12"/>
        <v>485084.91416</v>
      </c>
      <c r="BN18" s="320">
        <f t="shared" si="13"/>
        <v>38040.7687</v>
      </c>
      <c r="BO18" s="321">
        <f t="shared" si="41"/>
        <v>485084.91416</v>
      </c>
      <c r="BP18" s="322">
        <f t="shared" si="15"/>
        <v>40423.7428466667</v>
      </c>
      <c r="BQ18" s="323"/>
      <c r="BR18" s="324"/>
      <c r="BS18" s="325"/>
      <c r="BT18" s="326"/>
      <c r="BU18" s="326"/>
      <c r="BV18" s="334"/>
      <c r="BW18" s="335"/>
    </row>
    <row r="19" s="245" customFormat="1" ht="172.5" customHeight="1" spans="1:75">
      <c r="A19" s="255">
        <v>18</v>
      </c>
      <c r="B19" s="70" t="s">
        <v>170</v>
      </c>
      <c r="C19" s="129" t="s">
        <v>204</v>
      </c>
      <c r="D19" s="129" t="s">
        <v>2010</v>
      </c>
      <c r="E19" s="256" t="s">
        <v>127</v>
      </c>
      <c r="F19" s="1470" t="s">
        <v>2011</v>
      </c>
      <c r="G19" s="257">
        <v>2035373</v>
      </c>
      <c r="H19" s="258">
        <f t="shared" si="20"/>
        <v>169614.416666667</v>
      </c>
      <c r="I19" s="258">
        <f t="shared" si="21"/>
        <v>19788.3486111111</v>
      </c>
      <c r="J19" s="258">
        <v>5000</v>
      </c>
      <c r="K19" s="258"/>
      <c r="L19" s="258"/>
      <c r="M19" s="258">
        <v>2500</v>
      </c>
      <c r="N19" s="258"/>
      <c r="O19" s="258"/>
      <c r="P19" s="258"/>
      <c r="Q19" s="258"/>
      <c r="R19" s="258"/>
      <c r="S19" s="258"/>
      <c r="T19" s="258"/>
      <c r="U19" s="258">
        <v>383.33</v>
      </c>
      <c r="V19" s="258"/>
      <c r="W19" s="265"/>
      <c r="X19" s="258"/>
      <c r="Y19" s="258"/>
      <c r="Z19" s="258"/>
      <c r="AA19" s="258"/>
      <c r="AB19" s="258"/>
      <c r="AC19" s="258"/>
      <c r="AD19" s="270"/>
      <c r="AE19" s="258"/>
      <c r="AF19" s="258"/>
      <c r="AG19" s="270">
        <f t="shared" si="16"/>
        <v>3392.28833333333</v>
      </c>
      <c r="AH19" s="270"/>
      <c r="AI19" s="278"/>
      <c r="AJ19" s="280"/>
      <c r="AK19" s="280"/>
      <c r="AL19" s="284">
        <v>1000</v>
      </c>
      <c r="AM19" s="281"/>
      <c r="AN19" s="258"/>
      <c r="AO19" s="299">
        <v>1500</v>
      </c>
      <c r="AP19" s="299"/>
      <c r="AQ19" s="299"/>
      <c r="AR19" s="299">
        <f t="shared" si="17"/>
        <v>3945.72190555556</v>
      </c>
      <c r="AS19" s="300"/>
      <c r="AT19" s="300"/>
      <c r="AU19" s="299">
        <f t="shared" si="22"/>
        <v>20310.7306733333</v>
      </c>
      <c r="AV19" s="299">
        <f t="shared" ref="AV19" si="46">W19+V19+U19+N19+M19+K19+J19+I19+H19</f>
        <v>197286.095277778</v>
      </c>
      <c r="AW19" s="299">
        <f>AU19+AR19+AQ19+AO19+AN19+AM19+AK19+AI19+AH19+AG19+AF19+AE19+AD19+AL19</f>
        <v>30148.7409122222</v>
      </c>
      <c r="AX19" s="299"/>
      <c r="AY19" s="299"/>
      <c r="AZ19" s="299">
        <f t="shared" si="19"/>
        <v>167137.354365556</v>
      </c>
      <c r="BA19" s="429">
        <f t="shared" si="1"/>
        <v>2367433.14333333</v>
      </c>
      <c r="BB19" s="430">
        <f t="shared" si="2"/>
        <v>673486.628666667</v>
      </c>
      <c r="BC19" s="307">
        <f t="shared" si="3"/>
        <v>0</v>
      </c>
      <c r="BD19" s="308">
        <f t="shared" si="4"/>
        <v>673486.628666667</v>
      </c>
      <c r="BE19" s="313">
        <f t="shared" si="5"/>
        <v>1693946.51466667</v>
      </c>
      <c r="BF19" s="430"/>
      <c r="BG19" s="307">
        <f t="shared" si="6"/>
        <v>21000</v>
      </c>
      <c r="BH19" s="307">
        <f t="shared" si="7"/>
        <v>33000</v>
      </c>
      <c r="BI19" s="307">
        <f t="shared" si="8"/>
        <v>75000</v>
      </c>
      <c r="BJ19" s="307">
        <f t="shared" si="9"/>
        <v>95000</v>
      </c>
      <c r="BK19" s="307">
        <f t="shared" si="10"/>
        <v>19728.76808</v>
      </c>
      <c r="BL19" s="307" t="str">
        <f t="shared" si="11"/>
        <v/>
      </c>
      <c r="BM19" s="429">
        <f t="shared" si="12"/>
        <v>243728.76808</v>
      </c>
      <c r="BN19" s="320">
        <f t="shared" si="13"/>
        <v>23674.3314333333</v>
      </c>
      <c r="BO19" s="321">
        <f t="shared" si="41"/>
        <v>243728.76808</v>
      </c>
      <c r="BP19" s="322">
        <f t="shared" si="15"/>
        <v>20310.7306733333</v>
      </c>
      <c r="BQ19" s="323"/>
      <c r="BR19" s="324"/>
      <c r="BS19" s="325"/>
      <c r="BT19" s="326"/>
      <c r="BU19" s="326"/>
      <c r="BV19" s="334"/>
      <c r="BW19" s="335"/>
    </row>
    <row r="20" s="245" customFormat="1" ht="172.5" customHeight="1" spans="1:75">
      <c r="A20" s="255">
        <v>19</v>
      </c>
      <c r="B20" s="70" t="s">
        <v>173</v>
      </c>
      <c r="C20" s="129" t="s">
        <v>2012</v>
      </c>
      <c r="D20" s="129" t="s">
        <v>2013</v>
      </c>
      <c r="E20" s="128" t="s">
        <v>122</v>
      </c>
      <c r="F20" s="1470" t="s">
        <v>175</v>
      </c>
      <c r="G20" s="257">
        <v>1980666</v>
      </c>
      <c r="H20" s="258">
        <f t="shared" si="20"/>
        <v>165055.5</v>
      </c>
      <c r="I20" s="258">
        <f t="shared" si="21"/>
        <v>19256.475</v>
      </c>
      <c r="J20" s="258">
        <v>5000</v>
      </c>
      <c r="K20" s="258"/>
      <c r="L20" s="258"/>
      <c r="M20" s="258">
        <v>2500</v>
      </c>
      <c r="N20" s="258"/>
      <c r="O20" s="258"/>
      <c r="P20" s="258"/>
      <c r="Q20" s="258"/>
      <c r="R20" s="258"/>
      <c r="S20" s="258"/>
      <c r="T20" s="258"/>
      <c r="U20" s="258">
        <v>383.33</v>
      </c>
      <c r="V20" s="258"/>
      <c r="W20" s="265"/>
      <c r="X20" s="258"/>
      <c r="Y20" s="258"/>
      <c r="Z20" s="258"/>
      <c r="AA20" s="258"/>
      <c r="AB20" s="258"/>
      <c r="AC20" s="258"/>
      <c r="AD20" s="270"/>
      <c r="AE20" s="258"/>
      <c r="AF20" s="258">
        <f>3150+500</f>
        <v>3650</v>
      </c>
      <c r="AG20" s="270">
        <f t="shared" si="16"/>
        <v>3301.11</v>
      </c>
      <c r="AH20" s="270"/>
      <c r="AI20" s="278"/>
      <c r="AJ20" s="280"/>
      <c r="AK20" s="280"/>
      <c r="AL20" s="284">
        <v>1000</v>
      </c>
      <c r="AM20" s="281"/>
      <c r="AN20" s="258"/>
      <c r="AO20" s="299">
        <v>1500</v>
      </c>
      <c r="AP20" s="299"/>
      <c r="AQ20" s="299"/>
      <c r="AR20" s="299">
        <f t="shared" si="17"/>
        <v>3843.9061</v>
      </c>
      <c r="AS20" s="300"/>
      <c r="AT20" s="300"/>
      <c r="AU20" s="299">
        <f t="shared" si="22"/>
        <v>19455.4779066667</v>
      </c>
      <c r="AV20" s="299">
        <f t="shared" ref="AV20" si="47">V20+U20+N20+M20+K20+J20+I20+H20</f>
        <v>192195.305</v>
      </c>
      <c r="AW20" s="299">
        <f>AU20+AR20+AQ20+AO20+AN20+AM20+AK20+AI20+AH20+AG20+AF20+AE20+AD20+AL20</f>
        <v>32750.4940066667</v>
      </c>
      <c r="AX20" s="299"/>
      <c r="AY20" s="299"/>
      <c r="AZ20" s="299">
        <f t="shared" si="19"/>
        <v>159444.810993333</v>
      </c>
      <c r="BA20" s="429">
        <f t="shared" si="1"/>
        <v>2306343.66</v>
      </c>
      <c r="BB20" s="430">
        <f t="shared" si="2"/>
        <v>661268.732</v>
      </c>
      <c r="BC20" s="307">
        <f t="shared" si="3"/>
        <v>0</v>
      </c>
      <c r="BD20" s="308">
        <f t="shared" si="4"/>
        <v>661268.732</v>
      </c>
      <c r="BE20" s="313">
        <f t="shared" si="5"/>
        <v>1645074.928</v>
      </c>
      <c r="BF20" s="430"/>
      <c r="BG20" s="307">
        <f t="shared" si="6"/>
        <v>21000</v>
      </c>
      <c r="BH20" s="307">
        <f t="shared" si="7"/>
        <v>33000</v>
      </c>
      <c r="BI20" s="307">
        <f t="shared" si="8"/>
        <v>75000</v>
      </c>
      <c r="BJ20" s="307">
        <f t="shared" si="9"/>
        <v>95000</v>
      </c>
      <c r="BK20" s="307">
        <f t="shared" si="10"/>
        <v>9465.73488000001</v>
      </c>
      <c r="BL20" s="307" t="str">
        <f t="shared" si="11"/>
        <v/>
      </c>
      <c r="BM20" s="429">
        <f t="shared" si="12"/>
        <v>233465.73488</v>
      </c>
      <c r="BN20" s="320">
        <f t="shared" si="13"/>
        <v>23063.4366</v>
      </c>
      <c r="BO20" s="321">
        <f t="shared" si="41"/>
        <v>233465.73488</v>
      </c>
      <c r="BP20" s="322">
        <f t="shared" si="15"/>
        <v>19455.4779066667</v>
      </c>
      <c r="BQ20" s="323"/>
      <c r="BR20" s="324"/>
      <c r="BS20" s="325"/>
      <c r="BT20" s="326"/>
      <c r="BU20" s="326"/>
      <c r="BV20" s="334"/>
      <c r="BW20" s="335"/>
    </row>
    <row r="21" s="245" customFormat="1" ht="172.5" customHeight="1" spans="1:75">
      <c r="A21" s="255">
        <v>20</v>
      </c>
      <c r="B21" s="70" t="s">
        <v>180</v>
      </c>
      <c r="C21" s="129" t="s">
        <v>204</v>
      </c>
      <c r="D21" s="129" t="s">
        <v>2005</v>
      </c>
      <c r="E21" s="256" t="s">
        <v>135</v>
      </c>
      <c r="F21" s="1469" t="s">
        <v>181</v>
      </c>
      <c r="G21" s="257">
        <v>2308911</v>
      </c>
      <c r="H21" s="258">
        <f t="shared" si="20"/>
        <v>192409.25</v>
      </c>
      <c r="I21" s="258">
        <f t="shared" si="21"/>
        <v>22447.7458333333</v>
      </c>
      <c r="J21" s="258">
        <v>5000</v>
      </c>
      <c r="K21" s="258"/>
      <c r="L21" s="258"/>
      <c r="M21" s="258">
        <v>2500</v>
      </c>
      <c r="N21" s="258"/>
      <c r="O21" s="258"/>
      <c r="P21" s="258"/>
      <c r="Q21" s="258"/>
      <c r="R21" s="258"/>
      <c r="S21" s="258"/>
      <c r="T21" s="258"/>
      <c r="U21" s="258">
        <v>383.33</v>
      </c>
      <c r="V21" s="258"/>
      <c r="W21" s="265"/>
      <c r="X21" s="258"/>
      <c r="Y21" s="258"/>
      <c r="Z21" s="258"/>
      <c r="AA21" s="258"/>
      <c r="AB21" s="258"/>
      <c r="AC21" s="258"/>
      <c r="AD21" s="270"/>
      <c r="AE21" s="258"/>
      <c r="AF21" s="258">
        <v>2500</v>
      </c>
      <c r="AG21" s="270">
        <f t="shared" si="16"/>
        <v>3848.185</v>
      </c>
      <c r="AH21" s="270"/>
      <c r="AI21" s="278"/>
      <c r="AJ21" s="280"/>
      <c r="AK21" s="280"/>
      <c r="AL21" s="284">
        <v>1000</v>
      </c>
      <c r="AM21" s="281">
        <v>62441.67</v>
      </c>
      <c r="AN21" s="258"/>
      <c r="AO21" s="299">
        <v>1500</v>
      </c>
      <c r="AP21" s="299"/>
      <c r="AQ21" s="299"/>
      <c r="AR21" s="299">
        <f t="shared" si="17"/>
        <v>4454.80651666667</v>
      </c>
      <c r="AS21" s="300"/>
      <c r="AT21" s="300"/>
      <c r="AU21" s="299">
        <f t="shared" si="22"/>
        <v>24587.0414066667</v>
      </c>
      <c r="AV21" s="299">
        <f t="shared" ref="AV21:AV22" si="48">W21+V21+U21+N21+M21+K21+J21+I21+H21</f>
        <v>222740.325833333</v>
      </c>
      <c r="AW21" s="299">
        <f>AU21+AR21+AQ21+AO21+AN21+AM21+AK21+AI21+AH21+AG21+AF21+AE21+AD21+AL21</f>
        <v>100331.702923333</v>
      </c>
      <c r="AX21" s="299"/>
      <c r="AY21" s="299"/>
      <c r="AZ21" s="299">
        <f t="shared" si="19"/>
        <v>122408.62291</v>
      </c>
      <c r="BA21" s="429">
        <f t="shared" si="1"/>
        <v>2672883.91</v>
      </c>
      <c r="BB21" s="430">
        <f t="shared" si="2"/>
        <v>734576.782</v>
      </c>
      <c r="BC21" s="307">
        <f t="shared" si="3"/>
        <v>0</v>
      </c>
      <c r="BD21" s="308">
        <f t="shared" si="4"/>
        <v>734576.782</v>
      </c>
      <c r="BE21" s="313">
        <f t="shared" si="5"/>
        <v>1938307.128</v>
      </c>
      <c r="BF21" s="430"/>
      <c r="BG21" s="307">
        <f t="shared" si="6"/>
        <v>21000</v>
      </c>
      <c r="BH21" s="307">
        <f t="shared" si="7"/>
        <v>33000</v>
      </c>
      <c r="BI21" s="307">
        <f t="shared" si="8"/>
        <v>75000</v>
      </c>
      <c r="BJ21" s="307">
        <f t="shared" si="9"/>
        <v>95000</v>
      </c>
      <c r="BK21" s="307">
        <f t="shared" si="10"/>
        <v>71044.49688</v>
      </c>
      <c r="BL21" s="307" t="str">
        <f t="shared" si="11"/>
        <v/>
      </c>
      <c r="BM21" s="429">
        <f t="shared" si="12"/>
        <v>295044.49688</v>
      </c>
      <c r="BN21" s="320">
        <f t="shared" si="13"/>
        <v>26728.8391</v>
      </c>
      <c r="BO21" s="321">
        <f t="shared" si="41"/>
        <v>295044.49688</v>
      </c>
      <c r="BP21" s="322">
        <f t="shared" si="15"/>
        <v>24587.0414066667</v>
      </c>
      <c r="BQ21" s="323"/>
      <c r="BR21" s="324"/>
      <c r="BS21" s="325"/>
      <c r="BT21" s="326"/>
      <c r="BU21" s="326"/>
      <c r="BV21" s="334"/>
      <c r="BW21" s="335"/>
    </row>
    <row r="22" s="245" customFormat="1" ht="172.5" customHeight="1" spans="1:75">
      <c r="A22" s="255">
        <v>21</v>
      </c>
      <c r="B22" s="70" t="s">
        <v>182</v>
      </c>
      <c r="C22" s="129" t="s">
        <v>130</v>
      </c>
      <c r="D22" s="129" t="s">
        <v>161</v>
      </c>
      <c r="E22" s="256" t="s">
        <v>135</v>
      </c>
      <c r="F22" s="1469" t="s">
        <v>2014</v>
      </c>
      <c r="G22" s="257">
        <v>2688069</v>
      </c>
      <c r="H22" s="258">
        <f t="shared" si="20"/>
        <v>224005.75</v>
      </c>
      <c r="I22" s="258">
        <f t="shared" si="21"/>
        <v>26134.0041666667</v>
      </c>
      <c r="J22" s="258">
        <v>5000</v>
      </c>
      <c r="K22" s="258">
        <f>K18</f>
        <v>20833.33</v>
      </c>
      <c r="L22" s="258"/>
      <c r="M22" s="258">
        <v>2500</v>
      </c>
      <c r="N22" s="258"/>
      <c r="O22" s="258"/>
      <c r="P22" s="258"/>
      <c r="Q22" s="258"/>
      <c r="R22" s="258"/>
      <c r="S22" s="258"/>
      <c r="T22" s="258"/>
      <c r="U22" s="258">
        <v>383.33</v>
      </c>
      <c r="V22" s="258"/>
      <c r="W22" s="265"/>
      <c r="X22" s="258"/>
      <c r="Y22" s="258"/>
      <c r="Z22" s="258"/>
      <c r="AA22" s="258"/>
      <c r="AB22" s="258"/>
      <c r="AC22" s="258"/>
      <c r="AD22" s="270"/>
      <c r="AE22" s="258"/>
      <c r="AF22" s="258">
        <v>500</v>
      </c>
      <c r="AG22" s="270">
        <f t="shared" si="16"/>
        <v>4480.115</v>
      </c>
      <c r="AH22" s="270">
        <f>20000</f>
        <v>20000</v>
      </c>
      <c r="AI22" s="282">
        <v>1000</v>
      </c>
      <c r="AJ22" s="279"/>
      <c r="AK22" s="279"/>
      <c r="AL22" s="279"/>
      <c r="AM22" s="281">
        <f>10000+17500</f>
        <v>27500</v>
      </c>
      <c r="AN22" s="258"/>
      <c r="AO22" s="299">
        <v>1500</v>
      </c>
      <c r="AP22" s="299"/>
      <c r="AQ22" s="299"/>
      <c r="AR22" s="299">
        <f t="shared" si="17"/>
        <v>5577.12828333333</v>
      </c>
      <c r="AS22" s="300"/>
      <c r="AT22" s="300"/>
      <c r="AU22" s="299">
        <f t="shared" si="22"/>
        <v>34014.5442466667</v>
      </c>
      <c r="AV22" s="299">
        <f t="shared" si="48"/>
        <v>278856.414166667</v>
      </c>
      <c r="AW22" s="299">
        <f t="shared" si="18"/>
        <v>94571.78753</v>
      </c>
      <c r="AX22" s="299"/>
      <c r="AY22" s="299"/>
      <c r="AZ22" s="299">
        <f t="shared" si="19"/>
        <v>184284.626636667</v>
      </c>
      <c r="BA22" s="429">
        <f t="shared" si="1"/>
        <v>3346276.97</v>
      </c>
      <c r="BB22" s="430">
        <f t="shared" si="2"/>
        <v>869255.394</v>
      </c>
      <c r="BC22" s="307">
        <f t="shared" si="3"/>
        <v>0</v>
      </c>
      <c r="BD22" s="308">
        <f t="shared" si="4"/>
        <v>869255.394</v>
      </c>
      <c r="BE22" s="313">
        <f t="shared" si="5"/>
        <v>2477021.576</v>
      </c>
      <c r="BF22" s="430"/>
      <c r="BG22" s="307">
        <f t="shared" si="6"/>
        <v>21000</v>
      </c>
      <c r="BH22" s="307">
        <f t="shared" si="7"/>
        <v>33000</v>
      </c>
      <c r="BI22" s="307">
        <f t="shared" si="8"/>
        <v>75000</v>
      </c>
      <c r="BJ22" s="307">
        <f t="shared" si="9"/>
        <v>95000</v>
      </c>
      <c r="BK22" s="307">
        <f t="shared" si="10"/>
        <v>184174.53096</v>
      </c>
      <c r="BL22" s="307" t="str">
        <f t="shared" si="11"/>
        <v/>
      </c>
      <c r="BM22" s="429">
        <f t="shared" si="12"/>
        <v>408174.53096</v>
      </c>
      <c r="BN22" s="320">
        <f t="shared" si="13"/>
        <v>33462.7697</v>
      </c>
      <c r="BO22" s="321">
        <f t="shared" si="41"/>
        <v>408174.53096</v>
      </c>
      <c r="BP22" s="322">
        <f t="shared" si="15"/>
        <v>34014.5442466667</v>
      </c>
      <c r="BQ22" s="323"/>
      <c r="BR22" s="324"/>
      <c r="BS22" s="325"/>
      <c r="BT22" s="326"/>
      <c r="BU22" s="326"/>
      <c r="BV22" s="334"/>
      <c r="BW22" s="335"/>
    </row>
    <row r="23" s="245" customFormat="1" ht="172.5" customHeight="1" spans="1:75">
      <c r="A23" s="255">
        <v>22</v>
      </c>
      <c r="B23" s="70" t="s">
        <v>184</v>
      </c>
      <c r="C23" s="129" t="s">
        <v>143</v>
      </c>
      <c r="D23" s="129" t="s">
        <v>2015</v>
      </c>
      <c r="E23" s="256" t="s">
        <v>93</v>
      </c>
      <c r="F23" s="256">
        <v>2035909165</v>
      </c>
      <c r="G23" s="257">
        <v>4432861</v>
      </c>
      <c r="H23" s="258">
        <f t="shared" ref="H23:H35" si="49">G23/12</f>
        <v>369405.083333333</v>
      </c>
      <c r="I23" s="258">
        <f t="shared" si="21"/>
        <v>43097.2597222222</v>
      </c>
      <c r="J23" s="258">
        <v>5000</v>
      </c>
      <c r="K23" s="258"/>
      <c r="L23" s="258"/>
      <c r="M23" s="258">
        <v>2500</v>
      </c>
      <c r="N23" s="258"/>
      <c r="O23" s="258"/>
      <c r="P23" s="258"/>
      <c r="Q23" s="258"/>
      <c r="R23" s="258"/>
      <c r="S23" s="258"/>
      <c r="T23" s="258"/>
      <c r="U23" s="258">
        <v>383.33</v>
      </c>
      <c r="V23" s="258"/>
      <c r="W23" s="265"/>
      <c r="X23" s="258"/>
      <c r="Y23" s="258"/>
      <c r="Z23" s="258"/>
      <c r="AA23" s="258"/>
      <c r="AB23" s="258"/>
      <c r="AC23" s="258"/>
      <c r="AD23" s="270"/>
      <c r="AE23" s="258"/>
      <c r="AF23" s="258"/>
      <c r="AG23" s="270">
        <f t="shared" si="16"/>
        <v>7388.10166666667</v>
      </c>
      <c r="AH23" s="270"/>
      <c r="AI23" s="278"/>
      <c r="AJ23" s="279">
        <v>1000</v>
      </c>
      <c r="AK23" s="280"/>
      <c r="AL23" s="280"/>
      <c r="AM23" s="281">
        <v>15000</v>
      </c>
      <c r="AN23" s="258">
        <v>15000</v>
      </c>
      <c r="AO23" s="299">
        <v>2000</v>
      </c>
      <c r="AP23" s="299"/>
      <c r="AQ23" s="299"/>
      <c r="AR23" s="299">
        <f t="shared" si="17"/>
        <v>8407.71346111111</v>
      </c>
      <c r="AS23" s="300"/>
      <c r="AT23" s="300"/>
      <c r="AU23" s="299">
        <f t="shared" si="22"/>
        <v>59380.7158933333</v>
      </c>
      <c r="AV23" s="299">
        <f t="shared" ref="AV23" si="50">V23+U23+N23+M23+K23+J23+I23+H23</f>
        <v>420385.673055556</v>
      </c>
      <c r="AW23" s="299">
        <f>AU23+AR23+AQ23+AO23+AN23+AM23+AK23+AI23+AH23+AG23+AF23+AE23+AD23+AJ23</f>
        <v>108176.531021111</v>
      </c>
      <c r="AX23" s="299"/>
      <c r="AY23" s="299"/>
      <c r="AZ23" s="299">
        <f t="shared" si="19"/>
        <v>312209.142034444</v>
      </c>
      <c r="BA23" s="429">
        <f t="shared" si="1"/>
        <v>5044628.07666667</v>
      </c>
      <c r="BB23" s="430">
        <f t="shared" si="2"/>
        <v>1208925.61533333</v>
      </c>
      <c r="BC23" s="307">
        <f t="shared" si="3"/>
        <v>0</v>
      </c>
      <c r="BD23" s="308">
        <f t="shared" si="4"/>
        <v>1208925.61533333</v>
      </c>
      <c r="BE23" s="313">
        <f t="shared" si="5"/>
        <v>3835702.46133333</v>
      </c>
      <c r="BF23" s="430"/>
      <c r="BG23" s="307">
        <f t="shared" si="6"/>
        <v>21000</v>
      </c>
      <c r="BH23" s="307">
        <f t="shared" si="7"/>
        <v>33000</v>
      </c>
      <c r="BI23" s="307">
        <f t="shared" si="8"/>
        <v>75000</v>
      </c>
      <c r="BJ23" s="307">
        <f t="shared" si="9"/>
        <v>95000</v>
      </c>
      <c r="BK23" s="307">
        <f t="shared" si="10"/>
        <v>336000</v>
      </c>
      <c r="BL23" s="307">
        <f t="shared" si="11"/>
        <v>152568.59072</v>
      </c>
      <c r="BM23" s="429">
        <f t="shared" si="12"/>
        <v>712568.59072</v>
      </c>
      <c r="BN23" s="320">
        <f t="shared" si="13"/>
        <v>50446.2807666667</v>
      </c>
      <c r="BO23" s="321">
        <f t="shared" si="41"/>
        <v>712568.59072</v>
      </c>
      <c r="BP23" s="322">
        <f t="shared" si="15"/>
        <v>59380.7158933333</v>
      </c>
      <c r="BQ23" s="323"/>
      <c r="BR23" s="324"/>
      <c r="BS23" s="325"/>
      <c r="BT23" s="326"/>
      <c r="BU23" s="326"/>
      <c r="BV23" s="334"/>
      <c r="BW23" s="335"/>
    </row>
    <row r="24" s="245" customFormat="1" ht="172.5" customHeight="1" spans="1:75">
      <c r="A24" s="255">
        <v>23</v>
      </c>
      <c r="B24" s="70" t="s">
        <v>187</v>
      </c>
      <c r="C24" s="129" t="s">
        <v>143</v>
      </c>
      <c r="D24" s="129" t="s">
        <v>178</v>
      </c>
      <c r="E24" s="256" t="s">
        <v>135</v>
      </c>
      <c r="F24" s="1469" t="s">
        <v>2016</v>
      </c>
      <c r="G24" s="257">
        <v>3675250</v>
      </c>
      <c r="H24" s="258">
        <f t="shared" si="49"/>
        <v>306270.833333333</v>
      </c>
      <c r="I24" s="258">
        <f t="shared" si="21"/>
        <v>35731.5972222222</v>
      </c>
      <c r="J24" s="258">
        <v>5000</v>
      </c>
      <c r="K24" s="258"/>
      <c r="L24" s="258"/>
      <c r="M24" s="258">
        <v>2500</v>
      </c>
      <c r="N24" s="258"/>
      <c r="O24" s="258"/>
      <c r="P24" s="258"/>
      <c r="Q24" s="258"/>
      <c r="R24" s="258"/>
      <c r="S24" s="258"/>
      <c r="T24" s="258"/>
      <c r="U24" s="258">
        <v>383.33</v>
      </c>
      <c r="V24" s="258"/>
      <c r="W24" s="265"/>
      <c r="X24" s="258"/>
      <c r="Y24" s="258"/>
      <c r="Z24" s="258"/>
      <c r="AA24" s="258"/>
      <c r="AB24" s="258"/>
      <c r="AC24" s="258"/>
      <c r="AD24" s="270"/>
      <c r="AE24" s="258"/>
      <c r="AF24" s="258"/>
      <c r="AG24" s="270">
        <f t="shared" si="16"/>
        <v>6125.41666666667</v>
      </c>
      <c r="AH24" s="270"/>
      <c r="AI24" s="278"/>
      <c r="AJ24" s="280"/>
      <c r="AK24" s="280"/>
      <c r="AL24" s="284">
        <v>1000</v>
      </c>
      <c r="AM24" s="281"/>
      <c r="AN24" s="258">
        <v>7500</v>
      </c>
      <c r="AO24" s="299">
        <v>2000</v>
      </c>
      <c r="AP24" s="299"/>
      <c r="AQ24" s="299"/>
      <c r="AR24" s="299">
        <f t="shared" si="17"/>
        <v>6997.71521111111</v>
      </c>
      <c r="AS24" s="300"/>
      <c r="AT24" s="300"/>
      <c r="AU24" s="299">
        <f t="shared" si="22"/>
        <v>45947.47444</v>
      </c>
      <c r="AV24" s="299">
        <f t="shared" ref="AV24:AV25" si="51">W24+V24+U24+N24+M24+K24+J24+I24+H24</f>
        <v>349885.760555556</v>
      </c>
      <c r="AW24" s="299">
        <f>AU24+AR24+AQ24+AO24+AN24+AM24+AK24+AI24+AH24+AG24+AF24+AE24+AD24+AL24</f>
        <v>69570.6063177778</v>
      </c>
      <c r="AX24" s="299"/>
      <c r="AY24" s="299"/>
      <c r="AZ24" s="299">
        <f t="shared" si="19"/>
        <v>280315.154237778</v>
      </c>
      <c r="BA24" s="429">
        <f t="shared" si="1"/>
        <v>4198629.12666667</v>
      </c>
      <c r="BB24" s="430">
        <f t="shared" si="2"/>
        <v>1039725.82533333</v>
      </c>
      <c r="BC24" s="307">
        <f t="shared" si="3"/>
        <v>0</v>
      </c>
      <c r="BD24" s="308">
        <f t="shared" si="4"/>
        <v>1039725.82533333</v>
      </c>
      <c r="BE24" s="313">
        <f t="shared" si="5"/>
        <v>3158903.30133333</v>
      </c>
      <c r="BF24" s="430"/>
      <c r="BG24" s="307">
        <f t="shared" si="6"/>
        <v>21000</v>
      </c>
      <c r="BH24" s="307">
        <f t="shared" si="7"/>
        <v>33000</v>
      </c>
      <c r="BI24" s="307">
        <f t="shared" si="8"/>
        <v>75000</v>
      </c>
      <c r="BJ24" s="307">
        <f t="shared" si="9"/>
        <v>95000</v>
      </c>
      <c r="BK24" s="307">
        <f t="shared" si="10"/>
        <v>327369.69328</v>
      </c>
      <c r="BL24" s="307" t="str">
        <f t="shared" si="11"/>
        <v/>
      </c>
      <c r="BM24" s="429">
        <f t="shared" si="12"/>
        <v>551369.69328</v>
      </c>
      <c r="BN24" s="320">
        <f t="shared" si="13"/>
        <v>41986.2912666667</v>
      </c>
      <c r="BO24" s="321">
        <f t="shared" si="41"/>
        <v>551369.69328</v>
      </c>
      <c r="BP24" s="322">
        <f t="shared" si="15"/>
        <v>45947.47444</v>
      </c>
      <c r="BQ24" s="323"/>
      <c r="BR24" s="324"/>
      <c r="BS24" s="325"/>
      <c r="BT24" s="326"/>
      <c r="BU24" s="326"/>
      <c r="BV24" s="334"/>
      <c r="BW24" s="335"/>
    </row>
    <row r="25" s="245" customFormat="1" ht="176" customHeight="1" spans="1:75">
      <c r="A25" s="255">
        <v>24</v>
      </c>
      <c r="B25" s="70" t="s">
        <v>2017</v>
      </c>
      <c r="C25" s="129" t="s">
        <v>204</v>
      </c>
      <c r="D25" s="129" t="s">
        <v>360</v>
      </c>
      <c r="E25" s="256" t="s">
        <v>313</v>
      </c>
      <c r="F25" s="1469" t="s">
        <v>2018</v>
      </c>
      <c r="G25" s="257">
        <f>G22</f>
        <v>2688069</v>
      </c>
      <c r="H25" s="258">
        <f t="shared" si="49"/>
        <v>224005.75</v>
      </c>
      <c r="I25" s="258">
        <f t="shared" si="21"/>
        <v>26134.0041666667</v>
      </c>
      <c r="J25" s="258">
        <v>5000</v>
      </c>
      <c r="K25" s="258"/>
      <c r="L25" s="258"/>
      <c r="M25" s="258">
        <v>2500</v>
      </c>
      <c r="N25" s="258"/>
      <c r="O25" s="258"/>
      <c r="P25" s="258"/>
      <c r="Q25" s="258"/>
      <c r="R25" s="258"/>
      <c r="S25" s="258"/>
      <c r="T25" s="258"/>
      <c r="U25" s="258">
        <v>383.33</v>
      </c>
      <c r="V25" s="258"/>
      <c r="W25" s="265"/>
      <c r="X25" s="258"/>
      <c r="Y25" s="258"/>
      <c r="Z25" s="258"/>
      <c r="AA25" s="258"/>
      <c r="AB25" s="258"/>
      <c r="AC25" s="258"/>
      <c r="AD25" s="270"/>
      <c r="AE25" s="258"/>
      <c r="AF25" s="258"/>
      <c r="AG25" s="270">
        <f t="shared" si="16"/>
        <v>4480.115</v>
      </c>
      <c r="AH25" s="270"/>
      <c r="AI25" s="285">
        <v>1000</v>
      </c>
      <c r="AJ25" s="286"/>
      <c r="AK25" s="286"/>
      <c r="AL25" s="286"/>
      <c r="AM25" s="281"/>
      <c r="AN25" s="258"/>
      <c r="AO25" s="299">
        <v>1500</v>
      </c>
      <c r="AP25" s="299"/>
      <c r="AQ25" s="299"/>
      <c r="AR25" s="299">
        <f t="shared" si="17"/>
        <v>5160.46168333333</v>
      </c>
      <c r="AS25" s="300"/>
      <c r="AT25" s="300"/>
      <c r="AU25" s="299">
        <f t="shared" si="22"/>
        <v>30514.5448066667</v>
      </c>
      <c r="AV25" s="299">
        <f t="shared" si="51"/>
        <v>258023.084166667</v>
      </c>
      <c r="AW25" s="299">
        <f t="shared" si="18"/>
        <v>42655.12149</v>
      </c>
      <c r="AX25" s="299"/>
      <c r="AY25" s="299"/>
      <c r="AZ25" s="299">
        <f t="shared" si="19"/>
        <v>215367.962676667</v>
      </c>
      <c r="BA25" s="429">
        <f t="shared" si="1"/>
        <v>3096277.01</v>
      </c>
      <c r="BB25" s="430">
        <f t="shared" si="2"/>
        <v>819255.402</v>
      </c>
      <c r="BC25" s="307">
        <f t="shared" si="3"/>
        <v>0</v>
      </c>
      <c r="BD25" s="308">
        <f t="shared" si="4"/>
        <v>819255.402</v>
      </c>
      <c r="BE25" s="313">
        <f t="shared" si="5"/>
        <v>2277021.608</v>
      </c>
      <c r="BF25" s="430"/>
      <c r="BG25" s="307">
        <f t="shared" si="6"/>
        <v>21000</v>
      </c>
      <c r="BH25" s="307">
        <f t="shared" si="7"/>
        <v>33000</v>
      </c>
      <c r="BI25" s="307">
        <f t="shared" si="8"/>
        <v>75000</v>
      </c>
      <c r="BJ25" s="307">
        <f t="shared" si="9"/>
        <v>95000</v>
      </c>
      <c r="BK25" s="307">
        <f t="shared" si="10"/>
        <v>142174.53768</v>
      </c>
      <c r="BL25" s="307" t="str">
        <f t="shared" si="11"/>
        <v/>
      </c>
      <c r="BM25" s="429">
        <f t="shared" si="12"/>
        <v>366174.53768</v>
      </c>
      <c r="BN25" s="320">
        <f t="shared" si="13"/>
        <v>30962.7701</v>
      </c>
      <c r="BO25" s="321">
        <f t="shared" si="41"/>
        <v>366174.53768</v>
      </c>
      <c r="BP25" s="322">
        <f t="shared" si="15"/>
        <v>30514.5448066667</v>
      </c>
      <c r="BQ25" s="323"/>
      <c r="BR25" s="324"/>
      <c r="BS25" s="325"/>
      <c r="BT25" s="326"/>
      <c r="BU25" s="326"/>
      <c r="BV25" s="334"/>
      <c r="BW25" s="335"/>
    </row>
    <row r="26" s="246" customFormat="1" ht="183" customHeight="1" spans="1:75">
      <c r="A26" s="255">
        <v>25</v>
      </c>
      <c r="B26" s="262" t="s">
        <v>190</v>
      </c>
      <c r="C26" s="263" t="s">
        <v>143</v>
      </c>
      <c r="D26" s="263" t="s">
        <v>276</v>
      </c>
      <c r="E26" s="130" t="s">
        <v>145</v>
      </c>
      <c r="F26" s="1471" t="s">
        <v>192</v>
      </c>
      <c r="G26" s="264">
        <f>G24</f>
        <v>3675250</v>
      </c>
      <c r="H26" s="265">
        <f t="shared" si="49"/>
        <v>306270.833333333</v>
      </c>
      <c r="I26" s="265">
        <f t="shared" si="21"/>
        <v>35731.5972222222</v>
      </c>
      <c r="J26" s="265">
        <v>5000</v>
      </c>
      <c r="K26" s="265">
        <v>41667</v>
      </c>
      <c r="L26" s="265"/>
      <c r="M26" s="265">
        <v>2500</v>
      </c>
      <c r="N26" s="265"/>
      <c r="O26" s="265"/>
      <c r="P26" s="265"/>
      <c r="Q26" s="265"/>
      <c r="R26" s="265"/>
      <c r="S26" s="265"/>
      <c r="T26" s="265"/>
      <c r="U26" s="265">
        <v>383.33</v>
      </c>
      <c r="V26" s="265"/>
      <c r="W26" s="265"/>
      <c r="X26" s="265"/>
      <c r="Y26" s="265"/>
      <c r="Z26" s="265"/>
      <c r="AA26" s="265"/>
      <c r="AB26" s="265"/>
      <c r="AC26" s="265"/>
      <c r="AD26" s="271"/>
      <c r="AE26" s="265"/>
      <c r="AF26" s="265"/>
      <c r="AG26" s="271">
        <f t="shared" si="16"/>
        <v>6125.41666666667</v>
      </c>
      <c r="AH26" s="271"/>
      <c r="AI26" s="287"/>
      <c r="AJ26" s="288">
        <v>2000</v>
      </c>
      <c r="AK26" s="289"/>
      <c r="AL26" s="289"/>
      <c r="AM26" s="290">
        <f>10000+17500</f>
        <v>27500</v>
      </c>
      <c r="AN26" s="265">
        <v>15000</v>
      </c>
      <c r="AO26" s="301">
        <v>2000</v>
      </c>
      <c r="AP26" s="301"/>
      <c r="AQ26" s="301"/>
      <c r="AR26" s="301">
        <f t="shared" si="17"/>
        <v>7831.05521111111</v>
      </c>
      <c r="AS26" s="302"/>
      <c r="AT26" s="302"/>
      <c r="AU26" s="301">
        <f t="shared" si="22"/>
        <v>53844.7966933333</v>
      </c>
      <c r="AV26" s="301">
        <f t="shared" ref="AV26" si="52">V26+U26+N26+M26+K26+J26+I26+H26</f>
        <v>391552.760555556</v>
      </c>
      <c r="AW26" s="301">
        <f>AU26+AR26+AQ26+AO26+AM26+AN26+AK26+AJ26+AI26+AH26+AG26+AF26</f>
        <v>114301.268571111</v>
      </c>
      <c r="AX26" s="301"/>
      <c r="AY26" s="301"/>
      <c r="AZ26" s="301">
        <f t="shared" si="19"/>
        <v>277251.491984444</v>
      </c>
      <c r="BA26" s="431">
        <f t="shared" si="1"/>
        <v>4698633.12666667</v>
      </c>
      <c r="BB26" s="432">
        <f t="shared" si="2"/>
        <v>1139726.62533333</v>
      </c>
      <c r="BC26" s="311">
        <f t="shared" si="3"/>
        <v>0</v>
      </c>
      <c r="BD26" s="312">
        <f t="shared" si="4"/>
        <v>1139726.62533333</v>
      </c>
      <c r="BE26" s="314">
        <f t="shared" si="5"/>
        <v>3558906.50133333</v>
      </c>
      <c r="BF26" s="432"/>
      <c r="BG26" s="311">
        <f t="shared" si="6"/>
        <v>21000</v>
      </c>
      <c r="BH26" s="311">
        <f t="shared" si="7"/>
        <v>33000</v>
      </c>
      <c r="BI26" s="311">
        <f t="shared" si="8"/>
        <v>75000</v>
      </c>
      <c r="BJ26" s="311">
        <f t="shared" si="9"/>
        <v>95000</v>
      </c>
      <c r="BK26" s="311">
        <f t="shared" si="10"/>
        <v>336000</v>
      </c>
      <c r="BL26" s="311">
        <f t="shared" si="11"/>
        <v>86137.5603199998</v>
      </c>
      <c r="BM26" s="431">
        <f t="shared" si="12"/>
        <v>646137.56032</v>
      </c>
      <c r="BN26" s="327">
        <f t="shared" si="13"/>
        <v>46986.3312666667</v>
      </c>
      <c r="BO26" s="328">
        <f t="shared" si="41"/>
        <v>646137.56032</v>
      </c>
      <c r="BP26" s="329">
        <f t="shared" si="15"/>
        <v>53844.7966933333</v>
      </c>
      <c r="BQ26" s="330"/>
      <c r="BR26" s="331"/>
      <c r="BS26" s="332"/>
      <c r="BT26" s="333"/>
      <c r="BU26" s="333"/>
      <c r="BV26" s="337"/>
      <c r="BW26" s="338"/>
    </row>
    <row r="27" s="245" customFormat="1" ht="183" customHeight="1" spans="1:75">
      <c r="A27" s="255">
        <v>26</v>
      </c>
      <c r="B27" s="70" t="s">
        <v>193</v>
      </c>
      <c r="C27" s="129" t="s">
        <v>352</v>
      </c>
      <c r="D27" s="129" t="s">
        <v>353</v>
      </c>
      <c r="E27" s="256" t="s">
        <v>165</v>
      </c>
      <c r="F27" s="256">
        <v>2007556061</v>
      </c>
      <c r="G27" s="257">
        <v>1691938</v>
      </c>
      <c r="H27" s="258">
        <f t="shared" si="49"/>
        <v>140994.833333333</v>
      </c>
      <c r="I27" s="258">
        <f t="shared" si="21"/>
        <v>16449.3972222222</v>
      </c>
      <c r="J27" s="258">
        <v>5000</v>
      </c>
      <c r="K27" s="258"/>
      <c r="L27" s="258"/>
      <c r="M27" s="258">
        <v>2500</v>
      </c>
      <c r="N27" s="258"/>
      <c r="O27" s="258"/>
      <c r="P27" s="258"/>
      <c r="Q27" s="258"/>
      <c r="R27" s="258"/>
      <c r="S27" s="258"/>
      <c r="T27" s="258"/>
      <c r="U27" s="258">
        <v>383.33</v>
      </c>
      <c r="V27" s="258"/>
      <c r="W27" s="265"/>
      <c r="X27" s="258"/>
      <c r="Y27" s="258"/>
      <c r="Z27" s="258"/>
      <c r="AA27" s="258"/>
      <c r="AB27" s="258"/>
      <c r="AC27" s="258"/>
      <c r="AD27" s="270"/>
      <c r="AE27" s="258"/>
      <c r="AF27" s="258">
        <v>750</v>
      </c>
      <c r="AG27" s="270">
        <f t="shared" si="16"/>
        <v>2819.89666666667</v>
      </c>
      <c r="AH27" s="270"/>
      <c r="AI27" s="278"/>
      <c r="AJ27" s="280"/>
      <c r="AK27" s="280"/>
      <c r="AL27" s="280"/>
      <c r="AM27" s="281"/>
      <c r="AN27" s="258">
        <v>15000</v>
      </c>
      <c r="AO27" s="299">
        <v>1000</v>
      </c>
      <c r="AP27" s="299">
        <v>1000</v>
      </c>
      <c r="AQ27" s="299"/>
      <c r="AR27" s="299">
        <f t="shared" si="17"/>
        <v>3306.55121111111</v>
      </c>
      <c r="AS27" s="300"/>
      <c r="AT27" s="300"/>
      <c r="AU27" s="299">
        <f t="shared" si="22"/>
        <v>15296.4558711111</v>
      </c>
      <c r="AV27" s="299">
        <f t="shared" ref="AV27:AV28" si="53">W27+V27+U27+N27+M27+K27+J27+I27+H27</f>
        <v>165327.560555556</v>
      </c>
      <c r="AW27" s="299">
        <f t="shared" si="18"/>
        <v>38172.9037488889</v>
      </c>
      <c r="AX27" s="299"/>
      <c r="AY27" s="299"/>
      <c r="AZ27" s="299">
        <f t="shared" si="19"/>
        <v>127154.656806667</v>
      </c>
      <c r="BA27" s="429">
        <f t="shared" si="1"/>
        <v>1983930.72666667</v>
      </c>
      <c r="BB27" s="430">
        <f t="shared" si="2"/>
        <v>596786.145333333</v>
      </c>
      <c r="BC27" s="307">
        <f t="shared" si="3"/>
        <v>0</v>
      </c>
      <c r="BD27" s="308">
        <f t="shared" si="4"/>
        <v>596786.145333333</v>
      </c>
      <c r="BE27" s="313">
        <f t="shared" si="5"/>
        <v>1387144.58133333</v>
      </c>
      <c r="BF27" s="430"/>
      <c r="BG27" s="307">
        <f t="shared" si="6"/>
        <v>21000</v>
      </c>
      <c r="BH27" s="307">
        <f t="shared" si="7"/>
        <v>33000</v>
      </c>
      <c r="BI27" s="307">
        <f t="shared" si="8"/>
        <v>75000</v>
      </c>
      <c r="BJ27" s="307">
        <f t="shared" si="9"/>
        <v>54557.4704533333</v>
      </c>
      <c r="BK27" s="307" t="str">
        <f t="shared" si="10"/>
        <v/>
      </c>
      <c r="BL27" s="307" t="str">
        <f t="shared" si="11"/>
        <v/>
      </c>
      <c r="BM27" s="429">
        <f t="shared" si="12"/>
        <v>183557.470453333</v>
      </c>
      <c r="BN27" s="320">
        <f t="shared" si="13"/>
        <v>19839.3072666667</v>
      </c>
      <c r="BO27" s="321">
        <f t="shared" si="41"/>
        <v>183557.470453333</v>
      </c>
      <c r="BP27" s="322">
        <f t="shared" si="15"/>
        <v>15296.4558711111</v>
      </c>
      <c r="BQ27" s="323"/>
      <c r="BR27" s="324"/>
      <c r="BS27" s="325"/>
      <c r="BT27" s="326"/>
      <c r="BU27" s="326"/>
      <c r="BV27" s="334"/>
      <c r="BW27" s="335"/>
    </row>
    <row r="28" s="245" customFormat="1" ht="183" customHeight="1" spans="1:75">
      <c r="A28" s="255">
        <v>27</v>
      </c>
      <c r="B28" s="70" t="s">
        <v>202</v>
      </c>
      <c r="C28" s="129" t="s">
        <v>204</v>
      </c>
      <c r="D28" s="129" t="s">
        <v>465</v>
      </c>
      <c r="E28" s="256" t="s">
        <v>165</v>
      </c>
      <c r="F28" s="256">
        <v>1002357668</v>
      </c>
      <c r="G28" s="257">
        <v>1691939</v>
      </c>
      <c r="H28" s="258">
        <v>165055.5</v>
      </c>
      <c r="I28" s="258">
        <f t="shared" si="21"/>
        <v>19256.475</v>
      </c>
      <c r="J28" s="258">
        <v>5000</v>
      </c>
      <c r="K28" s="258"/>
      <c r="L28" s="258"/>
      <c r="M28" s="258">
        <v>2500</v>
      </c>
      <c r="N28" s="258"/>
      <c r="O28" s="258"/>
      <c r="P28" s="258"/>
      <c r="Q28" s="258"/>
      <c r="R28" s="258"/>
      <c r="S28" s="258"/>
      <c r="T28" s="258"/>
      <c r="U28" s="258">
        <v>383.33</v>
      </c>
      <c r="V28" s="258"/>
      <c r="W28" s="265"/>
      <c r="X28" s="258"/>
      <c r="Y28" s="258"/>
      <c r="Z28" s="258"/>
      <c r="AA28" s="258"/>
      <c r="AB28" s="258"/>
      <c r="AC28" s="258"/>
      <c r="AD28" s="270"/>
      <c r="AE28" s="258"/>
      <c r="AF28" s="258"/>
      <c r="AG28" s="270">
        <f t="shared" si="16"/>
        <v>3301.11</v>
      </c>
      <c r="AH28" s="270"/>
      <c r="AI28" s="278"/>
      <c r="AJ28" s="284">
        <v>1000</v>
      </c>
      <c r="AK28" s="280"/>
      <c r="AL28" s="280"/>
      <c r="AM28" s="281"/>
      <c r="AN28" s="258"/>
      <c r="AO28" s="299">
        <v>1000</v>
      </c>
      <c r="AP28" s="299"/>
      <c r="AQ28" s="299"/>
      <c r="AR28" s="299">
        <f t="shared" si="17"/>
        <v>3843.9061</v>
      </c>
      <c r="AS28" s="300"/>
      <c r="AT28" s="300"/>
      <c r="AU28" s="299">
        <f t="shared" si="22"/>
        <v>19455.4779066667</v>
      </c>
      <c r="AV28" s="299">
        <f t="shared" si="53"/>
        <v>192195.305</v>
      </c>
      <c r="AW28" s="299">
        <f>AU28+AR28+AO28+AJ28+AG28</f>
        <v>28600.4940066667</v>
      </c>
      <c r="AX28" s="299"/>
      <c r="AY28" s="299"/>
      <c r="AZ28" s="299">
        <f t="shared" si="19"/>
        <v>163594.810993333</v>
      </c>
      <c r="BA28" s="429">
        <f t="shared" si="1"/>
        <v>2306343.66</v>
      </c>
      <c r="BB28" s="430">
        <f t="shared" si="2"/>
        <v>661268.732</v>
      </c>
      <c r="BC28" s="307">
        <f t="shared" si="3"/>
        <v>0</v>
      </c>
      <c r="BD28" s="308">
        <f t="shared" si="4"/>
        <v>661268.732</v>
      </c>
      <c r="BE28" s="313">
        <f t="shared" si="5"/>
        <v>1645074.928</v>
      </c>
      <c r="BF28" s="430"/>
      <c r="BG28" s="307">
        <f t="shared" si="6"/>
        <v>21000</v>
      </c>
      <c r="BH28" s="307">
        <f t="shared" si="7"/>
        <v>33000</v>
      </c>
      <c r="BI28" s="307">
        <f t="shared" si="8"/>
        <v>75000</v>
      </c>
      <c r="BJ28" s="307">
        <f t="shared" si="9"/>
        <v>95000</v>
      </c>
      <c r="BK28" s="307">
        <f t="shared" si="10"/>
        <v>9465.73488000001</v>
      </c>
      <c r="BL28" s="307" t="str">
        <f t="shared" si="11"/>
        <v/>
      </c>
      <c r="BM28" s="429">
        <f t="shared" si="12"/>
        <v>233465.73488</v>
      </c>
      <c r="BN28" s="320">
        <f t="shared" si="13"/>
        <v>23063.4366</v>
      </c>
      <c r="BO28" s="321">
        <f t="shared" si="41"/>
        <v>233465.73488</v>
      </c>
      <c r="BP28" s="322">
        <f t="shared" si="15"/>
        <v>19455.4779066667</v>
      </c>
      <c r="BQ28" s="323"/>
      <c r="BR28" s="324"/>
      <c r="BS28" s="325"/>
      <c r="BT28" s="326"/>
      <c r="BU28" s="326"/>
      <c r="BV28" s="334"/>
      <c r="BW28" s="335"/>
    </row>
    <row r="29" s="245" customFormat="1" ht="172.5" customHeight="1" spans="1:75">
      <c r="A29" s="255">
        <v>28</v>
      </c>
      <c r="B29" s="70" t="s">
        <v>211</v>
      </c>
      <c r="C29" s="129" t="s">
        <v>216</v>
      </c>
      <c r="D29" s="129" t="s">
        <v>555</v>
      </c>
      <c r="E29" s="256" t="s">
        <v>135</v>
      </c>
      <c r="F29" s="1469" t="s">
        <v>214</v>
      </c>
      <c r="G29" s="257">
        <v>1796468</v>
      </c>
      <c r="H29" s="258">
        <f t="shared" si="49"/>
        <v>149705.666666667</v>
      </c>
      <c r="I29" s="258">
        <f t="shared" si="21"/>
        <v>17465.6611111111</v>
      </c>
      <c r="J29" s="258">
        <v>5000</v>
      </c>
      <c r="K29" s="258"/>
      <c r="L29" s="258"/>
      <c r="M29" s="258">
        <v>2500</v>
      </c>
      <c r="N29" s="258"/>
      <c r="O29" s="258"/>
      <c r="P29" s="258"/>
      <c r="Q29" s="258"/>
      <c r="R29" s="258"/>
      <c r="S29" s="258"/>
      <c r="T29" s="258"/>
      <c r="U29" s="258">
        <v>383.33</v>
      </c>
      <c r="V29" s="258"/>
      <c r="W29" s="265"/>
      <c r="X29" s="258"/>
      <c r="Y29" s="258"/>
      <c r="Z29" s="258"/>
      <c r="AA29" s="258"/>
      <c r="AB29" s="258"/>
      <c r="AC29" s="258"/>
      <c r="AD29" s="270"/>
      <c r="AE29" s="258"/>
      <c r="AF29" s="258"/>
      <c r="AG29" s="270">
        <f t="shared" si="16"/>
        <v>2994.11333333333</v>
      </c>
      <c r="AH29" s="270"/>
      <c r="AI29" s="278"/>
      <c r="AJ29" s="280"/>
      <c r="AK29" s="280"/>
      <c r="AL29" s="280"/>
      <c r="AM29" s="281"/>
      <c r="AN29" s="258">
        <v>7500</v>
      </c>
      <c r="AO29" s="299">
        <v>1000</v>
      </c>
      <c r="AP29" s="299"/>
      <c r="AQ29" s="299"/>
      <c r="AR29" s="299">
        <f t="shared" si="17"/>
        <v>3501.09315555556</v>
      </c>
      <c r="AS29" s="300"/>
      <c r="AT29" s="300"/>
      <c r="AU29" s="299">
        <f>AU100</f>
        <v>16774.9746488889</v>
      </c>
      <c r="AV29" s="299">
        <f t="shared" ref="AV29" si="54">V29+U29+N29+M29+K29+J29+I29+H29</f>
        <v>175054.657777778</v>
      </c>
      <c r="AW29" s="299">
        <f t="shared" si="18"/>
        <v>31770.1811377778</v>
      </c>
      <c r="AX29" s="299"/>
      <c r="AY29" s="299"/>
      <c r="AZ29" s="299">
        <f t="shared" si="19"/>
        <v>143284.47664</v>
      </c>
      <c r="BA29" s="429">
        <f t="shared" si="1"/>
        <v>2100655.89333333</v>
      </c>
      <c r="BB29" s="430">
        <f t="shared" si="2"/>
        <v>620131.178666667</v>
      </c>
      <c r="BC29" s="307">
        <f t="shared" si="3"/>
        <v>0</v>
      </c>
      <c r="BD29" s="308">
        <f t="shared" si="4"/>
        <v>620131.178666667</v>
      </c>
      <c r="BE29" s="313">
        <f t="shared" si="5"/>
        <v>1480524.71466667</v>
      </c>
      <c r="BF29" s="430"/>
      <c r="BG29" s="307">
        <f t="shared" si="6"/>
        <v>21000</v>
      </c>
      <c r="BH29" s="307">
        <f t="shared" si="7"/>
        <v>33000</v>
      </c>
      <c r="BI29" s="307">
        <f t="shared" si="8"/>
        <v>75000</v>
      </c>
      <c r="BJ29" s="307">
        <f t="shared" si="9"/>
        <v>72299.6957866666</v>
      </c>
      <c r="BK29" s="307" t="str">
        <f t="shared" si="10"/>
        <v/>
      </c>
      <c r="BL29" s="307" t="str">
        <f t="shared" si="11"/>
        <v/>
      </c>
      <c r="BM29" s="429">
        <f t="shared" si="12"/>
        <v>201299.695786667</v>
      </c>
      <c r="BN29" s="320">
        <f t="shared" si="13"/>
        <v>21006.5589333333</v>
      </c>
      <c r="BO29" s="321">
        <f t="shared" si="41"/>
        <v>201299.695786667</v>
      </c>
      <c r="BP29" s="322">
        <f t="shared" si="15"/>
        <v>16774.9746488889</v>
      </c>
      <c r="BQ29" s="323"/>
      <c r="BR29" s="324"/>
      <c r="BS29" s="325"/>
      <c r="BT29" s="326"/>
      <c r="BU29" s="326"/>
      <c r="BV29" s="334"/>
      <c r="BW29" s="335"/>
    </row>
    <row r="30" s="245" customFormat="1" ht="184" customHeight="1" spans="1:75">
      <c r="A30" s="255">
        <v>29</v>
      </c>
      <c r="B30" s="70" t="s">
        <v>215</v>
      </c>
      <c r="C30" s="129" t="s">
        <v>216</v>
      </c>
      <c r="D30" s="129" t="s">
        <v>555</v>
      </c>
      <c r="E30" s="256" t="s">
        <v>113</v>
      </c>
      <c r="F30" s="256">
        <v>1018108205</v>
      </c>
      <c r="G30" s="257">
        <v>1796468</v>
      </c>
      <c r="H30" s="258">
        <f t="shared" si="49"/>
        <v>149705.666666667</v>
      </c>
      <c r="I30" s="258">
        <f t="shared" si="21"/>
        <v>17465.6611111111</v>
      </c>
      <c r="J30" s="258">
        <v>5000</v>
      </c>
      <c r="K30" s="258"/>
      <c r="L30" s="258"/>
      <c r="M30" s="258">
        <v>2500</v>
      </c>
      <c r="N30" s="258"/>
      <c r="O30" s="258"/>
      <c r="P30" s="258"/>
      <c r="Q30" s="258"/>
      <c r="R30" s="258"/>
      <c r="S30" s="258"/>
      <c r="T30" s="258"/>
      <c r="U30" s="258">
        <v>383.33</v>
      </c>
      <c r="V30" s="258"/>
      <c r="W30" s="265"/>
      <c r="X30" s="258"/>
      <c r="Y30" s="258"/>
      <c r="Z30" s="258"/>
      <c r="AA30" s="258"/>
      <c r="AB30" s="258"/>
      <c r="AC30" s="258"/>
      <c r="AD30" s="270"/>
      <c r="AE30" s="258"/>
      <c r="AF30" s="258"/>
      <c r="AG30" s="270">
        <f t="shared" si="16"/>
        <v>2994.11333333333</v>
      </c>
      <c r="AH30" s="270"/>
      <c r="AI30" s="278"/>
      <c r="AJ30" s="279">
        <v>1000</v>
      </c>
      <c r="AK30" s="280"/>
      <c r="AL30" s="280"/>
      <c r="AM30" s="281"/>
      <c r="AN30" s="258"/>
      <c r="AO30" s="299">
        <v>1000</v>
      </c>
      <c r="AP30" s="299"/>
      <c r="AQ30" s="299"/>
      <c r="AR30" s="299">
        <f t="shared" si="17"/>
        <v>3501.09315555556</v>
      </c>
      <c r="AS30" s="300"/>
      <c r="AT30" s="300"/>
      <c r="AU30" s="299">
        <f>AU29</f>
        <v>16774.9746488889</v>
      </c>
      <c r="AV30" s="299">
        <f t="shared" ref="AV30:AV32" si="55">W30+V30+U30+N30+M30+K30+J30+I30+H30</f>
        <v>175054.657777778</v>
      </c>
      <c r="AW30" s="299">
        <f>AU30+AR30+AO30+AQ30+AN30+AM30+AK30+AJ30+AI30+AH30+AG30+AF30</f>
        <v>25270.1811377778</v>
      </c>
      <c r="AX30" s="299"/>
      <c r="AY30" s="299"/>
      <c r="AZ30" s="299">
        <f t="shared" si="19"/>
        <v>149784.47664</v>
      </c>
      <c r="BA30" s="429">
        <f t="shared" si="1"/>
        <v>2100655.89333333</v>
      </c>
      <c r="BB30" s="430">
        <f t="shared" si="2"/>
        <v>620131.178666667</v>
      </c>
      <c r="BC30" s="307">
        <f t="shared" si="3"/>
        <v>0</v>
      </c>
      <c r="BD30" s="308">
        <f t="shared" si="4"/>
        <v>620131.178666667</v>
      </c>
      <c r="BE30" s="313">
        <f t="shared" si="5"/>
        <v>1480524.71466667</v>
      </c>
      <c r="BF30" s="430"/>
      <c r="BG30" s="307">
        <f t="shared" si="6"/>
        <v>21000</v>
      </c>
      <c r="BH30" s="307">
        <f t="shared" si="7"/>
        <v>33000</v>
      </c>
      <c r="BI30" s="307">
        <f t="shared" si="8"/>
        <v>75000</v>
      </c>
      <c r="BJ30" s="307">
        <f t="shared" si="9"/>
        <v>72299.6957866666</v>
      </c>
      <c r="BK30" s="307" t="str">
        <f t="shared" si="10"/>
        <v/>
      </c>
      <c r="BL30" s="307" t="str">
        <f t="shared" si="11"/>
        <v/>
      </c>
      <c r="BM30" s="429">
        <f t="shared" si="12"/>
        <v>201299.695786667</v>
      </c>
      <c r="BN30" s="320">
        <f t="shared" si="13"/>
        <v>21006.5589333333</v>
      </c>
      <c r="BO30" s="321">
        <f t="shared" si="41"/>
        <v>201299.695786667</v>
      </c>
      <c r="BP30" s="322">
        <f t="shared" si="15"/>
        <v>16774.9746488889</v>
      </c>
      <c r="BQ30" s="323"/>
      <c r="BR30" s="324"/>
      <c r="BS30" s="325"/>
      <c r="BT30" s="326"/>
      <c r="BU30" s="326"/>
      <c r="BV30" s="334"/>
      <c r="BW30" s="335"/>
    </row>
    <row r="31" s="245" customFormat="1" ht="172.5" customHeight="1" spans="1:75">
      <c r="A31" s="255">
        <v>30</v>
      </c>
      <c r="B31" s="70" t="s">
        <v>217</v>
      </c>
      <c r="C31" s="129" t="s">
        <v>204</v>
      </c>
      <c r="D31" s="129" t="s">
        <v>465</v>
      </c>
      <c r="E31" s="256" t="s">
        <v>135</v>
      </c>
      <c r="F31" s="1469" t="s">
        <v>219</v>
      </c>
      <c r="G31" s="257">
        <v>1980666</v>
      </c>
      <c r="H31" s="258">
        <f t="shared" si="49"/>
        <v>165055.5</v>
      </c>
      <c r="I31" s="258">
        <f t="shared" si="21"/>
        <v>19256.475</v>
      </c>
      <c r="J31" s="258">
        <v>5000</v>
      </c>
      <c r="K31" s="258"/>
      <c r="L31" s="258"/>
      <c r="M31" s="258">
        <v>2500</v>
      </c>
      <c r="N31" s="258"/>
      <c r="O31" s="258"/>
      <c r="P31" s="258"/>
      <c r="Q31" s="258"/>
      <c r="R31" s="258"/>
      <c r="S31" s="258"/>
      <c r="T31" s="258"/>
      <c r="U31" s="258">
        <v>383.33</v>
      </c>
      <c r="V31" s="258"/>
      <c r="W31" s="265"/>
      <c r="X31" s="258"/>
      <c r="Y31" s="258"/>
      <c r="Z31" s="258"/>
      <c r="AA31" s="258"/>
      <c r="AB31" s="258"/>
      <c r="AC31" s="258"/>
      <c r="AD31" s="270"/>
      <c r="AE31" s="258"/>
      <c r="AF31" s="258">
        <v>3750</v>
      </c>
      <c r="AG31" s="270">
        <f t="shared" si="16"/>
        <v>3301.11</v>
      </c>
      <c r="AH31" s="270"/>
      <c r="AI31" s="278"/>
      <c r="AJ31" s="279">
        <v>1000</v>
      </c>
      <c r="AK31" s="280"/>
      <c r="AL31" s="280"/>
      <c r="AM31" s="281">
        <v>20000</v>
      </c>
      <c r="AN31" s="258"/>
      <c r="AO31" s="299">
        <v>1000</v>
      </c>
      <c r="AP31" s="299">
        <v>1000</v>
      </c>
      <c r="AQ31" s="299"/>
      <c r="AR31" s="299">
        <f t="shared" si="17"/>
        <v>3843.9061</v>
      </c>
      <c r="AS31" s="300"/>
      <c r="AT31" s="300"/>
      <c r="AU31" s="299">
        <f>AU30</f>
        <v>16774.9746488889</v>
      </c>
      <c r="AV31" s="299">
        <f t="shared" si="55"/>
        <v>192195.305</v>
      </c>
      <c r="AW31" s="299">
        <f>AU31+AR31+AQ31+AO31+AN31+AM31+AK31+AI31+AH31+AG31+AF31+AE31+AD31+AJ31+AJ31</f>
        <v>50669.9907488889</v>
      </c>
      <c r="AX31" s="299"/>
      <c r="AY31" s="299"/>
      <c r="AZ31" s="299">
        <f t="shared" si="19"/>
        <v>141525.314251111</v>
      </c>
      <c r="BA31" s="429">
        <f t="shared" si="1"/>
        <v>2306343.66</v>
      </c>
      <c r="BB31" s="430">
        <f t="shared" si="2"/>
        <v>661268.732</v>
      </c>
      <c r="BC31" s="307">
        <f t="shared" si="3"/>
        <v>0</v>
      </c>
      <c r="BD31" s="308">
        <f t="shared" si="4"/>
        <v>661268.732</v>
      </c>
      <c r="BE31" s="313">
        <f t="shared" si="5"/>
        <v>1645074.928</v>
      </c>
      <c r="BF31" s="430"/>
      <c r="BG31" s="307">
        <f t="shared" si="6"/>
        <v>21000</v>
      </c>
      <c r="BH31" s="307">
        <f t="shared" si="7"/>
        <v>33000</v>
      </c>
      <c r="BI31" s="307">
        <f t="shared" si="8"/>
        <v>75000</v>
      </c>
      <c r="BJ31" s="307">
        <f t="shared" si="9"/>
        <v>95000</v>
      </c>
      <c r="BK31" s="307">
        <f t="shared" si="10"/>
        <v>9465.73488000001</v>
      </c>
      <c r="BL31" s="307" t="str">
        <f t="shared" si="11"/>
        <v/>
      </c>
      <c r="BM31" s="429">
        <f t="shared" si="12"/>
        <v>233465.73488</v>
      </c>
      <c r="BN31" s="320">
        <f t="shared" si="13"/>
        <v>23063.4366</v>
      </c>
      <c r="BO31" s="321">
        <f t="shared" si="41"/>
        <v>233465.73488</v>
      </c>
      <c r="BP31" s="322">
        <f t="shared" si="15"/>
        <v>19455.4779066667</v>
      </c>
      <c r="BQ31" s="323"/>
      <c r="BR31" s="324"/>
      <c r="BS31" s="325"/>
      <c r="BT31" s="326"/>
      <c r="BU31" s="326"/>
      <c r="BV31" s="334"/>
      <c r="BW31" s="335"/>
    </row>
    <row r="32" s="245" customFormat="1" ht="177" customHeight="1" spans="1:75">
      <c r="A32" s="255">
        <v>31</v>
      </c>
      <c r="B32" s="70" t="s">
        <v>220</v>
      </c>
      <c r="C32" s="129" t="s">
        <v>221</v>
      </c>
      <c r="D32" s="129" t="s">
        <v>495</v>
      </c>
      <c r="E32" s="256" t="s">
        <v>113</v>
      </c>
      <c r="F32" s="256">
        <v>2108025545</v>
      </c>
      <c r="G32" s="257">
        <v>1746118</v>
      </c>
      <c r="H32" s="258">
        <f t="shared" si="49"/>
        <v>145509.833333333</v>
      </c>
      <c r="I32" s="258">
        <f t="shared" si="21"/>
        <v>16976.1472222222</v>
      </c>
      <c r="J32" s="258">
        <v>5000</v>
      </c>
      <c r="K32" s="258"/>
      <c r="L32" s="258"/>
      <c r="M32" s="258">
        <v>2500</v>
      </c>
      <c r="N32" s="258"/>
      <c r="O32" s="258"/>
      <c r="P32" s="258"/>
      <c r="Q32" s="258"/>
      <c r="R32" s="258"/>
      <c r="S32" s="258"/>
      <c r="T32" s="258"/>
      <c r="U32" s="258">
        <v>383.33</v>
      </c>
      <c r="V32" s="258"/>
      <c r="W32" s="265"/>
      <c r="X32" s="258"/>
      <c r="Y32" s="258"/>
      <c r="Z32" s="258"/>
      <c r="AA32" s="258"/>
      <c r="AB32" s="258"/>
      <c r="AC32" s="258"/>
      <c r="AD32" s="270"/>
      <c r="AE32" s="258"/>
      <c r="AF32" s="258"/>
      <c r="AG32" s="270">
        <f t="shared" si="16"/>
        <v>2910.19666666667</v>
      </c>
      <c r="AH32" s="270"/>
      <c r="AI32" s="278"/>
      <c r="AJ32" s="280"/>
      <c r="AK32" s="280"/>
      <c r="AL32" s="280"/>
      <c r="AM32" s="281"/>
      <c r="AN32" s="258"/>
      <c r="AO32" s="299">
        <v>1000</v>
      </c>
      <c r="AP32" s="299"/>
      <c r="AQ32" s="299"/>
      <c r="AR32" s="299">
        <f t="shared" si="17"/>
        <v>3407.38621111111</v>
      </c>
      <c r="AS32" s="300"/>
      <c r="AT32" s="300"/>
      <c r="AU32" s="299">
        <f>AU31</f>
        <v>16774.9746488889</v>
      </c>
      <c r="AV32" s="299">
        <f t="shared" si="55"/>
        <v>170369.310555556</v>
      </c>
      <c r="AW32" s="299">
        <f t="shared" ref="AW32" si="56">AU32+AR32+AQ32+AO32+AN32+AM32+AK32+AI32+AH32+AG32+AF32+AE32+AD32</f>
        <v>24092.5575266667</v>
      </c>
      <c r="AX32" s="299"/>
      <c r="AY32" s="299"/>
      <c r="AZ32" s="299">
        <f t="shared" si="19"/>
        <v>146276.753028889</v>
      </c>
      <c r="BA32" s="429">
        <f t="shared" si="1"/>
        <v>2044431.72666667</v>
      </c>
      <c r="BB32" s="430">
        <f t="shared" si="2"/>
        <v>608886.345333333</v>
      </c>
      <c r="BC32" s="307">
        <f t="shared" si="3"/>
        <v>0</v>
      </c>
      <c r="BD32" s="308">
        <f t="shared" si="4"/>
        <v>608886.345333333</v>
      </c>
      <c r="BE32" s="313">
        <f t="shared" si="5"/>
        <v>1435545.38133333</v>
      </c>
      <c r="BF32" s="430"/>
      <c r="BG32" s="307">
        <f t="shared" si="6"/>
        <v>21000</v>
      </c>
      <c r="BH32" s="307">
        <f t="shared" si="7"/>
        <v>33000</v>
      </c>
      <c r="BI32" s="307">
        <f t="shared" si="8"/>
        <v>75000</v>
      </c>
      <c r="BJ32" s="307">
        <f t="shared" si="9"/>
        <v>63753.6224533334</v>
      </c>
      <c r="BK32" s="307" t="str">
        <f t="shared" si="10"/>
        <v/>
      </c>
      <c r="BL32" s="307" t="str">
        <f t="shared" si="11"/>
        <v/>
      </c>
      <c r="BM32" s="429">
        <f t="shared" si="12"/>
        <v>192753.622453333</v>
      </c>
      <c r="BN32" s="320">
        <f t="shared" si="13"/>
        <v>20444.3172666667</v>
      </c>
      <c r="BO32" s="321">
        <f t="shared" si="41"/>
        <v>192753.622453333</v>
      </c>
      <c r="BP32" s="322">
        <f t="shared" si="15"/>
        <v>16062.8018711111</v>
      </c>
      <c r="BQ32" s="323"/>
      <c r="BR32" s="324"/>
      <c r="BS32" s="325"/>
      <c r="BT32" s="326"/>
      <c r="BU32" s="326"/>
      <c r="BV32" s="334"/>
      <c r="BW32" s="335"/>
    </row>
    <row r="33" s="245" customFormat="1" ht="172.5" customHeight="1" spans="1:75">
      <c r="A33" s="255">
        <v>32</v>
      </c>
      <c r="B33" s="70" t="s">
        <v>222</v>
      </c>
      <c r="C33" s="129" t="s">
        <v>143</v>
      </c>
      <c r="D33" s="129" t="s">
        <v>338</v>
      </c>
      <c r="E33" s="256" t="s">
        <v>93</v>
      </c>
      <c r="F33" s="256">
        <v>3051864825</v>
      </c>
      <c r="G33" s="257">
        <v>3930454</v>
      </c>
      <c r="H33" s="258">
        <f t="shared" si="49"/>
        <v>327537.833333333</v>
      </c>
      <c r="I33" s="258">
        <f t="shared" si="21"/>
        <v>38212.7472222222</v>
      </c>
      <c r="J33" s="258">
        <v>5000</v>
      </c>
      <c r="K33" s="258">
        <v>20833.33</v>
      </c>
      <c r="L33" s="258"/>
      <c r="M33" s="258">
        <v>2500</v>
      </c>
      <c r="N33" s="258"/>
      <c r="O33" s="258"/>
      <c r="P33" s="258"/>
      <c r="Q33" s="258"/>
      <c r="R33" s="258"/>
      <c r="S33" s="258"/>
      <c r="T33" s="258"/>
      <c r="U33" s="258">
        <v>383.33</v>
      </c>
      <c r="V33" s="258"/>
      <c r="W33" s="265"/>
      <c r="X33" s="258"/>
      <c r="Y33" s="258"/>
      <c r="Z33" s="258"/>
      <c r="AA33" s="258"/>
      <c r="AB33" s="258"/>
      <c r="AC33" s="258"/>
      <c r="AD33" s="270"/>
      <c r="AE33" s="258"/>
      <c r="AF33" s="258">
        <v>1750</v>
      </c>
      <c r="AG33" s="270">
        <f t="shared" si="16"/>
        <v>6550.75666666667</v>
      </c>
      <c r="AH33" s="270"/>
      <c r="AI33" s="278"/>
      <c r="AJ33" s="279">
        <v>1000</v>
      </c>
      <c r="AK33" s="279"/>
      <c r="AL33" s="279"/>
      <c r="AM33" s="279">
        <v>75000</v>
      </c>
      <c r="AN33" s="258">
        <v>8333.33</v>
      </c>
      <c r="AO33" s="299">
        <v>2000</v>
      </c>
      <c r="AP33" s="299"/>
      <c r="AQ33" s="299"/>
      <c r="AR33" s="299">
        <f t="shared" si="17"/>
        <v>7889.34481111111</v>
      </c>
      <c r="AS33" s="300"/>
      <c r="AT33" s="300"/>
      <c r="AU33" s="299">
        <v>52160.29</v>
      </c>
      <c r="AV33" s="299">
        <f t="shared" ref="AV33" si="57">V33+U33+N33+M33+K33+J33+I33+H33</f>
        <v>394467.240555556</v>
      </c>
      <c r="AW33" s="299">
        <f>AU33+AR33+AQ33+AO33+AM33+AN33+AK33+AJ33+AI33+AH33+AG33+AF33</f>
        <v>154683.721477778</v>
      </c>
      <c r="AX33" s="299"/>
      <c r="AY33" s="299"/>
      <c r="AZ33" s="299">
        <f t="shared" si="19"/>
        <v>239783.519077778</v>
      </c>
      <c r="BA33" s="429">
        <f t="shared" si="1"/>
        <v>4733606.88666667</v>
      </c>
      <c r="BB33" s="430">
        <f t="shared" si="2"/>
        <v>1146721.37733333</v>
      </c>
      <c r="BC33" s="307">
        <f t="shared" si="3"/>
        <v>0</v>
      </c>
      <c r="BD33" s="308">
        <f t="shared" si="4"/>
        <v>1146721.37733333</v>
      </c>
      <c r="BE33" s="313">
        <f t="shared" si="5"/>
        <v>3586885.50933333</v>
      </c>
      <c r="BF33" s="430"/>
      <c r="BG33" s="307">
        <f t="shared" si="6"/>
        <v>21000</v>
      </c>
      <c r="BH33" s="307">
        <f t="shared" si="7"/>
        <v>33000</v>
      </c>
      <c r="BI33" s="307">
        <f t="shared" si="8"/>
        <v>75000</v>
      </c>
      <c r="BJ33" s="307">
        <f t="shared" si="9"/>
        <v>95000</v>
      </c>
      <c r="BK33" s="307">
        <f t="shared" si="10"/>
        <v>336000</v>
      </c>
      <c r="BL33" s="307">
        <f t="shared" si="11"/>
        <v>92852.52224</v>
      </c>
      <c r="BM33" s="429">
        <f t="shared" si="12"/>
        <v>652852.52224</v>
      </c>
      <c r="BN33" s="320">
        <f t="shared" si="13"/>
        <v>47336.0688666667</v>
      </c>
      <c r="BO33" s="321">
        <f t="shared" si="41"/>
        <v>652852.52224</v>
      </c>
      <c r="BP33" s="322">
        <f t="shared" si="15"/>
        <v>54404.3768533333</v>
      </c>
      <c r="BQ33" s="323"/>
      <c r="BR33" s="324"/>
      <c r="BS33" s="325"/>
      <c r="BT33" s="326"/>
      <c r="BU33" s="326"/>
      <c r="BV33" s="334"/>
      <c r="BW33" s="335"/>
    </row>
    <row r="34" s="245" customFormat="1" ht="172.5" customHeight="1" spans="1:75">
      <c r="A34" s="255">
        <v>33</v>
      </c>
      <c r="B34" s="70" t="s">
        <v>224</v>
      </c>
      <c r="C34" s="129" t="s">
        <v>138</v>
      </c>
      <c r="D34" s="129" t="s">
        <v>263</v>
      </c>
      <c r="E34" s="256" t="s">
        <v>165</v>
      </c>
      <c r="F34" s="256">
        <v>1005415103</v>
      </c>
      <c r="G34" s="257">
        <v>4479454</v>
      </c>
      <c r="H34" s="258">
        <f t="shared" si="49"/>
        <v>373287.833333333</v>
      </c>
      <c r="I34" s="258">
        <f t="shared" si="21"/>
        <v>43550.2472222222</v>
      </c>
      <c r="J34" s="258">
        <v>5000</v>
      </c>
      <c r="K34" s="258">
        <v>20833.33</v>
      </c>
      <c r="L34" s="258"/>
      <c r="M34" s="258">
        <v>2500</v>
      </c>
      <c r="N34" s="258"/>
      <c r="O34" s="258"/>
      <c r="P34" s="258"/>
      <c r="Q34" s="258"/>
      <c r="R34" s="258"/>
      <c r="S34" s="258"/>
      <c r="T34" s="258"/>
      <c r="U34" s="258">
        <v>383.33</v>
      </c>
      <c r="V34" s="258"/>
      <c r="W34" s="265"/>
      <c r="X34" s="258"/>
      <c r="Y34" s="258"/>
      <c r="Z34" s="258"/>
      <c r="AA34" s="258"/>
      <c r="AB34" s="258"/>
      <c r="AC34" s="258"/>
      <c r="AD34" s="270"/>
      <c r="AE34" s="258"/>
      <c r="AF34" s="258"/>
      <c r="AG34" s="270">
        <f t="shared" si="16"/>
        <v>7465.75666666667</v>
      </c>
      <c r="AH34" s="270"/>
      <c r="AI34" s="278"/>
      <c r="AJ34" s="280"/>
      <c r="AK34" s="280"/>
      <c r="AL34" s="291">
        <v>1000</v>
      </c>
      <c r="AM34" s="281">
        <v>88750</v>
      </c>
      <c r="AN34" s="258">
        <v>25000</v>
      </c>
      <c r="AO34" s="299">
        <v>2500</v>
      </c>
      <c r="AP34" s="299"/>
      <c r="AQ34" s="299"/>
      <c r="AR34" s="299">
        <f t="shared" si="17"/>
        <v>8911.09481111111</v>
      </c>
      <c r="AS34" s="300"/>
      <c r="AT34" s="300"/>
      <c r="AU34" s="299">
        <f t="shared" si="22"/>
        <v>64213.1768533333</v>
      </c>
      <c r="AV34" s="299">
        <f t="shared" ref="AV34:AV45" si="58">W34+V34+U34+N34+M34+K34+J34+I34+H34</f>
        <v>445554.740555556</v>
      </c>
      <c r="AW34" s="299">
        <f t="shared" si="18"/>
        <v>196840.028331111</v>
      </c>
      <c r="AX34" s="299"/>
      <c r="AY34" s="299"/>
      <c r="AZ34" s="299">
        <f t="shared" si="19"/>
        <v>248714.712224444</v>
      </c>
      <c r="BA34" s="429">
        <f t="shared" si="1"/>
        <v>5346656.88666667</v>
      </c>
      <c r="BB34" s="430">
        <f t="shared" si="2"/>
        <v>1269331.37733333</v>
      </c>
      <c r="BC34" s="307">
        <f t="shared" si="3"/>
        <v>0</v>
      </c>
      <c r="BD34" s="308">
        <f t="shared" si="4"/>
        <v>1269331.37733333</v>
      </c>
      <c r="BE34" s="313">
        <f t="shared" si="5"/>
        <v>4077325.50933333</v>
      </c>
      <c r="BF34" s="430"/>
      <c r="BG34" s="307">
        <f t="shared" si="6"/>
        <v>21000</v>
      </c>
      <c r="BH34" s="307">
        <f t="shared" si="7"/>
        <v>33000</v>
      </c>
      <c r="BI34" s="307">
        <f t="shared" si="8"/>
        <v>75000</v>
      </c>
      <c r="BJ34" s="307">
        <f t="shared" si="9"/>
        <v>95000</v>
      </c>
      <c r="BK34" s="307">
        <f t="shared" si="10"/>
        <v>336000</v>
      </c>
      <c r="BL34" s="307">
        <f t="shared" si="11"/>
        <v>210558.12224</v>
      </c>
      <c r="BM34" s="429">
        <f t="shared" si="12"/>
        <v>770558.12224</v>
      </c>
      <c r="BN34" s="320">
        <f t="shared" si="13"/>
        <v>53466.5688666667</v>
      </c>
      <c r="BO34" s="321">
        <f t="shared" si="41"/>
        <v>770558.12224</v>
      </c>
      <c r="BP34" s="322">
        <f t="shared" si="15"/>
        <v>64213.1768533333</v>
      </c>
      <c r="BQ34" s="323"/>
      <c r="BR34" s="324"/>
      <c r="BS34" s="325"/>
      <c r="BT34" s="326"/>
      <c r="BU34" s="326"/>
      <c r="BV34" s="334"/>
      <c r="BW34" s="335"/>
    </row>
    <row r="35" s="245" customFormat="1" ht="172.5" customHeight="1" spans="1:75">
      <c r="A35" s="255">
        <v>34</v>
      </c>
      <c r="B35" s="70" t="s">
        <v>234</v>
      </c>
      <c r="C35" s="129" t="s">
        <v>111</v>
      </c>
      <c r="D35" s="129" t="s">
        <v>235</v>
      </c>
      <c r="E35" s="256" t="s">
        <v>113</v>
      </c>
      <c r="F35" s="140">
        <v>1005008228</v>
      </c>
      <c r="G35" s="257">
        <v>4479455</v>
      </c>
      <c r="H35" s="258">
        <f t="shared" si="49"/>
        <v>373287.916666667</v>
      </c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65"/>
      <c r="X35" s="258"/>
      <c r="Y35" s="258"/>
      <c r="Z35" s="258"/>
      <c r="AA35" s="258"/>
      <c r="AB35" s="258"/>
      <c r="AC35" s="258"/>
      <c r="AD35" s="270"/>
      <c r="AE35" s="258"/>
      <c r="AF35" s="258"/>
      <c r="AG35" s="270">
        <f t="shared" si="16"/>
        <v>7465.75833333333</v>
      </c>
      <c r="AH35" s="270"/>
      <c r="AI35" s="283">
        <v>2000</v>
      </c>
      <c r="AJ35" s="284"/>
      <c r="AK35" s="280"/>
      <c r="AL35" s="291"/>
      <c r="AM35" s="281"/>
      <c r="AN35" s="258"/>
      <c r="AO35" s="299">
        <v>3500</v>
      </c>
      <c r="AP35" s="299"/>
      <c r="AQ35" s="299"/>
      <c r="AR35" s="299">
        <f t="shared" si="17"/>
        <v>7465.75833333333</v>
      </c>
      <c r="AS35" s="300"/>
      <c r="AT35" s="300"/>
      <c r="AU35" s="299">
        <f t="shared" si="22"/>
        <v>50337.9466666667</v>
      </c>
      <c r="AV35" s="299">
        <f t="shared" si="58"/>
        <v>373287.916666667</v>
      </c>
      <c r="AW35" s="299">
        <f t="shared" si="18"/>
        <v>70769.4633333333</v>
      </c>
      <c r="AX35" s="299"/>
      <c r="AY35" s="299"/>
      <c r="AZ35" s="299">
        <f t="shared" si="19"/>
        <v>302518.453333333</v>
      </c>
      <c r="BA35" s="429">
        <f t="shared" si="1"/>
        <v>4479455</v>
      </c>
      <c r="BB35" s="430">
        <f t="shared" si="2"/>
        <v>1095891</v>
      </c>
      <c r="BC35" s="307">
        <f t="shared" si="3"/>
        <v>0</v>
      </c>
      <c r="BD35" s="308">
        <f t="shared" si="4"/>
        <v>1095891</v>
      </c>
      <c r="BE35" s="313">
        <f t="shared" si="5"/>
        <v>3383564</v>
      </c>
      <c r="BF35" s="430"/>
      <c r="BG35" s="307">
        <f t="shared" si="6"/>
        <v>21000</v>
      </c>
      <c r="BH35" s="307">
        <f t="shared" si="7"/>
        <v>33000</v>
      </c>
      <c r="BI35" s="307">
        <f t="shared" si="8"/>
        <v>75000</v>
      </c>
      <c r="BJ35" s="307">
        <f t="shared" si="9"/>
        <v>95000</v>
      </c>
      <c r="BK35" s="307">
        <f t="shared" si="10"/>
        <v>336000</v>
      </c>
      <c r="BL35" s="307">
        <f t="shared" si="11"/>
        <v>44055.36</v>
      </c>
      <c r="BM35" s="429">
        <f t="shared" si="12"/>
        <v>604055.36</v>
      </c>
      <c r="BN35" s="320">
        <f t="shared" si="13"/>
        <v>44794.55</v>
      </c>
      <c r="BO35" s="321">
        <f t="shared" si="41"/>
        <v>604055.36</v>
      </c>
      <c r="BP35" s="322">
        <f t="shared" si="15"/>
        <v>50337.9466666667</v>
      </c>
      <c r="BQ35" s="323"/>
      <c r="BR35" s="324"/>
      <c r="BS35" s="325"/>
      <c r="BT35" s="326"/>
      <c r="BU35" s="326"/>
      <c r="BV35" s="334"/>
      <c r="BW35" s="335"/>
    </row>
    <row r="36" s="245" customFormat="1" ht="172.5" customHeight="1" spans="1:75">
      <c r="A36" s="255">
        <v>35</v>
      </c>
      <c r="B36" s="70" t="s">
        <v>2019</v>
      </c>
      <c r="C36" s="129" t="s">
        <v>255</v>
      </c>
      <c r="D36" s="129" t="s">
        <v>291</v>
      </c>
      <c r="E36" s="256" t="s">
        <v>127</v>
      </c>
      <c r="F36" s="1469" t="s">
        <v>2020</v>
      </c>
      <c r="G36" s="257">
        <f>H36*12</f>
        <v>1553152.56</v>
      </c>
      <c r="H36" s="258">
        <v>129429.38</v>
      </c>
      <c r="I36" s="258"/>
      <c r="J36" s="258"/>
      <c r="K36" s="258"/>
      <c r="L36" s="258"/>
      <c r="M36" s="258">
        <v>2500</v>
      </c>
      <c r="N36" s="258"/>
      <c r="O36" s="258"/>
      <c r="P36" s="258"/>
      <c r="Q36" s="258"/>
      <c r="R36" s="258"/>
      <c r="S36" s="258"/>
      <c r="T36" s="258"/>
      <c r="U36" s="258">
        <v>383.33</v>
      </c>
      <c r="V36" s="258"/>
      <c r="W36" s="265"/>
      <c r="X36" s="258"/>
      <c r="Y36" s="258"/>
      <c r="Z36" s="258"/>
      <c r="AA36" s="258"/>
      <c r="AB36" s="258"/>
      <c r="AC36" s="258"/>
      <c r="AD36" s="270"/>
      <c r="AE36" s="258"/>
      <c r="AF36" s="258"/>
      <c r="AG36" s="270">
        <f t="shared" si="16"/>
        <v>2588.5876</v>
      </c>
      <c r="AH36" s="270"/>
      <c r="AI36" s="282">
        <v>1000</v>
      </c>
      <c r="AJ36" s="279"/>
      <c r="AK36" s="279"/>
      <c r="AL36" s="279"/>
      <c r="AM36" s="281"/>
      <c r="AN36" s="258"/>
      <c r="AO36" s="299">
        <v>2000</v>
      </c>
      <c r="AP36" s="299"/>
      <c r="AQ36" s="299"/>
      <c r="AR36" s="299">
        <f t="shared" si="17"/>
        <v>2646.2542</v>
      </c>
      <c r="AS36" s="300"/>
      <c r="AT36" s="300"/>
      <c r="AU36" s="299">
        <f t="shared" si="22"/>
        <v>10377.5252</v>
      </c>
      <c r="AV36" s="299">
        <f t="shared" si="58"/>
        <v>132312.71</v>
      </c>
      <c r="AW36" s="299">
        <f t="shared" si="18"/>
        <v>18612.367</v>
      </c>
      <c r="AX36" s="299"/>
      <c r="AY36" s="299"/>
      <c r="AZ36" s="299">
        <f t="shared" si="19"/>
        <v>113700.343</v>
      </c>
      <c r="BA36" s="429">
        <f t="shared" si="1"/>
        <v>1587752.52</v>
      </c>
      <c r="BB36" s="430">
        <f t="shared" si="2"/>
        <v>517550.504</v>
      </c>
      <c r="BC36" s="307">
        <f t="shared" si="3"/>
        <v>0</v>
      </c>
      <c r="BD36" s="308">
        <f t="shared" si="4"/>
        <v>517550.504</v>
      </c>
      <c r="BE36" s="313">
        <f t="shared" si="5"/>
        <v>1070202.016</v>
      </c>
      <c r="BF36" s="430"/>
      <c r="BG36" s="307">
        <f t="shared" si="6"/>
        <v>21000</v>
      </c>
      <c r="BH36" s="307">
        <f t="shared" si="7"/>
        <v>33000</v>
      </c>
      <c r="BI36" s="307">
        <f t="shared" si="8"/>
        <v>70530.3024</v>
      </c>
      <c r="BJ36" s="307" t="str">
        <f t="shared" si="9"/>
        <v/>
      </c>
      <c r="BK36" s="307" t="str">
        <f t="shared" si="10"/>
        <v/>
      </c>
      <c r="BL36" s="307" t="str">
        <f t="shared" si="11"/>
        <v/>
      </c>
      <c r="BM36" s="429">
        <f t="shared" si="12"/>
        <v>124530.3024</v>
      </c>
      <c r="BN36" s="320">
        <f t="shared" si="13"/>
        <v>15877.5252</v>
      </c>
      <c r="BO36" s="321">
        <f t="shared" si="41"/>
        <v>124530.3024</v>
      </c>
      <c r="BP36" s="322">
        <f t="shared" si="15"/>
        <v>10377.5252</v>
      </c>
      <c r="BQ36" s="323"/>
      <c r="BR36" s="324"/>
      <c r="BS36" s="325"/>
      <c r="BT36" s="326"/>
      <c r="BU36" s="326"/>
      <c r="BV36" s="334"/>
      <c r="BW36" s="335"/>
    </row>
    <row r="37" s="245" customFormat="1" ht="172.5" customHeight="1" spans="1:75">
      <c r="A37" s="255">
        <v>36</v>
      </c>
      <c r="B37" s="70" t="s">
        <v>2021</v>
      </c>
      <c r="C37" s="129" t="s">
        <v>255</v>
      </c>
      <c r="D37" s="129" t="s">
        <v>291</v>
      </c>
      <c r="E37" s="256" t="s">
        <v>93</v>
      </c>
      <c r="F37" s="256">
        <v>3053689736</v>
      </c>
      <c r="G37" s="257">
        <f>H37*12</f>
        <v>4975123.44</v>
      </c>
      <c r="H37" s="258">
        <v>414593.62</v>
      </c>
      <c r="I37" s="258"/>
      <c r="J37" s="258"/>
      <c r="K37" s="258"/>
      <c r="L37" s="258"/>
      <c r="M37" s="258">
        <v>2500</v>
      </c>
      <c r="N37" s="258"/>
      <c r="O37" s="258"/>
      <c r="P37" s="258"/>
      <c r="Q37" s="258"/>
      <c r="R37" s="258"/>
      <c r="S37" s="258"/>
      <c r="T37" s="258"/>
      <c r="U37" s="258">
        <v>383.33</v>
      </c>
      <c r="V37" s="258"/>
      <c r="W37" s="265"/>
      <c r="X37" s="258"/>
      <c r="Y37" s="258"/>
      <c r="Z37" s="258"/>
      <c r="AA37" s="258"/>
      <c r="AB37" s="258"/>
      <c r="AC37" s="258"/>
      <c r="AD37" s="270"/>
      <c r="AE37" s="258"/>
      <c r="AF37" s="258">
        <v>750</v>
      </c>
      <c r="AG37" s="270">
        <f t="shared" si="16"/>
        <v>8291.8724</v>
      </c>
      <c r="AH37" s="270"/>
      <c r="AI37" s="282">
        <f>1000*2</f>
        <v>2000</v>
      </c>
      <c r="AJ37" s="279"/>
      <c r="AK37" s="279"/>
      <c r="AL37" s="279"/>
      <c r="AM37" s="281"/>
      <c r="AN37" s="258"/>
      <c r="AO37" s="299">
        <v>4000</v>
      </c>
      <c r="AP37" s="299"/>
      <c r="AQ37" s="299"/>
      <c r="AR37" s="299">
        <f t="shared" si="17"/>
        <v>8349.539</v>
      </c>
      <c r="AS37" s="300"/>
      <c r="AT37" s="300"/>
      <c r="AU37" s="299">
        <f t="shared" si="22"/>
        <v>58822.2410666667</v>
      </c>
      <c r="AV37" s="299">
        <f t="shared" si="58"/>
        <v>417476.95</v>
      </c>
      <c r="AW37" s="299">
        <f t="shared" si="18"/>
        <v>82213.6524666667</v>
      </c>
      <c r="AX37" s="299"/>
      <c r="AY37" s="299"/>
      <c r="AZ37" s="299">
        <f t="shared" si="19"/>
        <v>335263.297533333</v>
      </c>
      <c r="BA37" s="429">
        <f t="shared" si="1"/>
        <v>5009723.4</v>
      </c>
      <c r="BB37" s="430">
        <f t="shared" si="2"/>
        <v>1201944.68</v>
      </c>
      <c r="BC37" s="307">
        <f t="shared" si="3"/>
        <v>0</v>
      </c>
      <c r="BD37" s="308">
        <f t="shared" si="4"/>
        <v>1201944.68</v>
      </c>
      <c r="BE37" s="313">
        <f t="shared" si="5"/>
        <v>3807778.72</v>
      </c>
      <c r="BF37" s="430"/>
      <c r="BG37" s="307">
        <f t="shared" si="6"/>
        <v>21000</v>
      </c>
      <c r="BH37" s="307">
        <f t="shared" si="7"/>
        <v>33000</v>
      </c>
      <c r="BI37" s="307">
        <f t="shared" si="8"/>
        <v>75000</v>
      </c>
      <c r="BJ37" s="307">
        <f t="shared" si="9"/>
        <v>95000</v>
      </c>
      <c r="BK37" s="307">
        <f t="shared" si="10"/>
        <v>336000</v>
      </c>
      <c r="BL37" s="307">
        <f t="shared" si="11"/>
        <v>145866.8928</v>
      </c>
      <c r="BM37" s="429">
        <f t="shared" si="12"/>
        <v>705866.8928</v>
      </c>
      <c r="BN37" s="320">
        <f t="shared" si="13"/>
        <v>50097.234</v>
      </c>
      <c r="BO37" s="321">
        <f t="shared" si="41"/>
        <v>705866.8928</v>
      </c>
      <c r="BP37" s="322">
        <f t="shared" si="15"/>
        <v>58822.2410666667</v>
      </c>
      <c r="BQ37" s="323"/>
      <c r="BR37" s="324"/>
      <c r="BS37" s="325"/>
      <c r="BT37" s="326"/>
      <c r="BU37" s="326"/>
      <c r="BV37" s="334"/>
      <c r="BW37" s="335"/>
    </row>
    <row r="38" s="245" customFormat="1" ht="172.5" customHeight="1" spans="1:75">
      <c r="A38" s="255">
        <v>37</v>
      </c>
      <c r="B38" s="70" t="s">
        <v>2022</v>
      </c>
      <c r="C38" s="129" t="s">
        <v>242</v>
      </c>
      <c r="D38" s="129" t="s">
        <v>394</v>
      </c>
      <c r="E38" s="1469" t="s">
        <v>127</v>
      </c>
      <c r="F38" s="1469" t="s">
        <v>2023</v>
      </c>
      <c r="G38" s="257">
        <f>H38*12</f>
        <v>3553648.92</v>
      </c>
      <c r="H38" s="258">
        <v>296137.41</v>
      </c>
      <c r="I38" s="258"/>
      <c r="J38" s="258"/>
      <c r="K38" s="258"/>
      <c r="L38" s="258"/>
      <c r="M38" s="258">
        <v>2500</v>
      </c>
      <c r="N38" s="258"/>
      <c r="O38" s="258"/>
      <c r="P38" s="258"/>
      <c r="Q38" s="258"/>
      <c r="R38" s="258"/>
      <c r="S38" s="258"/>
      <c r="T38" s="258"/>
      <c r="U38" s="258">
        <v>383.33</v>
      </c>
      <c r="V38" s="258"/>
      <c r="W38" s="265"/>
      <c r="X38" s="258"/>
      <c r="Y38" s="258"/>
      <c r="Z38" s="258"/>
      <c r="AA38" s="258"/>
      <c r="AB38" s="258"/>
      <c r="AC38" s="258"/>
      <c r="AD38" s="270"/>
      <c r="AE38" s="258"/>
      <c r="AF38" s="258"/>
      <c r="AG38" s="270">
        <f t="shared" si="16"/>
        <v>5922.7482</v>
      </c>
      <c r="AH38" s="270"/>
      <c r="AI38" s="282">
        <f>1000*2</f>
        <v>2000</v>
      </c>
      <c r="AJ38" s="279"/>
      <c r="AK38" s="279"/>
      <c r="AL38" s="279"/>
      <c r="AM38" s="281"/>
      <c r="AN38" s="258"/>
      <c r="AO38" s="299">
        <v>4000</v>
      </c>
      <c r="AP38" s="299">
        <v>4000</v>
      </c>
      <c r="AQ38" s="299"/>
      <c r="AR38" s="299">
        <f t="shared" si="17"/>
        <v>5980.4148</v>
      </c>
      <c r="AS38" s="300"/>
      <c r="AT38" s="300"/>
      <c r="AU38" s="299">
        <f t="shared" si="22"/>
        <v>37402.1509866667</v>
      </c>
      <c r="AV38" s="299">
        <f t="shared" si="58"/>
        <v>299020.74</v>
      </c>
      <c r="AW38" s="299">
        <f t="shared" ref="AW38:AW45" si="59">AU38+AR38+AQ38+AO38+AN38+AM38+AK38+AI38+AH38+AG38+AF38+AE38+AD38</f>
        <v>55305.3139866667</v>
      </c>
      <c r="AX38" s="299"/>
      <c r="AY38" s="299"/>
      <c r="AZ38" s="299">
        <f t="shared" si="19"/>
        <v>243715.426013333</v>
      </c>
      <c r="BA38" s="429">
        <f t="shared" si="1"/>
        <v>3588248.88</v>
      </c>
      <c r="BB38" s="430">
        <f t="shared" si="2"/>
        <v>917649.776</v>
      </c>
      <c r="BC38" s="307">
        <f t="shared" si="3"/>
        <v>0</v>
      </c>
      <c r="BD38" s="308">
        <f t="shared" si="4"/>
        <v>917649.776</v>
      </c>
      <c r="BE38" s="313">
        <f t="shared" si="5"/>
        <v>2670599.104</v>
      </c>
      <c r="BF38" s="430"/>
      <c r="BG38" s="307">
        <f t="shared" si="6"/>
        <v>21000</v>
      </c>
      <c r="BH38" s="307">
        <f t="shared" si="7"/>
        <v>33000</v>
      </c>
      <c r="BI38" s="307">
        <f t="shared" si="8"/>
        <v>75000</v>
      </c>
      <c r="BJ38" s="307">
        <f t="shared" si="9"/>
        <v>95000</v>
      </c>
      <c r="BK38" s="307">
        <f t="shared" si="10"/>
        <v>224825.81184</v>
      </c>
      <c r="BL38" s="307" t="str">
        <f t="shared" si="11"/>
        <v/>
      </c>
      <c r="BM38" s="429">
        <f t="shared" si="12"/>
        <v>448825.81184</v>
      </c>
      <c r="BN38" s="320">
        <f t="shared" si="13"/>
        <v>35882.4888</v>
      </c>
      <c r="BO38" s="321">
        <f t="shared" si="41"/>
        <v>448825.81184</v>
      </c>
      <c r="BP38" s="322">
        <f t="shared" si="15"/>
        <v>37402.1509866667</v>
      </c>
      <c r="BQ38" s="323"/>
      <c r="BR38" s="324"/>
      <c r="BS38" s="325"/>
      <c r="BT38" s="326"/>
      <c r="BU38" s="326"/>
      <c r="BV38" s="334"/>
      <c r="BW38" s="335"/>
    </row>
    <row r="39" s="245" customFormat="1" ht="183" customHeight="1" spans="1:75">
      <c r="A39" s="255">
        <v>38</v>
      </c>
      <c r="B39" s="70" t="s">
        <v>237</v>
      </c>
      <c r="C39" s="129" t="s">
        <v>242</v>
      </c>
      <c r="D39" s="129" t="s">
        <v>291</v>
      </c>
      <c r="E39" s="256" t="s">
        <v>127</v>
      </c>
      <c r="F39" s="1469" t="s">
        <v>239</v>
      </c>
      <c r="G39" s="257">
        <f>H39*12</f>
        <v>4269364.56</v>
      </c>
      <c r="H39" s="258">
        <v>355780.38</v>
      </c>
      <c r="I39" s="258"/>
      <c r="J39" s="258"/>
      <c r="K39" s="258"/>
      <c r="L39" s="258"/>
      <c r="M39" s="258">
        <v>2500</v>
      </c>
      <c r="N39" s="258"/>
      <c r="O39" s="258"/>
      <c r="P39" s="258"/>
      <c r="Q39" s="258"/>
      <c r="R39" s="258"/>
      <c r="S39" s="258"/>
      <c r="T39" s="258"/>
      <c r="U39" s="258">
        <v>383.33</v>
      </c>
      <c r="V39" s="258"/>
      <c r="W39" s="265"/>
      <c r="X39" s="258"/>
      <c r="Y39" s="258"/>
      <c r="Z39" s="258"/>
      <c r="AA39" s="258"/>
      <c r="AB39" s="258"/>
      <c r="AC39" s="258"/>
      <c r="AD39" s="270"/>
      <c r="AE39" s="258"/>
      <c r="AF39" s="258"/>
      <c r="AG39" s="270">
        <f t="shared" si="16"/>
        <v>7115.6076</v>
      </c>
      <c r="AH39" s="270"/>
      <c r="AI39" s="282">
        <f>1000*2</f>
        <v>2000</v>
      </c>
      <c r="AJ39" s="279"/>
      <c r="AK39" s="279"/>
      <c r="AL39" s="279"/>
      <c r="AM39" s="281"/>
      <c r="AN39" s="258"/>
      <c r="AO39" s="299">
        <v>4000</v>
      </c>
      <c r="AP39" s="299"/>
      <c r="AQ39" s="299"/>
      <c r="AR39" s="299">
        <f t="shared" si="17"/>
        <v>7173.2742</v>
      </c>
      <c r="AS39" s="300"/>
      <c r="AT39" s="300"/>
      <c r="AU39" s="299">
        <f t="shared" si="22"/>
        <v>47530.0989866667</v>
      </c>
      <c r="AV39" s="299">
        <f t="shared" si="58"/>
        <v>358663.71</v>
      </c>
      <c r="AW39" s="299">
        <f t="shared" si="59"/>
        <v>67818.9807866667</v>
      </c>
      <c r="AX39" s="299"/>
      <c r="AY39" s="299"/>
      <c r="AZ39" s="299">
        <f t="shared" si="19"/>
        <v>290844.729213333</v>
      </c>
      <c r="BA39" s="429">
        <f t="shared" si="1"/>
        <v>4303964.52</v>
      </c>
      <c r="BB39" s="430">
        <f t="shared" si="2"/>
        <v>1060792.904</v>
      </c>
      <c r="BC39" s="307">
        <f t="shared" si="3"/>
        <v>0</v>
      </c>
      <c r="BD39" s="308">
        <f t="shared" si="4"/>
        <v>1060792.904</v>
      </c>
      <c r="BE39" s="313">
        <f t="shared" si="5"/>
        <v>3243171.616</v>
      </c>
      <c r="BF39" s="430"/>
      <c r="BG39" s="307">
        <f t="shared" si="6"/>
        <v>21000</v>
      </c>
      <c r="BH39" s="307">
        <f t="shared" si="7"/>
        <v>33000</v>
      </c>
      <c r="BI39" s="307">
        <f t="shared" si="8"/>
        <v>75000</v>
      </c>
      <c r="BJ39" s="307">
        <f t="shared" si="9"/>
        <v>95000</v>
      </c>
      <c r="BK39" s="307">
        <f t="shared" si="10"/>
        <v>336000</v>
      </c>
      <c r="BL39" s="307">
        <f t="shared" si="11"/>
        <v>10361.1878400001</v>
      </c>
      <c r="BM39" s="429">
        <f t="shared" si="12"/>
        <v>570361.18784</v>
      </c>
      <c r="BN39" s="320">
        <f t="shared" si="13"/>
        <v>43039.6452</v>
      </c>
      <c r="BO39" s="321">
        <f t="shared" si="41"/>
        <v>570361.18784</v>
      </c>
      <c r="BP39" s="322">
        <f t="shared" si="15"/>
        <v>47530.0989866667</v>
      </c>
      <c r="BQ39" s="323"/>
      <c r="BR39" s="324"/>
      <c r="BS39" s="325"/>
      <c r="BT39" s="326"/>
      <c r="BU39" s="326"/>
      <c r="BV39" s="334"/>
      <c r="BW39" s="335"/>
    </row>
    <row r="40" s="245" customFormat="1" ht="172.5" customHeight="1" spans="1:75">
      <c r="A40" s="255">
        <v>39</v>
      </c>
      <c r="B40" s="70" t="s">
        <v>2024</v>
      </c>
      <c r="C40" s="129" t="s">
        <v>255</v>
      </c>
      <c r="D40" s="129" t="s">
        <v>333</v>
      </c>
      <c r="E40" s="256" t="s">
        <v>113</v>
      </c>
      <c r="F40" s="256">
        <v>1012602172</v>
      </c>
      <c r="G40" s="257">
        <f>285275.37/2*12</f>
        <v>1711652.22</v>
      </c>
      <c r="H40" s="258">
        <v>285275.37</v>
      </c>
      <c r="I40" s="258"/>
      <c r="J40" s="258"/>
      <c r="K40" s="258"/>
      <c r="L40" s="258"/>
      <c r="M40" s="258">
        <v>5000</v>
      </c>
      <c r="N40" s="258"/>
      <c r="O40" s="258"/>
      <c r="P40" s="258"/>
      <c r="Q40" s="258"/>
      <c r="R40" s="258"/>
      <c r="S40" s="258"/>
      <c r="T40" s="258"/>
      <c r="U40" s="258">
        <f t="shared" ref="U40:U45" si="60">383.33*2</f>
        <v>766.66</v>
      </c>
      <c r="V40" s="258"/>
      <c r="W40" s="265"/>
      <c r="X40" s="258"/>
      <c r="Y40" s="258"/>
      <c r="Z40" s="258"/>
      <c r="AA40" s="258"/>
      <c r="AB40" s="258"/>
      <c r="AC40" s="258"/>
      <c r="AD40" s="270"/>
      <c r="AE40" s="258"/>
      <c r="AF40" s="258"/>
      <c r="AG40" s="270">
        <f t="shared" si="16"/>
        <v>5705.5074</v>
      </c>
      <c r="AH40" s="270"/>
      <c r="AI40" s="282">
        <f>1000*2</f>
        <v>2000</v>
      </c>
      <c r="AJ40" s="279"/>
      <c r="AK40" s="279"/>
      <c r="AL40" s="279"/>
      <c r="AM40" s="281"/>
      <c r="AN40" s="258"/>
      <c r="AO40" s="299">
        <v>4000</v>
      </c>
      <c r="AP40" s="299"/>
      <c r="AQ40" s="299"/>
      <c r="AR40" s="299">
        <f t="shared" si="17"/>
        <v>5820.8406</v>
      </c>
      <c r="AS40" s="300"/>
      <c r="AT40" s="300"/>
      <c r="AU40" s="299">
        <f t="shared" si="22"/>
        <v>36061.7277066667</v>
      </c>
      <c r="AV40" s="299">
        <f t="shared" si="58"/>
        <v>291042.03</v>
      </c>
      <c r="AW40" s="299">
        <f t="shared" si="59"/>
        <v>53588.0757066667</v>
      </c>
      <c r="AX40" s="299"/>
      <c r="AY40" s="299"/>
      <c r="AZ40" s="299">
        <f t="shared" si="19"/>
        <v>237453.954293333</v>
      </c>
      <c r="BA40" s="429">
        <f t="shared" si="1"/>
        <v>3492504.36</v>
      </c>
      <c r="BB40" s="430">
        <f t="shared" si="2"/>
        <v>898500.872</v>
      </c>
      <c r="BC40" s="307">
        <f t="shared" si="3"/>
        <v>0</v>
      </c>
      <c r="BD40" s="308">
        <f t="shared" si="4"/>
        <v>898500.872</v>
      </c>
      <c r="BE40" s="313">
        <f t="shared" si="5"/>
        <v>2594003.488</v>
      </c>
      <c r="BF40" s="430"/>
      <c r="BG40" s="307">
        <f t="shared" si="6"/>
        <v>21000</v>
      </c>
      <c r="BH40" s="307">
        <f t="shared" si="7"/>
        <v>33000</v>
      </c>
      <c r="BI40" s="307">
        <f t="shared" si="8"/>
        <v>75000</v>
      </c>
      <c r="BJ40" s="307">
        <f t="shared" si="9"/>
        <v>95000</v>
      </c>
      <c r="BK40" s="307">
        <f t="shared" si="10"/>
        <v>208740.73248</v>
      </c>
      <c r="BL40" s="307" t="str">
        <f t="shared" si="11"/>
        <v/>
      </c>
      <c r="BM40" s="429">
        <f t="shared" si="12"/>
        <v>432740.73248</v>
      </c>
      <c r="BN40" s="320">
        <f t="shared" si="13"/>
        <v>34925.0436</v>
      </c>
      <c r="BO40" s="321">
        <f t="shared" si="41"/>
        <v>432740.73248</v>
      </c>
      <c r="BP40" s="322">
        <f t="shared" si="15"/>
        <v>36061.7277066667</v>
      </c>
      <c r="BQ40" s="323"/>
      <c r="BR40" s="324"/>
      <c r="BS40" s="325"/>
      <c r="BT40" s="326"/>
      <c r="BU40" s="326"/>
      <c r="BV40" s="334"/>
      <c r="BW40" s="335"/>
    </row>
    <row r="41" s="245" customFormat="1" ht="172.5" customHeight="1" spans="1:75">
      <c r="A41" s="255">
        <v>40</v>
      </c>
      <c r="B41" s="70" t="s">
        <v>226</v>
      </c>
      <c r="C41" s="129" t="s">
        <v>255</v>
      </c>
      <c r="D41" s="129" t="s">
        <v>338</v>
      </c>
      <c r="E41" s="256" t="s">
        <v>97</v>
      </c>
      <c r="F41" s="1469" t="s">
        <v>229</v>
      </c>
      <c r="G41" s="257">
        <f>H41*12/2</f>
        <v>2485971.3</v>
      </c>
      <c r="H41" s="258">
        <v>414328.55</v>
      </c>
      <c r="I41" s="258"/>
      <c r="J41" s="258"/>
      <c r="K41" s="258"/>
      <c r="L41" s="258"/>
      <c r="M41" s="258">
        <v>5000</v>
      </c>
      <c r="N41" s="258"/>
      <c r="O41" s="258"/>
      <c r="P41" s="258"/>
      <c r="Q41" s="258"/>
      <c r="R41" s="258"/>
      <c r="S41" s="258"/>
      <c r="T41" s="258"/>
      <c r="U41" s="258">
        <f t="shared" si="60"/>
        <v>766.66</v>
      </c>
      <c r="V41" s="258"/>
      <c r="W41" s="265"/>
      <c r="X41" s="258"/>
      <c r="Y41" s="258"/>
      <c r="Z41" s="258"/>
      <c r="AA41" s="258"/>
      <c r="AB41" s="258"/>
      <c r="AC41" s="258"/>
      <c r="AD41" s="270"/>
      <c r="AE41" s="258"/>
      <c r="AF41" s="258"/>
      <c r="AG41" s="270">
        <f t="shared" si="16"/>
        <v>8286.571</v>
      </c>
      <c r="AH41" s="270"/>
      <c r="AI41" s="282"/>
      <c r="AJ41" s="279"/>
      <c r="AK41" s="279"/>
      <c r="AL41" s="279"/>
      <c r="AM41" s="281"/>
      <c r="AN41" s="258"/>
      <c r="AO41" s="299">
        <v>4000</v>
      </c>
      <c r="AP41" s="299"/>
      <c r="AQ41" s="299"/>
      <c r="AR41" s="299">
        <f t="shared" si="17"/>
        <v>8401.9042</v>
      </c>
      <c r="AS41" s="300"/>
      <c r="AT41" s="300"/>
      <c r="AU41" s="299">
        <f t="shared" si="22"/>
        <v>59324.9469866667</v>
      </c>
      <c r="AV41" s="299">
        <f t="shared" si="58"/>
        <v>420095.21</v>
      </c>
      <c r="AW41" s="299">
        <f t="shared" si="59"/>
        <v>80013.4221866667</v>
      </c>
      <c r="AX41" s="299"/>
      <c r="AY41" s="299"/>
      <c r="AZ41" s="299">
        <f t="shared" si="19"/>
        <v>340081.787813333</v>
      </c>
      <c r="BA41" s="429">
        <f t="shared" si="1"/>
        <v>5041142.52</v>
      </c>
      <c r="BB41" s="430">
        <f t="shared" si="2"/>
        <v>1208228.504</v>
      </c>
      <c r="BC41" s="307">
        <f t="shared" si="3"/>
        <v>0</v>
      </c>
      <c r="BD41" s="308">
        <f t="shared" si="4"/>
        <v>1208228.504</v>
      </c>
      <c r="BE41" s="313">
        <f t="shared" si="5"/>
        <v>3832914.016</v>
      </c>
      <c r="BF41" s="430"/>
      <c r="BG41" s="307">
        <f t="shared" si="6"/>
        <v>21000</v>
      </c>
      <c r="BH41" s="307">
        <f t="shared" si="7"/>
        <v>33000</v>
      </c>
      <c r="BI41" s="307">
        <f t="shared" si="8"/>
        <v>75000</v>
      </c>
      <c r="BJ41" s="307">
        <f t="shared" si="9"/>
        <v>95000</v>
      </c>
      <c r="BK41" s="307">
        <f t="shared" si="10"/>
        <v>336000</v>
      </c>
      <c r="BL41" s="307">
        <f t="shared" si="11"/>
        <v>151899.36384</v>
      </c>
      <c r="BM41" s="429">
        <f t="shared" si="12"/>
        <v>711899.36384</v>
      </c>
      <c r="BN41" s="320">
        <f t="shared" si="13"/>
        <v>50411.4252</v>
      </c>
      <c r="BO41" s="321">
        <f t="shared" si="41"/>
        <v>711899.36384</v>
      </c>
      <c r="BP41" s="322">
        <f t="shared" si="15"/>
        <v>59324.9469866667</v>
      </c>
      <c r="BQ41" s="323"/>
      <c r="BR41" s="324"/>
      <c r="BS41" s="325"/>
      <c r="BT41" s="326"/>
      <c r="BU41" s="326"/>
      <c r="BV41" s="334"/>
      <c r="BW41" s="335"/>
    </row>
    <row r="42" s="245" customFormat="1" ht="172.5" customHeight="1" spans="1:75">
      <c r="A42" s="255">
        <v>41</v>
      </c>
      <c r="B42" s="70" t="s">
        <v>2025</v>
      </c>
      <c r="C42" s="129" t="s">
        <v>242</v>
      </c>
      <c r="D42" s="129" t="s">
        <v>243</v>
      </c>
      <c r="E42" s="256" t="s">
        <v>422</v>
      </c>
      <c r="F42" s="256">
        <v>1760341894</v>
      </c>
      <c r="G42" s="257">
        <f>H42*12/2</f>
        <v>2235153</v>
      </c>
      <c r="H42" s="258">
        <v>372525.5</v>
      </c>
      <c r="I42" s="258"/>
      <c r="J42" s="258"/>
      <c r="K42" s="258"/>
      <c r="L42" s="258"/>
      <c r="M42" s="258">
        <v>5000</v>
      </c>
      <c r="N42" s="258"/>
      <c r="O42" s="258"/>
      <c r="P42" s="258"/>
      <c r="Q42" s="258"/>
      <c r="R42" s="258"/>
      <c r="S42" s="258"/>
      <c r="T42" s="258"/>
      <c r="U42" s="258">
        <f t="shared" si="60"/>
        <v>766.66</v>
      </c>
      <c r="V42" s="258"/>
      <c r="W42" s="265"/>
      <c r="X42" s="258"/>
      <c r="Y42" s="258"/>
      <c r="Z42" s="258"/>
      <c r="AA42" s="258"/>
      <c r="AB42" s="258"/>
      <c r="AC42" s="258"/>
      <c r="AD42" s="270"/>
      <c r="AE42" s="258"/>
      <c r="AF42" s="258"/>
      <c r="AG42" s="270">
        <f t="shared" si="16"/>
        <v>7450.51</v>
      </c>
      <c r="AH42" s="270"/>
      <c r="AI42" s="282"/>
      <c r="AJ42" s="279"/>
      <c r="AK42" s="279"/>
      <c r="AL42" s="279"/>
      <c r="AM42" s="281"/>
      <c r="AN42" s="258"/>
      <c r="AO42" s="299">
        <v>4000</v>
      </c>
      <c r="AP42" s="299">
        <v>7000</v>
      </c>
      <c r="AQ42" s="299"/>
      <c r="AR42" s="299">
        <f t="shared" si="17"/>
        <v>7565.8432</v>
      </c>
      <c r="AS42" s="300"/>
      <c r="AT42" s="300"/>
      <c r="AU42" s="299">
        <f t="shared" si="22"/>
        <v>51298.7613866667</v>
      </c>
      <c r="AV42" s="299">
        <f t="shared" si="58"/>
        <v>378292.16</v>
      </c>
      <c r="AW42" s="299">
        <f t="shared" si="59"/>
        <v>70315.1145866667</v>
      </c>
      <c r="AX42" s="299"/>
      <c r="AY42" s="299"/>
      <c r="AZ42" s="299">
        <f t="shared" si="19"/>
        <v>307977.045413333</v>
      </c>
      <c r="BA42" s="429">
        <f t="shared" si="1"/>
        <v>4539505.92</v>
      </c>
      <c r="BB42" s="430">
        <f t="shared" si="2"/>
        <v>1107901.184</v>
      </c>
      <c r="BC42" s="307">
        <f t="shared" si="3"/>
        <v>0</v>
      </c>
      <c r="BD42" s="308">
        <f t="shared" si="4"/>
        <v>1107901.184</v>
      </c>
      <c r="BE42" s="313">
        <f t="shared" si="5"/>
        <v>3431604.736</v>
      </c>
      <c r="BF42" s="430"/>
      <c r="BG42" s="307">
        <f t="shared" si="6"/>
        <v>21000</v>
      </c>
      <c r="BH42" s="307">
        <f t="shared" si="7"/>
        <v>33000</v>
      </c>
      <c r="BI42" s="307">
        <f t="shared" si="8"/>
        <v>75000</v>
      </c>
      <c r="BJ42" s="307">
        <f t="shared" si="9"/>
        <v>95000</v>
      </c>
      <c r="BK42" s="307">
        <f t="shared" si="10"/>
        <v>336000</v>
      </c>
      <c r="BL42" s="307">
        <f t="shared" si="11"/>
        <v>55585.13664</v>
      </c>
      <c r="BM42" s="429">
        <f t="shared" si="12"/>
        <v>615585.13664</v>
      </c>
      <c r="BN42" s="320">
        <f t="shared" si="13"/>
        <v>45395.0592</v>
      </c>
      <c r="BO42" s="321">
        <f t="shared" si="41"/>
        <v>615585.13664</v>
      </c>
      <c r="BP42" s="322">
        <f t="shared" si="15"/>
        <v>51298.7613866667</v>
      </c>
      <c r="BQ42" s="323"/>
      <c r="BR42" s="324"/>
      <c r="BS42" s="325"/>
      <c r="BT42" s="326"/>
      <c r="BU42" s="326"/>
      <c r="BV42" s="334"/>
      <c r="BW42" s="335"/>
    </row>
    <row r="43" s="245" customFormat="1" ht="172.5" customHeight="1" spans="1:75">
      <c r="A43" s="255">
        <v>42</v>
      </c>
      <c r="B43" s="70" t="s">
        <v>240</v>
      </c>
      <c r="C43" s="129" t="s">
        <v>242</v>
      </c>
      <c r="D43" s="129" t="s">
        <v>243</v>
      </c>
      <c r="E43" s="128" t="s">
        <v>122</v>
      </c>
      <c r="F43" s="256">
        <v>9200480279</v>
      </c>
      <c r="G43" s="257">
        <f>H43*12/2</f>
        <v>2235153</v>
      </c>
      <c r="H43" s="258">
        <v>372525.5</v>
      </c>
      <c r="I43" s="258"/>
      <c r="J43" s="258"/>
      <c r="K43" s="258"/>
      <c r="L43" s="258"/>
      <c r="M43" s="258">
        <v>5000</v>
      </c>
      <c r="N43" s="258"/>
      <c r="O43" s="258"/>
      <c r="P43" s="258"/>
      <c r="Q43" s="258"/>
      <c r="R43" s="258"/>
      <c r="S43" s="258"/>
      <c r="T43" s="258"/>
      <c r="U43" s="258">
        <f t="shared" si="60"/>
        <v>766.66</v>
      </c>
      <c r="V43" s="258"/>
      <c r="W43" s="265"/>
      <c r="X43" s="258"/>
      <c r="Y43" s="258"/>
      <c r="Z43" s="258"/>
      <c r="AA43" s="258"/>
      <c r="AB43" s="258"/>
      <c r="AC43" s="258"/>
      <c r="AD43" s="270"/>
      <c r="AE43" s="258"/>
      <c r="AF43" s="258"/>
      <c r="AG43" s="270">
        <f t="shared" si="16"/>
        <v>7450.51</v>
      </c>
      <c r="AH43" s="270"/>
      <c r="AI43" s="282"/>
      <c r="AJ43" s="279"/>
      <c r="AK43" s="279"/>
      <c r="AL43" s="279"/>
      <c r="AM43" s="281"/>
      <c r="AN43" s="258"/>
      <c r="AO43" s="299">
        <v>4000</v>
      </c>
      <c r="AP43" s="299"/>
      <c r="AQ43" s="299"/>
      <c r="AR43" s="299">
        <f t="shared" si="17"/>
        <v>7565.8432</v>
      </c>
      <c r="AS43" s="300"/>
      <c r="AT43" s="300"/>
      <c r="AU43" s="299">
        <f t="shared" si="22"/>
        <v>51298.7613866667</v>
      </c>
      <c r="AV43" s="299">
        <f t="shared" si="58"/>
        <v>378292.16</v>
      </c>
      <c r="AW43" s="299">
        <f t="shared" si="59"/>
        <v>70315.1145866667</v>
      </c>
      <c r="AX43" s="299"/>
      <c r="AY43" s="299"/>
      <c r="AZ43" s="299">
        <f t="shared" si="19"/>
        <v>307977.045413333</v>
      </c>
      <c r="BA43" s="429">
        <f t="shared" si="1"/>
        <v>4539505.92</v>
      </c>
      <c r="BB43" s="430">
        <f t="shared" si="2"/>
        <v>1107901.184</v>
      </c>
      <c r="BC43" s="307">
        <f t="shared" si="3"/>
        <v>0</v>
      </c>
      <c r="BD43" s="308">
        <f t="shared" si="4"/>
        <v>1107901.184</v>
      </c>
      <c r="BE43" s="313">
        <f t="shared" si="5"/>
        <v>3431604.736</v>
      </c>
      <c r="BF43" s="430"/>
      <c r="BG43" s="307">
        <f t="shared" si="6"/>
        <v>21000</v>
      </c>
      <c r="BH43" s="307">
        <f t="shared" si="7"/>
        <v>33000</v>
      </c>
      <c r="BI43" s="307">
        <f t="shared" si="8"/>
        <v>75000</v>
      </c>
      <c r="BJ43" s="307">
        <f t="shared" si="9"/>
        <v>95000</v>
      </c>
      <c r="BK43" s="307">
        <f t="shared" si="10"/>
        <v>336000</v>
      </c>
      <c r="BL43" s="307">
        <f t="shared" si="11"/>
        <v>55585.13664</v>
      </c>
      <c r="BM43" s="429">
        <f t="shared" si="12"/>
        <v>615585.13664</v>
      </c>
      <c r="BN43" s="320">
        <f t="shared" si="13"/>
        <v>45395.0592</v>
      </c>
      <c r="BO43" s="321">
        <f t="shared" si="41"/>
        <v>615585.13664</v>
      </c>
      <c r="BP43" s="322">
        <f t="shared" si="15"/>
        <v>51298.7613866667</v>
      </c>
      <c r="BQ43" s="323"/>
      <c r="BR43" s="324"/>
      <c r="BS43" s="325"/>
      <c r="BT43" s="326"/>
      <c r="BU43" s="326"/>
      <c r="BV43" s="334"/>
      <c r="BW43" s="335"/>
    </row>
    <row r="44" s="245" customFormat="1" ht="177" customHeight="1" spans="1:75">
      <c r="A44" s="255">
        <v>43</v>
      </c>
      <c r="B44" s="70" t="s">
        <v>2026</v>
      </c>
      <c r="C44" s="129" t="s">
        <v>242</v>
      </c>
      <c r="D44" s="129" t="s">
        <v>394</v>
      </c>
      <c r="E44" s="256" t="s">
        <v>145</v>
      </c>
      <c r="F44" s="1469" t="s">
        <v>2027</v>
      </c>
      <c r="G44" s="257">
        <f>H44*12/2</f>
        <v>1776824.52</v>
      </c>
      <c r="H44" s="258">
        <v>296137.42</v>
      </c>
      <c r="I44" s="258"/>
      <c r="J44" s="258"/>
      <c r="K44" s="258"/>
      <c r="L44" s="258"/>
      <c r="M44" s="258">
        <v>5000</v>
      </c>
      <c r="N44" s="258"/>
      <c r="O44" s="258"/>
      <c r="P44" s="258"/>
      <c r="Q44" s="258"/>
      <c r="R44" s="258"/>
      <c r="S44" s="258"/>
      <c r="T44" s="258"/>
      <c r="U44" s="258">
        <f t="shared" si="60"/>
        <v>766.66</v>
      </c>
      <c r="V44" s="258"/>
      <c r="W44" s="265"/>
      <c r="X44" s="258"/>
      <c r="Y44" s="258"/>
      <c r="Z44" s="258"/>
      <c r="AA44" s="258"/>
      <c r="AB44" s="258"/>
      <c r="AC44" s="258"/>
      <c r="AD44" s="270"/>
      <c r="AE44" s="258"/>
      <c r="AF44" s="258"/>
      <c r="AG44" s="270">
        <f t="shared" si="16"/>
        <v>5922.7484</v>
      </c>
      <c r="AH44" s="270"/>
      <c r="AI44" s="282">
        <v>2000</v>
      </c>
      <c r="AJ44" s="279"/>
      <c r="AK44" s="279"/>
      <c r="AL44" s="279"/>
      <c r="AM44" s="281"/>
      <c r="AN44" s="258"/>
      <c r="AO44" s="299">
        <v>4000</v>
      </c>
      <c r="AP44" s="299"/>
      <c r="AQ44" s="299"/>
      <c r="AR44" s="299">
        <f t="shared" si="17"/>
        <v>6038.0816</v>
      </c>
      <c r="AS44" s="300"/>
      <c r="AT44" s="300"/>
      <c r="AU44" s="299">
        <f t="shared" si="22"/>
        <v>37886.5521066667</v>
      </c>
      <c r="AV44" s="299">
        <f t="shared" si="58"/>
        <v>301904.08</v>
      </c>
      <c r="AW44" s="299">
        <f t="shared" si="59"/>
        <v>55847.3821066667</v>
      </c>
      <c r="AX44" s="299"/>
      <c r="AY44" s="299"/>
      <c r="AZ44" s="299">
        <f t="shared" si="19"/>
        <v>246056.697893333</v>
      </c>
      <c r="BA44" s="429">
        <f t="shared" si="1"/>
        <v>3622848.96</v>
      </c>
      <c r="BB44" s="430">
        <f t="shared" si="2"/>
        <v>924569.792</v>
      </c>
      <c r="BC44" s="307">
        <f t="shared" si="3"/>
        <v>0</v>
      </c>
      <c r="BD44" s="308">
        <f t="shared" si="4"/>
        <v>924569.792</v>
      </c>
      <c r="BE44" s="313">
        <f t="shared" si="5"/>
        <v>2698279.168</v>
      </c>
      <c r="BF44" s="430"/>
      <c r="BG44" s="307">
        <f t="shared" si="6"/>
        <v>21000</v>
      </c>
      <c r="BH44" s="307">
        <f t="shared" si="7"/>
        <v>33000</v>
      </c>
      <c r="BI44" s="307">
        <f t="shared" si="8"/>
        <v>75000</v>
      </c>
      <c r="BJ44" s="307">
        <f t="shared" si="9"/>
        <v>95000</v>
      </c>
      <c r="BK44" s="307">
        <f t="shared" si="10"/>
        <v>230638.62528</v>
      </c>
      <c r="BL44" s="307" t="str">
        <f t="shared" si="11"/>
        <v/>
      </c>
      <c r="BM44" s="429">
        <f t="shared" si="12"/>
        <v>454638.62528</v>
      </c>
      <c r="BN44" s="320">
        <f t="shared" si="13"/>
        <v>36228.4896</v>
      </c>
      <c r="BO44" s="321">
        <f t="shared" si="41"/>
        <v>454638.62528</v>
      </c>
      <c r="BP44" s="322">
        <f t="shared" si="15"/>
        <v>37886.5521066667</v>
      </c>
      <c r="BQ44" s="323"/>
      <c r="BR44" s="324"/>
      <c r="BS44" s="325"/>
      <c r="BT44" s="326"/>
      <c r="BU44" s="326"/>
      <c r="BV44" s="334"/>
      <c r="BW44" s="335"/>
    </row>
    <row r="45" s="245" customFormat="1" ht="172.5" customHeight="1" spans="1:75">
      <c r="A45" s="255">
        <v>44</v>
      </c>
      <c r="B45" s="70" t="s">
        <v>244</v>
      </c>
      <c r="C45" s="129" t="s">
        <v>242</v>
      </c>
      <c r="D45" s="129" t="s">
        <v>276</v>
      </c>
      <c r="E45" s="256" t="s">
        <v>127</v>
      </c>
      <c r="F45" s="1469" t="s">
        <v>247</v>
      </c>
      <c r="G45" s="257">
        <f>H45*12/2</f>
        <v>2272826.88</v>
      </c>
      <c r="H45" s="258">
        <v>378804.48</v>
      </c>
      <c r="I45" s="258"/>
      <c r="J45" s="258"/>
      <c r="K45" s="258"/>
      <c r="L45" s="258"/>
      <c r="M45" s="258">
        <v>5000</v>
      </c>
      <c r="N45" s="258"/>
      <c r="O45" s="258"/>
      <c r="P45" s="258"/>
      <c r="Q45" s="258"/>
      <c r="R45" s="258"/>
      <c r="S45" s="258"/>
      <c r="T45" s="258"/>
      <c r="U45" s="258">
        <f t="shared" si="60"/>
        <v>766.66</v>
      </c>
      <c r="V45" s="258"/>
      <c r="W45" s="265"/>
      <c r="X45" s="258"/>
      <c r="Y45" s="258"/>
      <c r="Z45" s="258"/>
      <c r="AA45" s="258"/>
      <c r="AB45" s="258"/>
      <c r="AC45" s="258"/>
      <c r="AD45" s="270"/>
      <c r="AE45" s="258"/>
      <c r="AF45" s="258"/>
      <c r="AG45" s="270">
        <f t="shared" si="16"/>
        <v>7576.0896</v>
      </c>
      <c r="AH45" s="270"/>
      <c r="AI45" s="282">
        <v>2000</v>
      </c>
      <c r="AJ45" s="279"/>
      <c r="AK45" s="279"/>
      <c r="AL45" s="279"/>
      <c r="AM45" s="281"/>
      <c r="AN45" s="258"/>
      <c r="AO45" s="299">
        <v>4000</v>
      </c>
      <c r="AP45" s="299"/>
      <c r="AQ45" s="299"/>
      <c r="AR45" s="299">
        <f t="shared" si="17"/>
        <v>7691.4228</v>
      </c>
      <c r="AS45" s="300"/>
      <c r="AT45" s="300"/>
      <c r="AU45" s="299">
        <f t="shared" si="22"/>
        <v>52504.3255466667</v>
      </c>
      <c r="AV45" s="299">
        <f t="shared" si="58"/>
        <v>384571.14</v>
      </c>
      <c r="AW45" s="299">
        <f t="shared" si="59"/>
        <v>73771.8379466667</v>
      </c>
      <c r="AX45" s="299"/>
      <c r="AY45" s="299"/>
      <c r="AZ45" s="299">
        <f t="shared" si="19"/>
        <v>310799.302053333</v>
      </c>
      <c r="BA45" s="429">
        <f t="shared" si="1"/>
        <v>4614853.68</v>
      </c>
      <c r="BB45" s="430">
        <f t="shared" si="2"/>
        <v>1122970.736</v>
      </c>
      <c r="BC45" s="307">
        <f t="shared" si="3"/>
        <v>0</v>
      </c>
      <c r="BD45" s="308">
        <f t="shared" si="4"/>
        <v>1122970.736</v>
      </c>
      <c r="BE45" s="313">
        <f t="shared" si="5"/>
        <v>3491882.944</v>
      </c>
      <c r="BF45" s="430"/>
      <c r="BG45" s="307">
        <f t="shared" si="6"/>
        <v>21000</v>
      </c>
      <c r="BH45" s="307">
        <f t="shared" si="7"/>
        <v>33000</v>
      </c>
      <c r="BI45" s="307">
        <f t="shared" si="8"/>
        <v>75000</v>
      </c>
      <c r="BJ45" s="307">
        <f t="shared" si="9"/>
        <v>95000</v>
      </c>
      <c r="BK45" s="307">
        <f t="shared" si="10"/>
        <v>336000</v>
      </c>
      <c r="BL45" s="307">
        <f t="shared" si="11"/>
        <v>70051.9065599999</v>
      </c>
      <c r="BM45" s="429">
        <f t="shared" si="12"/>
        <v>630051.90656</v>
      </c>
      <c r="BN45" s="320">
        <f t="shared" si="13"/>
        <v>46148.5368</v>
      </c>
      <c r="BO45" s="321">
        <f t="shared" ref="BO45:BO76" si="61">MAX(BM45:BN45)</f>
        <v>630051.90656</v>
      </c>
      <c r="BP45" s="322">
        <f t="shared" si="15"/>
        <v>52504.3255466667</v>
      </c>
      <c r="BQ45" s="323"/>
      <c r="BR45" s="324"/>
      <c r="BS45" s="325"/>
      <c r="BT45" s="326"/>
      <c r="BU45" s="326"/>
      <c r="BV45" s="334"/>
      <c r="BW45" s="335"/>
    </row>
    <row r="46" s="245" customFormat="1" ht="197" customHeight="1" spans="1:75">
      <c r="A46" s="255">
        <v>45</v>
      </c>
      <c r="B46" s="70" t="s">
        <v>248</v>
      </c>
      <c r="C46" s="129" t="s">
        <v>250</v>
      </c>
      <c r="D46" s="129" t="s">
        <v>2028</v>
      </c>
      <c r="E46" s="256" t="s">
        <v>127</v>
      </c>
      <c r="F46" s="1469" t="s">
        <v>252</v>
      </c>
      <c r="G46" s="257">
        <v>6310662</v>
      </c>
      <c r="H46" s="258">
        <f>G46/12</f>
        <v>525888.5</v>
      </c>
      <c r="I46" s="258">
        <f>H46*0.35/3</f>
        <v>61353.6583333333</v>
      </c>
      <c r="J46" s="258">
        <v>6666.67</v>
      </c>
      <c r="K46" s="258">
        <v>41667</v>
      </c>
      <c r="L46" s="258"/>
      <c r="M46" s="258">
        <v>2500</v>
      </c>
      <c r="N46" s="258"/>
      <c r="O46" s="258"/>
      <c r="P46" s="258"/>
      <c r="Q46" s="258"/>
      <c r="R46" s="258"/>
      <c r="S46" s="258"/>
      <c r="T46" s="258"/>
      <c r="U46" s="258">
        <v>383.33</v>
      </c>
      <c r="V46" s="258"/>
      <c r="W46" s="265"/>
      <c r="X46" s="258"/>
      <c r="Y46" s="258"/>
      <c r="Z46" s="258"/>
      <c r="AA46" s="258"/>
      <c r="AB46" s="258"/>
      <c r="AC46" s="258"/>
      <c r="AD46" s="270"/>
      <c r="AE46" s="258"/>
      <c r="AF46" s="258"/>
      <c r="AG46" s="270">
        <f t="shared" si="16"/>
        <v>10517.77</v>
      </c>
      <c r="AH46" s="270"/>
      <c r="AI46" s="278"/>
      <c r="AJ46" s="280"/>
      <c r="AK46" s="280"/>
      <c r="AL46" s="280"/>
      <c r="AM46" s="281"/>
      <c r="AN46" s="258">
        <v>10000</v>
      </c>
      <c r="AO46" s="299">
        <v>3500</v>
      </c>
      <c r="AP46" s="299"/>
      <c r="AQ46" s="299"/>
      <c r="AR46" s="299">
        <f t="shared" si="17"/>
        <v>12769.1831666667</v>
      </c>
      <c r="AS46" s="300"/>
      <c r="AT46" s="300"/>
      <c r="AU46" s="299">
        <f t="shared" si="22"/>
        <v>101250.825066667</v>
      </c>
      <c r="AV46" s="299">
        <f t="shared" ref="AV46:AV49" si="62">V46+U46+N46+M46+K46+J46+I46+H46</f>
        <v>638459.158333333</v>
      </c>
      <c r="AW46" s="299">
        <f t="shared" si="18"/>
        <v>138037.778233333</v>
      </c>
      <c r="AX46" s="299"/>
      <c r="AY46" s="299"/>
      <c r="AZ46" s="299">
        <f t="shared" si="19"/>
        <v>500421.3801</v>
      </c>
      <c r="BA46" s="429">
        <f t="shared" si="1"/>
        <v>7661509.9</v>
      </c>
      <c r="BB46" s="430">
        <f t="shared" si="2"/>
        <v>1732301.98</v>
      </c>
      <c r="BC46" s="307">
        <f t="shared" si="3"/>
        <v>0</v>
      </c>
      <c r="BD46" s="308">
        <f t="shared" si="4"/>
        <v>1732301.98</v>
      </c>
      <c r="BE46" s="313">
        <f t="shared" si="5"/>
        <v>5929207.92</v>
      </c>
      <c r="BF46" s="430"/>
      <c r="BG46" s="307">
        <f t="shared" si="6"/>
        <v>21000</v>
      </c>
      <c r="BH46" s="307">
        <f t="shared" si="7"/>
        <v>33000</v>
      </c>
      <c r="BI46" s="307">
        <f t="shared" si="8"/>
        <v>75000</v>
      </c>
      <c r="BJ46" s="307">
        <f t="shared" si="9"/>
        <v>95000</v>
      </c>
      <c r="BK46" s="307">
        <f t="shared" si="10"/>
        <v>336000</v>
      </c>
      <c r="BL46" s="307">
        <f t="shared" si="11"/>
        <v>655009.9008</v>
      </c>
      <c r="BM46" s="429">
        <f t="shared" si="12"/>
        <v>1215009.9008</v>
      </c>
      <c r="BN46" s="320">
        <f t="shared" si="13"/>
        <v>76615.099</v>
      </c>
      <c r="BO46" s="321">
        <f t="shared" si="61"/>
        <v>1215009.9008</v>
      </c>
      <c r="BP46" s="322">
        <f t="shared" si="15"/>
        <v>101250.825066667</v>
      </c>
      <c r="BQ46" s="323"/>
      <c r="BR46" s="324"/>
      <c r="BS46" s="325"/>
      <c r="BT46" s="326"/>
      <c r="BU46" s="326"/>
      <c r="BV46" s="334"/>
      <c r="BW46" s="335"/>
    </row>
    <row r="47" s="245" customFormat="1" ht="183" customHeight="1" spans="1:75">
      <c r="A47" s="255">
        <v>46</v>
      </c>
      <c r="B47" s="70" t="s">
        <v>253</v>
      </c>
      <c r="C47" s="129" t="s">
        <v>2029</v>
      </c>
      <c r="D47" s="129" t="s">
        <v>243</v>
      </c>
      <c r="E47" s="256" t="s">
        <v>93</v>
      </c>
      <c r="F47" s="256">
        <v>2019013002</v>
      </c>
      <c r="G47" s="257">
        <v>4935269</v>
      </c>
      <c r="H47" s="258">
        <f>G47/12</f>
        <v>411272.416666667</v>
      </c>
      <c r="I47" s="258">
        <f>H47*0.35/3</f>
        <v>47981.7819444444</v>
      </c>
      <c r="J47" s="258">
        <v>6666.67</v>
      </c>
      <c r="K47" s="258"/>
      <c r="L47" s="258"/>
      <c r="M47" s="258">
        <v>2500</v>
      </c>
      <c r="N47" s="258"/>
      <c r="O47" s="258"/>
      <c r="P47" s="258"/>
      <c r="Q47" s="258"/>
      <c r="R47" s="258"/>
      <c r="S47" s="258"/>
      <c r="T47" s="258"/>
      <c r="U47" s="258">
        <v>383.33</v>
      </c>
      <c r="V47" s="258"/>
      <c r="W47" s="265"/>
      <c r="X47" s="258"/>
      <c r="Y47" s="258"/>
      <c r="Z47" s="258"/>
      <c r="AA47" s="258"/>
      <c r="AB47" s="258"/>
      <c r="AC47" s="258"/>
      <c r="AD47" s="270"/>
      <c r="AE47" s="258"/>
      <c r="AF47" s="258"/>
      <c r="AG47" s="270">
        <f t="shared" si="16"/>
        <v>8225.44833333333</v>
      </c>
      <c r="AH47" s="292"/>
      <c r="AI47" s="293"/>
      <c r="AJ47" s="294">
        <v>1000</v>
      </c>
      <c r="AK47" s="280"/>
      <c r="AL47" s="280"/>
      <c r="AM47" s="281"/>
      <c r="AN47" s="258"/>
      <c r="AO47" s="299">
        <v>3500</v>
      </c>
      <c r="AP47" s="299"/>
      <c r="AQ47" s="299"/>
      <c r="AR47" s="299">
        <f t="shared" si="17"/>
        <v>9376.08397222222</v>
      </c>
      <c r="AS47" s="300"/>
      <c r="AT47" s="300"/>
      <c r="AU47" s="299">
        <f t="shared" si="22"/>
        <v>68677.0728</v>
      </c>
      <c r="AV47" s="299">
        <f t="shared" si="62"/>
        <v>468804.198611111</v>
      </c>
      <c r="AW47" s="299">
        <f t="shared" si="18"/>
        <v>89778.6051055556</v>
      </c>
      <c r="AX47" s="299"/>
      <c r="AY47" s="299"/>
      <c r="AZ47" s="299">
        <f t="shared" si="19"/>
        <v>379025.593505556</v>
      </c>
      <c r="BA47" s="429">
        <f t="shared" si="1"/>
        <v>5625650.38333333</v>
      </c>
      <c r="BB47" s="430">
        <f t="shared" si="2"/>
        <v>1325130.07666667</v>
      </c>
      <c r="BC47" s="307">
        <f t="shared" si="3"/>
        <v>0</v>
      </c>
      <c r="BD47" s="308">
        <f t="shared" si="4"/>
        <v>1325130.07666667</v>
      </c>
      <c r="BE47" s="313">
        <f t="shared" si="5"/>
        <v>4300520.30666667</v>
      </c>
      <c r="BF47" s="430"/>
      <c r="BG47" s="307">
        <f t="shared" si="6"/>
        <v>21000</v>
      </c>
      <c r="BH47" s="307">
        <f t="shared" si="7"/>
        <v>33000</v>
      </c>
      <c r="BI47" s="307">
        <f t="shared" si="8"/>
        <v>75000</v>
      </c>
      <c r="BJ47" s="307">
        <f t="shared" si="9"/>
        <v>95000</v>
      </c>
      <c r="BK47" s="307">
        <f t="shared" si="10"/>
        <v>336000</v>
      </c>
      <c r="BL47" s="307">
        <f t="shared" si="11"/>
        <v>264124.8736</v>
      </c>
      <c r="BM47" s="429">
        <f t="shared" si="12"/>
        <v>824124.8736</v>
      </c>
      <c r="BN47" s="320">
        <f t="shared" si="13"/>
        <v>56256.5038333333</v>
      </c>
      <c r="BO47" s="321">
        <f t="shared" si="61"/>
        <v>824124.8736</v>
      </c>
      <c r="BP47" s="322">
        <f t="shared" si="15"/>
        <v>68677.0728</v>
      </c>
      <c r="BQ47" s="323"/>
      <c r="BR47" s="324"/>
      <c r="BS47" s="325"/>
      <c r="BT47" s="326"/>
      <c r="BU47" s="326"/>
      <c r="BV47" s="334"/>
      <c r="BW47" s="335"/>
    </row>
    <row r="48" s="245" customFormat="1" ht="172.5" customHeight="1" spans="1:75">
      <c r="A48" s="255">
        <v>47</v>
      </c>
      <c r="B48" s="70" t="s">
        <v>2030</v>
      </c>
      <c r="C48" s="129" t="s">
        <v>105</v>
      </c>
      <c r="D48" s="129" t="s">
        <v>2031</v>
      </c>
      <c r="E48" s="256" t="s">
        <v>113</v>
      </c>
      <c r="F48" s="266">
        <v>2088596893</v>
      </c>
      <c r="G48" s="257">
        <f>H48*12</f>
        <v>5235065.88</v>
      </c>
      <c r="H48" s="258">
        <v>436255.49</v>
      </c>
      <c r="I48" s="258"/>
      <c r="J48" s="258"/>
      <c r="K48" s="258"/>
      <c r="L48" s="258"/>
      <c r="M48" s="258">
        <v>5000</v>
      </c>
      <c r="N48" s="258"/>
      <c r="O48" s="258"/>
      <c r="P48" s="258"/>
      <c r="Q48" s="258"/>
      <c r="R48" s="258"/>
      <c r="S48" s="258"/>
      <c r="T48" s="258"/>
      <c r="U48" s="258">
        <f>383.33*2</f>
        <v>766.66</v>
      </c>
      <c r="V48" s="258"/>
      <c r="W48" s="265"/>
      <c r="X48" s="258"/>
      <c r="Y48" s="258"/>
      <c r="Z48" s="258"/>
      <c r="AA48" s="258"/>
      <c r="AB48" s="258"/>
      <c r="AC48" s="258"/>
      <c r="AD48" s="270"/>
      <c r="AE48" s="258"/>
      <c r="AF48" s="258"/>
      <c r="AG48" s="270">
        <f t="shared" si="16"/>
        <v>8725.1098</v>
      </c>
      <c r="AH48" s="295"/>
      <c r="AI48" s="296">
        <v>2000</v>
      </c>
      <c r="AJ48" s="294"/>
      <c r="AK48" s="280"/>
      <c r="AL48" s="280"/>
      <c r="AM48" s="281"/>
      <c r="AN48" s="258"/>
      <c r="AO48" s="299">
        <v>3500</v>
      </c>
      <c r="AP48" s="299"/>
      <c r="AQ48" s="299"/>
      <c r="AR48" s="299">
        <f t="shared" si="17"/>
        <v>8840.443</v>
      </c>
      <c r="AS48" s="300"/>
      <c r="AT48" s="300"/>
      <c r="AU48" s="299">
        <f t="shared" si="22"/>
        <v>63534.9194666667</v>
      </c>
      <c r="AV48" s="299">
        <f t="shared" si="62"/>
        <v>442022.15</v>
      </c>
      <c r="AW48" s="299">
        <f>AU48+AR48+AQ48+AO48+AN48+AM48+AK48+AI48+AH48+AG48+AF48+AE48+AD48+AJ48</f>
        <v>86600.4722666667</v>
      </c>
      <c r="AX48" s="299"/>
      <c r="AY48" s="299"/>
      <c r="AZ48" s="299">
        <f t="shared" si="19"/>
        <v>355421.677733333</v>
      </c>
      <c r="BA48" s="429">
        <f t="shared" si="1"/>
        <v>5304265.8</v>
      </c>
      <c r="BB48" s="430">
        <f t="shared" si="2"/>
        <v>1260853.16</v>
      </c>
      <c r="BC48" s="307">
        <f t="shared" si="3"/>
        <v>0</v>
      </c>
      <c r="BD48" s="308">
        <f t="shared" si="4"/>
        <v>1260853.16</v>
      </c>
      <c r="BE48" s="313">
        <f t="shared" si="5"/>
        <v>4043412.64</v>
      </c>
      <c r="BF48" s="430"/>
      <c r="BG48" s="307">
        <f t="shared" si="6"/>
        <v>21000</v>
      </c>
      <c r="BH48" s="307">
        <f t="shared" si="7"/>
        <v>33000</v>
      </c>
      <c r="BI48" s="307">
        <f t="shared" si="8"/>
        <v>75000</v>
      </c>
      <c r="BJ48" s="307">
        <f t="shared" si="9"/>
        <v>95000</v>
      </c>
      <c r="BK48" s="307">
        <f t="shared" si="10"/>
        <v>336000</v>
      </c>
      <c r="BL48" s="307">
        <f t="shared" si="11"/>
        <v>202419.0336</v>
      </c>
      <c r="BM48" s="429">
        <f t="shared" si="12"/>
        <v>762419.0336</v>
      </c>
      <c r="BN48" s="320">
        <f t="shared" si="13"/>
        <v>53042.658</v>
      </c>
      <c r="BO48" s="321">
        <f t="shared" si="61"/>
        <v>762419.0336</v>
      </c>
      <c r="BP48" s="322">
        <f t="shared" si="15"/>
        <v>63534.9194666667</v>
      </c>
      <c r="BQ48" s="323"/>
      <c r="BR48" s="324"/>
      <c r="BS48" s="325"/>
      <c r="BT48" s="326"/>
      <c r="BU48" s="326"/>
      <c r="BV48" s="334"/>
      <c r="BW48" s="335"/>
    </row>
    <row r="49" s="245" customFormat="1" ht="172.5" customHeight="1" spans="1:75">
      <c r="A49" s="255">
        <v>48</v>
      </c>
      <c r="B49" s="70" t="s">
        <v>2032</v>
      </c>
      <c r="C49" s="129" t="s">
        <v>105</v>
      </c>
      <c r="D49" s="129" t="s">
        <v>2031</v>
      </c>
      <c r="E49" s="256" t="s">
        <v>313</v>
      </c>
      <c r="F49" s="1472" t="s">
        <v>2033</v>
      </c>
      <c r="G49" s="257">
        <f>H49*12</f>
        <v>5235065.88</v>
      </c>
      <c r="H49" s="258">
        <v>436255.49</v>
      </c>
      <c r="I49" s="258"/>
      <c r="J49" s="258"/>
      <c r="K49" s="258"/>
      <c r="L49" s="258"/>
      <c r="M49" s="258">
        <v>5000</v>
      </c>
      <c r="N49" s="258"/>
      <c r="O49" s="258"/>
      <c r="P49" s="258"/>
      <c r="Q49" s="258"/>
      <c r="R49" s="258"/>
      <c r="S49" s="258"/>
      <c r="T49" s="258"/>
      <c r="U49" s="258">
        <f>383.33*2</f>
        <v>766.66</v>
      </c>
      <c r="V49" s="258"/>
      <c r="W49" s="265"/>
      <c r="X49" s="258"/>
      <c r="Y49" s="258"/>
      <c r="Z49" s="258"/>
      <c r="AA49" s="258"/>
      <c r="AB49" s="258"/>
      <c r="AC49" s="258"/>
      <c r="AD49" s="270"/>
      <c r="AE49" s="258"/>
      <c r="AF49" s="258"/>
      <c r="AG49" s="270">
        <f t="shared" si="16"/>
        <v>8725.1098</v>
      </c>
      <c r="AH49" s="295"/>
      <c r="AI49" s="296">
        <v>2000</v>
      </c>
      <c r="AJ49" s="294"/>
      <c r="AK49" s="280"/>
      <c r="AL49" s="280"/>
      <c r="AM49" s="281"/>
      <c r="AN49" s="258"/>
      <c r="AO49" s="299">
        <v>3500</v>
      </c>
      <c r="AP49" s="299"/>
      <c r="AQ49" s="299"/>
      <c r="AR49" s="299">
        <f t="shared" si="17"/>
        <v>8840.443</v>
      </c>
      <c r="AS49" s="300"/>
      <c r="AT49" s="300"/>
      <c r="AU49" s="299">
        <f t="shared" si="22"/>
        <v>63534.9194666667</v>
      </c>
      <c r="AV49" s="299">
        <f t="shared" si="62"/>
        <v>442022.15</v>
      </c>
      <c r="AW49" s="299">
        <f>AU49+AR49+AQ49+AO49+AN49+AM49+AK49+AI49+AH49+AG49+AF49+AE49+AD49+AJ49</f>
        <v>86600.4722666667</v>
      </c>
      <c r="AX49" s="299"/>
      <c r="AY49" s="299"/>
      <c r="AZ49" s="299">
        <f t="shared" ref="AZ49" si="63">AV49-AW49</f>
        <v>355421.677733333</v>
      </c>
      <c r="BA49" s="429">
        <f t="shared" si="1"/>
        <v>5304265.8</v>
      </c>
      <c r="BB49" s="430">
        <f t="shared" si="2"/>
        <v>1260853.16</v>
      </c>
      <c r="BC49" s="307">
        <f t="shared" si="3"/>
        <v>0</v>
      </c>
      <c r="BD49" s="308">
        <f t="shared" si="4"/>
        <v>1260853.16</v>
      </c>
      <c r="BE49" s="313">
        <f t="shared" si="5"/>
        <v>4043412.64</v>
      </c>
      <c r="BF49" s="430"/>
      <c r="BG49" s="307">
        <f t="shared" si="6"/>
        <v>21000</v>
      </c>
      <c r="BH49" s="307">
        <f t="shared" si="7"/>
        <v>33000</v>
      </c>
      <c r="BI49" s="307">
        <f t="shared" si="8"/>
        <v>75000</v>
      </c>
      <c r="BJ49" s="307">
        <f t="shared" si="9"/>
        <v>95000</v>
      </c>
      <c r="BK49" s="307">
        <f t="shared" si="10"/>
        <v>336000</v>
      </c>
      <c r="BL49" s="307">
        <f t="shared" si="11"/>
        <v>202419.0336</v>
      </c>
      <c r="BM49" s="429">
        <f t="shared" si="12"/>
        <v>762419.0336</v>
      </c>
      <c r="BN49" s="320">
        <f t="shared" si="13"/>
        <v>53042.658</v>
      </c>
      <c r="BO49" s="321">
        <f t="shared" si="61"/>
        <v>762419.0336</v>
      </c>
      <c r="BP49" s="322">
        <f t="shared" si="15"/>
        <v>63534.9194666667</v>
      </c>
      <c r="BQ49" s="323"/>
      <c r="BR49" s="324"/>
      <c r="BS49" s="325"/>
      <c r="BT49" s="326"/>
      <c r="BU49" s="326"/>
      <c r="BV49" s="334"/>
      <c r="BW49" s="335"/>
    </row>
    <row r="50" s="245" customFormat="1" ht="172.5" customHeight="1" spans="1:75">
      <c r="A50" s="255">
        <v>49</v>
      </c>
      <c r="B50" s="70" t="s">
        <v>256</v>
      </c>
      <c r="C50" s="129" t="s">
        <v>143</v>
      </c>
      <c r="D50" s="129" t="s">
        <v>243</v>
      </c>
      <c r="E50" s="256" t="s">
        <v>259</v>
      </c>
      <c r="F50" s="256">
        <v>4021365312</v>
      </c>
      <c r="G50" s="257">
        <v>4935269</v>
      </c>
      <c r="H50" s="258">
        <f t="shared" ref="H50:H62" si="64">G50/12</f>
        <v>411272.416666667</v>
      </c>
      <c r="I50" s="258">
        <f>H50*0.35/3</f>
        <v>47981.7819444444</v>
      </c>
      <c r="J50" s="258">
        <v>6666.67</v>
      </c>
      <c r="K50" s="258">
        <f>K46</f>
        <v>41667</v>
      </c>
      <c r="L50" s="258"/>
      <c r="M50" s="258">
        <v>2500</v>
      </c>
      <c r="N50" s="258"/>
      <c r="O50" s="258"/>
      <c r="P50" s="258"/>
      <c r="Q50" s="258"/>
      <c r="R50" s="258"/>
      <c r="S50" s="258"/>
      <c r="T50" s="258"/>
      <c r="U50" s="258">
        <v>383.33</v>
      </c>
      <c r="V50" s="258"/>
      <c r="W50" s="265"/>
      <c r="X50" s="258"/>
      <c r="Y50" s="258"/>
      <c r="Z50" s="258"/>
      <c r="AA50" s="258"/>
      <c r="AB50" s="258"/>
      <c r="AC50" s="258"/>
      <c r="AD50" s="270"/>
      <c r="AE50" s="258"/>
      <c r="AF50" s="258"/>
      <c r="AG50" s="270">
        <f t="shared" si="16"/>
        <v>8225.44833333333</v>
      </c>
      <c r="AH50" s="297"/>
      <c r="AI50" s="298"/>
      <c r="AJ50" s="279">
        <v>2000</v>
      </c>
      <c r="AK50" s="279"/>
      <c r="AL50" s="279"/>
      <c r="AM50" s="281">
        <v>50000</v>
      </c>
      <c r="AN50" s="258"/>
      <c r="AO50" s="299">
        <v>2000</v>
      </c>
      <c r="AP50" s="299"/>
      <c r="AQ50" s="299"/>
      <c r="AR50" s="299">
        <f t="shared" si="17"/>
        <v>10209.4239722222</v>
      </c>
      <c r="AS50" s="300"/>
      <c r="AT50" s="300"/>
      <c r="AU50" s="299">
        <f>'[11]SOFT COPY'!$AN$46</f>
        <v>0</v>
      </c>
      <c r="AV50" s="299">
        <f t="shared" ref="AV50" si="65">W50+V50+U50+N50+M50+K50+J50+I50+H50</f>
        <v>510471.198611111</v>
      </c>
      <c r="AW50" s="299">
        <f>AU50+AR50+AQ50+AO50+AN50+AM50+AK50+AI50+AH50+AG50+AF50+AE50+AD50+AJ50</f>
        <v>72434.8723055556</v>
      </c>
      <c r="AX50" s="299"/>
      <c r="AY50" s="299"/>
      <c r="AZ50" s="299">
        <f t="shared" si="19"/>
        <v>438036.326305556</v>
      </c>
      <c r="BA50" s="429">
        <f t="shared" si="1"/>
        <v>6125654.38333333</v>
      </c>
      <c r="BB50" s="430">
        <f t="shared" si="2"/>
        <v>1425130.87666667</v>
      </c>
      <c r="BC50" s="307">
        <f t="shared" si="3"/>
        <v>0</v>
      </c>
      <c r="BD50" s="308">
        <f t="shared" si="4"/>
        <v>1425130.87666667</v>
      </c>
      <c r="BE50" s="313">
        <f t="shared" si="5"/>
        <v>4700523.50666667</v>
      </c>
      <c r="BF50" s="430"/>
      <c r="BG50" s="307">
        <f t="shared" si="6"/>
        <v>21000</v>
      </c>
      <c r="BH50" s="307">
        <f t="shared" si="7"/>
        <v>33000</v>
      </c>
      <c r="BI50" s="307">
        <f t="shared" si="8"/>
        <v>75000</v>
      </c>
      <c r="BJ50" s="307">
        <f t="shared" si="9"/>
        <v>95000</v>
      </c>
      <c r="BK50" s="307">
        <f t="shared" si="10"/>
        <v>336000</v>
      </c>
      <c r="BL50" s="307">
        <f t="shared" si="11"/>
        <v>360125.6416</v>
      </c>
      <c r="BM50" s="429">
        <f t="shared" si="12"/>
        <v>920125.6416</v>
      </c>
      <c r="BN50" s="320">
        <f t="shared" si="13"/>
        <v>61256.5438333333</v>
      </c>
      <c r="BO50" s="321">
        <f t="shared" si="61"/>
        <v>920125.6416</v>
      </c>
      <c r="BP50" s="322">
        <f t="shared" si="15"/>
        <v>76677.1368</v>
      </c>
      <c r="BQ50" s="323"/>
      <c r="BR50" s="324"/>
      <c r="BS50" s="325"/>
      <c r="BT50" s="326"/>
      <c r="BU50" s="326"/>
      <c r="BV50" s="334"/>
      <c r="BW50" s="335"/>
    </row>
    <row r="51" s="245" customFormat="1" ht="172.5" customHeight="1" spans="1:75">
      <c r="A51" s="255">
        <v>50</v>
      </c>
      <c r="B51" s="70" t="s">
        <v>260</v>
      </c>
      <c r="C51" s="129" t="s">
        <v>120</v>
      </c>
      <c r="D51" s="129" t="s">
        <v>287</v>
      </c>
      <c r="E51" s="256" t="s">
        <v>93</v>
      </c>
      <c r="F51" s="256">
        <v>2003315491</v>
      </c>
      <c r="G51" s="257">
        <v>4181658</v>
      </c>
      <c r="H51" s="258">
        <f t="shared" si="64"/>
        <v>348471.5</v>
      </c>
      <c r="I51" s="258">
        <f t="shared" ref="I51:I82" si="66">H51*0.35/3</f>
        <v>40655.0083333333</v>
      </c>
      <c r="J51" s="258">
        <v>5000</v>
      </c>
      <c r="K51" s="258">
        <v>20833.33</v>
      </c>
      <c r="L51" s="258"/>
      <c r="M51" s="258">
        <v>2500</v>
      </c>
      <c r="N51" s="258"/>
      <c r="O51" s="258"/>
      <c r="P51" s="258"/>
      <c r="Q51" s="258"/>
      <c r="R51" s="258"/>
      <c r="S51" s="258"/>
      <c r="T51" s="258"/>
      <c r="U51" s="258">
        <v>383.33</v>
      </c>
      <c r="V51" s="258"/>
      <c r="W51" s="265"/>
      <c r="X51" s="258"/>
      <c r="Y51" s="258"/>
      <c r="Z51" s="258"/>
      <c r="AA51" s="258"/>
      <c r="AB51" s="258"/>
      <c r="AC51" s="258"/>
      <c r="AD51" s="270">
        <v>25000</v>
      </c>
      <c r="AE51" s="258"/>
      <c r="AF51" s="258">
        <v>250</v>
      </c>
      <c r="AG51" s="270">
        <f t="shared" si="16"/>
        <v>6969.43</v>
      </c>
      <c r="AH51" s="270"/>
      <c r="AI51" s="282">
        <v>1000</v>
      </c>
      <c r="AJ51" s="279"/>
      <c r="AK51" s="279"/>
      <c r="AL51" s="279"/>
      <c r="AM51" s="281">
        <v>110209</v>
      </c>
      <c r="AN51" s="258">
        <v>10000</v>
      </c>
      <c r="AO51" s="299">
        <v>2000</v>
      </c>
      <c r="AP51" s="299"/>
      <c r="AQ51" s="299"/>
      <c r="AR51" s="299">
        <f t="shared" si="17"/>
        <v>8356.86336666667</v>
      </c>
      <c r="AS51" s="300"/>
      <c r="AT51" s="300"/>
      <c r="AU51" s="299">
        <f t="shared" ref="AU51:AU114" si="67">BP51</f>
        <v>58892.5549866667</v>
      </c>
      <c r="AV51" s="299">
        <f t="shared" ref="AV51:AV52" si="68">V51+U51+N51+M51+K51+J51+I51+H51</f>
        <v>417843.168333333</v>
      </c>
      <c r="AW51" s="299">
        <f t="shared" si="18"/>
        <v>222677.848353333</v>
      </c>
      <c r="AX51" s="299"/>
      <c r="AY51" s="299"/>
      <c r="AZ51" s="299">
        <f t="shared" si="19"/>
        <v>195165.31998</v>
      </c>
      <c r="BA51" s="429">
        <f t="shared" si="1"/>
        <v>5014118.02</v>
      </c>
      <c r="BB51" s="430">
        <f t="shared" si="2"/>
        <v>1202823.604</v>
      </c>
      <c r="BC51" s="307">
        <f t="shared" si="3"/>
        <v>0</v>
      </c>
      <c r="BD51" s="308">
        <f t="shared" si="4"/>
        <v>1202823.604</v>
      </c>
      <c r="BE51" s="313">
        <f t="shared" si="5"/>
        <v>3811294.416</v>
      </c>
      <c r="BF51" s="430"/>
      <c r="BG51" s="307">
        <f t="shared" si="6"/>
        <v>21000</v>
      </c>
      <c r="BH51" s="307">
        <f t="shared" si="7"/>
        <v>33000</v>
      </c>
      <c r="BI51" s="307">
        <f t="shared" si="8"/>
        <v>75000</v>
      </c>
      <c r="BJ51" s="307">
        <f t="shared" si="9"/>
        <v>95000</v>
      </c>
      <c r="BK51" s="307">
        <f t="shared" si="10"/>
        <v>336000</v>
      </c>
      <c r="BL51" s="307">
        <f t="shared" si="11"/>
        <v>146710.65984</v>
      </c>
      <c r="BM51" s="429">
        <f t="shared" si="12"/>
        <v>706710.65984</v>
      </c>
      <c r="BN51" s="320">
        <f t="shared" si="13"/>
        <v>50141.1802</v>
      </c>
      <c r="BO51" s="321">
        <f t="shared" si="61"/>
        <v>706710.65984</v>
      </c>
      <c r="BP51" s="322">
        <f t="shared" si="15"/>
        <v>58892.5549866667</v>
      </c>
      <c r="BQ51" s="323"/>
      <c r="BR51" s="324"/>
      <c r="BS51" s="325"/>
      <c r="BT51" s="326"/>
      <c r="BU51" s="326"/>
      <c r="BV51" s="334"/>
      <c r="BW51" s="335"/>
    </row>
    <row r="52" s="245" customFormat="1" ht="172.5" customHeight="1" spans="1:75">
      <c r="A52" s="255">
        <v>51</v>
      </c>
      <c r="B52" s="70" t="s">
        <v>261</v>
      </c>
      <c r="C52" s="129" t="s">
        <v>2034</v>
      </c>
      <c r="D52" s="129" t="s">
        <v>225</v>
      </c>
      <c r="E52" s="256" t="s">
        <v>113</v>
      </c>
      <c r="F52" s="256">
        <v>2031755814</v>
      </c>
      <c r="G52" s="257">
        <v>4783091</v>
      </c>
      <c r="H52" s="258">
        <f t="shared" si="64"/>
        <v>398590.916666667</v>
      </c>
      <c r="I52" s="258">
        <f t="shared" si="66"/>
        <v>46502.2736111111</v>
      </c>
      <c r="J52" s="258">
        <v>5000</v>
      </c>
      <c r="K52" s="258"/>
      <c r="L52" s="258"/>
      <c r="M52" s="258">
        <v>2500</v>
      </c>
      <c r="N52" s="258"/>
      <c r="O52" s="258"/>
      <c r="P52" s="258"/>
      <c r="Q52" s="258"/>
      <c r="R52" s="258"/>
      <c r="S52" s="258"/>
      <c r="T52" s="258"/>
      <c r="U52" s="258">
        <v>383.33</v>
      </c>
      <c r="V52" s="258"/>
      <c r="W52" s="265"/>
      <c r="X52" s="258"/>
      <c r="Y52" s="258"/>
      <c r="Z52" s="258"/>
      <c r="AA52" s="258"/>
      <c r="AB52" s="258"/>
      <c r="AC52" s="258"/>
      <c r="AD52" s="270"/>
      <c r="AE52" s="258"/>
      <c r="AF52" s="258"/>
      <c r="AG52" s="270">
        <f t="shared" si="16"/>
        <v>7971.81833333333</v>
      </c>
      <c r="AH52" s="270"/>
      <c r="AI52" s="282"/>
      <c r="AJ52" s="279">
        <v>1000</v>
      </c>
      <c r="AK52" s="279"/>
      <c r="AL52" s="279"/>
      <c r="AM52" s="281"/>
      <c r="AN52" s="258"/>
      <c r="AO52" s="299">
        <v>2500</v>
      </c>
      <c r="AP52" s="299"/>
      <c r="AQ52" s="299"/>
      <c r="AR52" s="299">
        <f t="shared" si="17"/>
        <v>9059.53040555556</v>
      </c>
      <c r="AS52" s="300"/>
      <c r="AT52" s="300"/>
      <c r="AU52" s="299">
        <f t="shared" si="67"/>
        <v>65638.15856</v>
      </c>
      <c r="AV52" s="299">
        <f t="shared" si="68"/>
        <v>452976.520277778</v>
      </c>
      <c r="AW52" s="299">
        <f t="shared" si="18"/>
        <v>85169.5072988889</v>
      </c>
      <c r="AX52" s="299"/>
      <c r="AY52" s="299"/>
      <c r="AZ52" s="299">
        <f t="shared" si="19"/>
        <v>367807.012978889</v>
      </c>
      <c r="BA52" s="429">
        <f t="shared" si="1"/>
        <v>5435718.24333333</v>
      </c>
      <c r="BB52" s="430">
        <f t="shared" si="2"/>
        <v>1287143.64866667</v>
      </c>
      <c r="BC52" s="307">
        <f t="shared" si="3"/>
        <v>0</v>
      </c>
      <c r="BD52" s="308">
        <f t="shared" si="4"/>
        <v>1287143.64866667</v>
      </c>
      <c r="BE52" s="313">
        <f t="shared" si="5"/>
        <v>4148574.59466667</v>
      </c>
      <c r="BF52" s="430"/>
      <c r="BG52" s="307">
        <f t="shared" si="6"/>
        <v>21000</v>
      </c>
      <c r="BH52" s="307">
        <f t="shared" si="7"/>
        <v>33000</v>
      </c>
      <c r="BI52" s="307">
        <f t="shared" si="8"/>
        <v>75000</v>
      </c>
      <c r="BJ52" s="307">
        <f t="shared" si="9"/>
        <v>95000</v>
      </c>
      <c r="BK52" s="307">
        <f t="shared" si="10"/>
        <v>336000</v>
      </c>
      <c r="BL52" s="307">
        <f t="shared" si="11"/>
        <v>227657.90272</v>
      </c>
      <c r="BM52" s="429">
        <f t="shared" si="12"/>
        <v>787657.90272</v>
      </c>
      <c r="BN52" s="320">
        <f t="shared" si="13"/>
        <v>54357.1824333333</v>
      </c>
      <c r="BO52" s="321">
        <f t="shared" si="61"/>
        <v>787657.90272</v>
      </c>
      <c r="BP52" s="322">
        <f t="shared" si="15"/>
        <v>65638.15856</v>
      </c>
      <c r="BQ52" s="323"/>
      <c r="BR52" s="324"/>
      <c r="BS52" s="325"/>
      <c r="BT52" s="326"/>
      <c r="BU52" s="326"/>
      <c r="BV52" s="334"/>
      <c r="BW52" s="335"/>
    </row>
    <row r="53" s="245" customFormat="1" ht="189" customHeight="1" spans="1:75">
      <c r="A53" s="255">
        <v>52</v>
      </c>
      <c r="B53" s="70" t="s">
        <v>262</v>
      </c>
      <c r="C53" s="129" t="s">
        <v>143</v>
      </c>
      <c r="D53" s="129" t="s">
        <v>338</v>
      </c>
      <c r="E53" s="256" t="s">
        <v>127</v>
      </c>
      <c r="F53" s="1469" t="s">
        <v>264</v>
      </c>
      <c r="G53" s="257">
        <v>3950454</v>
      </c>
      <c r="H53" s="258">
        <f t="shared" si="64"/>
        <v>329204.5</v>
      </c>
      <c r="I53" s="258">
        <f t="shared" si="66"/>
        <v>38407.1916666667</v>
      </c>
      <c r="J53" s="258">
        <v>5000</v>
      </c>
      <c r="K53" s="258">
        <v>20833.33</v>
      </c>
      <c r="L53" s="258"/>
      <c r="M53" s="258">
        <v>2500</v>
      </c>
      <c r="N53" s="258"/>
      <c r="O53" s="258"/>
      <c r="P53" s="258"/>
      <c r="Q53" s="258"/>
      <c r="R53" s="258"/>
      <c r="S53" s="258"/>
      <c r="T53" s="258"/>
      <c r="U53" s="258">
        <v>383.33</v>
      </c>
      <c r="V53" s="258"/>
      <c r="W53" s="265"/>
      <c r="X53" s="258"/>
      <c r="Y53" s="258"/>
      <c r="Z53" s="258"/>
      <c r="AA53" s="258"/>
      <c r="AB53" s="258"/>
      <c r="AC53" s="258"/>
      <c r="AD53" s="270"/>
      <c r="AE53" s="258"/>
      <c r="AF53" s="258">
        <v>5000</v>
      </c>
      <c r="AG53" s="270">
        <f t="shared" si="16"/>
        <v>6584.09</v>
      </c>
      <c r="AH53" s="270"/>
      <c r="AI53" s="278"/>
      <c r="AJ53" s="280"/>
      <c r="AK53" s="280"/>
      <c r="AL53" s="284">
        <v>1000</v>
      </c>
      <c r="AM53" s="281">
        <v>83750</v>
      </c>
      <c r="AN53" s="258">
        <v>7500</v>
      </c>
      <c r="AO53" s="299">
        <v>2000</v>
      </c>
      <c r="AP53" s="299"/>
      <c r="AQ53" s="299"/>
      <c r="AR53" s="299">
        <f t="shared" si="17"/>
        <v>7926.56703333333</v>
      </c>
      <c r="AS53" s="300"/>
      <c r="AT53" s="300"/>
      <c r="AU53" s="299">
        <f t="shared" si="67"/>
        <v>54761.7101866667</v>
      </c>
      <c r="AV53" s="299">
        <f t="shared" ref="AV53:AV54" si="69">W53+V53+U53+N53+M53+K53+J53+I53+H53</f>
        <v>396328.351666667</v>
      </c>
      <c r="AW53" s="299">
        <f>AU53+AR53+AQ53+AO53+AN53+AM53+AK53+AI53+AH53+AG53+AF53+AE53+AD53+AL53</f>
        <v>168522.36722</v>
      </c>
      <c r="AX53" s="299"/>
      <c r="AY53" s="299"/>
      <c r="AZ53" s="299">
        <f t="shared" si="19"/>
        <v>227805.984446667</v>
      </c>
      <c r="BA53" s="429">
        <f t="shared" si="1"/>
        <v>4755940.22</v>
      </c>
      <c r="BB53" s="430">
        <f t="shared" si="2"/>
        <v>1151188.044</v>
      </c>
      <c r="BC53" s="307">
        <f t="shared" si="3"/>
        <v>0</v>
      </c>
      <c r="BD53" s="308">
        <f t="shared" si="4"/>
        <v>1151188.044</v>
      </c>
      <c r="BE53" s="313">
        <f t="shared" si="5"/>
        <v>3604752.176</v>
      </c>
      <c r="BF53" s="430"/>
      <c r="BG53" s="307">
        <f t="shared" si="6"/>
        <v>21000</v>
      </c>
      <c r="BH53" s="307">
        <f t="shared" si="7"/>
        <v>33000</v>
      </c>
      <c r="BI53" s="307">
        <f t="shared" si="8"/>
        <v>75000</v>
      </c>
      <c r="BJ53" s="307">
        <f t="shared" si="9"/>
        <v>95000</v>
      </c>
      <c r="BK53" s="307">
        <f t="shared" si="10"/>
        <v>336000</v>
      </c>
      <c r="BL53" s="307">
        <f t="shared" si="11"/>
        <v>97140.5222400001</v>
      </c>
      <c r="BM53" s="429">
        <f t="shared" si="12"/>
        <v>657140.52224</v>
      </c>
      <c r="BN53" s="320">
        <f t="shared" si="13"/>
        <v>47559.4022</v>
      </c>
      <c r="BO53" s="321">
        <f t="shared" si="61"/>
        <v>657140.52224</v>
      </c>
      <c r="BP53" s="322">
        <f t="shared" si="15"/>
        <v>54761.7101866667</v>
      </c>
      <c r="BQ53" s="323"/>
      <c r="BR53" s="324"/>
      <c r="BS53" s="325"/>
      <c r="BT53" s="326"/>
      <c r="BU53" s="326"/>
      <c r="BV53" s="334"/>
      <c r="BW53" s="335"/>
    </row>
    <row r="54" s="245" customFormat="1" ht="181" customHeight="1" spans="1:75">
      <c r="A54" s="255">
        <v>53</v>
      </c>
      <c r="B54" s="70" t="s">
        <v>265</v>
      </c>
      <c r="C54" s="129" t="s">
        <v>143</v>
      </c>
      <c r="D54" s="129" t="s">
        <v>144</v>
      </c>
      <c r="E54" s="256" t="s">
        <v>113</v>
      </c>
      <c r="F54" s="256">
        <v>2008477330</v>
      </c>
      <c r="G54" s="257">
        <v>4432861</v>
      </c>
      <c r="H54" s="258">
        <f t="shared" si="64"/>
        <v>369405.083333333</v>
      </c>
      <c r="I54" s="258">
        <f t="shared" si="66"/>
        <v>43097.2597222222</v>
      </c>
      <c r="J54" s="258">
        <v>5000</v>
      </c>
      <c r="K54" s="258">
        <f>K53</f>
        <v>20833.33</v>
      </c>
      <c r="L54" s="258"/>
      <c r="M54" s="258">
        <v>2500</v>
      </c>
      <c r="N54" s="258"/>
      <c r="O54" s="258"/>
      <c r="P54" s="258"/>
      <c r="Q54" s="258"/>
      <c r="R54" s="258"/>
      <c r="S54" s="258"/>
      <c r="T54" s="258"/>
      <c r="U54" s="258">
        <v>383.33</v>
      </c>
      <c r="V54" s="258">
        <v>30000</v>
      </c>
      <c r="W54" s="265"/>
      <c r="X54" s="258"/>
      <c r="Y54" s="258"/>
      <c r="Z54" s="258"/>
      <c r="AA54" s="258"/>
      <c r="AB54" s="258"/>
      <c r="AC54" s="258"/>
      <c r="AD54" s="270"/>
      <c r="AE54" s="258"/>
      <c r="AF54" s="258">
        <v>250</v>
      </c>
      <c r="AG54" s="270">
        <f t="shared" si="16"/>
        <v>7388.10166666667</v>
      </c>
      <c r="AH54" s="270"/>
      <c r="AI54" s="278"/>
      <c r="AJ54" s="280"/>
      <c r="AK54" s="279"/>
      <c r="AL54" s="279">
        <v>1000</v>
      </c>
      <c r="AM54" s="281">
        <f>30000+35000</f>
        <v>65000</v>
      </c>
      <c r="AN54" s="258"/>
      <c r="AO54" s="299">
        <v>2000</v>
      </c>
      <c r="AP54" s="299"/>
      <c r="AQ54" s="299"/>
      <c r="AR54" s="299">
        <f t="shared" si="17"/>
        <v>9424.38006111111</v>
      </c>
      <c r="AS54" s="300"/>
      <c r="AT54" s="300"/>
      <c r="AU54" s="299">
        <f t="shared" si="67"/>
        <v>69140.7152533333</v>
      </c>
      <c r="AV54" s="299">
        <f t="shared" si="69"/>
        <v>471219.003055556</v>
      </c>
      <c r="AW54" s="299">
        <f>AU54+AR54+AQ54+AO54+AN54+AM54+AK54+AI54+AH54+AG54+AF54+AE54+AD54+AL54</f>
        <v>154203.196981111</v>
      </c>
      <c r="AX54" s="299"/>
      <c r="AY54" s="299"/>
      <c r="AZ54" s="299">
        <f t="shared" si="19"/>
        <v>317015.806074444</v>
      </c>
      <c r="BA54" s="429">
        <f t="shared" si="1"/>
        <v>5654628.03666667</v>
      </c>
      <c r="BB54" s="430">
        <f t="shared" si="2"/>
        <v>1330925.60733333</v>
      </c>
      <c r="BC54" s="307">
        <f t="shared" si="3"/>
        <v>0</v>
      </c>
      <c r="BD54" s="308">
        <f t="shared" si="4"/>
        <v>1330925.60733333</v>
      </c>
      <c r="BE54" s="313">
        <f t="shared" si="5"/>
        <v>4323702.42933333</v>
      </c>
      <c r="BF54" s="430"/>
      <c r="BG54" s="307">
        <f t="shared" si="6"/>
        <v>21000</v>
      </c>
      <c r="BH54" s="307">
        <f t="shared" si="7"/>
        <v>33000</v>
      </c>
      <c r="BI54" s="307">
        <f t="shared" si="8"/>
        <v>75000</v>
      </c>
      <c r="BJ54" s="307">
        <f t="shared" si="9"/>
        <v>95000</v>
      </c>
      <c r="BK54" s="307">
        <f t="shared" si="10"/>
        <v>336000</v>
      </c>
      <c r="BL54" s="307">
        <f t="shared" si="11"/>
        <v>269688.58304</v>
      </c>
      <c r="BM54" s="429">
        <f t="shared" si="12"/>
        <v>829688.58304</v>
      </c>
      <c r="BN54" s="320">
        <f t="shared" si="13"/>
        <v>56546.2803666667</v>
      </c>
      <c r="BO54" s="321">
        <f t="shared" si="61"/>
        <v>829688.58304</v>
      </c>
      <c r="BP54" s="322">
        <f t="shared" si="15"/>
        <v>69140.7152533333</v>
      </c>
      <c r="BQ54" s="323"/>
      <c r="BR54" s="324"/>
      <c r="BS54" s="325"/>
      <c r="BT54" s="326"/>
      <c r="BU54" s="326"/>
      <c r="BV54" s="334"/>
      <c r="BW54" s="335"/>
    </row>
    <row r="55" s="245" customFormat="1" ht="172.5" customHeight="1" spans="1:75">
      <c r="A55" s="255">
        <v>54</v>
      </c>
      <c r="B55" s="70" t="s">
        <v>268</v>
      </c>
      <c r="C55" s="129" t="s">
        <v>130</v>
      </c>
      <c r="D55" s="129" t="s">
        <v>272</v>
      </c>
      <c r="E55" s="256" t="s">
        <v>127</v>
      </c>
      <c r="F55" s="1469" t="s">
        <v>270</v>
      </c>
      <c r="G55" s="257">
        <v>2254203</v>
      </c>
      <c r="H55" s="258">
        <f>H58</f>
        <v>216707.166666667</v>
      </c>
      <c r="I55" s="258">
        <f t="shared" si="66"/>
        <v>25282.5027777778</v>
      </c>
      <c r="J55" s="258">
        <v>5000</v>
      </c>
      <c r="K55" s="258">
        <f>K54</f>
        <v>20833.33</v>
      </c>
      <c r="L55" s="258"/>
      <c r="M55" s="258">
        <v>2500</v>
      </c>
      <c r="N55" s="258"/>
      <c r="O55" s="258"/>
      <c r="P55" s="258"/>
      <c r="Q55" s="258"/>
      <c r="R55" s="258"/>
      <c r="S55" s="258"/>
      <c r="T55" s="258"/>
      <c r="U55" s="258">
        <v>383.33</v>
      </c>
      <c r="V55" s="258"/>
      <c r="W55" s="265"/>
      <c r="X55" s="258"/>
      <c r="Y55" s="258"/>
      <c r="Z55" s="258"/>
      <c r="AA55" s="258"/>
      <c r="AB55" s="258"/>
      <c r="AC55" s="258"/>
      <c r="AD55" s="270"/>
      <c r="AE55" s="258"/>
      <c r="AF55" s="258">
        <v>500</v>
      </c>
      <c r="AG55" s="270">
        <f t="shared" si="16"/>
        <v>4334.14333333333</v>
      </c>
      <c r="AH55" s="270"/>
      <c r="AI55" s="278"/>
      <c r="AJ55" s="279">
        <v>1000</v>
      </c>
      <c r="AK55" s="280"/>
      <c r="AL55" s="280"/>
      <c r="AM55" s="281"/>
      <c r="AN55" s="258"/>
      <c r="AO55" s="299">
        <v>1500</v>
      </c>
      <c r="AP55" s="299"/>
      <c r="AQ55" s="299"/>
      <c r="AR55" s="299">
        <f t="shared" si="17"/>
        <v>5414.12658888889</v>
      </c>
      <c r="AS55" s="300"/>
      <c r="AT55" s="300"/>
      <c r="AU55" s="299">
        <f t="shared" si="67"/>
        <v>32645.3300133333</v>
      </c>
      <c r="AV55" s="299">
        <f t="shared" ref="AV55" si="70">V55+U55+N55+M55+K55+J55+I55+H55</f>
        <v>270706.329444444</v>
      </c>
      <c r="AW55" s="299">
        <f>AU55+AR55+AQ55+AO55+AN55+AM55+AK55+AI55+AH55+AG55+AF55+AE55+AD55+AJ55</f>
        <v>45393.5999355555</v>
      </c>
      <c r="AX55" s="299"/>
      <c r="AY55" s="299"/>
      <c r="AZ55" s="299">
        <f t="shared" si="19"/>
        <v>225312.729508889</v>
      </c>
      <c r="BA55" s="429">
        <f t="shared" si="1"/>
        <v>3248475.95333333</v>
      </c>
      <c r="BB55" s="430">
        <f t="shared" si="2"/>
        <v>849695.190666667</v>
      </c>
      <c r="BC55" s="307">
        <f t="shared" si="3"/>
        <v>0</v>
      </c>
      <c r="BD55" s="308">
        <f t="shared" si="4"/>
        <v>849695.190666667</v>
      </c>
      <c r="BE55" s="313">
        <f t="shared" si="5"/>
        <v>2398780.76266667</v>
      </c>
      <c r="BF55" s="430"/>
      <c r="BG55" s="307">
        <f t="shared" si="6"/>
        <v>21000</v>
      </c>
      <c r="BH55" s="307">
        <f t="shared" si="7"/>
        <v>33000</v>
      </c>
      <c r="BI55" s="307">
        <f t="shared" si="8"/>
        <v>75000</v>
      </c>
      <c r="BJ55" s="307">
        <f t="shared" si="9"/>
        <v>95000</v>
      </c>
      <c r="BK55" s="307">
        <f t="shared" si="10"/>
        <v>167743.96016</v>
      </c>
      <c r="BL55" s="307" t="str">
        <f t="shared" si="11"/>
        <v/>
      </c>
      <c r="BM55" s="429">
        <f t="shared" si="12"/>
        <v>391743.96016</v>
      </c>
      <c r="BN55" s="320">
        <f t="shared" si="13"/>
        <v>32484.7595333333</v>
      </c>
      <c r="BO55" s="321">
        <f t="shared" si="61"/>
        <v>391743.96016</v>
      </c>
      <c r="BP55" s="322">
        <f t="shared" si="15"/>
        <v>32645.3300133333</v>
      </c>
      <c r="BQ55" s="323"/>
      <c r="BR55" s="324"/>
      <c r="BS55" s="325"/>
      <c r="BT55" s="326"/>
      <c r="BU55" s="326"/>
      <c r="BV55" s="334"/>
      <c r="BW55" s="335"/>
    </row>
    <row r="56" s="245" customFormat="1" ht="172.5" customHeight="1" spans="1:75">
      <c r="A56" s="255">
        <v>55</v>
      </c>
      <c r="B56" s="70" t="s">
        <v>2035</v>
      </c>
      <c r="C56" s="129" t="s">
        <v>130</v>
      </c>
      <c r="D56" s="129" t="s">
        <v>272</v>
      </c>
      <c r="E56" s="256" t="s">
        <v>127</v>
      </c>
      <c r="F56" s="1469" t="s">
        <v>2036</v>
      </c>
      <c r="G56" s="257">
        <f>H56*12</f>
        <v>2600486.04</v>
      </c>
      <c r="H56" s="258">
        <v>216707.17</v>
      </c>
      <c r="I56" s="258">
        <f t="shared" si="66"/>
        <v>25282.5031666667</v>
      </c>
      <c r="J56" s="258">
        <v>5000</v>
      </c>
      <c r="K56" s="258"/>
      <c r="L56" s="258"/>
      <c r="M56" s="258">
        <v>2500</v>
      </c>
      <c r="N56" s="258"/>
      <c r="O56" s="258"/>
      <c r="P56" s="258"/>
      <c r="Q56" s="258"/>
      <c r="R56" s="258"/>
      <c r="S56" s="258"/>
      <c r="T56" s="258"/>
      <c r="U56" s="258">
        <v>383.33</v>
      </c>
      <c r="V56" s="258"/>
      <c r="W56" s="265"/>
      <c r="X56" s="258"/>
      <c r="Y56" s="258"/>
      <c r="Z56" s="258"/>
      <c r="AA56" s="258"/>
      <c r="AB56" s="258"/>
      <c r="AC56" s="258"/>
      <c r="AD56" s="270"/>
      <c r="AE56" s="258"/>
      <c r="AF56" s="258">
        <v>2250</v>
      </c>
      <c r="AG56" s="270">
        <f t="shared" si="16"/>
        <v>4334.1434</v>
      </c>
      <c r="AH56" s="270"/>
      <c r="AI56" s="278"/>
      <c r="AJ56" s="280"/>
      <c r="AK56" s="280"/>
      <c r="AL56" s="284">
        <v>1000</v>
      </c>
      <c r="AM56" s="281">
        <v>10000</v>
      </c>
      <c r="AN56" s="258"/>
      <c r="AO56" s="299">
        <v>1500</v>
      </c>
      <c r="AP56" s="299"/>
      <c r="AQ56" s="299"/>
      <c r="AR56" s="299">
        <f t="shared" si="17"/>
        <v>4997.46006333333</v>
      </c>
      <c r="AS56" s="300"/>
      <c r="AT56" s="300"/>
      <c r="AU56" s="299">
        <f t="shared" si="67"/>
        <v>29145.3311986667</v>
      </c>
      <c r="AV56" s="299">
        <f t="shared" ref="AV56:AV57" si="71">W56+V56+U56+N56+M56+K56+J56+I56+H56</f>
        <v>249873.003166667</v>
      </c>
      <c r="AW56" s="299">
        <f t="shared" si="18"/>
        <v>52226.934662</v>
      </c>
      <c r="AX56" s="299"/>
      <c r="AY56" s="299"/>
      <c r="AZ56" s="299">
        <f t="shared" si="19"/>
        <v>197646.068504667</v>
      </c>
      <c r="BA56" s="429">
        <f t="shared" si="1"/>
        <v>2998476.038</v>
      </c>
      <c r="BB56" s="430">
        <f t="shared" si="2"/>
        <v>799695.2076</v>
      </c>
      <c r="BC56" s="307">
        <f t="shared" si="3"/>
        <v>0</v>
      </c>
      <c r="BD56" s="308">
        <f t="shared" si="4"/>
        <v>799695.2076</v>
      </c>
      <c r="BE56" s="313">
        <f t="shared" si="5"/>
        <v>2198780.8304</v>
      </c>
      <c r="BF56" s="430"/>
      <c r="BG56" s="307">
        <f t="shared" si="6"/>
        <v>21000</v>
      </c>
      <c r="BH56" s="307">
        <f t="shared" si="7"/>
        <v>33000</v>
      </c>
      <c r="BI56" s="307">
        <f t="shared" si="8"/>
        <v>75000</v>
      </c>
      <c r="BJ56" s="307">
        <f t="shared" si="9"/>
        <v>95000</v>
      </c>
      <c r="BK56" s="307">
        <f t="shared" si="10"/>
        <v>125743.974384</v>
      </c>
      <c r="BL56" s="307" t="str">
        <f t="shared" si="11"/>
        <v/>
      </c>
      <c r="BM56" s="429">
        <f t="shared" si="12"/>
        <v>349743.974384</v>
      </c>
      <c r="BN56" s="320">
        <f t="shared" si="13"/>
        <v>29984.76038</v>
      </c>
      <c r="BO56" s="321">
        <f t="shared" si="61"/>
        <v>349743.974384</v>
      </c>
      <c r="BP56" s="322">
        <f t="shared" si="15"/>
        <v>29145.3311986667</v>
      </c>
      <c r="BQ56" s="323"/>
      <c r="BR56" s="324"/>
      <c r="BS56" s="325"/>
      <c r="BT56" s="326"/>
      <c r="BU56" s="326"/>
      <c r="BV56" s="334"/>
      <c r="BW56" s="335"/>
    </row>
    <row r="57" s="245" customFormat="1" ht="184" customHeight="1" spans="1:75">
      <c r="A57" s="255">
        <v>56</v>
      </c>
      <c r="B57" s="70" t="s">
        <v>271</v>
      </c>
      <c r="C57" s="129" t="s">
        <v>130</v>
      </c>
      <c r="D57" s="129" t="s">
        <v>272</v>
      </c>
      <c r="E57" s="256" t="s">
        <v>145</v>
      </c>
      <c r="F57" s="1469" t="s">
        <v>273</v>
      </c>
      <c r="G57" s="257">
        <f>H57*12</f>
        <v>2600486.04</v>
      </c>
      <c r="H57" s="258">
        <v>216707.17</v>
      </c>
      <c r="I57" s="258">
        <f t="shared" si="66"/>
        <v>25282.5031666667</v>
      </c>
      <c r="J57" s="258">
        <v>5000</v>
      </c>
      <c r="K57" s="258"/>
      <c r="L57" s="258"/>
      <c r="M57" s="258">
        <v>2500</v>
      </c>
      <c r="N57" s="258"/>
      <c r="O57" s="258"/>
      <c r="P57" s="258"/>
      <c r="Q57" s="258"/>
      <c r="R57" s="258"/>
      <c r="S57" s="258"/>
      <c r="T57" s="258"/>
      <c r="U57" s="258">
        <v>383.33</v>
      </c>
      <c r="V57" s="258"/>
      <c r="W57" s="265"/>
      <c r="X57" s="258"/>
      <c r="Y57" s="258"/>
      <c r="Z57" s="258"/>
      <c r="AA57" s="258"/>
      <c r="AB57" s="258"/>
      <c r="AC57" s="258"/>
      <c r="AD57" s="270"/>
      <c r="AE57" s="258"/>
      <c r="AF57" s="258"/>
      <c r="AG57" s="270">
        <f t="shared" si="16"/>
        <v>4334.1434</v>
      </c>
      <c r="AH57" s="270"/>
      <c r="AI57" s="278"/>
      <c r="AJ57" s="280"/>
      <c r="AK57" s="280"/>
      <c r="AL57" s="284">
        <v>1000</v>
      </c>
      <c r="AM57" s="281">
        <f>44709+10700</f>
        <v>55409</v>
      </c>
      <c r="AN57" s="258">
        <v>7500</v>
      </c>
      <c r="AO57" s="299">
        <v>1500</v>
      </c>
      <c r="AP57" s="299"/>
      <c r="AQ57" s="299"/>
      <c r="AR57" s="299">
        <f t="shared" si="17"/>
        <v>4997.46006333333</v>
      </c>
      <c r="AS57" s="300"/>
      <c r="AT57" s="300"/>
      <c r="AU57" s="299">
        <f t="shared" si="67"/>
        <v>29145.3311986667</v>
      </c>
      <c r="AV57" s="299">
        <f t="shared" si="71"/>
        <v>249873.003166667</v>
      </c>
      <c r="AW57" s="299">
        <f>AU57+AR57+AQ57+AO57+AN57+AM57+AK57+AI57+AH57+AG57+AF57+AE57+AD57+AL57</f>
        <v>103885.934662</v>
      </c>
      <c r="AX57" s="299"/>
      <c r="AY57" s="299"/>
      <c r="AZ57" s="299">
        <f t="shared" si="19"/>
        <v>145987.068504667</v>
      </c>
      <c r="BA57" s="429">
        <f t="shared" si="1"/>
        <v>2998476.038</v>
      </c>
      <c r="BB57" s="430">
        <f t="shared" si="2"/>
        <v>799695.2076</v>
      </c>
      <c r="BC57" s="307">
        <f t="shared" si="3"/>
        <v>0</v>
      </c>
      <c r="BD57" s="308">
        <f t="shared" si="4"/>
        <v>799695.2076</v>
      </c>
      <c r="BE57" s="313">
        <f t="shared" si="5"/>
        <v>2198780.8304</v>
      </c>
      <c r="BF57" s="430"/>
      <c r="BG57" s="307">
        <f t="shared" si="6"/>
        <v>21000</v>
      </c>
      <c r="BH57" s="307">
        <f t="shared" si="7"/>
        <v>33000</v>
      </c>
      <c r="BI57" s="307">
        <f t="shared" si="8"/>
        <v>75000</v>
      </c>
      <c r="BJ57" s="307">
        <f t="shared" si="9"/>
        <v>95000</v>
      </c>
      <c r="BK57" s="307">
        <f t="shared" si="10"/>
        <v>125743.974384</v>
      </c>
      <c r="BL57" s="307" t="str">
        <f t="shared" si="11"/>
        <v/>
      </c>
      <c r="BM57" s="429">
        <f t="shared" si="12"/>
        <v>349743.974384</v>
      </c>
      <c r="BN57" s="320">
        <f t="shared" si="13"/>
        <v>29984.76038</v>
      </c>
      <c r="BO57" s="321">
        <f t="shared" si="61"/>
        <v>349743.974384</v>
      </c>
      <c r="BP57" s="322">
        <f t="shared" si="15"/>
        <v>29145.3311986667</v>
      </c>
      <c r="BQ57" s="323"/>
      <c r="BR57" s="324"/>
      <c r="BS57" s="325"/>
      <c r="BT57" s="326"/>
      <c r="BU57" s="326"/>
      <c r="BV57" s="334"/>
      <c r="BW57" s="335"/>
    </row>
    <row r="58" s="245" customFormat="1" ht="172.5" customHeight="1" spans="1:75">
      <c r="A58" s="255">
        <v>57</v>
      </c>
      <c r="B58" s="70" t="s">
        <v>274</v>
      </c>
      <c r="C58" s="129" t="s">
        <v>130</v>
      </c>
      <c r="D58" s="129" t="s">
        <v>272</v>
      </c>
      <c r="E58" s="256" t="s">
        <v>127</v>
      </c>
      <c r="F58" s="1469" t="s">
        <v>277</v>
      </c>
      <c r="G58" s="257">
        <f>G77</f>
        <v>2600486</v>
      </c>
      <c r="H58" s="258">
        <f t="shared" si="64"/>
        <v>216707.166666667</v>
      </c>
      <c r="I58" s="258">
        <f t="shared" si="66"/>
        <v>25282.5027777778</v>
      </c>
      <c r="J58" s="258">
        <v>5000</v>
      </c>
      <c r="K58" s="258"/>
      <c r="L58" s="258"/>
      <c r="M58" s="258">
        <v>2500</v>
      </c>
      <c r="N58" s="258"/>
      <c r="O58" s="258"/>
      <c r="P58" s="258"/>
      <c r="Q58" s="258"/>
      <c r="R58" s="258"/>
      <c r="S58" s="258"/>
      <c r="T58" s="258"/>
      <c r="U58" s="258">
        <v>383.33</v>
      </c>
      <c r="V58" s="258"/>
      <c r="W58" s="265"/>
      <c r="X58" s="258"/>
      <c r="Y58" s="258"/>
      <c r="Z58" s="258"/>
      <c r="AA58" s="258"/>
      <c r="AB58" s="258"/>
      <c r="AC58" s="258"/>
      <c r="AD58" s="270"/>
      <c r="AE58" s="258"/>
      <c r="AF58" s="258">
        <v>4000</v>
      </c>
      <c r="AG58" s="270">
        <f t="shared" si="16"/>
        <v>4334.14333333333</v>
      </c>
      <c r="AH58" s="270"/>
      <c r="AI58" s="278"/>
      <c r="AJ58" s="280"/>
      <c r="AK58" s="280"/>
      <c r="AL58" s="284">
        <v>1000</v>
      </c>
      <c r="AM58" s="281">
        <v>85625</v>
      </c>
      <c r="AN58" s="258">
        <v>10000</v>
      </c>
      <c r="AO58" s="299">
        <v>1500</v>
      </c>
      <c r="AP58" s="299"/>
      <c r="AQ58" s="299"/>
      <c r="AR58" s="299">
        <f t="shared" si="17"/>
        <v>4997.45998888889</v>
      </c>
      <c r="AS58" s="300"/>
      <c r="AT58" s="300"/>
      <c r="AU58" s="299">
        <f t="shared" si="67"/>
        <v>29145.3305733333</v>
      </c>
      <c r="AV58" s="299">
        <f t="shared" ref="AV58" si="72">V58+U58+N58+M58+K58+J58+I58+H58</f>
        <v>249872.999444444</v>
      </c>
      <c r="AW58" s="299">
        <f>AU58+AR58+AQ58+AO58+AN58+AM58+AK58+AI58+AH58+AG58+AF58+AE58+AD58+AL58</f>
        <v>140601.933895556</v>
      </c>
      <c r="AX58" s="299"/>
      <c r="AY58" s="299"/>
      <c r="AZ58" s="299">
        <f t="shared" si="19"/>
        <v>109271.065548889</v>
      </c>
      <c r="BA58" s="429">
        <f t="shared" si="1"/>
        <v>2998475.99333333</v>
      </c>
      <c r="BB58" s="430">
        <f t="shared" si="2"/>
        <v>799695.198666667</v>
      </c>
      <c r="BC58" s="307">
        <f t="shared" si="3"/>
        <v>0</v>
      </c>
      <c r="BD58" s="308">
        <f t="shared" si="4"/>
        <v>799695.198666667</v>
      </c>
      <c r="BE58" s="313">
        <f t="shared" si="5"/>
        <v>2198780.79466667</v>
      </c>
      <c r="BF58" s="430"/>
      <c r="BG58" s="307">
        <f t="shared" si="6"/>
        <v>21000</v>
      </c>
      <c r="BH58" s="307">
        <f t="shared" si="7"/>
        <v>33000</v>
      </c>
      <c r="BI58" s="307">
        <f t="shared" si="8"/>
        <v>75000</v>
      </c>
      <c r="BJ58" s="307">
        <f t="shared" si="9"/>
        <v>95000</v>
      </c>
      <c r="BK58" s="307">
        <f t="shared" si="10"/>
        <v>125743.96688</v>
      </c>
      <c r="BL58" s="307" t="str">
        <f t="shared" si="11"/>
        <v/>
      </c>
      <c r="BM58" s="429">
        <f t="shared" si="12"/>
        <v>349743.96688</v>
      </c>
      <c r="BN58" s="320">
        <f t="shared" si="13"/>
        <v>29984.7599333333</v>
      </c>
      <c r="BO58" s="321">
        <f t="shared" si="61"/>
        <v>349743.96688</v>
      </c>
      <c r="BP58" s="322">
        <f t="shared" si="15"/>
        <v>29145.3305733333</v>
      </c>
      <c r="BQ58" s="323"/>
      <c r="BR58" s="324"/>
      <c r="BS58" s="325"/>
      <c r="BT58" s="326"/>
      <c r="BU58" s="326"/>
      <c r="BV58" s="334"/>
      <c r="BW58" s="335"/>
    </row>
    <row r="59" s="245" customFormat="1" ht="172.5" customHeight="1" spans="1:75">
      <c r="A59" s="255">
        <v>58</v>
      </c>
      <c r="B59" s="70" t="s">
        <v>278</v>
      </c>
      <c r="C59" s="129" t="s">
        <v>221</v>
      </c>
      <c r="D59" s="129" t="s">
        <v>430</v>
      </c>
      <c r="E59" s="256" t="s">
        <v>127</v>
      </c>
      <c r="F59" s="1469" t="s">
        <v>281</v>
      </c>
      <c r="G59" s="257">
        <v>2048214</v>
      </c>
      <c r="H59" s="258">
        <f t="shared" si="64"/>
        <v>170684.5</v>
      </c>
      <c r="I59" s="258">
        <f t="shared" si="66"/>
        <v>19913.1916666667</v>
      </c>
      <c r="J59" s="258">
        <v>5000</v>
      </c>
      <c r="K59" s="258"/>
      <c r="L59" s="258"/>
      <c r="M59" s="258">
        <v>2500</v>
      </c>
      <c r="N59" s="258"/>
      <c r="O59" s="258"/>
      <c r="P59" s="258"/>
      <c r="Q59" s="258"/>
      <c r="R59" s="258"/>
      <c r="S59" s="258"/>
      <c r="T59" s="258"/>
      <c r="U59" s="258">
        <v>383.33</v>
      </c>
      <c r="V59" s="258"/>
      <c r="W59" s="265"/>
      <c r="X59" s="258"/>
      <c r="Y59" s="258"/>
      <c r="Z59" s="258"/>
      <c r="AA59" s="258"/>
      <c r="AB59" s="258"/>
      <c r="AC59" s="258"/>
      <c r="AD59" s="270"/>
      <c r="AE59" s="258"/>
      <c r="AF59" s="258">
        <v>4500</v>
      </c>
      <c r="AG59" s="270">
        <f t="shared" si="16"/>
        <v>3413.69</v>
      </c>
      <c r="AH59" s="270"/>
      <c r="AI59" s="278"/>
      <c r="AJ59" s="280"/>
      <c r="AK59" s="280"/>
      <c r="AL59" s="280"/>
      <c r="AM59" s="281">
        <f>10000+22750</f>
        <v>32750</v>
      </c>
      <c r="AN59" s="258"/>
      <c r="AO59" s="299">
        <v>1000</v>
      </c>
      <c r="AP59" s="299"/>
      <c r="AQ59" s="299"/>
      <c r="AR59" s="299">
        <f t="shared" si="17"/>
        <v>3969.62043333333</v>
      </c>
      <c r="AS59" s="300"/>
      <c r="AT59" s="300"/>
      <c r="AU59" s="299">
        <f t="shared" si="67"/>
        <v>20511.4783066667</v>
      </c>
      <c r="AV59" s="299">
        <f t="shared" ref="AV59:AV60" si="73">W59+V59+U59+N59+M59+K59+J59+I59+H59</f>
        <v>198481.021666667</v>
      </c>
      <c r="AW59" s="299">
        <f t="shared" si="18"/>
        <v>66144.78874</v>
      </c>
      <c r="AX59" s="299"/>
      <c r="AY59" s="299"/>
      <c r="AZ59" s="299">
        <f t="shared" si="19"/>
        <v>132336.232926667</v>
      </c>
      <c r="BA59" s="429">
        <f t="shared" si="1"/>
        <v>2381772.26</v>
      </c>
      <c r="BB59" s="430">
        <f t="shared" si="2"/>
        <v>676354.452</v>
      </c>
      <c r="BC59" s="307">
        <f t="shared" si="3"/>
        <v>0</v>
      </c>
      <c r="BD59" s="308">
        <f t="shared" si="4"/>
        <v>676354.452</v>
      </c>
      <c r="BE59" s="313">
        <f t="shared" si="5"/>
        <v>1705417.808</v>
      </c>
      <c r="BF59" s="430"/>
      <c r="BG59" s="307">
        <f t="shared" si="6"/>
        <v>21000</v>
      </c>
      <c r="BH59" s="307">
        <f t="shared" si="7"/>
        <v>33000</v>
      </c>
      <c r="BI59" s="307">
        <f t="shared" si="8"/>
        <v>75000</v>
      </c>
      <c r="BJ59" s="307">
        <f t="shared" si="9"/>
        <v>95000</v>
      </c>
      <c r="BK59" s="307">
        <f t="shared" si="10"/>
        <v>22137.7396799999</v>
      </c>
      <c r="BL59" s="307" t="str">
        <f t="shared" si="11"/>
        <v/>
      </c>
      <c r="BM59" s="429">
        <f t="shared" si="12"/>
        <v>246137.73968</v>
      </c>
      <c r="BN59" s="320">
        <f t="shared" si="13"/>
        <v>23817.7226</v>
      </c>
      <c r="BO59" s="321">
        <f t="shared" si="61"/>
        <v>246137.73968</v>
      </c>
      <c r="BP59" s="322">
        <f t="shared" si="15"/>
        <v>20511.4783066667</v>
      </c>
      <c r="BQ59" s="323"/>
      <c r="BR59" s="324"/>
      <c r="BS59" s="325"/>
      <c r="BT59" s="326"/>
      <c r="BU59" s="326"/>
      <c r="BV59" s="334"/>
      <c r="BW59" s="335"/>
    </row>
    <row r="60" s="245" customFormat="1" ht="172.5" customHeight="1" spans="1:75">
      <c r="A60" s="255">
        <v>59</v>
      </c>
      <c r="B60" s="70" t="s">
        <v>282</v>
      </c>
      <c r="C60" s="129" t="s">
        <v>130</v>
      </c>
      <c r="D60" s="129" t="s">
        <v>272</v>
      </c>
      <c r="E60" s="256" t="s">
        <v>97</v>
      </c>
      <c r="F60" s="1469" t="s">
        <v>2037</v>
      </c>
      <c r="G60" s="257">
        <f>G58</f>
        <v>2600486</v>
      </c>
      <c r="H60" s="258">
        <f t="shared" si="64"/>
        <v>216707.166666667</v>
      </c>
      <c r="I60" s="258">
        <f t="shared" si="66"/>
        <v>25282.5027777778</v>
      </c>
      <c r="J60" s="258">
        <v>5000</v>
      </c>
      <c r="K60" s="258"/>
      <c r="L60" s="258"/>
      <c r="M60" s="258">
        <v>2500</v>
      </c>
      <c r="N60" s="258"/>
      <c r="O60" s="258"/>
      <c r="P60" s="258"/>
      <c r="Q60" s="258"/>
      <c r="R60" s="258"/>
      <c r="S60" s="258"/>
      <c r="T60" s="258"/>
      <c r="U60" s="258">
        <v>383.33</v>
      </c>
      <c r="V60" s="258"/>
      <c r="W60" s="265"/>
      <c r="X60" s="258"/>
      <c r="Y60" s="258"/>
      <c r="Z60" s="258"/>
      <c r="AA60" s="258"/>
      <c r="AB60" s="258"/>
      <c r="AC60" s="258"/>
      <c r="AD60" s="270"/>
      <c r="AE60" s="258"/>
      <c r="AF60" s="258">
        <v>3010</v>
      </c>
      <c r="AG60" s="270">
        <f t="shared" si="16"/>
        <v>4334.14333333333</v>
      </c>
      <c r="AH60" s="270">
        <f>10000</f>
        <v>10000</v>
      </c>
      <c r="AI60" s="278"/>
      <c r="AJ60" s="280"/>
      <c r="AK60" s="280"/>
      <c r="AL60" s="284">
        <v>1000</v>
      </c>
      <c r="AM60" s="281">
        <f>12500+26250+109375</f>
        <v>148125</v>
      </c>
      <c r="AN60" s="258">
        <v>7500</v>
      </c>
      <c r="AO60" s="299">
        <v>1500</v>
      </c>
      <c r="AP60" s="299"/>
      <c r="AQ60" s="299"/>
      <c r="AR60" s="299">
        <f t="shared" si="17"/>
        <v>4997.45998888889</v>
      </c>
      <c r="AS60" s="300"/>
      <c r="AT60" s="300"/>
      <c r="AU60" s="299">
        <f t="shared" si="67"/>
        <v>29145.3305733333</v>
      </c>
      <c r="AV60" s="299">
        <f t="shared" si="73"/>
        <v>249872.999444444</v>
      </c>
      <c r="AW60" s="299">
        <f>AU60+AR60+AQ60+AO60+AN60+AM60+AK60+AI60+AH60+AG60+AF60+AE60+AD60+AL60</f>
        <v>209611.933895556</v>
      </c>
      <c r="AX60" s="299"/>
      <c r="AY60" s="299"/>
      <c r="AZ60" s="299">
        <f t="shared" si="19"/>
        <v>40261.0655488889</v>
      </c>
      <c r="BA60" s="429">
        <f t="shared" si="1"/>
        <v>2998475.99333333</v>
      </c>
      <c r="BB60" s="430">
        <f t="shared" si="2"/>
        <v>799695.198666667</v>
      </c>
      <c r="BC60" s="307">
        <f t="shared" si="3"/>
        <v>0</v>
      </c>
      <c r="BD60" s="308">
        <f t="shared" si="4"/>
        <v>799695.198666667</v>
      </c>
      <c r="BE60" s="313">
        <f t="shared" si="5"/>
        <v>2198780.79466667</v>
      </c>
      <c r="BF60" s="430"/>
      <c r="BG60" s="307">
        <f t="shared" si="6"/>
        <v>21000</v>
      </c>
      <c r="BH60" s="307">
        <f t="shared" si="7"/>
        <v>33000</v>
      </c>
      <c r="BI60" s="307">
        <f t="shared" si="8"/>
        <v>75000</v>
      </c>
      <c r="BJ60" s="307">
        <f t="shared" si="9"/>
        <v>95000</v>
      </c>
      <c r="BK60" s="307">
        <f t="shared" si="10"/>
        <v>125743.96688</v>
      </c>
      <c r="BL60" s="307" t="str">
        <f t="shared" si="11"/>
        <v/>
      </c>
      <c r="BM60" s="429">
        <f t="shared" si="12"/>
        <v>349743.96688</v>
      </c>
      <c r="BN60" s="320">
        <f t="shared" si="13"/>
        <v>29984.7599333333</v>
      </c>
      <c r="BO60" s="321">
        <f t="shared" si="61"/>
        <v>349743.96688</v>
      </c>
      <c r="BP60" s="322">
        <f t="shared" si="15"/>
        <v>29145.3305733333</v>
      </c>
      <c r="BQ60" s="323"/>
      <c r="BR60" s="324"/>
      <c r="BS60" s="325"/>
      <c r="BT60" s="326"/>
      <c r="BU60" s="326"/>
      <c r="BV60" s="334"/>
      <c r="BW60" s="335"/>
    </row>
    <row r="61" s="245" customFormat="1" ht="180" customHeight="1" spans="1:75">
      <c r="A61" s="255">
        <v>60</v>
      </c>
      <c r="B61" s="70" t="s">
        <v>285</v>
      </c>
      <c r="C61" s="129" t="s">
        <v>155</v>
      </c>
      <c r="D61" s="129" t="s">
        <v>2038</v>
      </c>
      <c r="E61" s="256" t="s">
        <v>135</v>
      </c>
      <c r="F61" s="1469" t="s">
        <v>288</v>
      </c>
      <c r="G61" s="257">
        <v>3125980</v>
      </c>
      <c r="H61" s="258">
        <f t="shared" si="64"/>
        <v>260498.333333333</v>
      </c>
      <c r="I61" s="258">
        <f t="shared" si="66"/>
        <v>30391.4722222222</v>
      </c>
      <c r="J61" s="258">
        <v>5000</v>
      </c>
      <c r="K61" s="258"/>
      <c r="L61" s="258"/>
      <c r="M61" s="258">
        <v>2500</v>
      </c>
      <c r="N61" s="258"/>
      <c r="O61" s="258"/>
      <c r="P61" s="258"/>
      <c r="Q61" s="258"/>
      <c r="R61" s="258"/>
      <c r="S61" s="258"/>
      <c r="T61" s="258"/>
      <c r="U61" s="258">
        <v>383.33</v>
      </c>
      <c r="V61" s="258"/>
      <c r="W61" s="265"/>
      <c r="X61" s="258"/>
      <c r="Y61" s="258"/>
      <c r="Z61" s="258"/>
      <c r="AA61" s="258"/>
      <c r="AB61" s="258"/>
      <c r="AC61" s="258"/>
      <c r="AD61" s="270"/>
      <c r="AE61" s="258"/>
      <c r="AF61" s="258">
        <v>750</v>
      </c>
      <c r="AG61" s="270">
        <f t="shared" si="16"/>
        <v>5209.96666666667</v>
      </c>
      <c r="AH61" s="270"/>
      <c r="AI61" s="278"/>
      <c r="AJ61" s="278"/>
      <c r="AK61" s="278"/>
      <c r="AL61" s="284">
        <v>1000</v>
      </c>
      <c r="AM61" s="281">
        <v>56250</v>
      </c>
      <c r="AN61" s="258">
        <v>15000</v>
      </c>
      <c r="AO61" s="299">
        <v>1500</v>
      </c>
      <c r="AP61" s="299"/>
      <c r="AQ61" s="299"/>
      <c r="AR61" s="299">
        <f t="shared" si="17"/>
        <v>5975.46271111111</v>
      </c>
      <c r="AS61" s="300"/>
      <c r="AT61" s="300"/>
      <c r="AU61" s="299">
        <f t="shared" si="67"/>
        <v>37360.55344</v>
      </c>
      <c r="AV61" s="299">
        <f>V61+U61+N61+M61+K61+J61+I61+H61</f>
        <v>298773.135555556</v>
      </c>
      <c r="AW61" s="299">
        <f>AU61+AR61+AO61+AN61+AM61+AL61</f>
        <v>117086.016151111</v>
      </c>
      <c r="AX61" s="299"/>
      <c r="AY61" s="299"/>
      <c r="AZ61" s="299">
        <f t="shared" si="19"/>
        <v>181687.119404444</v>
      </c>
      <c r="BA61" s="429">
        <f t="shared" si="1"/>
        <v>3585277.62666667</v>
      </c>
      <c r="BB61" s="430">
        <f t="shared" si="2"/>
        <v>917055.525333333</v>
      </c>
      <c r="BC61" s="307">
        <f t="shared" si="3"/>
        <v>0</v>
      </c>
      <c r="BD61" s="308">
        <f t="shared" si="4"/>
        <v>917055.525333333</v>
      </c>
      <c r="BE61" s="313">
        <f t="shared" si="5"/>
        <v>2668222.10133333</v>
      </c>
      <c r="BF61" s="430"/>
      <c r="BG61" s="307">
        <f t="shared" si="6"/>
        <v>21000</v>
      </c>
      <c r="BH61" s="307">
        <f t="shared" si="7"/>
        <v>33000</v>
      </c>
      <c r="BI61" s="307">
        <f t="shared" si="8"/>
        <v>75000</v>
      </c>
      <c r="BJ61" s="307">
        <f t="shared" si="9"/>
        <v>95000</v>
      </c>
      <c r="BK61" s="307">
        <f t="shared" si="10"/>
        <v>224326.64128</v>
      </c>
      <c r="BL61" s="307" t="str">
        <f t="shared" si="11"/>
        <v/>
      </c>
      <c r="BM61" s="429">
        <f t="shared" si="12"/>
        <v>448326.64128</v>
      </c>
      <c r="BN61" s="320">
        <f t="shared" si="13"/>
        <v>35852.7762666667</v>
      </c>
      <c r="BO61" s="321">
        <f t="shared" si="61"/>
        <v>448326.64128</v>
      </c>
      <c r="BP61" s="322">
        <f t="shared" si="15"/>
        <v>37360.55344</v>
      </c>
      <c r="BQ61" s="323"/>
      <c r="BR61" s="324"/>
      <c r="BS61" s="325"/>
      <c r="BT61" s="326"/>
      <c r="BU61" s="326"/>
      <c r="BV61" s="334"/>
      <c r="BW61" s="335"/>
    </row>
    <row r="62" s="245" customFormat="1" ht="184" customHeight="1" spans="1:75">
      <c r="A62" s="255">
        <v>61</v>
      </c>
      <c r="B62" s="70" t="s">
        <v>289</v>
      </c>
      <c r="C62" s="129" t="s">
        <v>130</v>
      </c>
      <c r="D62" s="129" t="s">
        <v>272</v>
      </c>
      <c r="E62" s="256" t="s">
        <v>113</v>
      </c>
      <c r="F62" s="256">
        <v>2022811512</v>
      </c>
      <c r="G62" s="257">
        <v>2600486</v>
      </c>
      <c r="H62" s="258">
        <f t="shared" si="64"/>
        <v>216707.166666667</v>
      </c>
      <c r="I62" s="258">
        <f t="shared" si="66"/>
        <v>25282.5027777778</v>
      </c>
      <c r="J62" s="258">
        <v>5000</v>
      </c>
      <c r="K62" s="258"/>
      <c r="L62" s="258"/>
      <c r="M62" s="258">
        <v>2500</v>
      </c>
      <c r="N62" s="258"/>
      <c r="O62" s="258"/>
      <c r="P62" s="258"/>
      <c r="Q62" s="258"/>
      <c r="R62" s="258"/>
      <c r="S62" s="258"/>
      <c r="T62" s="258"/>
      <c r="U62" s="258">
        <v>383.33</v>
      </c>
      <c r="V62" s="258"/>
      <c r="W62" s="265"/>
      <c r="X62" s="258"/>
      <c r="Y62" s="258"/>
      <c r="Z62" s="258"/>
      <c r="AA62" s="258"/>
      <c r="AB62" s="258"/>
      <c r="AC62" s="258"/>
      <c r="AD62" s="270"/>
      <c r="AE62" s="258"/>
      <c r="AF62" s="258"/>
      <c r="AG62" s="270">
        <f t="shared" si="16"/>
        <v>4334.14333333333</v>
      </c>
      <c r="AH62" s="270"/>
      <c r="AI62" s="285">
        <v>1000</v>
      </c>
      <c r="AJ62" s="286"/>
      <c r="AK62" s="286"/>
      <c r="AL62" s="286"/>
      <c r="AM62" s="281"/>
      <c r="AN62" s="258"/>
      <c r="AO62" s="299">
        <v>1500</v>
      </c>
      <c r="AP62" s="299"/>
      <c r="AQ62" s="299"/>
      <c r="AR62" s="299">
        <f t="shared" si="17"/>
        <v>4997.45998888889</v>
      </c>
      <c r="AS62" s="300"/>
      <c r="AT62" s="300"/>
      <c r="AU62" s="299">
        <f t="shared" si="67"/>
        <v>29145.3305733333</v>
      </c>
      <c r="AV62" s="299">
        <f t="shared" ref="AV62:AV63" si="74">W62+V62+U62+N62+M62+K62+J62+I62+H62</f>
        <v>249872.999444444</v>
      </c>
      <c r="AW62" s="299">
        <f t="shared" si="18"/>
        <v>40976.9338955556</v>
      </c>
      <c r="AX62" s="299"/>
      <c r="AY62" s="299"/>
      <c r="AZ62" s="299">
        <f t="shared" si="19"/>
        <v>208896.065548889</v>
      </c>
      <c r="BA62" s="429">
        <f t="shared" si="1"/>
        <v>2998475.99333333</v>
      </c>
      <c r="BB62" s="430">
        <f t="shared" si="2"/>
        <v>799695.198666667</v>
      </c>
      <c r="BC62" s="307">
        <f t="shared" si="3"/>
        <v>0</v>
      </c>
      <c r="BD62" s="308">
        <f t="shared" si="4"/>
        <v>799695.198666667</v>
      </c>
      <c r="BE62" s="313">
        <f t="shared" si="5"/>
        <v>2198780.79466667</v>
      </c>
      <c r="BF62" s="430"/>
      <c r="BG62" s="307">
        <f t="shared" si="6"/>
        <v>21000</v>
      </c>
      <c r="BH62" s="307">
        <f t="shared" si="7"/>
        <v>33000</v>
      </c>
      <c r="BI62" s="307">
        <f t="shared" si="8"/>
        <v>75000</v>
      </c>
      <c r="BJ62" s="307">
        <f t="shared" si="9"/>
        <v>95000</v>
      </c>
      <c r="BK62" s="307">
        <f t="shared" si="10"/>
        <v>125743.96688</v>
      </c>
      <c r="BL62" s="307" t="str">
        <f t="shared" si="11"/>
        <v/>
      </c>
      <c r="BM62" s="429">
        <f t="shared" si="12"/>
        <v>349743.96688</v>
      </c>
      <c r="BN62" s="320">
        <f t="shared" si="13"/>
        <v>29984.7599333333</v>
      </c>
      <c r="BO62" s="321">
        <f t="shared" si="61"/>
        <v>349743.96688</v>
      </c>
      <c r="BP62" s="322">
        <f t="shared" si="15"/>
        <v>29145.3305733333</v>
      </c>
      <c r="BQ62" s="323"/>
      <c r="BR62" s="324"/>
      <c r="BS62" s="325"/>
      <c r="BT62" s="326"/>
      <c r="BU62" s="326"/>
      <c r="BV62" s="334"/>
      <c r="BW62" s="335"/>
    </row>
    <row r="63" s="245" customFormat="1" ht="172.5" customHeight="1" spans="1:75">
      <c r="A63" s="255">
        <v>62</v>
      </c>
      <c r="B63" s="70" t="s">
        <v>290</v>
      </c>
      <c r="C63" s="129" t="s">
        <v>130</v>
      </c>
      <c r="D63" s="129" t="s">
        <v>272</v>
      </c>
      <c r="E63" s="256" t="s">
        <v>145</v>
      </c>
      <c r="F63" s="1469" t="s">
        <v>292</v>
      </c>
      <c r="G63" s="257">
        <v>2254203</v>
      </c>
      <c r="H63" s="258">
        <v>216707.17</v>
      </c>
      <c r="I63" s="258">
        <f t="shared" si="66"/>
        <v>25282.5031666667</v>
      </c>
      <c r="J63" s="258">
        <v>5000</v>
      </c>
      <c r="K63" s="258"/>
      <c r="L63" s="258"/>
      <c r="M63" s="258">
        <v>2500</v>
      </c>
      <c r="N63" s="258"/>
      <c r="O63" s="258"/>
      <c r="P63" s="258"/>
      <c r="Q63" s="258"/>
      <c r="R63" s="258"/>
      <c r="S63" s="258"/>
      <c r="T63" s="258"/>
      <c r="U63" s="258">
        <v>383.33</v>
      </c>
      <c r="V63" s="258"/>
      <c r="W63" s="265"/>
      <c r="X63" s="258"/>
      <c r="Y63" s="258"/>
      <c r="Z63" s="258"/>
      <c r="AA63" s="258"/>
      <c r="AB63" s="258"/>
      <c r="AC63" s="258"/>
      <c r="AD63" s="270"/>
      <c r="AE63" s="258"/>
      <c r="AF63" s="258"/>
      <c r="AG63" s="270">
        <f t="shared" si="16"/>
        <v>4334.1434</v>
      </c>
      <c r="AH63" s="270"/>
      <c r="AI63" s="278"/>
      <c r="AJ63" s="280"/>
      <c r="AK63" s="345"/>
      <c r="AL63" s="284">
        <v>1000</v>
      </c>
      <c r="AM63" s="281"/>
      <c r="AN63" s="258">
        <v>7500</v>
      </c>
      <c r="AO63" s="299">
        <v>1500</v>
      </c>
      <c r="AP63" s="299"/>
      <c r="AQ63" s="299"/>
      <c r="AR63" s="299">
        <f t="shared" si="17"/>
        <v>4997.46006333333</v>
      </c>
      <c r="AS63" s="300"/>
      <c r="AT63" s="300"/>
      <c r="AU63" s="299">
        <f t="shared" si="67"/>
        <v>29145.3311986667</v>
      </c>
      <c r="AV63" s="299">
        <f t="shared" si="74"/>
        <v>249873.003166667</v>
      </c>
      <c r="AW63" s="299">
        <f>AU63+AR63+AQ63+AO63+AN63+AM63+AK63+AI63+AH63+AG63+AF63+AE63+AD63+AL63</f>
        <v>48476.934662</v>
      </c>
      <c r="AX63" s="299"/>
      <c r="AY63" s="299"/>
      <c r="AZ63" s="299">
        <f t="shared" si="19"/>
        <v>201396.068504667</v>
      </c>
      <c r="BA63" s="429">
        <f t="shared" si="1"/>
        <v>2998476.038</v>
      </c>
      <c r="BB63" s="430">
        <f t="shared" si="2"/>
        <v>799695.2076</v>
      </c>
      <c r="BC63" s="307">
        <f t="shared" si="3"/>
        <v>0</v>
      </c>
      <c r="BD63" s="308">
        <f t="shared" si="4"/>
        <v>799695.2076</v>
      </c>
      <c r="BE63" s="313">
        <f t="shared" si="5"/>
        <v>2198780.8304</v>
      </c>
      <c r="BF63" s="430"/>
      <c r="BG63" s="307">
        <f t="shared" si="6"/>
        <v>21000</v>
      </c>
      <c r="BH63" s="307">
        <f t="shared" si="7"/>
        <v>33000</v>
      </c>
      <c r="BI63" s="307">
        <f t="shared" si="8"/>
        <v>75000</v>
      </c>
      <c r="BJ63" s="307">
        <f t="shared" si="9"/>
        <v>95000</v>
      </c>
      <c r="BK63" s="307">
        <f t="shared" si="10"/>
        <v>125743.974384</v>
      </c>
      <c r="BL63" s="307" t="str">
        <f t="shared" si="11"/>
        <v/>
      </c>
      <c r="BM63" s="429">
        <f t="shared" si="12"/>
        <v>349743.974384</v>
      </c>
      <c r="BN63" s="320">
        <f t="shared" si="13"/>
        <v>29984.76038</v>
      </c>
      <c r="BO63" s="321">
        <f t="shared" si="61"/>
        <v>349743.974384</v>
      </c>
      <c r="BP63" s="322">
        <f t="shared" si="15"/>
        <v>29145.3311986667</v>
      </c>
      <c r="BQ63" s="323"/>
      <c r="BR63" s="324"/>
      <c r="BS63" s="325"/>
      <c r="BT63" s="326"/>
      <c r="BU63" s="326"/>
      <c r="BV63" s="334"/>
      <c r="BW63" s="335"/>
    </row>
    <row r="64" s="245" customFormat="1" ht="182" customHeight="1" spans="1:75">
      <c r="A64" s="255">
        <v>63</v>
      </c>
      <c r="B64" s="70" t="s">
        <v>293</v>
      </c>
      <c r="C64" s="129" t="s">
        <v>204</v>
      </c>
      <c r="D64" s="129" t="s">
        <v>208</v>
      </c>
      <c r="E64" s="256" t="s">
        <v>135</v>
      </c>
      <c r="F64" s="1469" t="s">
        <v>295</v>
      </c>
      <c r="G64" s="257">
        <v>2035373</v>
      </c>
      <c r="H64" s="258">
        <f t="shared" ref="H64:H81" si="75">G64/12</f>
        <v>169614.416666667</v>
      </c>
      <c r="I64" s="258">
        <f t="shared" si="66"/>
        <v>19788.3486111111</v>
      </c>
      <c r="J64" s="258">
        <v>5000</v>
      </c>
      <c r="K64" s="258"/>
      <c r="L64" s="258"/>
      <c r="M64" s="258">
        <v>2500</v>
      </c>
      <c r="N64" s="258">
        <v>3125.67</v>
      </c>
      <c r="O64" s="258"/>
      <c r="P64" s="258"/>
      <c r="Q64" s="258"/>
      <c r="R64" s="258"/>
      <c r="S64" s="258"/>
      <c r="T64" s="258"/>
      <c r="U64" s="258">
        <v>383.33</v>
      </c>
      <c r="V64" s="258"/>
      <c r="W64" s="265"/>
      <c r="X64" s="258"/>
      <c r="Y64" s="258"/>
      <c r="Z64" s="258"/>
      <c r="AA64" s="258"/>
      <c r="AB64" s="258"/>
      <c r="AC64" s="258"/>
      <c r="AD64" s="270"/>
      <c r="AE64" s="258"/>
      <c r="AF64" s="258">
        <v>750</v>
      </c>
      <c r="AG64" s="270">
        <f t="shared" si="16"/>
        <v>3392.28833333333</v>
      </c>
      <c r="AH64" s="270"/>
      <c r="AI64" s="278"/>
      <c r="AJ64" s="280"/>
      <c r="AK64" s="280"/>
      <c r="AL64" s="284">
        <v>1000</v>
      </c>
      <c r="AM64" s="281">
        <f>88292+26250</f>
        <v>114542</v>
      </c>
      <c r="AN64" s="258"/>
      <c r="AO64" s="299">
        <v>1500</v>
      </c>
      <c r="AP64" s="299"/>
      <c r="AQ64" s="299"/>
      <c r="AR64" s="299">
        <f t="shared" si="17"/>
        <v>4008.23530555556</v>
      </c>
      <c r="AS64" s="300"/>
      <c r="AT64" s="300"/>
      <c r="AU64" s="299">
        <f t="shared" si="67"/>
        <v>20835.8432333333</v>
      </c>
      <c r="AV64" s="299">
        <f t="shared" ref="AV64" si="76">V64+U64+N64+M64+K64+J64+I64+H64</f>
        <v>200411.765277778</v>
      </c>
      <c r="AW64" s="299">
        <f>AU64+AR64+AQ64+AO64+AN64+AM64+AK64+AI64+AH64+AG64+AF64+AE64+AD64+AL64</f>
        <v>146028.366872222</v>
      </c>
      <c r="AX64" s="299"/>
      <c r="AY64" s="299"/>
      <c r="AZ64" s="299">
        <f t="shared" si="19"/>
        <v>54383.3984055555</v>
      </c>
      <c r="BA64" s="429">
        <f t="shared" si="1"/>
        <v>2404941.18333333</v>
      </c>
      <c r="BB64" s="430">
        <f t="shared" si="2"/>
        <v>680988.236666667</v>
      </c>
      <c r="BC64" s="307">
        <f t="shared" si="3"/>
        <v>0</v>
      </c>
      <c r="BD64" s="308">
        <f t="shared" si="4"/>
        <v>680988.236666667</v>
      </c>
      <c r="BE64" s="313">
        <f t="shared" si="5"/>
        <v>1723952.94666667</v>
      </c>
      <c r="BF64" s="430"/>
      <c r="BG64" s="307">
        <f t="shared" si="6"/>
        <v>21000</v>
      </c>
      <c r="BH64" s="307">
        <f t="shared" si="7"/>
        <v>33000</v>
      </c>
      <c r="BI64" s="307">
        <f t="shared" si="8"/>
        <v>75000</v>
      </c>
      <c r="BJ64" s="307">
        <f t="shared" si="9"/>
        <v>95000</v>
      </c>
      <c r="BK64" s="307">
        <f t="shared" si="10"/>
        <v>26030.1188</v>
      </c>
      <c r="BL64" s="307" t="str">
        <f t="shared" si="11"/>
        <v/>
      </c>
      <c r="BM64" s="429">
        <f t="shared" si="12"/>
        <v>250030.1188</v>
      </c>
      <c r="BN64" s="320">
        <f t="shared" si="13"/>
        <v>24049.4118333333</v>
      </c>
      <c r="BO64" s="321">
        <f t="shared" si="61"/>
        <v>250030.1188</v>
      </c>
      <c r="BP64" s="322">
        <f t="shared" si="15"/>
        <v>20835.8432333333</v>
      </c>
      <c r="BQ64" s="323"/>
      <c r="BR64" s="324"/>
      <c r="BS64" s="325"/>
      <c r="BT64" s="326"/>
      <c r="BU64" s="326"/>
      <c r="BV64" s="334"/>
      <c r="BW64" s="335"/>
    </row>
    <row r="65" s="245" customFormat="1" ht="174" customHeight="1" spans="1:75">
      <c r="A65" s="255">
        <v>64</v>
      </c>
      <c r="B65" s="70" t="s">
        <v>296</v>
      </c>
      <c r="C65" s="129" t="s">
        <v>204</v>
      </c>
      <c r="D65" s="129" t="s">
        <v>2039</v>
      </c>
      <c r="E65" s="256" t="s">
        <v>127</v>
      </c>
      <c r="F65" s="1469" t="s">
        <v>298</v>
      </c>
      <c r="G65" s="257">
        <v>2254203</v>
      </c>
      <c r="H65" s="258">
        <f t="shared" si="75"/>
        <v>187850.25</v>
      </c>
      <c r="I65" s="258">
        <f t="shared" si="66"/>
        <v>21915.8625</v>
      </c>
      <c r="J65" s="258">
        <v>5000</v>
      </c>
      <c r="K65" s="258"/>
      <c r="L65" s="258"/>
      <c r="M65" s="258">
        <v>2500</v>
      </c>
      <c r="N65" s="258"/>
      <c r="O65" s="258"/>
      <c r="P65" s="258"/>
      <c r="Q65" s="258"/>
      <c r="R65" s="258"/>
      <c r="S65" s="258"/>
      <c r="T65" s="258"/>
      <c r="U65" s="258">
        <v>383.33</v>
      </c>
      <c r="V65" s="258"/>
      <c r="W65" s="265"/>
      <c r="X65" s="258"/>
      <c r="Y65" s="258"/>
      <c r="Z65" s="258"/>
      <c r="AA65" s="258"/>
      <c r="AB65" s="258"/>
      <c r="AC65" s="258"/>
      <c r="AD65" s="270"/>
      <c r="AE65" s="258"/>
      <c r="AF65" s="258">
        <v>1500</v>
      </c>
      <c r="AG65" s="270">
        <f t="shared" si="16"/>
        <v>3757.005</v>
      </c>
      <c r="AH65" s="270"/>
      <c r="AI65" s="282">
        <v>1000</v>
      </c>
      <c r="AJ65" s="279"/>
      <c r="AK65" s="279"/>
      <c r="AL65" s="279"/>
      <c r="AM65" s="281"/>
      <c r="AN65" s="258"/>
      <c r="AO65" s="299">
        <v>1500</v>
      </c>
      <c r="AP65" s="299"/>
      <c r="AQ65" s="299"/>
      <c r="AR65" s="299">
        <f t="shared" si="17"/>
        <v>4352.98885</v>
      </c>
      <c r="AS65" s="300"/>
      <c r="AT65" s="300"/>
      <c r="AU65" s="299">
        <f t="shared" si="67"/>
        <v>23731.7730066667</v>
      </c>
      <c r="AV65" s="299">
        <f t="shared" ref="AV65:AV66" si="77">W65+V65+U65+N65+M65+K65+J65+I65+H65</f>
        <v>217649.4425</v>
      </c>
      <c r="AW65" s="299">
        <f t="shared" si="18"/>
        <v>35841.7668566667</v>
      </c>
      <c r="AX65" s="299"/>
      <c r="AY65" s="299"/>
      <c r="AZ65" s="299">
        <f t="shared" si="19"/>
        <v>181807.675643333</v>
      </c>
      <c r="BA65" s="429">
        <f t="shared" si="1"/>
        <v>2611793.31</v>
      </c>
      <c r="BB65" s="430">
        <f t="shared" si="2"/>
        <v>722358.662</v>
      </c>
      <c r="BC65" s="307">
        <f t="shared" si="3"/>
        <v>0</v>
      </c>
      <c r="BD65" s="308">
        <f t="shared" si="4"/>
        <v>722358.662</v>
      </c>
      <c r="BE65" s="313">
        <f t="shared" si="5"/>
        <v>1889434.648</v>
      </c>
      <c r="BF65" s="430"/>
      <c r="BG65" s="307">
        <f t="shared" si="6"/>
        <v>21000</v>
      </c>
      <c r="BH65" s="307">
        <f t="shared" si="7"/>
        <v>33000</v>
      </c>
      <c r="BI65" s="307">
        <f t="shared" si="8"/>
        <v>75000</v>
      </c>
      <c r="BJ65" s="307">
        <f t="shared" si="9"/>
        <v>95000</v>
      </c>
      <c r="BK65" s="307">
        <f t="shared" si="10"/>
        <v>60781.27608</v>
      </c>
      <c r="BL65" s="307" t="str">
        <f t="shared" si="11"/>
        <v/>
      </c>
      <c r="BM65" s="429">
        <f t="shared" si="12"/>
        <v>284781.27608</v>
      </c>
      <c r="BN65" s="320">
        <f t="shared" si="13"/>
        <v>26117.9331</v>
      </c>
      <c r="BO65" s="321">
        <f t="shared" si="61"/>
        <v>284781.27608</v>
      </c>
      <c r="BP65" s="322">
        <f t="shared" si="15"/>
        <v>23731.7730066667</v>
      </c>
      <c r="BQ65" s="323"/>
      <c r="BR65" s="324"/>
      <c r="BS65" s="325"/>
      <c r="BT65" s="326"/>
      <c r="BU65" s="326"/>
      <c r="BV65" s="334"/>
      <c r="BW65" s="335"/>
    </row>
    <row r="66" s="245" customFormat="1" ht="172.5" customHeight="1" spans="1:75">
      <c r="A66" s="255">
        <v>65</v>
      </c>
      <c r="B66" s="70" t="s">
        <v>299</v>
      </c>
      <c r="C66" s="129" t="s">
        <v>204</v>
      </c>
      <c r="D66" s="129" t="s">
        <v>2040</v>
      </c>
      <c r="E66" s="256" t="s">
        <v>93</v>
      </c>
      <c r="F66" s="256">
        <v>3050764643</v>
      </c>
      <c r="G66" s="257">
        <v>2199106</v>
      </c>
      <c r="H66" s="258">
        <f t="shared" si="75"/>
        <v>183258.833333333</v>
      </c>
      <c r="I66" s="258">
        <f t="shared" si="66"/>
        <v>21380.1972222222</v>
      </c>
      <c r="J66" s="258">
        <v>5000</v>
      </c>
      <c r="K66" s="258"/>
      <c r="L66" s="258"/>
      <c r="M66" s="258">
        <v>2500</v>
      </c>
      <c r="N66" s="258"/>
      <c r="O66" s="258"/>
      <c r="P66" s="258"/>
      <c r="Q66" s="258"/>
      <c r="R66" s="258"/>
      <c r="S66" s="258"/>
      <c r="T66" s="258"/>
      <c r="U66" s="258">
        <v>383.33</v>
      </c>
      <c r="V66" s="258"/>
      <c r="W66" s="258"/>
      <c r="X66" s="258"/>
      <c r="Y66" s="258"/>
      <c r="Z66" s="258"/>
      <c r="AA66" s="258"/>
      <c r="AB66" s="258"/>
      <c r="AC66" s="258"/>
      <c r="AD66" s="270"/>
      <c r="AE66" s="258"/>
      <c r="AF66" s="258">
        <v>2500</v>
      </c>
      <c r="AG66" s="270">
        <f t="shared" si="16"/>
        <v>3665.17666666667</v>
      </c>
      <c r="AH66" s="270"/>
      <c r="AI66" s="278"/>
      <c r="AJ66" s="279">
        <v>1000</v>
      </c>
      <c r="AK66" s="280"/>
      <c r="AL66" s="280"/>
      <c r="AM66" s="281"/>
      <c r="AN66" s="258"/>
      <c r="AO66" s="299">
        <v>1500</v>
      </c>
      <c r="AP66" s="299"/>
      <c r="AQ66" s="299"/>
      <c r="AR66" s="299">
        <f t="shared" si="17"/>
        <v>4250.44721111111</v>
      </c>
      <c r="AS66" s="300"/>
      <c r="AT66" s="300"/>
      <c r="AU66" s="299">
        <f t="shared" si="67"/>
        <v>22870.42324</v>
      </c>
      <c r="AV66" s="299">
        <f t="shared" si="77"/>
        <v>212522.360555556</v>
      </c>
      <c r="AW66" s="299">
        <f>AU66+AR66+AQ66+AO66+AN66+AM66+AK66+AI66+AH66+AG66+AF66+AE66+AD66+AO66</f>
        <v>36286.0471177778</v>
      </c>
      <c r="AX66" s="299"/>
      <c r="AY66" s="299"/>
      <c r="AZ66" s="299">
        <f t="shared" si="19"/>
        <v>176236.313437778</v>
      </c>
      <c r="BA66" s="429">
        <f t="shared" ref="BA66:BA129" si="78">AV66*12</f>
        <v>2550268.32666667</v>
      </c>
      <c r="BB66" s="430">
        <f t="shared" ref="BB66:BB129" si="79">200000+(0.2*BA66)</f>
        <v>710053.665333333</v>
      </c>
      <c r="BC66" s="307">
        <f t="shared" ref="BC66:BC129" si="80">AS66*12</f>
        <v>0</v>
      </c>
      <c r="BD66" s="308">
        <f t="shared" ref="BD66:BD129" si="81">SUM(BB66:BC66)</f>
        <v>710053.665333333</v>
      </c>
      <c r="BE66" s="313">
        <f t="shared" ref="BE66:BE129" si="82">+BA66-BD66</f>
        <v>1840214.66133333</v>
      </c>
      <c r="BF66" s="430"/>
      <c r="BG66" s="307">
        <f t="shared" ref="BG66:BG129" si="83">IF((BE66&gt;0),(IF((BE66&gt;300000),(300000*7%),(BE66*7%))),(BA66*1%))</f>
        <v>21000</v>
      </c>
      <c r="BH66" s="307">
        <f t="shared" ref="BH66:BH129" si="84">IF((BE66-300000)&gt;0,(IF((BE66&gt;600000),(300000*11%),((BE66-300000)*11%))),(""))</f>
        <v>33000</v>
      </c>
      <c r="BI66" s="307">
        <f t="shared" ref="BI66:BI129" si="85">IF(((BE66-600000)&gt;0),(IF((BE66&gt;1100000),(500000*15%),((BE66-600000)*15%))),(""))</f>
        <v>75000</v>
      </c>
      <c r="BJ66" s="307">
        <f t="shared" ref="BJ66:BJ129" si="86">IF(((BE66-(1100000))&gt;0),(IF((BE66&gt;(1600000)),((500000)*19%),((BE66-(1100000))*19%))),(""))</f>
        <v>95000</v>
      </c>
      <c r="BK66" s="307">
        <f t="shared" ref="BK66:BK129" si="87">IF(((BE66-(1600000))&gt;0),(IF((BE66&gt;(3200000)),((1600000)*21%),((BE66-(1600000))*21%))),(""))</f>
        <v>50445.07888</v>
      </c>
      <c r="BL66" s="307" t="str">
        <f t="shared" ref="BL66:BL129" si="88">IF(((BE66-(3200000))&gt;0),(IF((BE66&gt;(3200000)),((BE66-(3200000))*24%),(0))),(""))</f>
        <v/>
      </c>
      <c r="BM66" s="429">
        <f t="shared" ref="BM66:BM129" si="89">SUM(BG66:BL66)</f>
        <v>274445.07888</v>
      </c>
      <c r="BN66" s="320">
        <f t="shared" ref="BN66:BN129" si="90">1%*BA66</f>
        <v>25502.6832666667</v>
      </c>
      <c r="BO66" s="321">
        <f t="shared" si="61"/>
        <v>274445.07888</v>
      </c>
      <c r="BP66" s="322">
        <f t="shared" ref="BP66:BP129" si="91">+BO66/12</f>
        <v>22870.42324</v>
      </c>
      <c r="BQ66" s="323"/>
      <c r="BR66" s="324"/>
      <c r="BS66" s="325"/>
      <c r="BT66" s="326"/>
      <c r="BU66" s="326"/>
      <c r="BV66" s="334"/>
      <c r="BW66" s="335"/>
    </row>
    <row r="67" s="245" customFormat="1" ht="181" customHeight="1" spans="1:75">
      <c r="A67" s="255">
        <v>66</v>
      </c>
      <c r="B67" s="70" t="s">
        <v>300</v>
      </c>
      <c r="C67" s="129" t="s">
        <v>130</v>
      </c>
      <c r="D67" s="129" t="s">
        <v>2038</v>
      </c>
      <c r="E67" s="256" t="s">
        <v>127</v>
      </c>
      <c r="F67" s="1469" t="s">
        <v>301</v>
      </c>
      <c r="G67" s="257">
        <v>3125980</v>
      </c>
      <c r="H67" s="258">
        <f t="shared" si="75"/>
        <v>260498.333333333</v>
      </c>
      <c r="I67" s="258">
        <f t="shared" si="66"/>
        <v>30391.4722222222</v>
      </c>
      <c r="J67" s="258">
        <v>5000</v>
      </c>
      <c r="K67" s="258"/>
      <c r="L67" s="258"/>
      <c r="M67" s="258">
        <v>2500</v>
      </c>
      <c r="N67" s="258"/>
      <c r="O67" s="258"/>
      <c r="P67" s="258"/>
      <c r="Q67" s="258"/>
      <c r="R67" s="258"/>
      <c r="S67" s="258"/>
      <c r="T67" s="258"/>
      <c r="U67" s="258">
        <v>383.33</v>
      </c>
      <c r="V67" s="258"/>
      <c r="W67" s="265"/>
      <c r="X67" s="258"/>
      <c r="Y67" s="258"/>
      <c r="Z67" s="258"/>
      <c r="AA67" s="258"/>
      <c r="AB67" s="258"/>
      <c r="AC67" s="258"/>
      <c r="AD67" s="270"/>
      <c r="AE67" s="258"/>
      <c r="AF67" s="258"/>
      <c r="AG67" s="270">
        <f t="shared" si="16"/>
        <v>5209.96666666667</v>
      </c>
      <c r="AH67" s="270">
        <v>100000</v>
      </c>
      <c r="AI67" s="278"/>
      <c r="AJ67" s="279">
        <v>1000</v>
      </c>
      <c r="AK67" s="280"/>
      <c r="AL67" s="280"/>
      <c r="AM67" s="281">
        <v>20000</v>
      </c>
      <c r="AN67" s="258">
        <v>25000</v>
      </c>
      <c r="AO67" s="299">
        <v>1500</v>
      </c>
      <c r="AP67" s="299"/>
      <c r="AQ67" s="299"/>
      <c r="AR67" s="299">
        <f t="shared" si="17"/>
        <v>5975.46271111111</v>
      </c>
      <c r="AS67" s="300"/>
      <c r="AT67" s="300"/>
      <c r="AU67" s="299">
        <f t="shared" si="67"/>
        <v>37360.55344</v>
      </c>
      <c r="AV67" s="299">
        <f t="shared" ref="AV67" si="92">V67+U67+N67+M67+K67+J67+I67+H67</f>
        <v>298773.135555556</v>
      </c>
      <c r="AW67" s="299">
        <f>AU67+AR67+AQ67+AO67+AN67+AM67+AK67+AJ67+AI67+AH67+AG67+AF67</f>
        <v>196045.982817778</v>
      </c>
      <c r="AX67" s="299"/>
      <c r="AY67" s="299"/>
      <c r="AZ67" s="299">
        <f t="shared" si="19"/>
        <v>102727.152737778</v>
      </c>
      <c r="BA67" s="429">
        <f t="shared" si="78"/>
        <v>3585277.62666667</v>
      </c>
      <c r="BB67" s="430">
        <f t="shared" si="79"/>
        <v>917055.525333333</v>
      </c>
      <c r="BC67" s="307">
        <f t="shared" si="80"/>
        <v>0</v>
      </c>
      <c r="BD67" s="308">
        <f t="shared" si="81"/>
        <v>917055.525333333</v>
      </c>
      <c r="BE67" s="313">
        <f t="shared" si="82"/>
        <v>2668222.10133333</v>
      </c>
      <c r="BF67" s="430"/>
      <c r="BG67" s="307">
        <f t="shared" si="83"/>
        <v>21000</v>
      </c>
      <c r="BH67" s="307">
        <f t="shared" si="84"/>
        <v>33000</v>
      </c>
      <c r="BI67" s="307">
        <f t="shared" si="85"/>
        <v>75000</v>
      </c>
      <c r="BJ67" s="307">
        <f t="shared" si="86"/>
        <v>95000</v>
      </c>
      <c r="BK67" s="307">
        <f t="shared" si="87"/>
        <v>224326.64128</v>
      </c>
      <c r="BL67" s="307" t="str">
        <f t="shared" si="88"/>
        <v/>
      </c>
      <c r="BM67" s="429">
        <f t="shared" si="89"/>
        <v>448326.64128</v>
      </c>
      <c r="BN67" s="320">
        <f t="shared" si="90"/>
        <v>35852.7762666667</v>
      </c>
      <c r="BO67" s="321">
        <f t="shared" si="61"/>
        <v>448326.64128</v>
      </c>
      <c r="BP67" s="322">
        <f t="shared" si="91"/>
        <v>37360.55344</v>
      </c>
      <c r="BQ67" s="323"/>
      <c r="BR67" s="324"/>
      <c r="BS67" s="325"/>
      <c r="BT67" s="326"/>
      <c r="BU67" s="326"/>
      <c r="BV67" s="334"/>
      <c r="BW67" s="335"/>
    </row>
    <row r="68" s="245" customFormat="1" ht="181" customHeight="1" spans="1:75">
      <c r="A68" s="255">
        <v>67</v>
      </c>
      <c r="B68" s="70" t="s">
        <v>310</v>
      </c>
      <c r="C68" s="129" t="s">
        <v>130</v>
      </c>
      <c r="D68" s="129" t="s">
        <v>294</v>
      </c>
      <c r="E68" s="256" t="s">
        <v>127</v>
      </c>
      <c r="F68" s="1469" t="s">
        <v>311</v>
      </c>
      <c r="G68" s="257">
        <v>2425322</v>
      </c>
      <c r="H68" s="258">
        <f t="shared" si="75"/>
        <v>202110.166666667</v>
      </c>
      <c r="I68" s="258">
        <f t="shared" si="66"/>
        <v>23579.5194444444</v>
      </c>
      <c r="J68" s="258">
        <v>5000</v>
      </c>
      <c r="K68" s="258"/>
      <c r="L68" s="258"/>
      <c r="M68" s="258">
        <v>2500</v>
      </c>
      <c r="N68" s="258"/>
      <c r="O68" s="258"/>
      <c r="P68" s="258"/>
      <c r="Q68" s="258"/>
      <c r="R68" s="258"/>
      <c r="S68" s="258"/>
      <c r="T68" s="258"/>
      <c r="U68" s="258">
        <v>383.33</v>
      </c>
      <c r="V68" s="258"/>
      <c r="W68" s="265"/>
      <c r="X68" s="258"/>
      <c r="Y68" s="258"/>
      <c r="Z68" s="258"/>
      <c r="AA68" s="258"/>
      <c r="AB68" s="258"/>
      <c r="AC68" s="258"/>
      <c r="AD68" s="270"/>
      <c r="AE68" s="258"/>
      <c r="AF68" s="258"/>
      <c r="AG68" s="270">
        <f t="shared" si="16"/>
        <v>4042.20333333333</v>
      </c>
      <c r="AH68" s="270"/>
      <c r="AI68" s="278"/>
      <c r="AJ68" s="280"/>
      <c r="AK68" s="280"/>
      <c r="AL68" s="280"/>
      <c r="AM68" s="281">
        <f>41500+10500</f>
        <v>52000</v>
      </c>
      <c r="AN68" s="258">
        <v>15000</v>
      </c>
      <c r="AO68" s="299">
        <v>1500</v>
      </c>
      <c r="AP68" s="299"/>
      <c r="AQ68" s="299"/>
      <c r="AR68" s="299">
        <f t="shared" si="17"/>
        <v>4671.46032222222</v>
      </c>
      <c r="AS68" s="300"/>
      <c r="AT68" s="300"/>
      <c r="AU68" s="299">
        <f t="shared" si="67"/>
        <v>26406.9333733333</v>
      </c>
      <c r="AV68" s="299">
        <f t="shared" ref="AV68:AV69" si="93">W68+V68+U68+N68+M68+K68+J68+I68+H68</f>
        <v>233573.016111111</v>
      </c>
      <c r="AW68" s="299">
        <f t="shared" si="18"/>
        <v>103620.597028889</v>
      </c>
      <c r="AX68" s="299"/>
      <c r="AY68" s="299"/>
      <c r="AZ68" s="299">
        <f t="shared" si="19"/>
        <v>129952.419082222</v>
      </c>
      <c r="BA68" s="429">
        <f t="shared" si="78"/>
        <v>2802876.19333333</v>
      </c>
      <c r="BB68" s="430">
        <f t="shared" si="79"/>
        <v>760575.238666667</v>
      </c>
      <c r="BC68" s="307">
        <f t="shared" si="80"/>
        <v>0</v>
      </c>
      <c r="BD68" s="308">
        <f t="shared" si="81"/>
        <v>760575.238666667</v>
      </c>
      <c r="BE68" s="313">
        <f t="shared" si="82"/>
        <v>2042300.95466667</v>
      </c>
      <c r="BF68" s="430"/>
      <c r="BG68" s="307">
        <f t="shared" si="83"/>
        <v>21000</v>
      </c>
      <c r="BH68" s="307">
        <f t="shared" si="84"/>
        <v>33000</v>
      </c>
      <c r="BI68" s="307">
        <f t="shared" si="85"/>
        <v>75000</v>
      </c>
      <c r="BJ68" s="307">
        <f t="shared" si="86"/>
        <v>95000</v>
      </c>
      <c r="BK68" s="307">
        <f t="shared" si="87"/>
        <v>92883.20048</v>
      </c>
      <c r="BL68" s="307" t="str">
        <f t="shared" si="88"/>
        <v/>
      </c>
      <c r="BM68" s="429">
        <f t="shared" si="89"/>
        <v>316883.20048</v>
      </c>
      <c r="BN68" s="320">
        <f t="shared" si="90"/>
        <v>28028.7619333333</v>
      </c>
      <c r="BO68" s="321">
        <f t="shared" si="61"/>
        <v>316883.20048</v>
      </c>
      <c r="BP68" s="322">
        <f t="shared" si="91"/>
        <v>26406.9333733333</v>
      </c>
      <c r="BQ68" s="323"/>
      <c r="BR68" s="324"/>
      <c r="BS68" s="325"/>
      <c r="BT68" s="326"/>
      <c r="BU68" s="326"/>
      <c r="BV68" s="334"/>
      <c r="BW68" s="335"/>
    </row>
    <row r="69" s="245" customFormat="1" ht="172.5" customHeight="1" spans="1:75">
      <c r="A69" s="255">
        <v>68</v>
      </c>
      <c r="B69" s="70" t="s">
        <v>314</v>
      </c>
      <c r="C69" s="129" t="s">
        <v>204</v>
      </c>
      <c r="D69" s="129" t="s">
        <v>2039</v>
      </c>
      <c r="E69" s="256" t="s">
        <v>2041</v>
      </c>
      <c r="F69" s="256">
        <v>1909306179</v>
      </c>
      <c r="G69" s="257">
        <v>2254203</v>
      </c>
      <c r="H69" s="258">
        <f t="shared" si="75"/>
        <v>187850.25</v>
      </c>
      <c r="I69" s="258">
        <f t="shared" si="66"/>
        <v>21915.8625</v>
      </c>
      <c r="J69" s="258">
        <v>5000</v>
      </c>
      <c r="K69" s="258"/>
      <c r="L69" s="258"/>
      <c r="M69" s="258">
        <v>2500</v>
      </c>
      <c r="N69" s="258"/>
      <c r="O69" s="258"/>
      <c r="P69" s="258"/>
      <c r="Q69" s="258"/>
      <c r="R69" s="258"/>
      <c r="S69" s="258"/>
      <c r="T69" s="258"/>
      <c r="U69" s="258">
        <v>383.33</v>
      </c>
      <c r="V69" s="258"/>
      <c r="W69" s="265"/>
      <c r="X69" s="258"/>
      <c r="Y69" s="258"/>
      <c r="Z69" s="258"/>
      <c r="AA69" s="258"/>
      <c r="AB69" s="258"/>
      <c r="AC69" s="258"/>
      <c r="AD69" s="270"/>
      <c r="AE69" s="258"/>
      <c r="AF69" s="258">
        <v>3250</v>
      </c>
      <c r="AG69" s="270">
        <f t="shared" si="16"/>
        <v>3757.005</v>
      </c>
      <c r="AH69" s="270"/>
      <c r="AI69" s="282">
        <v>1000</v>
      </c>
      <c r="AJ69" s="279"/>
      <c r="AK69" s="279"/>
      <c r="AL69" s="279"/>
      <c r="AM69" s="281"/>
      <c r="AN69" s="258"/>
      <c r="AO69" s="299">
        <v>1500</v>
      </c>
      <c r="AP69" s="299"/>
      <c r="AQ69" s="299"/>
      <c r="AR69" s="299">
        <f t="shared" si="17"/>
        <v>4352.98885</v>
      </c>
      <c r="AS69" s="300"/>
      <c r="AT69" s="300"/>
      <c r="AU69" s="299">
        <f t="shared" si="67"/>
        <v>23731.7730066667</v>
      </c>
      <c r="AV69" s="299">
        <f t="shared" si="93"/>
        <v>217649.4425</v>
      </c>
      <c r="AW69" s="299">
        <f t="shared" si="18"/>
        <v>37591.7668566667</v>
      </c>
      <c r="AX69" s="299"/>
      <c r="AY69" s="299"/>
      <c r="AZ69" s="299">
        <f t="shared" si="19"/>
        <v>180057.675643333</v>
      </c>
      <c r="BA69" s="429">
        <f t="shared" si="78"/>
        <v>2611793.31</v>
      </c>
      <c r="BB69" s="430">
        <f t="shared" si="79"/>
        <v>722358.662</v>
      </c>
      <c r="BC69" s="307">
        <f t="shared" si="80"/>
        <v>0</v>
      </c>
      <c r="BD69" s="308">
        <f t="shared" si="81"/>
        <v>722358.662</v>
      </c>
      <c r="BE69" s="313">
        <f t="shared" si="82"/>
        <v>1889434.648</v>
      </c>
      <c r="BF69" s="430"/>
      <c r="BG69" s="307">
        <f t="shared" si="83"/>
        <v>21000</v>
      </c>
      <c r="BH69" s="307">
        <f t="shared" si="84"/>
        <v>33000</v>
      </c>
      <c r="BI69" s="307">
        <f t="shared" si="85"/>
        <v>75000</v>
      </c>
      <c r="BJ69" s="307">
        <f t="shared" si="86"/>
        <v>95000</v>
      </c>
      <c r="BK69" s="307">
        <f t="shared" si="87"/>
        <v>60781.27608</v>
      </c>
      <c r="BL69" s="307" t="str">
        <f t="shared" si="88"/>
        <v/>
      </c>
      <c r="BM69" s="429">
        <f t="shared" si="89"/>
        <v>284781.27608</v>
      </c>
      <c r="BN69" s="320">
        <f t="shared" si="90"/>
        <v>26117.9331</v>
      </c>
      <c r="BO69" s="321">
        <f t="shared" si="61"/>
        <v>284781.27608</v>
      </c>
      <c r="BP69" s="322">
        <f t="shared" si="91"/>
        <v>23731.7730066667</v>
      </c>
      <c r="BQ69" s="323"/>
      <c r="BR69" s="324"/>
      <c r="BS69" s="325"/>
      <c r="BT69" s="326"/>
      <c r="BU69" s="326"/>
      <c r="BV69" s="334"/>
      <c r="BW69" s="335"/>
    </row>
    <row r="70" s="245" customFormat="1" ht="172.5" customHeight="1" spans="1:75">
      <c r="A70" s="255">
        <v>69</v>
      </c>
      <c r="B70" s="70" t="s">
        <v>316</v>
      </c>
      <c r="C70" s="129" t="s">
        <v>130</v>
      </c>
      <c r="D70" s="129" t="s">
        <v>272</v>
      </c>
      <c r="E70" s="256" t="s">
        <v>135</v>
      </c>
      <c r="F70" s="1469" t="s">
        <v>2042</v>
      </c>
      <c r="G70" s="257">
        <f>H70*12</f>
        <v>2600486</v>
      </c>
      <c r="H70" s="258">
        <f>H71</f>
        <v>216707.166666667</v>
      </c>
      <c r="I70" s="258">
        <f t="shared" si="66"/>
        <v>25282.5027777778</v>
      </c>
      <c r="J70" s="258">
        <v>5000</v>
      </c>
      <c r="K70" s="258"/>
      <c r="L70" s="258"/>
      <c r="M70" s="258">
        <v>2500</v>
      </c>
      <c r="N70" s="258"/>
      <c r="O70" s="258"/>
      <c r="P70" s="258"/>
      <c r="Q70" s="258"/>
      <c r="R70" s="258"/>
      <c r="S70" s="258"/>
      <c r="T70" s="258"/>
      <c r="U70" s="258">
        <v>383.33</v>
      </c>
      <c r="V70" s="258"/>
      <c r="W70" s="265"/>
      <c r="X70" s="258"/>
      <c r="Y70" s="258"/>
      <c r="Z70" s="258"/>
      <c r="AA70" s="258"/>
      <c r="AB70" s="258"/>
      <c r="AC70" s="258"/>
      <c r="AD70" s="270"/>
      <c r="AE70" s="258"/>
      <c r="AF70" s="258"/>
      <c r="AG70" s="270">
        <f t="shared" si="16"/>
        <v>4334.14333333333</v>
      </c>
      <c r="AH70" s="270"/>
      <c r="AI70" s="278"/>
      <c r="AJ70" s="280"/>
      <c r="AK70" s="280"/>
      <c r="AL70" s="284">
        <v>1000</v>
      </c>
      <c r="AM70" s="281">
        <v>5000</v>
      </c>
      <c r="AN70" s="258">
        <v>15000</v>
      </c>
      <c r="AO70" s="299">
        <v>1500</v>
      </c>
      <c r="AP70" s="299"/>
      <c r="AQ70" s="299"/>
      <c r="AR70" s="299">
        <f t="shared" si="17"/>
        <v>4997.45998888889</v>
      </c>
      <c r="AS70" s="300"/>
      <c r="AT70" s="300"/>
      <c r="AU70" s="299">
        <f t="shared" si="67"/>
        <v>29145.3305733333</v>
      </c>
      <c r="AV70" s="299">
        <f t="shared" ref="AV70" si="94">V70+U70+N70+M70+K70+J70+I70+H70</f>
        <v>249872.999444444</v>
      </c>
      <c r="AW70" s="299">
        <f>AU70+AR70+AQ70+AO70+AN70+AM70+AK70+AI70+AH70+AG70+AF70+AE70+AD70+AL70</f>
        <v>60976.9338955556</v>
      </c>
      <c r="AX70" s="299"/>
      <c r="AY70" s="299"/>
      <c r="AZ70" s="299">
        <f t="shared" si="19"/>
        <v>188896.065548889</v>
      </c>
      <c r="BA70" s="429">
        <f t="shared" si="78"/>
        <v>2998475.99333333</v>
      </c>
      <c r="BB70" s="430">
        <f t="shared" si="79"/>
        <v>799695.198666667</v>
      </c>
      <c r="BC70" s="307">
        <f t="shared" si="80"/>
        <v>0</v>
      </c>
      <c r="BD70" s="308">
        <f t="shared" si="81"/>
        <v>799695.198666667</v>
      </c>
      <c r="BE70" s="313">
        <f t="shared" si="82"/>
        <v>2198780.79466667</v>
      </c>
      <c r="BF70" s="430"/>
      <c r="BG70" s="307">
        <f t="shared" si="83"/>
        <v>21000</v>
      </c>
      <c r="BH70" s="307">
        <f t="shared" si="84"/>
        <v>33000</v>
      </c>
      <c r="BI70" s="307">
        <f t="shared" si="85"/>
        <v>75000</v>
      </c>
      <c r="BJ70" s="307">
        <f t="shared" si="86"/>
        <v>95000</v>
      </c>
      <c r="BK70" s="307">
        <f t="shared" si="87"/>
        <v>125743.96688</v>
      </c>
      <c r="BL70" s="307" t="str">
        <f t="shared" si="88"/>
        <v/>
      </c>
      <c r="BM70" s="429">
        <f t="shared" si="89"/>
        <v>349743.96688</v>
      </c>
      <c r="BN70" s="320">
        <f t="shared" si="90"/>
        <v>29984.7599333333</v>
      </c>
      <c r="BO70" s="321">
        <f t="shared" si="61"/>
        <v>349743.96688</v>
      </c>
      <c r="BP70" s="322">
        <f t="shared" si="91"/>
        <v>29145.3305733333</v>
      </c>
      <c r="BQ70" s="323"/>
      <c r="BR70" s="324"/>
      <c r="BS70" s="325"/>
      <c r="BT70" s="326"/>
      <c r="BU70" s="326"/>
      <c r="BV70" s="334"/>
      <c r="BW70" s="335"/>
    </row>
    <row r="71" s="245" customFormat="1" ht="172.5" customHeight="1" spans="1:75">
      <c r="A71" s="255">
        <v>70</v>
      </c>
      <c r="B71" s="70" t="s">
        <v>318</v>
      </c>
      <c r="C71" s="129" t="s">
        <v>130</v>
      </c>
      <c r="D71" s="129" t="s">
        <v>272</v>
      </c>
      <c r="E71" s="256" t="s">
        <v>127</v>
      </c>
      <c r="F71" s="1469" t="s">
        <v>319</v>
      </c>
      <c r="G71" s="257">
        <v>2600486</v>
      </c>
      <c r="H71" s="258">
        <f t="shared" si="75"/>
        <v>216707.166666667</v>
      </c>
      <c r="I71" s="258">
        <f t="shared" si="66"/>
        <v>25282.5027777778</v>
      </c>
      <c r="J71" s="258">
        <v>5000</v>
      </c>
      <c r="K71" s="258"/>
      <c r="L71" s="258"/>
      <c r="M71" s="258">
        <v>2500</v>
      </c>
      <c r="N71" s="258"/>
      <c r="O71" s="258"/>
      <c r="P71" s="258"/>
      <c r="Q71" s="258"/>
      <c r="R71" s="258"/>
      <c r="S71" s="258"/>
      <c r="T71" s="258"/>
      <c r="U71" s="258">
        <v>383.33</v>
      </c>
      <c r="V71" s="258"/>
      <c r="W71" s="265"/>
      <c r="X71" s="258"/>
      <c r="Y71" s="258"/>
      <c r="Z71" s="258"/>
      <c r="AA71" s="258"/>
      <c r="AB71" s="258"/>
      <c r="AC71" s="258"/>
      <c r="AD71" s="270"/>
      <c r="AE71" s="258"/>
      <c r="AF71" s="258">
        <v>4750</v>
      </c>
      <c r="AG71" s="270">
        <f t="shared" si="16"/>
        <v>4334.14333333333</v>
      </c>
      <c r="AH71" s="270"/>
      <c r="AI71" s="282">
        <v>1000</v>
      </c>
      <c r="AJ71" s="279"/>
      <c r="AK71" s="279"/>
      <c r="AL71" s="279"/>
      <c r="AM71" s="281"/>
      <c r="AN71" s="258"/>
      <c r="AO71" s="299">
        <v>1500</v>
      </c>
      <c r="AP71" s="299"/>
      <c r="AQ71" s="299"/>
      <c r="AR71" s="299">
        <f t="shared" si="17"/>
        <v>4997.45998888889</v>
      </c>
      <c r="AS71" s="300"/>
      <c r="AT71" s="300"/>
      <c r="AU71" s="299">
        <f t="shared" si="67"/>
        <v>29145.3305733333</v>
      </c>
      <c r="AV71" s="299">
        <f t="shared" ref="AV71:AV72" si="95">W71+V71+U71+N71+M71+K71+J71+I71+H71</f>
        <v>249872.999444444</v>
      </c>
      <c r="AW71" s="299">
        <f t="shared" si="18"/>
        <v>45726.9338955556</v>
      </c>
      <c r="AX71" s="299"/>
      <c r="AY71" s="299"/>
      <c r="AZ71" s="299">
        <f t="shared" si="19"/>
        <v>204146.065548889</v>
      </c>
      <c r="BA71" s="429">
        <f t="shared" si="78"/>
        <v>2998475.99333333</v>
      </c>
      <c r="BB71" s="430">
        <f t="shared" si="79"/>
        <v>799695.198666667</v>
      </c>
      <c r="BC71" s="307">
        <f t="shared" si="80"/>
        <v>0</v>
      </c>
      <c r="BD71" s="308">
        <f t="shared" si="81"/>
        <v>799695.198666667</v>
      </c>
      <c r="BE71" s="313">
        <f t="shared" si="82"/>
        <v>2198780.79466667</v>
      </c>
      <c r="BF71" s="430"/>
      <c r="BG71" s="307">
        <f t="shared" si="83"/>
        <v>21000</v>
      </c>
      <c r="BH71" s="307">
        <f t="shared" si="84"/>
        <v>33000</v>
      </c>
      <c r="BI71" s="307">
        <f t="shared" si="85"/>
        <v>75000</v>
      </c>
      <c r="BJ71" s="307">
        <f t="shared" si="86"/>
        <v>95000</v>
      </c>
      <c r="BK71" s="307">
        <f t="shared" si="87"/>
        <v>125743.96688</v>
      </c>
      <c r="BL71" s="307" t="str">
        <f t="shared" si="88"/>
        <v/>
      </c>
      <c r="BM71" s="429">
        <f t="shared" si="89"/>
        <v>349743.96688</v>
      </c>
      <c r="BN71" s="320">
        <f t="shared" si="90"/>
        <v>29984.7599333333</v>
      </c>
      <c r="BO71" s="321">
        <f t="shared" si="61"/>
        <v>349743.96688</v>
      </c>
      <c r="BP71" s="322">
        <f t="shared" si="91"/>
        <v>29145.3305733333</v>
      </c>
      <c r="BQ71" s="323"/>
      <c r="BR71" s="324"/>
      <c r="BS71" s="325"/>
      <c r="BT71" s="326"/>
      <c r="BU71" s="326"/>
      <c r="BV71" s="334"/>
      <c r="BW71" s="335"/>
    </row>
    <row r="72" s="245" customFormat="1" ht="172.5" customHeight="1" spans="1:75">
      <c r="A72" s="255">
        <v>71</v>
      </c>
      <c r="B72" s="70" t="s">
        <v>320</v>
      </c>
      <c r="C72" s="129" t="s">
        <v>204</v>
      </c>
      <c r="D72" s="129" t="s">
        <v>2039</v>
      </c>
      <c r="E72" s="256" t="s">
        <v>93</v>
      </c>
      <c r="F72" s="256">
        <v>3053511556</v>
      </c>
      <c r="G72" s="257">
        <v>2254203</v>
      </c>
      <c r="H72" s="258">
        <f t="shared" si="75"/>
        <v>187850.25</v>
      </c>
      <c r="I72" s="258">
        <f t="shared" si="66"/>
        <v>21915.8625</v>
      </c>
      <c r="J72" s="258">
        <v>5000</v>
      </c>
      <c r="K72" s="258"/>
      <c r="L72" s="258"/>
      <c r="M72" s="258">
        <v>2500</v>
      </c>
      <c r="N72" s="258"/>
      <c r="O72" s="258"/>
      <c r="P72" s="258"/>
      <c r="Q72" s="258"/>
      <c r="R72" s="258"/>
      <c r="S72" s="258"/>
      <c r="T72" s="258"/>
      <c r="U72" s="258">
        <v>383.33</v>
      </c>
      <c r="V72" s="258"/>
      <c r="W72" s="265"/>
      <c r="X72" s="258"/>
      <c r="Y72" s="258"/>
      <c r="Z72" s="258"/>
      <c r="AA72" s="258"/>
      <c r="AB72" s="258"/>
      <c r="AC72" s="258"/>
      <c r="AD72" s="270"/>
      <c r="AE72" s="258"/>
      <c r="AF72" s="258">
        <f>500+750</f>
        <v>1250</v>
      </c>
      <c r="AG72" s="270">
        <f t="shared" si="16"/>
        <v>3757.005</v>
      </c>
      <c r="AH72" s="270">
        <f>5000</f>
        <v>5000</v>
      </c>
      <c r="AI72" s="278"/>
      <c r="AJ72" s="280"/>
      <c r="AK72" s="280"/>
      <c r="AL72" s="280"/>
      <c r="AM72" s="281">
        <f>36250+10500</f>
        <v>46750</v>
      </c>
      <c r="AN72" s="258">
        <v>15000</v>
      </c>
      <c r="AO72" s="299">
        <v>1500</v>
      </c>
      <c r="AP72" s="299"/>
      <c r="AQ72" s="299"/>
      <c r="AR72" s="299">
        <f t="shared" si="17"/>
        <v>4352.98885</v>
      </c>
      <c r="AS72" s="300"/>
      <c r="AT72" s="300"/>
      <c r="AU72" s="299">
        <f t="shared" si="67"/>
        <v>23731.7730066667</v>
      </c>
      <c r="AV72" s="299">
        <f t="shared" si="95"/>
        <v>217649.4425</v>
      </c>
      <c r="AW72" s="299">
        <f t="shared" si="18"/>
        <v>101341.766856667</v>
      </c>
      <c r="AX72" s="299"/>
      <c r="AY72" s="299"/>
      <c r="AZ72" s="299">
        <f t="shared" si="19"/>
        <v>116307.675643333</v>
      </c>
      <c r="BA72" s="429">
        <f t="shared" si="78"/>
        <v>2611793.31</v>
      </c>
      <c r="BB72" s="430">
        <f t="shared" si="79"/>
        <v>722358.662</v>
      </c>
      <c r="BC72" s="307">
        <f t="shared" si="80"/>
        <v>0</v>
      </c>
      <c r="BD72" s="308">
        <f t="shared" si="81"/>
        <v>722358.662</v>
      </c>
      <c r="BE72" s="313">
        <f t="shared" si="82"/>
        <v>1889434.648</v>
      </c>
      <c r="BF72" s="430"/>
      <c r="BG72" s="307">
        <f t="shared" si="83"/>
        <v>21000</v>
      </c>
      <c r="BH72" s="307">
        <f t="shared" si="84"/>
        <v>33000</v>
      </c>
      <c r="BI72" s="307">
        <f t="shared" si="85"/>
        <v>75000</v>
      </c>
      <c r="BJ72" s="307">
        <f t="shared" si="86"/>
        <v>95000</v>
      </c>
      <c r="BK72" s="307">
        <f t="shared" si="87"/>
        <v>60781.27608</v>
      </c>
      <c r="BL72" s="307" t="str">
        <f t="shared" si="88"/>
        <v/>
      </c>
      <c r="BM72" s="429">
        <f t="shared" si="89"/>
        <v>284781.27608</v>
      </c>
      <c r="BN72" s="320">
        <f t="shared" si="90"/>
        <v>26117.9331</v>
      </c>
      <c r="BO72" s="321">
        <f t="shared" si="61"/>
        <v>284781.27608</v>
      </c>
      <c r="BP72" s="322">
        <f t="shared" si="91"/>
        <v>23731.7730066667</v>
      </c>
      <c r="BQ72" s="323"/>
      <c r="BR72" s="324"/>
      <c r="BS72" s="325"/>
      <c r="BT72" s="326"/>
      <c r="BU72" s="326"/>
      <c r="BV72" s="334"/>
      <c r="BW72" s="335"/>
    </row>
    <row r="73" s="245" customFormat="1" ht="172.5" customHeight="1" spans="1:75">
      <c r="A73" s="255">
        <v>72</v>
      </c>
      <c r="B73" s="70" t="s">
        <v>321</v>
      </c>
      <c r="C73" s="129" t="s">
        <v>204</v>
      </c>
      <c r="D73" s="129" t="s">
        <v>2039</v>
      </c>
      <c r="E73" s="256" t="s">
        <v>127</v>
      </c>
      <c r="F73" s="1469" t="s">
        <v>322</v>
      </c>
      <c r="G73" s="257">
        <f t="shared" ref="G73" si="96">G72</f>
        <v>2254203</v>
      </c>
      <c r="H73" s="258">
        <f t="shared" si="75"/>
        <v>187850.25</v>
      </c>
      <c r="I73" s="258">
        <f t="shared" si="66"/>
        <v>21915.8625</v>
      </c>
      <c r="J73" s="258">
        <v>5000</v>
      </c>
      <c r="K73" s="258"/>
      <c r="L73" s="258"/>
      <c r="M73" s="258">
        <v>2500</v>
      </c>
      <c r="N73" s="258"/>
      <c r="O73" s="258"/>
      <c r="P73" s="258"/>
      <c r="Q73" s="258"/>
      <c r="R73" s="258"/>
      <c r="S73" s="258"/>
      <c r="T73" s="258"/>
      <c r="U73" s="258">
        <v>383.33</v>
      </c>
      <c r="V73" s="258"/>
      <c r="W73" s="265"/>
      <c r="X73" s="258"/>
      <c r="Y73" s="258"/>
      <c r="Z73" s="258"/>
      <c r="AA73" s="258"/>
      <c r="AB73" s="258"/>
      <c r="AC73" s="258"/>
      <c r="AD73" s="270"/>
      <c r="AE73" s="258"/>
      <c r="AF73" s="258"/>
      <c r="AG73" s="270">
        <f t="shared" si="16"/>
        <v>3757.005</v>
      </c>
      <c r="AH73" s="270"/>
      <c r="AI73" s="282">
        <v>1000</v>
      </c>
      <c r="AJ73" s="279"/>
      <c r="AK73" s="279"/>
      <c r="AL73" s="279"/>
      <c r="AM73" s="281"/>
      <c r="AN73" s="258">
        <v>10000</v>
      </c>
      <c r="AO73" s="299">
        <v>1500</v>
      </c>
      <c r="AP73" s="299"/>
      <c r="AQ73" s="299"/>
      <c r="AR73" s="299">
        <f t="shared" si="17"/>
        <v>4352.98885</v>
      </c>
      <c r="AS73" s="300"/>
      <c r="AT73" s="300"/>
      <c r="AU73" s="299">
        <f t="shared" si="67"/>
        <v>23731.7730066667</v>
      </c>
      <c r="AV73" s="299">
        <f t="shared" ref="AV73" si="97">V73+U73+N73+M73+K73+J73+I73+H73</f>
        <v>217649.4425</v>
      </c>
      <c r="AW73" s="299">
        <f t="shared" si="18"/>
        <v>44341.7668566667</v>
      </c>
      <c r="AX73" s="299"/>
      <c r="AY73" s="299"/>
      <c r="AZ73" s="299">
        <f t="shared" si="19"/>
        <v>173307.675643333</v>
      </c>
      <c r="BA73" s="429">
        <f t="shared" si="78"/>
        <v>2611793.31</v>
      </c>
      <c r="BB73" s="430">
        <f t="shared" si="79"/>
        <v>722358.662</v>
      </c>
      <c r="BC73" s="307">
        <f t="shared" si="80"/>
        <v>0</v>
      </c>
      <c r="BD73" s="308">
        <f t="shared" si="81"/>
        <v>722358.662</v>
      </c>
      <c r="BE73" s="313">
        <f t="shared" si="82"/>
        <v>1889434.648</v>
      </c>
      <c r="BF73" s="430"/>
      <c r="BG73" s="307">
        <f t="shared" si="83"/>
        <v>21000</v>
      </c>
      <c r="BH73" s="307">
        <f t="shared" si="84"/>
        <v>33000</v>
      </c>
      <c r="BI73" s="307">
        <f t="shared" si="85"/>
        <v>75000</v>
      </c>
      <c r="BJ73" s="307">
        <f t="shared" si="86"/>
        <v>95000</v>
      </c>
      <c r="BK73" s="307">
        <f t="shared" si="87"/>
        <v>60781.27608</v>
      </c>
      <c r="BL73" s="307" t="str">
        <f t="shared" si="88"/>
        <v/>
      </c>
      <c r="BM73" s="429">
        <f t="shared" si="89"/>
        <v>284781.27608</v>
      </c>
      <c r="BN73" s="320">
        <f t="shared" si="90"/>
        <v>26117.9331</v>
      </c>
      <c r="BO73" s="321">
        <f t="shared" si="61"/>
        <v>284781.27608</v>
      </c>
      <c r="BP73" s="322">
        <f t="shared" si="91"/>
        <v>23731.7730066667</v>
      </c>
      <c r="BQ73" s="323"/>
      <c r="BR73" s="324"/>
      <c r="BS73" s="325"/>
      <c r="BT73" s="326"/>
      <c r="BU73" s="326"/>
      <c r="BV73" s="334"/>
      <c r="BW73" s="335"/>
    </row>
    <row r="74" s="245" customFormat="1" ht="172.5" customHeight="1" spans="1:75">
      <c r="A74" s="255">
        <v>73</v>
      </c>
      <c r="B74" s="70" t="s">
        <v>323</v>
      </c>
      <c r="C74" s="129" t="s">
        <v>130</v>
      </c>
      <c r="D74" s="129" t="s">
        <v>272</v>
      </c>
      <c r="E74" s="256" t="s">
        <v>93</v>
      </c>
      <c r="F74" s="256">
        <v>3068164624</v>
      </c>
      <c r="G74" s="257">
        <v>2600486</v>
      </c>
      <c r="H74" s="258">
        <f t="shared" si="75"/>
        <v>216707.166666667</v>
      </c>
      <c r="I74" s="258">
        <f t="shared" si="66"/>
        <v>25282.5027777778</v>
      </c>
      <c r="J74" s="258">
        <v>5000</v>
      </c>
      <c r="K74" s="258"/>
      <c r="L74" s="258"/>
      <c r="M74" s="258">
        <v>2500</v>
      </c>
      <c r="N74" s="258"/>
      <c r="O74" s="258"/>
      <c r="P74" s="258"/>
      <c r="Q74" s="258"/>
      <c r="R74" s="258"/>
      <c r="S74" s="258"/>
      <c r="T74" s="258"/>
      <c r="U74" s="258">
        <v>383.33</v>
      </c>
      <c r="V74" s="258"/>
      <c r="W74" s="265"/>
      <c r="X74" s="258"/>
      <c r="Y74" s="258"/>
      <c r="Z74" s="258"/>
      <c r="AA74" s="258"/>
      <c r="AB74" s="258"/>
      <c r="AC74" s="258"/>
      <c r="AD74" s="270"/>
      <c r="AE74" s="258"/>
      <c r="AF74" s="258"/>
      <c r="AG74" s="270">
        <f t="shared" si="16"/>
        <v>4334.14333333333</v>
      </c>
      <c r="AH74" s="270"/>
      <c r="AI74" s="278"/>
      <c r="AJ74" s="279">
        <v>1000</v>
      </c>
      <c r="AK74" s="280"/>
      <c r="AL74" s="280"/>
      <c r="AM74" s="281">
        <f>41875+17500</f>
        <v>59375</v>
      </c>
      <c r="AN74" s="258"/>
      <c r="AO74" s="299">
        <v>1500</v>
      </c>
      <c r="AP74" s="299"/>
      <c r="AQ74" s="299"/>
      <c r="AR74" s="299">
        <f t="shared" si="17"/>
        <v>4997.45998888889</v>
      </c>
      <c r="AS74" s="300"/>
      <c r="AT74" s="300"/>
      <c r="AU74" s="299">
        <f t="shared" si="67"/>
        <v>29145.3305733333</v>
      </c>
      <c r="AV74" s="299">
        <f t="shared" ref="AV74:AV75" si="98">W74+V74+U74+N74+M74+K74+J74+I74+H74</f>
        <v>249872.999444444</v>
      </c>
      <c r="AW74" s="299">
        <f>AU74+AR74+AQ74+AO74+AN74+AM74+AK74+AJ74+AI74+AH74+AG74</f>
        <v>100351.933895556</v>
      </c>
      <c r="AX74" s="299"/>
      <c r="AY74" s="299"/>
      <c r="AZ74" s="299">
        <f t="shared" si="19"/>
        <v>149521.065548889</v>
      </c>
      <c r="BA74" s="429">
        <f t="shared" si="78"/>
        <v>2998475.99333333</v>
      </c>
      <c r="BB74" s="430">
        <f t="shared" si="79"/>
        <v>799695.198666667</v>
      </c>
      <c r="BC74" s="307">
        <f t="shared" si="80"/>
        <v>0</v>
      </c>
      <c r="BD74" s="308">
        <f t="shared" si="81"/>
        <v>799695.198666667</v>
      </c>
      <c r="BE74" s="313">
        <f t="shared" si="82"/>
        <v>2198780.79466667</v>
      </c>
      <c r="BF74" s="430"/>
      <c r="BG74" s="307">
        <f t="shared" si="83"/>
        <v>21000</v>
      </c>
      <c r="BH74" s="307">
        <f t="shared" si="84"/>
        <v>33000</v>
      </c>
      <c r="BI74" s="307">
        <f t="shared" si="85"/>
        <v>75000</v>
      </c>
      <c r="BJ74" s="307">
        <f t="shared" si="86"/>
        <v>95000</v>
      </c>
      <c r="BK74" s="307">
        <f t="shared" si="87"/>
        <v>125743.96688</v>
      </c>
      <c r="BL74" s="307" t="str">
        <f t="shared" si="88"/>
        <v/>
      </c>
      <c r="BM74" s="429">
        <f t="shared" si="89"/>
        <v>349743.96688</v>
      </c>
      <c r="BN74" s="320">
        <f t="shared" si="90"/>
        <v>29984.7599333333</v>
      </c>
      <c r="BO74" s="321">
        <f t="shared" si="61"/>
        <v>349743.96688</v>
      </c>
      <c r="BP74" s="322">
        <f t="shared" si="91"/>
        <v>29145.3305733333</v>
      </c>
      <c r="BQ74" s="323"/>
      <c r="BR74" s="324"/>
      <c r="BS74" s="325"/>
      <c r="BT74" s="326"/>
      <c r="BU74" s="326"/>
      <c r="BV74" s="334"/>
      <c r="BW74" s="335"/>
    </row>
    <row r="75" s="245" customFormat="1" ht="172.5" customHeight="1" spans="1:75">
      <c r="A75" s="255">
        <v>74</v>
      </c>
      <c r="B75" s="70" t="s">
        <v>324</v>
      </c>
      <c r="C75" s="129" t="s">
        <v>155</v>
      </c>
      <c r="D75" s="129" t="s">
        <v>269</v>
      </c>
      <c r="E75" s="256" t="s">
        <v>113</v>
      </c>
      <c r="F75" s="1469" t="s">
        <v>2043</v>
      </c>
      <c r="G75" s="257">
        <v>2775651</v>
      </c>
      <c r="H75" s="258">
        <f t="shared" si="75"/>
        <v>231304.25</v>
      </c>
      <c r="I75" s="258">
        <f t="shared" si="66"/>
        <v>26985.4958333333</v>
      </c>
      <c r="J75" s="258">
        <v>5000</v>
      </c>
      <c r="K75" s="258"/>
      <c r="L75" s="258"/>
      <c r="M75" s="258">
        <v>2500</v>
      </c>
      <c r="N75" s="258"/>
      <c r="O75" s="258"/>
      <c r="P75" s="258"/>
      <c r="Q75" s="258"/>
      <c r="R75" s="258"/>
      <c r="S75" s="258"/>
      <c r="T75" s="258"/>
      <c r="U75" s="258">
        <v>383.33</v>
      </c>
      <c r="V75" s="258"/>
      <c r="W75" s="265"/>
      <c r="X75" s="258"/>
      <c r="Y75" s="258"/>
      <c r="Z75" s="258"/>
      <c r="AA75" s="258"/>
      <c r="AB75" s="258"/>
      <c r="AC75" s="258"/>
      <c r="AD75" s="270"/>
      <c r="AE75" s="258"/>
      <c r="AF75" s="258">
        <v>2500</v>
      </c>
      <c r="AG75" s="270">
        <f t="shared" si="16"/>
        <v>4626.085</v>
      </c>
      <c r="AH75" s="270">
        <f>20000</f>
        <v>20000</v>
      </c>
      <c r="AI75" s="278"/>
      <c r="AJ75" s="279">
        <v>1000</v>
      </c>
      <c r="AK75" s="280"/>
      <c r="AL75" s="280"/>
      <c r="AM75" s="281"/>
      <c r="AN75" s="258"/>
      <c r="AO75" s="299">
        <v>1500</v>
      </c>
      <c r="AP75" s="299"/>
      <c r="AQ75" s="299"/>
      <c r="AR75" s="299">
        <f t="shared" si="17"/>
        <v>5323.46151666667</v>
      </c>
      <c r="AS75" s="300"/>
      <c r="AT75" s="300"/>
      <c r="AU75" s="299">
        <f t="shared" si="67"/>
        <v>31883.7434066667</v>
      </c>
      <c r="AV75" s="299">
        <f t="shared" si="98"/>
        <v>266173.075833333</v>
      </c>
      <c r="AW75" s="299">
        <f>AU75+AR75+AQ75+AO75+AN75+AM75+AK75+AJ75+AI75+AH75+AG75+AF75</f>
        <v>66833.2899233333</v>
      </c>
      <c r="AX75" s="299"/>
      <c r="AY75" s="299"/>
      <c r="AZ75" s="299">
        <f t="shared" ref="AZ75:AZ138" si="99">AV75-AW75</f>
        <v>199339.78591</v>
      </c>
      <c r="BA75" s="429">
        <f t="shared" si="78"/>
        <v>3194076.91</v>
      </c>
      <c r="BB75" s="430">
        <f t="shared" si="79"/>
        <v>838815.382</v>
      </c>
      <c r="BC75" s="307">
        <f t="shared" si="80"/>
        <v>0</v>
      </c>
      <c r="BD75" s="308">
        <f t="shared" si="81"/>
        <v>838815.382</v>
      </c>
      <c r="BE75" s="313">
        <f t="shared" si="82"/>
        <v>2355261.528</v>
      </c>
      <c r="BF75" s="430"/>
      <c r="BG75" s="307">
        <f t="shared" si="83"/>
        <v>21000</v>
      </c>
      <c r="BH75" s="307">
        <f t="shared" si="84"/>
        <v>33000</v>
      </c>
      <c r="BI75" s="307">
        <f t="shared" si="85"/>
        <v>75000</v>
      </c>
      <c r="BJ75" s="307">
        <f t="shared" si="86"/>
        <v>95000</v>
      </c>
      <c r="BK75" s="307">
        <f t="shared" si="87"/>
        <v>158604.92088</v>
      </c>
      <c r="BL75" s="307" t="str">
        <f t="shared" si="88"/>
        <v/>
      </c>
      <c r="BM75" s="429">
        <f t="shared" si="89"/>
        <v>382604.92088</v>
      </c>
      <c r="BN75" s="320">
        <f t="shared" si="90"/>
        <v>31940.7691</v>
      </c>
      <c r="BO75" s="321">
        <f t="shared" si="61"/>
        <v>382604.92088</v>
      </c>
      <c r="BP75" s="322">
        <f t="shared" si="91"/>
        <v>31883.7434066667</v>
      </c>
      <c r="BQ75" s="323"/>
      <c r="BR75" s="324"/>
      <c r="BS75" s="325"/>
      <c r="BT75" s="326"/>
      <c r="BU75" s="326"/>
      <c r="BV75" s="334"/>
      <c r="BW75" s="335"/>
    </row>
    <row r="76" s="245" customFormat="1" ht="176" customHeight="1" spans="1:75">
      <c r="A76" s="255">
        <v>75</v>
      </c>
      <c r="B76" s="70" t="s">
        <v>326</v>
      </c>
      <c r="C76" s="129" t="s">
        <v>130</v>
      </c>
      <c r="D76" s="129" t="s">
        <v>2038</v>
      </c>
      <c r="E76" s="256" t="s">
        <v>165</v>
      </c>
      <c r="F76" s="256">
        <v>2048397326</v>
      </c>
      <c r="G76" s="257">
        <v>3125980</v>
      </c>
      <c r="H76" s="258">
        <f t="shared" si="75"/>
        <v>260498.333333333</v>
      </c>
      <c r="I76" s="258">
        <f t="shared" si="66"/>
        <v>30391.4722222222</v>
      </c>
      <c r="J76" s="258">
        <v>5000</v>
      </c>
      <c r="K76" s="258"/>
      <c r="L76" s="258"/>
      <c r="M76" s="258">
        <v>2500</v>
      </c>
      <c r="N76" s="258"/>
      <c r="O76" s="258"/>
      <c r="P76" s="258"/>
      <c r="Q76" s="258"/>
      <c r="R76" s="258"/>
      <c r="S76" s="258"/>
      <c r="T76" s="258"/>
      <c r="U76" s="258">
        <v>383.33</v>
      </c>
      <c r="V76" s="258"/>
      <c r="W76" s="265"/>
      <c r="X76" s="258"/>
      <c r="Y76" s="258"/>
      <c r="Z76" s="258"/>
      <c r="AA76" s="258"/>
      <c r="AB76" s="258"/>
      <c r="AC76" s="258"/>
      <c r="AD76" s="270"/>
      <c r="AE76" s="258"/>
      <c r="AF76" s="258"/>
      <c r="AG76" s="270">
        <f t="shared" si="16"/>
        <v>5209.96666666667</v>
      </c>
      <c r="AH76" s="270">
        <f>10000</f>
        <v>10000</v>
      </c>
      <c r="AI76" s="278"/>
      <c r="AJ76" s="279">
        <v>1000</v>
      </c>
      <c r="AK76" s="278"/>
      <c r="AL76" s="278"/>
      <c r="AM76" s="258">
        <v>79538.3</v>
      </c>
      <c r="AN76" s="258">
        <v>10000</v>
      </c>
      <c r="AO76" s="299">
        <v>1500</v>
      </c>
      <c r="AP76" s="299"/>
      <c r="AQ76" s="299"/>
      <c r="AR76" s="299">
        <f t="shared" si="17"/>
        <v>5975.46271111111</v>
      </c>
      <c r="AS76" s="300"/>
      <c r="AT76" s="300"/>
      <c r="AU76" s="299">
        <f t="shared" si="67"/>
        <v>37360.55344</v>
      </c>
      <c r="AV76" s="299">
        <f t="shared" ref="AV76" si="100">V76+U76+N76+M76+K76+J76+I76+H76</f>
        <v>298773.135555556</v>
      </c>
      <c r="AW76" s="299">
        <f>AU76+AR76+AO76+AN76+AM76+AJ76+AI76+AH76+AG76</f>
        <v>150584.282817778</v>
      </c>
      <c r="AX76" s="299"/>
      <c r="AY76" s="299"/>
      <c r="AZ76" s="299">
        <f t="shared" si="99"/>
        <v>148188.852737778</v>
      </c>
      <c r="BA76" s="429">
        <f t="shared" si="78"/>
        <v>3585277.62666667</v>
      </c>
      <c r="BB76" s="430">
        <f t="shared" si="79"/>
        <v>917055.525333333</v>
      </c>
      <c r="BC76" s="307">
        <f t="shared" si="80"/>
        <v>0</v>
      </c>
      <c r="BD76" s="308">
        <f t="shared" si="81"/>
        <v>917055.525333333</v>
      </c>
      <c r="BE76" s="313">
        <f t="shared" si="82"/>
        <v>2668222.10133333</v>
      </c>
      <c r="BF76" s="430"/>
      <c r="BG76" s="307">
        <f t="shared" si="83"/>
        <v>21000</v>
      </c>
      <c r="BH76" s="307">
        <f t="shared" si="84"/>
        <v>33000</v>
      </c>
      <c r="BI76" s="307">
        <f t="shared" si="85"/>
        <v>75000</v>
      </c>
      <c r="BJ76" s="307">
        <f t="shared" si="86"/>
        <v>95000</v>
      </c>
      <c r="BK76" s="307">
        <f t="shared" si="87"/>
        <v>224326.64128</v>
      </c>
      <c r="BL76" s="307" t="str">
        <f t="shared" si="88"/>
        <v/>
      </c>
      <c r="BM76" s="429">
        <f t="shared" si="89"/>
        <v>448326.64128</v>
      </c>
      <c r="BN76" s="320">
        <f t="shared" si="90"/>
        <v>35852.7762666667</v>
      </c>
      <c r="BO76" s="321">
        <f t="shared" si="61"/>
        <v>448326.64128</v>
      </c>
      <c r="BP76" s="322">
        <f t="shared" si="91"/>
        <v>37360.55344</v>
      </c>
      <c r="BQ76" s="323"/>
      <c r="BR76" s="324"/>
      <c r="BS76" s="325"/>
      <c r="BT76" s="326"/>
      <c r="BU76" s="326"/>
      <c r="BV76" s="334"/>
      <c r="BW76" s="335"/>
    </row>
    <row r="77" s="245" customFormat="1" ht="186" customHeight="1" spans="1:75">
      <c r="A77" s="255">
        <v>76</v>
      </c>
      <c r="B77" s="70" t="s">
        <v>327</v>
      </c>
      <c r="C77" s="129" t="s">
        <v>130</v>
      </c>
      <c r="D77" s="129" t="s">
        <v>272</v>
      </c>
      <c r="E77" s="256" t="s">
        <v>135</v>
      </c>
      <c r="F77" s="1469" t="s">
        <v>328</v>
      </c>
      <c r="G77" s="257">
        <v>2600486</v>
      </c>
      <c r="H77" s="258">
        <f t="shared" si="75"/>
        <v>216707.166666667</v>
      </c>
      <c r="I77" s="258">
        <f t="shared" si="66"/>
        <v>25282.5027777778</v>
      </c>
      <c r="J77" s="258">
        <v>5000</v>
      </c>
      <c r="K77" s="258"/>
      <c r="L77" s="258"/>
      <c r="M77" s="258">
        <v>2500</v>
      </c>
      <c r="N77" s="258"/>
      <c r="O77" s="258"/>
      <c r="P77" s="258"/>
      <c r="Q77" s="258"/>
      <c r="R77" s="258"/>
      <c r="S77" s="258"/>
      <c r="T77" s="258"/>
      <c r="U77" s="258">
        <v>383.33</v>
      </c>
      <c r="V77" s="258"/>
      <c r="W77" s="265"/>
      <c r="X77" s="258"/>
      <c r="Y77" s="258"/>
      <c r="Z77" s="258"/>
      <c r="AA77" s="258"/>
      <c r="AB77" s="258"/>
      <c r="AC77" s="258"/>
      <c r="AD77" s="270"/>
      <c r="AE77" s="258"/>
      <c r="AF77" s="258">
        <v>1000</v>
      </c>
      <c r="AG77" s="270">
        <f>H77*0.02</f>
        <v>4334.14333333333</v>
      </c>
      <c r="AH77" s="270">
        <f>5000</f>
        <v>5000</v>
      </c>
      <c r="AI77" s="278"/>
      <c r="AJ77" s="280"/>
      <c r="AK77" s="346">
        <v>20000</v>
      </c>
      <c r="AL77" s="346"/>
      <c r="AM77" s="281">
        <v>10000</v>
      </c>
      <c r="AN77" s="281">
        <v>7500</v>
      </c>
      <c r="AO77" s="299">
        <v>1500</v>
      </c>
      <c r="AP77" s="299"/>
      <c r="AQ77" s="299"/>
      <c r="AR77" s="299">
        <f t="shared" si="17"/>
        <v>4997.45998888889</v>
      </c>
      <c r="AS77" s="300"/>
      <c r="AT77" s="300"/>
      <c r="AU77" s="299">
        <f t="shared" si="67"/>
        <v>29145.3305733333</v>
      </c>
      <c r="AV77" s="299">
        <f t="shared" ref="AV77:AV79" si="101">W77+V77+U77+N77+M77+K77+J77+I77+H77</f>
        <v>249872.999444444</v>
      </c>
      <c r="AW77" s="299">
        <f t="shared" ref="AW77:AW134" si="102">AU77+AR77+AQ77+AO77+AN77+AM77+AK77+AI77+AH77+AG77+AF77+AE77+AD77</f>
        <v>83476.9338955556</v>
      </c>
      <c r="AX77" s="299"/>
      <c r="AY77" s="299"/>
      <c r="AZ77" s="299">
        <f t="shared" si="99"/>
        <v>166396.065548889</v>
      </c>
      <c r="BA77" s="429">
        <f t="shared" si="78"/>
        <v>2998475.99333333</v>
      </c>
      <c r="BB77" s="430">
        <f t="shared" si="79"/>
        <v>799695.198666667</v>
      </c>
      <c r="BC77" s="307">
        <f t="shared" si="80"/>
        <v>0</v>
      </c>
      <c r="BD77" s="308">
        <f t="shared" si="81"/>
        <v>799695.198666667</v>
      </c>
      <c r="BE77" s="313">
        <f t="shared" si="82"/>
        <v>2198780.79466667</v>
      </c>
      <c r="BF77" s="430"/>
      <c r="BG77" s="307">
        <f t="shared" si="83"/>
        <v>21000</v>
      </c>
      <c r="BH77" s="307">
        <f t="shared" si="84"/>
        <v>33000</v>
      </c>
      <c r="BI77" s="307">
        <f t="shared" si="85"/>
        <v>75000</v>
      </c>
      <c r="BJ77" s="307">
        <f t="shared" si="86"/>
        <v>95000</v>
      </c>
      <c r="BK77" s="307">
        <f t="shared" si="87"/>
        <v>125743.96688</v>
      </c>
      <c r="BL77" s="307" t="str">
        <f t="shared" si="88"/>
        <v/>
      </c>
      <c r="BM77" s="429">
        <f t="shared" si="89"/>
        <v>349743.96688</v>
      </c>
      <c r="BN77" s="320">
        <f t="shared" si="90"/>
        <v>29984.7599333333</v>
      </c>
      <c r="BO77" s="321">
        <f t="shared" ref="BO77:BO108" si="103">MAX(BM77:BN77)</f>
        <v>349743.96688</v>
      </c>
      <c r="BP77" s="322">
        <f t="shared" si="91"/>
        <v>29145.3305733333</v>
      </c>
      <c r="BQ77" s="323"/>
      <c r="BR77" s="324"/>
      <c r="BS77" s="325"/>
      <c r="BT77" s="326"/>
      <c r="BU77" s="326"/>
      <c r="BV77" s="334"/>
      <c r="BW77" s="335"/>
    </row>
    <row r="78" s="245" customFormat="1" ht="172.5" customHeight="1" spans="1:75">
      <c r="A78" s="255">
        <v>77</v>
      </c>
      <c r="B78" s="70" t="s">
        <v>330</v>
      </c>
      <c r="C78" s="129" t="s">
        <v>138</v>
      </c>
      <c r="D78" s="129" t="s">
        <v>225</v>
      </c>
      <c r="E78" s="256" t="s">
        <v>135</v>
      </c>
      <c r="F78" s="1469" t="s">
        <v>331</v>
      </c>
      <c r="G78" s="257">
        <v>4783091</v>
      </c>
      <c r="H78" s="258">
        <f t="shared" si="75"/>
        <v>398590.916666667</v>
      </c>
      <c r="I78" s="258">
        <f t="shared" si="66"/>
        <v>46502.2736111111</v>
      </c>
      <c r="J78" s="258">
        <v>6666.67</v>
      </c>
      <c r="K78" s="258">
        <v>41667</v>
      </c>
      <c r="L78" s="258"/>
      <c r="M78" s="258">
        <v>2500</v>
      </c>
      <c r="N78" s="258"/>
      <c r="O78" s="258"/>
      <c r="P78" s="258"/>
      <c r="Q78" s="258"/>
      <c r="R78" s="258"/>
      <c r="S78" s="258"/>
      <c r="T78" s="258"/>
      <c r="U78" s="258">
        <v>383.33</v>
      </c>
      <c r="V78" s="258"/>
      <c r="W78" s="265"/>
      <c r="X78" s="258"/>
      <c r="Y78" s="258"/>
      <c r="Z78" s="258"/>
      <c r="AA78" s="258"/>
      <c r="AB78" s="258"/>
      <c r="AC78" s="258"/>
      <c r="AD78" s="270"/>
      <c r="AE78" s="258"/>
      <c r="AF78" s="258"/>
      <c r="AG78" s="270">
        <f t="shared" si="16"/>
        <v>7971.81833333333</v>
      </c>
      <c r="AH78" s="270">
        <f>30000</f>
        <v>30000</v>
      </c>
      <c r="AI78" s="278"/>
      <c r="AJ78" s="279">
        <v>1000</v>
      </c>
      <c r="AK78" s="280"/>
      <c r="AL78" s="280"/>
      <c r="AM78" s="281">
        <f>80000+140000</f>
        <v>220000</v>
      </c>
      <c r="AN78" s="258">
        <v>25000</v>
      </c>
      <c r="AO78" s="299">
        <v>2500</v>
      </c>
      <c r="AP78" s="299"/>
      <c r="AQ78" s="299"/>
      <c r="AR78" s="299">
        <f t="shared" si="17"/>
        <v>9926.20380555556</v>
      </c>
      <c r="AS78" s="300"/>
      <c r="AT78" s="300"/>
      <c r="AU78" s="299">
        <f t="shared" si="67"/>
        <v>73958.2232</v>
      </c>
      <c r="AV78" s="299">
        <f t="shared" si="101"/>
        <v>496310.190277778</v>
      </c>
      <c r="AW78" s="299">
        <f>AU78+AR78+AQ78+AO78+AN78+AM78+AK78+AI78+AH78+AG78+AF78+AE78+AD78+AJ78</f>
        <v>370356.245338889</v>
      </c>
      <c r="AX78" s="299"/>
      <c r="AY78" s="299"/>
      <c r="AZ78" s="299">
        <f t="shared" si="99"/>
        <v>125953.944938889</v>
      </c>
      <c r="BA78" s="429">
        <f t="shared" si="78"/>
        <v>5955722.28333333</v>
      </c>
      <c r="BB78" s="430">
        <f t="shared" si="79"/>
        <v>1391144.45666667</v>
      </c>
      <c r="BC78" s="307">
        <f t="shared" si="80"/>
        <v>0</v>
      </c>
      <c r="BD78" s="308">
        <f t="shared" si="81"/>
        <v>1391144.45666667</v>
      </c>
      <c r="BE78" s="313">
        <f t="shared" si="82"/>
        <v>4564577.82666667</v>
      </c>
      <c r="BF78" s="430"/>
      <c r="BG78" s="307">
        <f t="shared" si="83"/>
        <v>21000</v>
      </c>
      <c r="BH78" s="307">
        <f t="shared" si="84"/>
        <v>33000</v>
      </c>
      <c r="BI78" s="307">
        <f t="shared" si="85"/>
        <v>75000</v>
      </c>
      <c r="BJ78" s="307">
        <f t="shared" si="86"/>
        <v>95000</v>
      </c>
      <c r="BK78" s="307">
        <f t="shared" si="87"/>
        <v>336000</v>
      </c>
      <c r="BL78" s="307">
        <f t="shared" si="88"/>
        <v>327498.6784</v>
      </c>
      <c r="BM78" s="429">
        <f t="shared" si="89"/>
        <v>887498.6784</v>
      </c>
      <c r="BN78" s="320">
        <f t="shared" si="90"/>
        <v>59557.2228333333</v>
      </c>
      <c r="BO78" s="321">
        <f t="shared" si="103"/>
        <v>887498.6784</v>
      </c>
      <c r="BP78" s="322">
        <f t="shared" si="91"/>
        <v>73958.2232</v>
      </c>
      <c r="BQ78" s="323"/>
      <c r="BR78" s="324"/>
      <c r="BS78" s="325"/>
      <c r="BT78" s="326"/>
      <c r="BU78" s="326"/>
      <c r="BV78" s="334"/>
      <c r="BW78" s="335"/>
    </row>
    <row r="79" s="245" customFormat="1" ht="187" customHeight="1" spans="1:75">
      <c r="A79" s="255">
        <v>78</v>
      </c>
      <c r="B79" s="70" t="s">
        <v>332</v>
      </c>
      <c r="C79" s="129" t="s">
        <v>2044</v>
      </c>
      <c r="D79" s="129" t="s">
        <v>333</v>
      </c>
      <c r="E79" s="256" t="s">
        <v>259</v>
      </c>
      <c r="F79" s="256">
        <v>6230686439</v>
      </c>
      <c r="G79" s="257">
        <v>3804852</v>
      </c>
      <c r="H79" s="258">
        <f t="shared" si="75"/>
        <v>317071</v>
      </c>
      <c r="I79" s="258">
        <f t="shared" si="66"/>
        <v>36991.6166666667</v>
      </c>
      <c r="J79" s="258">
        <v>6666.67</v>
      </c>
      <c r="K79" s="258"/>
      <c r="L79" s="258"/>
      <c r="M79" s="258">
        <v>2500</v>
      </c>
      <c r="N79" s="258"/>
      <c r="O79" s="258"/>
      <c r="P79" s="258"/>
      <c r="Q79" s="258"/>
      <c r="R79" s="258"/>
      <c r="S79" s="258"/>
      <c r="T79" s="258"/>
      <c r="U79" s="258">
        <v>383.33</v>
      </c>
      <c r="V79" s="258"/>
      <c r="W79" s="265"/>
      <c r="X79" s="258"/>
      <c r="Y79" s="258"/>
      <c r="Z79" s="258"/>
      <c r="AA79" s="258"/>
      <c r="AB79" s="258"/>
      <c r="AC79" s="258"/>
      <c r="AD79" s="270"/>
      <c r="AE79" s="258"/>
      <c r="AF79" s="258"/>
      <c r="AG79" s="270">
        <f t="shared" si="16"/>
        <v>6341.42</v>
      </c>
      <c r="AH79" s="270"/>
      <c r="AI79" s="278"/>
      <c r="AJ79" s="280"/>
      <c r="AK79" s="280"/>
      <c r="AL79" s="280"/>
      <c r="AM79" s="281"/>
      <c r="AN79" s="258"/>
      <c r="AO79" s="299">
        <v>2000</v>
      </c>
      <c r="AP79" s="299"/>
      <c r="AQ79" s="299"/>
      <c r="AR79" s="299">
        <f t="shared" si="17"/>
        <v>7272.25233333333</v>
      </c>
      <c r="AS79" s="300"/>
      <c r="AT79" s="300"/>
      <c r="AU79" s="299">
        <f t="shared" si="67"/>
        <v>48480.2890666667</v>
      </c>
      <c r="AV79" s="299">
        <f t="shared" si="101"/>
        <v>363612.616666667</v>
      </c>
      <c r="AW79" s="299">
        <f t="shared" ref="AW79" si="104">AU79+AR79+AQ79+AO79+AN79+AM79+AK79+AI79+AH79+AG79+AF79+AE79+AD79</f>
        <v>64093.9614</v>
      </c>
      <c r="AX79" s="299"/>
      <c r="AY79" s="299"/>
      <c r="AZ79" s="299">
        <f t="shared" si="99"/>
        <v>299518.655266667</v>
      </c>
      <c r="BA79" s="429">
        <f t="shared" si="78"/>
        <v>4363351.4</v>
      </c>
      <c r="BB79" s="430">
        <f t="shared" si="79"/>
        <v>1072670.28</v>
      </c>
      <c r="BC79" s="307">
        <f t="shared" si="80"/>
        <v>0</v>
      </c>
      <c r="BD79" s="308">
        <f t="shared" si="81"/>
        <v>1072670.28</v>
      </c>
      <c r="BE79" s="313">
        <f t="shared" si="82"/>
        <v>3290681.12</v>
      </c>
      <c r="BF79" s="430"/>
      <c r="BG79" s="307">
        <f t="shared" si="83"/>
        <v>21000</v>
      </c>
      <c r="BH79" s="307">
        <f t="shared" si="84"/>
        <v>33000</v>
      </c>
      <c r="BI79" s="307">
        <f t="shared" si="85"/>
        <v>75000</v>
      </c>
      <c r="BJ79" s="307">
        <f t="shared" si="86"/>
        <v>95000</v>
      </c>
      <c r="BK79" s="307">
        <f t="shared" si="87"/>
        <v>336000</v>
      </c>
      <c r="BL79" s="307">
        <f t="shared" si="88"/>
        <v>21763.4687999999</v>
      </c>
      <c r="BM79" s="429">
        <f t="shared" si="89"/>
        <v>581763.4688</v>
      </c>
      <c r="BN79" s="320">
        <f t="shared" si="90"/>
        <v>43633.514</v>
      </c>
      <c r="BO79" s="321">
        <f t="shared" si="103"/>
        <v>581763.4688</v>
      </c>
      <c r="BP79" s="322">
        <f t="shared" si="91"/>
        <v>48480.2890666667</v>
      </c>
      <c r="BQ79" s="323"/>
      <c r="BR79" s="324"/>
      <c r="BS79" s="325"/>
      <c r="BT79" s="326"/>
      <c r="BU79" s="326"/>
      <c r="BV79" s="334"/>
      <c r="BW79" s="335"/>
    </row>
    <row r="80" s="245" customFormat="1" ht="172.5" customHeight="1" spans="1:75">
      <c r="A80" s="255">
        <v>79</v>
      </c>
      <c r="B80" s="70" t="s">
        <v>334</v>
      </c>
      <c r="C80" s="129" t="s">
        <v>2045</v>
      </c>
      <c r="D80" s="129" t="s">
        <v>246</v>
      </c>
      <c r="E80" s="256" t="s">
        <v>135</v>
      </c>
      <c r="F80" s="1469" t="s">
        <v>336</v>
      </c>
      <c r="G80" s="257">
        <v>4327636</v>
      </c>
      <c r="H80" s="258">
        <f t="shared" si="75"/>
        <v>360636.333333333</v>
      </c>
      <c r="I80" s="258">
        <f t="shared" si="66"/>
        <v>42074.2388888889</v>
      </c>
      <c r="J80" s="258">
        <v>6666.67</v>
      </c>
      <c r="K80" s="258">
        <v>41667</v>
      </c>
      <c r="L80" s="258"/>
      <c r="M80" s="258">
        <v>2500</v>
      </c>
      <c r="N80" s="258"/>
      <c r="O80" s="258"/>
      <c r="P80" s="258"/>
      <c r="Q80" s="258"/>
      <c r="R80" s="258"/>
      <c r="S80" s="258"/>
      <c r="T80" s="258"/>
      <c r="U80" s="258">
        <v>383.33</v>
      </c>
      <c r="V80" s="258"/>
      <c r="W80" s="265"/>
      <c r="X80" s="258"/>
      <c r="Y80" s="258"/>
      <c r="Z80" s="258"/>
      <c r="AA80" s="258"/>
      <c r="AB80" s="258"/>
      <c r="AC80" s="258"/>
      <c r="AD80" s="270"/>
      <c r="AE80" s="258"/>
      <c r="AF80" s="258"/>
      <c r="AG80" s="270">
        <f t="shared" si="16"/>
        <v>7212.72666666667</v>
      </c>
      <c r="AH80" s="270"/>
      <c r="AI80" s="278"/>
      <c r="AJ80" s="280"/>
      <c r="AK80" s="280"/>
      <c r="AL80" s="284">
        <v>1000</v>
      </c>
      <c r="AM80" s="281"/>
      <c r="AN80" s="258">
        <v>15000</v>
      </c>
      <c r="AO80" s="299">
        <v>2500</v>
      </c>
      <c r="AP80" s="299"/>
      <c r="AQ80" s="299"/>
      <c r="AR80" s="299">
        <f t="shared" si="17"/>
        <v>9078.55144444445</v>
      </c>
      <c r="AS80" s="300"/>
      <c r="AT80" s="300"/>
      <c r="AU80" s="299">
        <f t="shared" si="67"/>
        <v>65820.7605333333</v>
      </c>
      <c r="AV80" s="299">
        <f t="shared" ref="AV80" si="105">V80+U80+N80+M80+K80+J80+I80+H80</f>
        <v>453927.572222222</v>
      </c>
      <c r="AW80" s="299">
        <f>AU80+AR80+AQ80+AO80+AN80+AM80+AK80+AI80+AH80+AG80+AF80+AE80+AD80+AL80</f>
        <v>100612.038644444</v>
      </c>
      <c r="AX80" s="299"/>
      <c r="AY80" s="299"/>
      <c r="AZ80" s="299">
        <f t="shared" si="99"/>
        <v>353315.533577778</v>
      </c>
      <c r="BA80" s="429">
        <f t="shared" si="78"/>
        <v>5447130.86666667</v>
      </c>
      <c r="BB80" s="430">
        <f t="shared" si="79"/>
        <v>1289426.17333333</v>
      </c>
      <c r="BC80" s="307">
        <f t="shared" si="80"/>
        <v>0</v>
      </c>
      <c r="BD80" s="308">
        <f t="shared" si="81"/>
        <v>1289426.17333333</v>
      </c>
      <c r="BE80" s="313">
        <f t="shared" si="82"/>
        <v>4157704.69333333</v>
      </c>
      <c r="BF80" s="430"/>
      <c r="BG80" s="307">
        <f t="shared" si="83"/>
        <v>21000</v>
      </c>
      <c r="BH80" s="307">
        <f t="shared" si="84"/>
        <v>33000</v>
      </c>
      <c r="BI80" s="307">
        <f t="shared" si="85"/>
        <v>75000</v>
      </c>
      <c r="BJ80" s="307">
        <f t="shared" si="86"/>
        <v>95000</v>
      </c>
      <c r="BK80" s="307">
        <f t="shared" si="87"/>
        <v>336000</v>
      </c>
      <c r="BL80" s="307">
        <f t="shared" si="88"/>
        <v>229849.1264</v>
      </c>
      <c r="BM80" s="429">
        <f t="shared" si="89"/>
        <v>789849.1264</v>
      </c>
      <c r="BN80" s="320">
        <f t="shared" si="90"/>
        <v>54471.3086666667</v>
      </c>
      <c r="BO80" s="321">
        <f t="shared" si="103"/>
        <v>789849.1264</v>
      </c>
      <c r="BP80" s="322">
        <f t="shared" si="91"/>
        <v>65820.7605333333</v>
      </c>
      <c r="BQ80" s="323"/>
      <c r="BR80" s="324"/>
      <c r="BS80" s="325"/>
      <c r="BT80" s="326"/>
      <c r="BU80" s="326"/>
      <c r="BV80" s="334"/>
      <c r="BW80" s="335"/>
    </row>
    <row r="81" s="245" customFormat="1" ht="172.5" customHeight="1" spans="1:75">
      <c r="A81" s="255">
        <v>80</v>
      </c>
      <c r="B81" s="70" t="s">
        <v>337</v>
      </c>
      <c r="C81" s="129" t="s">
        <v>143</v>
      </c>
      <c r="D81" s="129" t="s">
        <v>276</v>
      </c>
      <c r="E81" s="256" t="s">
        <v>93</v>
      </c>
      <c r="F81" s="256">
        <v>2022988252</v>
      </c>
      <c r="G81" s="257">
        <v>3679250</v>
      </c>
      <c r="H81" s="258">
        <f t="shared" si="75"/>
        <v>306604.166666667</v>
      </c>
      <c r="I81" s="258">
        <f t="shared" si="66"/>
        <v>35770.4861111111</v>
      </c>
      <c r="J81" s="258">
        <f>6666.67</f>
        <v>6666.67</v>
      </c>
      <c r="K81" s="258">
        <v>20833.33</v>
      </c>
      <c r="L81" s="258"/>
      <c r="M81" s="258">
        <f>2500</f>
        <v>2500</v>
      </c>
      <c r="N81" s="258"/>
      <c r="O81" s="258"/>
      <c r="P81" s="258"/>
      <c r="Q81" s="258"/>
      <c r="R81" s="258"/>
      <c r="S81" s="258"/>
      <c r="T81" s="258"/>
      <c r="U81" s="258">
        <f>383.33</f>
        <v>383.33</v>
      </c>
      <c r="V81" s="258"/>
      <c r="W81" s="265"/>
      <c r="X81" s="258"/>
      <c r="Y81" s="258"/>
      <c r="Z81" s="258"/>
      <c r="AA81" s="258"/>
      <c r="AB81" s="258"/>
      <c r="AC81" s="258"/>
      <c r="AD81" s="270"/>
      <c r="AE81" s="258"/>
      <c r="AF81" s="258"/>
      <c r="AG81" s="270">
        <f t="shared" ref="AG81:AG144" si="106">H81*0.02</f>
        <v>6132.08333333333</v>
      </c>
      <c r="AH81" s="270"/>
      <c r="AI81" s="282">
        <v>1000</v>
      </c>
      <c r="AJ81" s="279"/>
      <c r="AK81" s="279"/>
      <c r="AL81" s="279"/>
      <c r="AM81" s="281">
        <v>20000</v>
      </c>
      <c r="AN81" s="258">
        <v>8333.33</v>
      </c>
      <c r="AO81" s="299">
        <v>2000</v>
      </c>
      <c r="AP81" s="299"/>
      <c r="AQ81" s="299"/>
      <c r="AR81" s="299">
        <f t="shared" ref="AR81:AR144" si="107">AV81*0.02</f>
        <v>7455.15965555556</v>
      </c>
      <c r="AS81" s="300"/>
      <c r="AT81" s="300"/>
      <c r="AU81" s="299">
        <f t="shared" si="67"/>
        <v>50236.19936</v>
      </c>
      <c r="AV81" s="299">
        <f t="shared" ref="AV81:AV83" si="108">W81+V81+U81+N81+M81+K81+J81+I81+H81</f>
        <v>372757.982777778</v>
      </c>
      <c r="AW81" s="299">
        <f t="shared" si="102"/>
        <v>95156.7723488889</v>
      </c>
      <c r="AX81" s="299"/>
      <c r="AY81" s="299"/>
      <c r="AZ81" s="299">
        <f t="shared" si="99"/>
        <v>277601.210428889</v>
      </c>
      <c r="BA81" s="429">
        <f t="shared" si="78"/>
        <v>4473095.79333333</v>
      </c>
      <c r="BB81" s="430">
        <f t="shared" si="79"/>
        <v>1094619.15866667</v>
      </c>
      <c r="BC81" s="307">
        <f t="shared" si="80"/>
        <v>0</v>
      </c>
      <c r="BD81" s="308">
        <f t="shared" si="81"/>
        <v>1094619.15866667</v>
      </c>
      <c r="BE81" s="313">
        <f t="shared" si="82"/>
        <v>3378476.63466667</v>
      </c>
      <c r="BF81" s="430"/>
      <c r="BG81" s="307">
        <f t="shared" si="83"/>
        <v>21000</v>
      </c>
      <c r="BH81" s="307">
        <f t="shared" si="84"/>
        <v>33000</v>
      </c>
      <c r="BI81" s="307">
        <f t="shared" si="85"/>
        <v>75000</v>
      </c>
      <c r="BJ81" s="307">
        <f t="shared" si="86"/>
        <v>95000</v>
      </c>
      <c r="BK81" s="307">
        <f t="shared" si="87"/>
        <v>336000</v>
      </c>
      <c r="BL81" s="307">
        <f t="shared" si="88"/>
        <v>42834.3923200002</v>
      </c>
      <c r="BM81" s="429">
        <f t="shared" si="89"/>
        <v>602834.39232</v>
      </c>
      <c r="BN81" s="320">
        <f t="shared" si="90"/>
        <v>44730.9579333333</v>
      </c>
      <c r="BO81" s="321">
        <f t="shared" si="103"/>
        <v>602834.39232</v>
      </c>
      <c r="BP81" s="322">
        <f t="shared" si="91"/>
        <v>50236.19936</v>
      </c>
      <c r="BQ81" s="323"/>
      <c r="BR81" s="324"/>
      <c r="BS81" s="325"/>
      <c r="BT81" s="326"/>
      <c r="BU81" s="326"/>
      <c r="BV81" s="334"/>
      <c r="BW81" s="335"/>
    </row>
    <row r="82" s="245" customFormat="1" ht="172.5" customHeight="1" spans="1:75">
      <c r="A82" s="255">
        <v>81</v>
      </c>
      <c r="B82" s="70" t="s">
        <v>2046</v>
      </c>
      <c r="C82" s="129" t="s">
        <v>2047</v>
      </c>
      <c r="D82" s="129" t="s">
        <v>223</v>
      </c>
      <c r="E82" s="256" t="s">
        <v>127</v>
      </c>
      <c r="F82" s="1469" t="s">
        <v>2048</v>
      </c>
      <c r="G82" s="257">
        <f>H82*12</f>
        <v>4631271.96</v>
      </c>
      <c r="H82" s="258">
        <v>385939.33</v>
      </c>
      <c r="I82" s="258">
        <f t="shared" si="66"/>
        <v>45026.2551666667</v>
      </c>
      <c r="J82" s="258">
        <f>6666.67</f>
        <v>6666.67</v>
      </c>
      <c r="K82" s="258">
        <v>20833.33</v>
      </c>
      <c r="L82" s="258"/>
      <c r="M82" s="258">
        <v>2500</v>
      </c>
      <c r="N82" s="258"/>
      <c r="O82" s="258"/>
      <c r="P82" s="258"/>
      <c r="Q82" s="258"/>
      <c r="R82" s="258"/>
      <c r="S82" s="258"/>
      <c r="T82" s="258"/>
      <c r="U82" s="258">
        <f>U81</f>
        <v>383.33</v>
      </c>
      <c r="V82" s="258"/>
      <c r="W82" s="265"/>
      <c r="X82" s="258"/>
      <c r="Y82" s="258"/>
      <c r="Z82" s="258"/>
      <c r="AA82" s="258"/>
      <c r="AB82" s="258"/>
      <c r="AC82" s="258"/>
      <c r="AD82" s="270"/>
      <c r="AE82" s="258"/>
      <c r="AF82" s="258"/>
      <c r="AG82" s="270">
        <f t="shared" si="106"/>
        <v>7718.7866</v>
      </c>
      <c r="AH82" s="270"/>
      <c r="AI82" s="278"/>
      <c r="AJ82" s="280"/>
      <c r="AK82" s="280"/>
      <c r="AL82" s="280"/>
      <c r="AM82" s="281"/>
      <c r="AN82" s="258"/>
      <c r="AO82" s="299">
        <v>2500</v>
      </c>
      <c r="AP82" s="299"/>
      <c r="AQ82" s="299"/>
      <c r="AR82" s="299">
        <f t="shared" si="107"/>
        <v>9226.97830333333</v>
      </c>
      <c r="AS82" s="300"/>
      <c r="AT82" s="300"/>
      <c r="AU82" s="299">
        <f t="shared" si="67"/>
        <v>67245.6583786667</v>
      </c>
      <c r="AV82" s="299">
        <f t="shared" si="108"/>
        <v>461348.915166667</v>
      </c>
      <c r="AW82" s="299">
        <f t="shared" si="102"/>
        <v>86691.423282</v>
      </c>
      <c r="AX82" s="299"/>
      <c r="AY82" s="299"/>
      <c r="AZ82" s="299">
        <f t="shared" si="99"/>
        <v>374657.491884667</v>
      </c>
      <c r="BA82" s="429">
        <f t="shared" si="78"/>
        <v>5536186.982</v>
      </c>
      <c r="BB82" s="430">
        <f t="shared" si="79"/>
        <v>1307237.3964</v>
      </c>
      <c r="BC82" s="307">
        <f t="shared" si="80"/>
        <v>0</v>
      </c>
      <c r="BD82" s="308">
        <f t="shared" si="81"/>
        <v>1307237.3964</v>
      </c>
      <c r="BE82" s="313">
        <f t="shared" si="82"/>
        <v>4228949.5856</v>
      </c>
      <c r="BF82" s="430"/>
      <c r="BG82" s="307">
        <f t="shared" si="83"/>
        <v>21000</v>
      </c>
      <c r="BH82" s="307">
        <f t="shared" si="84"/>
        <v>33000</v>
      </c>
      <c r="BI82" s="307">
        <f t="shared" si="85"/>
        <v>75000</v>
      </c>
      <c r="BJ82" s="307">
        <f t="shared" si="86"/>
        <v>95000</v>
      </c>
      <c r="BK82" s="307">
        <f t="shared" si="87"/>
        <v>336000</v>
      </c>
      <c r="BL82" s="307">
        <f t="shared" si="88"/>
        <v>246947.900544</v>
      </c>
      <c r="BM82" s="429">
        <f t="shared" si="89"/>
        <v>806947.900544</v>
      </c>
      <c r="BN82" s="320">
        <f t="shared" si="90"/>
        <v>55361.86982</v>
      </c>
      <c r="BO82" s="321">
        <f t="shared" si="103"/>
        <v>806947.900544</v>
      </c>
      <c r="BP82" s="322">
        <f t="shared" si="91"/>
        <v>67245.6583786667</v>
      </c>
      <c r="BQ82" s="323"/>
      <c r="BR82" s="324"/>
      <c r="BS82" s="325"/>
      <c r="BT82" s="326"/>
      <c r="BU82" s="326"/>
      <c r="BV82" s="334"/>
      <c r="BW82" s="335"/>
    </row>
    <row r="83" s="245" customFormat="1" ht="175" customHeight="1" spans="1:75">
      <c r="A83" s="255">
        <v>82</v>
      </c>
      <c r="B83" s="70" t="s">
        <v>339</v>
      </c>
      <c r="C83" s="129" t="s">
        <v>340</v>
      </c>
      <c r="D83" s="129" t="s">
        <v>251</v>
      </c>
      <c r="E83" s="256" t="s">
        <v>135</v>
      </c>
      <c r="F83" s="1469" t="s">
        <v>341</v>
      </c>
      <c r="G83" s="257">
        <f>H83*12</f>
        <v>9356702.4</v>
      </c>
      <c r="H83" s="258">
        <f>H2</f>
        <v>779725.2</v>
      </c>
      <c r="I83" s="258">
        <f t="shared" ref="I83:I100" si="109">H83*0.35/3</f>
        <v>90967.94</v>
      </c>
      <c r="J83" s="258">
        <f>J2</f>
        <v>8333.33</v>
      </c>
      <c r="K83" s="258">
        <v>41667</v>
      </c>
      <c r="L83" s="258"/>
      <c r="M83" s="258">
        <v>2500</v>
      </c>
      <c r="N83" s="258"/>
      <c r="O83" s="258"/>
      <c r="P83" s="258"/>
      <c r="Q83" s="258"/>
      <c r="R83" s="258"/>
      <c r="S83" s="258"/>
      <c r="T83" s="258"/>
      <c r="U83" s="258">
        <v>383.33</v>
      </c>
      <c r="V83" s="258"/>
      <c r="W83" s="265"/>
      <c r="X83" s="258"/>
      <c r="Y83" s="258"/>
      <c r="Z83" s="258"/>
      <c r="AA83" s="258"/>
      <c r="AB83" s="258"/>
      <c r="AC83" s="258"/>
      <c r="AD83" s="270"/>
      <c r="AE83" s="258"/>
      <c r="AF83" s="258"/>
      <c r="AG83" s="270">
        <f t="shared" si="106"/>
        <v>15594.504</v>
      </c>
      <c r="AH83" s="270"/>
      <c r="AI83" s="282">
        <v>1000</v>
      </c>
      <c r="AJ83" s="279"/>
      <c r="AK83" s="279"/>
      <c r="AL83" s="279"/>
      <c r="AM83" s="281">
        <f>218333+17500</f>
        <v>235833</v>
      </c>
      <c r="AN83" s="258">
        <v>25000</v>
      </c>
      <c r="AO83" s="299">
        <v>3500</v>
      </c>
      <c r="AP83" s="299"/>
      <c r="AQ83" s="299"/>
      <c r="AR83" s="299">
        <f t="shared" si="107"/>
        <v>18471.536</v>
      </c>
      <c r="AS83" s="300"/>
      <c r="AT83" s="300"/>
      <c r="AU83" s="299">
        <f t="shared" si="67"/>
        <v>155993.412266667</v>
      </c>
      <c r="AV83" s="299">
        <f t="shared" si="108"/>
        <v>923576.8</v>
      </c>
      <c r="AW83" s="299">
        <f t="shared" si="102"/>
        <v>455392.452266667</v>
      </c>
      <c r="AX83" s="299"/>
      <c r="AY83" s="299"/>
      <c r="AZ83" s="299">
        <f t="shared" si="99"/>
        <v>468184.347733333</v>
      </c>
      <c r="BA83" s="429">
        <f t="shared" si="78"/>
        <v>11082921.6</v>
      </c>
      <c r="BB83" s="430">
        <f t="shared" si="79"/>
        <v>2416584.32</v>
      </c>
      <c r="BC83" s="307">
        <f t="shared" si="80"/>
        <v>0</v>
      </c>
      <c r="BD83" s="308">
        <f t="shared" si="81"/>
        <v>2416584.32</v>
      </c>
      <c r="BE83" s="313">
        <f t="shared" si="82"/>
        <v>8666337.28</v>
      </c>
      <c r="BF83" s="430"/>
      <c r="BG83" s="307">
        <f t="shared" si="83"/>
        <v>21000</v>
      </c>
      <c r="BH83" s="307">
        <f t="shared" si="84"/>
        <v>33000</v>
      </c>
      <c r="BI83" s="307">
        <f t="shared" si="85"/>
        <v>75000</v>
      </c>
      <c r="BJ83" s="307">
        <f t="shared" si="86"/>
        <v>95000</v>
      </c>
      <c r="BK83" s="307">
        <f t="shared" si="87"/>
        <v>336000</v>
      </c>
      <c r="BL83" s="307">
        <f t="shared" si="88"/>
        <v>1311920.9472</v>
      </c>
      <c r="BM83" s="429">
        <f t="shared" si="89"/>
        <v>1871920.9472</v>
      </c>
      <c r="BN83" s="320">
        <f t="shared" si="90"/>
        <v>110829.216</v>
      </c>
      <c r="BO83" s="321">
        <f t="shared" si="103"/>
        <v>1871920.9472</v>
      </c>
      <c r="BP83" s="322">
        <f t="shared" si="91"/>
        <v>155993.412266667</v>
      </c>
      <c r="BQ83" s="323"/>
      <c r="BR83" s="324"/>
      <c r="BS83" s="325"/>
      <c r="BT83" s="326"/>
      <c r="BU83" s="326"/>
      <c r="BV83" s="334"/>
      <c r="BW83" s="335"/>
    </row>
    <row r="84" s="245" customFormat="1" ht="172.5" customHeight="1" spans="1:75">
      <c r="A84" s="255">
        <v>83</v>
      </c>
      <c r="B84" s="70" t="s">
        <v>345</v>
      </c>
      <c r="C84" s="129" t="s">
        <v>138</v>
      </c>
      <c r="D84" s="129" t="s">
        <v>223</v>
      </c>
      <c r="E84" s="256" t="s">
        <v>127</v>
      </c>
      <c r="F84" s="1469" t="s">
        <v>348</v>
      </c>
      <c r="G84" s="257">
        <v>4631272</v>
      </c>
      <c r="H84" s="258">
        <f t="shared" ref="H84:H90" si="110">G84/12</f>
        <v>385939.333333333</v>
      </c>
      <c r="I84" s="258">
        <f t="shared" si="109"/>
        <v>45026.2555555556</v>
      </c>
      <c r="J84" s="258">
        <v>6666.67</v>
      </c>
      <c r="K84" s="258">
        <f>K55</f>
        <v>20833.33</v>
      </c>
      <c r="L84" s="258"/>
      <c r="M84" s="258">
        <v>2500</v>
      </c>
      <c r="N84" s="258"/>
      <c r="O84" s="258"/>
      <c r="P84" s="258"/>
      <c r="Q84" s="258"/>
      <c r="R84" s="258"/>
      <c r="S84" s="258"/>
      <c r="T84" s="258"/>
      <c r="U84" s="258">
        <v>383.33</v>
      </c>
      <c r="V84" s="258"/>
      <c r="W84" s="265"/>
      <c r="X84" s="258"/>
      <c r="Y84" s="258"/>
      <c r="Z84" s="258"/>
      <c r="AA84" s="258"/>
      <c r="AB84" s="258"/>
      <c r="AC84" s="258"/>
      <c r="AD84" s="270"/>
      <c r="AE84" s="258"/>
      <c r="AF84" s="258"/>
      <c r="AG84" s="270">
        <f t="shared" si="106"/>
        <v>7718.78666666667</v>
      </c>
      <c r="AH84" s="270"/>
      <c r="AI84" s="278"/>
      <c r="AJ84" s="280"/>
      <c r="AK84" s="280"/>
      <c r="AL84" s="284">
        <v>1000</v>
      </c>
      <c r="AM84" s="281">
        <f>25000+26250+22292</f>
        <v>73542</v>
      </c>
      <c r="AN84" s="258">
        <v>25000</v>
      </c>
      <c r="AO84" s="299">
        <v>2500</v>
      </c>
      <c r="AP84" s="299"/>
      <c r="AQ84" s="299"/>
      <c r="AR84" s="299">
        <f t="shared" si="107"/>
        <v>9226.97837777778</v>
      </c>
      <c r="AS84" s="300"/>
      <c r="AT84" s="300"/>
      <c r="AU84" s="299">
        <f t="shared" si="67"/>
        <v>67245.6590933333</v>
      </c>
      <c r="AV84" s="299">
        <f t="shared" ref="AV84" si="111">V84+U84+N84+M84+K84+J84+I84+H84</f>
        <v>461348.918888889</v>
      </c>
      <c r="AW84" s="299">
        <f>AU84+AR84+AO84+AM84+AN84+AL84+AG84</f>
        <v>186233.424137778</v>
      </c>
      <c r="AX84" s="299"/>
      <c r="AY84" s="299"/>
      <c r="AZ84" s="299">
        <f t="shared" si="99"/>
        <v>275115.494751111</v>
      </c>
      <c r="BA84" s="429">
        <f t="shared" si="78"/>
        <v>5536187.02666667</v>
      </c>
      <c r="BB84" s="430">
        <f t="shared" si="79"/>
        <v>1307237.40533333</v>
      </c>
      <c r="BC84" s="307">
        <f t="shared" si="80"/>
        <v>0</v>
      </c>
      <c r="BD84" s="308">
        <f t="shared" si="81"/>
        <v>1307237.40533333</v>
      </c>
      <c r="BE84" s="313">
        <f t="shared" si="82"/>
        <v>4228949.62133333</v>
      </c>
      <c r="BF84" s="430"/>
      <c r="BG84" s="307">
        <f t="shared" si="83"/>
        <v>21000</v>
      </c>
      <c r="BH84" s="307">
        <f t="shared" si="84"/>
        <v>33000</v>
      </c>
      <c r="BI84" s="307">
        <f t="shared" si="85"/>
        <v>75000</v>
      </c>
      <c r="BJ84" s="307">
        <f t="shared" si="86"/>
        <v>95000</v>
      </c>
      <c r="BK84" s="307">
        <f t="shared" si="87"/>
        <v>336000</v>
      </c>
      <c r="BL84" s="307">
        <f t="shared" si="88"/>
        <v>246947.90912</v>
      </c>
      <c r="BM84" s="429">
        <f t="shared" si="89"/>
        <v>806947.90912</v>
      </c>
      <c r="BN84" s="320">
        <f t="shared" si="90"/>
        <v>55361.8702666667</v>
      </c>
      <c r="BO84" s="321">
        <f t="shared" si="103"/>
        <v>806947.90912</v>
      </c>
      <c r="BP84" s="322">
        <f t="shared" si="91"/>
        <v>67245.6590933333</v>
      </c>
      <c r="BQ84" s="323"/>
      <c r="BR84" s="324"/>
      <c r="BS84" s="325"/>
      <c r="BT84" s="326"/>
      <c r="BU84" s="326"/>
      <c r="BV84" s="334"/>
      <c r="BW84" s="335"/>
    </row>
    <row r="85" s="245" customFormat="1" ht="172.5" customHeight="1" spans="1:75">
      <c r="A85" s="255">
        <v>84</v>
      </c>
      <c r="B85" s="70" t="s">
        <v>349</v>
      </c>
      <c r="C85" s="129" t="s">
        <v>130</v>
      </c>
      <c r="D85" s="129" t="s">
        <v>272</v>
      </c>
      <c r="E85" s="256" t="s">
        <v>135</v>
      </c>
      <c r="F85" s="1469" t="s">
        <v>350</v>
      </c>
      <c r="G85" s="257">
        <f>H85*12</f>
        <v>2600486</v>
      </c>
      <c r="H85" s="258">
        <f>H60</f>
        <v>216707.166666667</v>
      </c>
      <c r="I85" s="258">
        <f t="shared" si="109"/>
        <v>25282.5027777778</v>
      </c>
      <c r="J85" s="258">
        <v>5000</v>
      </c>
      <c r="K85" s="258"/>
      <c r="L85" s="258"/>
      <c r="M85" s="258">
        <v>2500</v>
      </c>
      <c r="N85" s="258"/>
      <c r="O85" s="258"/>
      <c r="P85" s="258"/>
      <c r="Q85" s="258"/>
      <c r="R85" s="258"/>
      <c r="S85" s="258"/>
      <c r="T85" s="258"/>
      <c r="U85" s="258">
        <v>383.33</v>
      </c>
      <c r="V85" s="258"/>
      <c r="W85" s="265"/>
      <c r="X85" s="258"/>
      <c r="Y85" s="258"/>
      <c r="Z85" s="258"/>
      <c r="AA85" s="258"/>
      <c r="AB85" s="258"/>
      <c r="AC85" s="258"/>
      <c r="AD85" s="270"/>
      <c r="AE85" s="258"/>
      <c r="AF85" s="258">
        <v>4750</v>
      </c>
      <c r="AG85" s="270">
        <f t="shared" si="106"/>
        <v>4334.14333333333</v>
      </c>
      <c r="AH85" s="270"/>
      <c r="AI85" s="278"/>
      <c r="AJ85" s="279">
        <v>1000</v>
      </c>
      <c r="AK85" s="280"/>
      <c r="AL85" s="280"/>
      <c r="AM85" s="281"/>
      <c r="AN85" s="258"/>
      <c r="AO85" s="299">
        <v>1500</v>
      </c>
      <c r="AP85" s="299"/>
      <c r="AQ85" s="299"/>
      <c r="AR85" s="299">
        <f t="shared" si="107"/>
        <v>4997.45998888889</v>
      </c>
      <c r="AS85" s="300"/>
      <c r="AT85" s="300"/>
      <c r="AU85" s="299">
        <f t="shared" si="67"/>
        <v>29145.3305733333</v>
      </c>
      <c r="AV85" s="299">
        <f t="shared" ref="AV85:AV86" si="112">W85+V85+U85+N85+M85+K85+J85+I85+H85</f>
        <v>249872.999444444</v>
      </c>
      <c r="AW85" s="299">
        <f>AU85+AR85+AQ85+AO85+AN85+AM85+AK85+AI85+AH85+AG85+AF85+AE85+AD85+AJ85</f>
        <v>45726.9338955556</v>
      </c>
      <c r="AX85" s="299"/>
      <c r="AY85" s="299"/>
      <c r="AZ85" s="299">
        <f t="shared" si="99"/>
        <v>204146.065548889</v>
      </c>
      <c r="BA85" s="429">
        <f t="shared" si="78"/>
        <v>2998475.99333333</v>
      </c>
      <c r="BB85" s="430">
        <f t="shared" si="79"/>
        <v>799695.198666667</v>
      </c>
      <c r="BC85" s="307">
        <f t="shared" si="80"/>
        <v>0</v>
      </c>
      <c r="BD85" s="308">
        <f t="shared" si="81"/>
        <v>799695.198666667</v>
      </c>
      <c r="BE85" s="313">
        <f t="shared" si="82"/>
        <v>2198780.79466667</v>
      </c>
      <c r="BF85" s="430"/>
      <c r="BG85" s="307">
        <f t="shared" si="83"/>
        <v>21000</v>
      </c>
      <c r="BH85" s="307">
        <f t="shared" si="84"/>
        <v>33000</v>
      </c>
      <c r="BI85" s="307">
        <f t="shared" si="85"/>
        <v>75000</v>
      </c>
      <c r="BJ85" s="307">
        <f t="shared" si="86"/>
        <v>95000</v>
      </c>
      <c r="BK85" s="307">
        <f t="shared" si="87"/>
        <v>125743.96688</v>
      </c>
      <c r="BL85" s="307" t="str">
        <f t="shared" si="88"/>
        <v/>
      </c>
      <c r="BM85" s="429">
        <f t="shared" si="89"/>
        <v>349743.96688</v>
      </c>
      <c r="BN85" s="320">
        <f t="shared" si="90"/>
        <v>29984.7599333333</v>
      </c>
      <c r="BO85" s="321">
        <f t="shared" si="103"/>
        <v>349743.96688</v>
      </c>
      <c r="BP85" s="322">
        <f t="shared" si="91"/>
        <v>29145.3305733333</v>
      </c>
      <c r="BQ85" s="323"/>
      <c r="BR85" s="324"/>
      <c r="BS85" s="325"/>
      <c r="BT85" s="326"/>
      <c r="BU85" s="326"/>
      <c r="BV85" s="334"/>
      <c r="BW85" s="335"/>
    </row>
    <row r="86" s="245" customFormat="1" ht="177" customHeight="1" spans="1:75">
      <c r="A86" s="255">
        <v>85</v>
      </c>
      <c r="B86" s="70" t="s">
        <v>351</v>
      </c>
      <c r="C86" s="129" t="s">
        <v>352</v>
      </c>
      <c r="D86" s="129" t="s">
        <v>353</v>
      </c>
      <c r="E86" s="256" t="s">
        <v>354</v>
      </c>
      <c r="F86" s="256">
        <v>6016293250</v>
      </c>
      <c r="G86" s="257">
        <v>1691938</v>
      </c>
      <c r="H86" s="258">
        <f t="shared" si="110"/>
        <v>140994.833333333</v>
      </c>
      <c r="I86" s="258">
        <f t="shared" si="109"/>
        <v>16449.3972222222</v>
      </c>
      <c r="J86" s="258">
        <v>5000</v>
      </c>
      <c r="K86" s="258"/>
      <c r="L86" s="258"/>
      <c r="M86" s="258">
        <v>2500</v>
      </c>
      <c r="N86" s="258"/>
      <c r="O86" s="258"/>
      <c r="P86" s="258"/>
      <c r="Q86" s="258"/>
      <c r="R86" s="258"/>
      <c r="S86" s="258"/>
      <c r="T86" s="258"/>
      <c r="U86" s="258">
        <v>383.33</v>
      </c>
      <c r="V86" s="258"/>
      <c r="W86" s="265"/>
      <c r="X86" s="258"/>
      <c r="Y86" s="258"/>
      <c r="Z86" s="258"/>
      <c r="AA86" s="258"/>
      <c r="AB86" s="258"/>
      <c r="AC86" s="258"/>
      <c r="AD86" s="270"/>
      <c r="AE86" s="258"/>
      <c r="AF86" s="258">
        <v>500</v>
      </c>
      <c r="AG86" s="270">
        <f t="shared" si="106"/>
        <v>2819.89666666667</v>
      </c>
      <c r="AH86" s="270"/>
      <c r="AI86" s="278"/>
      <c r="AJ86" s="280"/>
      <c r="AK86" s="280"/>
      <c r="AL86" s="280"/>
      <c r="AM86" s="281">
        <v>10000</v>
      </c>
      <c r="AN86" s="258">
        <v>10000</v>
      </c>
      <c r="AO86" s="299">
        <v>1000</v>
      </c>
      <c r="AP86" s="299"/>
      <c r="AQ86" s="299"/>
      <c r="AR86" s="299">
        <f t="shared" si="107"/>
        <v>3306.55121111111</v>
      </c>
      <c r="AS86" s="300"/>
      <c r="AT86" s="300"/>
      <c r="AU86" s="299">
        <f t="shared" si="67"/>
        <v>15296.4558711111</v>
      </c>
      <c r="AV86" s="299">
        <f t="shared" si="112"/>
        <v>165327.560555556</v>
      </c>
      <c r="AW86" s="299">
        <f t="shared" si="102"/>
        <v>42922.9037488889</v>
      </c>
      <c r="AX86" s="299"/>
      <c r="AY86" s="299"/>
      <c r="AZ86" s="299">
        <f t="shared" si="99"/>
        <v>122404.656806667</v>
      </c>
      <c r="BA86" s="429">
        <f t="shared" si="78"/>
        <v>1983930.72666667</v>
      </c>
      <c r="BB86" s="430">
        <f t="shared" si="79"/>
        <v>596786.145333333</v>
      </c>
      <c r="BC86" s="307">
        <f t="shared" si="80"/>
        <v>0</v>
      </c>
      <c r="BD86" s="308">
        <f t="shared" si="81"/>
        <v>596786.145333333</v>
      </c>
      <c r="BE86" s="313">
        <f t="shared" si="82"/>
        <v>1387144.58133333</v>
      </c>
      <c r="BF86" s="430"/>
      <c r="BG86" s="307">
        <f t="shared" si="83"/>
        <v>21000</v>
      </c>
      <c r="BH86" s="307">
        <f t="shared" si="84"/>
        <v>33000</v>
      </c>
      <c r="BI86" s="307">
        <f t="shared" si="85"/>
        <v>75000</v>
      </c>
      <c r="BJ86" s="307">
        <f t="shared" si="86"/>
        <v>54557.4704533333</v>
      </c>
      <c r="BK86" s="307" t="str">
        <f t="shared" si="87"/>
        <v/>
      </c>
      <c r="BL86" s="307" t="str">
        <f t="shared" si="88"/>
        <v/>
      </c>
      <c r="BM86" s="429">
        <f t="shared" si="89"/>
        <v>183557.470453333</v>
      </c>
      <c r="BN86" s="320">
        <f t="shared" si="90"/>
        <v>19839.3072666667</v>
      </c>
      <c r="BO86" s="321">
        <f t="shared" si="103"/>
        <v>183557.470453333</v>
      </c>
      <c r="BP86" s="322">
        <f t="shared" si="91"/>
        <v>15296.4558711111</v>
      </c>
      <c r="BQ86" s="323"/>
      <c r="BR86" s="324"/>
      <c r="BS86" s="325"/>
      <c r="BT86" s="326"/>
      <c r="BU86" s="326"/>
      <c r="BV86" s="334"/>
      <c r="BW86" s="335"/>
    </row>
    <row r="87" s="245" customFormat="1" ht="172.5" customHeight="1" spans="1:75">
      <c r="A87" s="255">
        <v>86</v>
      </c>
      <c r="B87" s="70" t="s">
        <v>355</v>
      </c>
      <c r="C87" s="129" t="s">
        <v>130</v>
      </c>
      <c r="D87" s="129" t="s">
        <v>272</v>
      </c>
      <c r="E87" s="256" t="s">
        <v>135</v>
      </c>
      <c r="F87" s="1469" t="s">
        <v>356</v>
      </c>
      <c r="G87" s="257">
        <v>2600486</v>
      </c>
      <c r="H87" s="258">
        <f t="shared" si="110"/>
        <v>216707.166666667</v>
      </c>
      <c r="I87" s="258">
        <f t="shared" si="109"/>
        <v>25282.5027777778</v>
      </c>
      <c r="J87" s="258">
        <v>5000</v>
      </c>
      <c r="K87" s="258"/>
      <c r="L87" s="258"/>
      <c r="M87" s="258">
        <v>2500</v>
      </c>
      <c r="N87" s="258"/>
      <c r="O87" s="258"/>
      <c r="P87" s="258"/>
      <c r="Q87" s="258"/>
      <c r="R87" s="258"/>
      <c r="S87" s="258"/>
      <c r="T87" s="258"/>
      <c r="U87" s="258">
        <v>383.33</v>
      </c>
      <c r="V87" s="258"/>
      <c r="W87" s="265"/>
      <c r="X87" s="258"/>
      <c r="Y87" s="258"/>
      <c r="Z87" s="258"/>
      <c r="AA87" s="258"/>
      <c r="AB87" s="258"/>
      <c r="AC87" s="258"/>
      <c r="AD87" s="270"/>
      <c r="AE87" s="258"/>
      <c r="AF87" s="258">
        <v>250</v>
      </c>
      <c r="AG87" s="270">
        <f t="shared" si="106"/>
        <v>4334.14333333333</v>
      </c>
      <c r="AH87" s="270">
        <f>20000</f>
        <v>20000</v>
      </c>
      <c r="AI87" s="278"/>
      <c r="AJ87" s="280"/>
      <c r="AK87" s="280"/>
      <c r="AL87" s="284">
        <v>1000</v>
      </c>
      <c r="AM87" s="281">
        <v>83135.75</v>
      </c>
      <c r="AN87" s="258">
        <v>7500</v>
      </c>
      <c r="AO87" s="299">
        <v>1500</v>
      </c>
      <c r="AP87" s="299"/>
      <c r="AQ87" s="299"/>
      <c r="AR87" s="299">
        <f t="shared" si="107"/>
        <v>4997.45998888889</v>
      </c>
      <c r="AS87" s="300"/>
      <c r="AT87" s="300"/>
      <c r="AU87" s="299">
        <f t="shared" si="67"/>
        <v>29145.3305733333</v>
      </c>
      <c r="AV87" s="299">
        <f t="shared" ref="AV87" si="113">V87+U87+N87+M87+K87+J87+I87+H87</f>
        <v>249872.999444444</v>
      </c>
      <c r="AW87" s="299">
        <f t="shared" si="102"/>
        <v>150862.683895556</v>
      </c>
      <c r="AX87" s="299"/>
      <c r="AY87" s="299"/>
      <c r="AZ87" s="299">
        <f t="shared" si="99"/>
        <v>99010.3155488889</v>
      </c>
      <c r="BA87" s="429">
        <f t="shared" si="78"/>
        <v>2998475.99333333</v>
      </c>
      <c r="BB87" s="430">
        <f t="shared" si="79"/>
        <v>799695.198666667</v>
      </c>
      <c r="BC87" s="307">
        <f t="shared" si="80"/>
        <v>0</v>
      </c>
      <c r="BD87" s="308">
        <f t="shared" si="81"/>
        <v>799695.198666667</v>
      </c>
      <c r="BE87" s="313">
        <f t="shared" si="82"/>
        <v>2198780.79466667</v>
      </c>
      <c r="BF87" s="430"/>
      <c r="BG87" s="307">
        <f t="shared" si="83"/>
        <v>21000</v>
      </c>
      <c r="BH87" s="307">
        <f t="shared" si="84"/>
        <v>33000</v>
      </c>
      <c r="BI87" s="307">
        <f t="shared" si="85"/>
        <v>75000</v>
      </c>
      <c r="BJ87" s="307">
        <f t="shared" si="86"/>
        <v>95000</v>
      </c>
      <c r="BK87" s="307">
        <f t="shared" si="87"/>
        <v>125743.96688</v>
      </c>
      <c r="BL87" s="307" t="str">
        <f t="shared" si="88"/>
        <v/>
      </c>
      <c r="BM87" s="429">
        <f t="shared" si="89"/>
        <v>349743.96688</v>
      </c>
      <c r="BN87" s="320">
        <f t="shared" si="90"/>
        <v>29984.7599333333</v>
      </c>
      <c r="BO87" s="321">
        <f t="shared" si="103"/>
        <v>349743.96688</v>
      </c>
      <c r="BP87" s="322">
        <f t="shared" si="91"/>
        <v>29145.3305733333</v>
      </c>
      <c r="BQ87" s="323"/>
      <c r="BR87" s="324"/>
      <c r="BS87" s="325"/>
      <c r="BT87" s="326"/>
      <c r="BU87" s="326"/>
      <c r="BV87" s="334"/>
      <c r="BW87" s="335"/>
    </row>
    <row r="88" s="245" customFormat="1" ht="172.5" customHeight="1" spans="1:75">
      <c r="A88" s="255">
        <v>87</v>
      </c>
      <c r="B88" s="70" t="s">
        <v>357</v>
      </c>
      <c r="C88" s="129" t="s">
        <v>204</v>
      </c>
      <c r="D88" s="129" t="s">
        <v>2039</v>
      </c>
      <c r="E88" s="256" t="s">
        <v>127</v>
      </c>
      <c r="F88" s="1469" t="s">
        <v>358</v>
      </c>
      <c r="G88" s="257">
        <v>2254203</v>
      </c>
      <c r="H88" s="258">
        <f t="shared" si="110"/>
        <v>187850.25</v>
      </c>
      <c r="I88" s="258">
        <f t="shared" si="109"/>
        <v>21915.8625</v>
      </c>
      <c r="J88" s="258">
        <v>5000</v>
      </c>
      <c r="K88" s="258">
        <v>20833.33</v>
      </c>
      <c r="L88" s="258"/>
      <c r="M88" s="258">
        <v>2500</v>
      </c>
      <c r="N88" s="258"/>
      <c r="O88" s="258"/>
      <c r="P88" s="258"/>
      <c r="Q88" s="258"/>
      <c r="R88" s="258"/>
      <c r="S88" s="258"/>
      <c r="T88" s="258"/>
      <c r="U88" s="258">
        <v>383.33</v>
      </c>
      <c r="V88" s="258"/>
      <c r="W88" s="265"/>
      <c r="X88" s="258"/>
      <c r="Y88" s="258"/>
      <c r="Z88" s="258"/>
      <c r="AA88" s="258"/>
      <c r="AB88" s="258"/>
      <c r="AC88" s="258"/>
      <c r="AD88" s="270"/>
      <c r="AE88" s="258"/>
      <c r="AF88" s="258"/>
      <c r="AG88" s="270">
        <f t="shared" si="106"/>
        <v>3757.005</v>
      </c>
      <c r="AH88" s="270"/>
      <c r="AI88" s="282">
        <v>1000</v>
      </c>
      <c r="AJ88" s="279"/>
      <c r="AK88" s="279"/>
      <c r="AL88" s="279"/>
      <c r="AM88" s="281">
        <f>10000+17500</f>
        <v>27500</v>
      </c>
      <c r="AN88" s="258"/>
      <c r="AO88" s="299">
        <v>1500</v>
      </c>
      <c r="AP88" s="299"/>
      <c r="AQ88" s="299"/>
      <c r="AR88" s="299">
        <f t="shared" si="107"/>
        <v>4769.65545</v>
      </c>
      <c r="AS88" s="300"/>
      <c r="AT88" s="300"/>
      <c r="AU88" s="299">
        <f t="shared" si="67"/>
        <v>27231.7724466667</v>
      </c>
      <c r="AV88" s="299">
        <f t="shared" ref="AV88:AV89" si="114">W88+V88+U88+N88+M88+K88+J88+I88+H88</f>
        <v>238482.7725</v>
      </c>
      <c r="AW88" s="299">
        <f t="shared" si="102"/>
        <v>65758.4328966667</v>
      </c>
      <c r="AX88" s="299"/>
      <c r="AY88" s="299"/>
      <c r="AZ88" s="299">
        <f t="shared" si="99"/>
        <v>172724.339603333</v>
      </c>
      <c r="BA88" s="429">
        <f t="shared" si="78"/>
        <v>2861793.27</v>
      </c>
      <c r="BB88" s="430">
        <f t="shared" si="79"/>
        <v>772358.654</v>
      </c>
      <c r="BC88" s="307">
        <f t="shared" si="80"/>
        <v>0</v>
      </c>
      <c r="BD88" s="308">
        <f t="shared" si="81"/>
        <v>772358.654</v>
      </c>
      <c r="BE88" s="313">
        <f t="shared" si="82"/>
        <v>2089434.616</v>
      </c>
      <c r="BF88" s="430"/>
      <c r="BG88" s="307">
        <f t="shared" si="83"/>
        <v>21000</v>
      </c>
      <c r="BH88" s="307">
        <f t="shared" si="84"/>
        <v>33000</v>
      </c>
      <c r="BI88" s="307">
        <f t="shared" si="85"/>
        <v>75000</v>
      </c>
      <c r="BJ88" s="307">
        <f t="shared" si="86"/>
        <v>95000</v>
      </c>
      <c r="BK88" s="307">
        <f t="shared" si="87"/>
        <v>102781.26936</v>
      </c>
      <c r="BL88" s="307" t="str">
        <f t="shared" si="88"/>
        <v/>
      </c>
      <c r="BM88" s="429">
        <f t="shared" si="89"/>
        <v>326781.26936</v>
      </c>
      <c r="BN88" s="320">
        <f t="shared" si="90"/>
        <v>28617.9327</v>
      </c>
      <c r="BO88" s="321">
        <f t="shared" si="103"/>
        <v>326781.26936</v>
      </c>
      <c r="BP88" s="322">
        <f t="shared" si="91"/>
        <v>27231.7724466667</v>
      </c>
      <c r="BQ88" s="323"/>
      <c r="BR88" s="324"/>
      <c r="BS88" s="325"/>
      <c r="BT88" s="326"/>
      <c r="BU88" s="326"/>
      <c r="BV88" s="334"/>
      <c r="BW88" s="335"/>
    </row>
    <row r="89" s="245" customFormat="1" ht="192" customHeight="1" spans="1:75">
      <c r="A89" s="255">
        <v>88</v>
      </c>
      <c r="B89" s="70" t="s">
        <v>359</v>
      </c>
      <c r="C89" s="129" t="s">
        <v>204</v>
      </c>
      <c r="D89" s="129" t="s">
        <v>360</v>
      </c>
      <c r="E89" s="256" t="s">
        <v>361</v>
      </c>
      <c r="F89" s="256">
        <v>2008091891</v>
      </c>
      <c r="G89" s="257">
        <v>2308911</v>
      </c>
      <c r="H89" s="258">
        <f t="shared" si="110"/>
        <v>192409.25</v>
      </c>
      <c r="I89" s="258">
        <f t="shared" si="109"/>
        <v>22447.7458333333</v>
      </c>
      <c r="J89" s="258">
        <v>5000</v>
      </c>
      <c r="K89" s="258"/>
      <c r="L89" s="258"/>
      <c r="M89" s="258">
        <v>2500</v>
      </c>
      <c r="N89" s="258"/>
      <c r="O89" s="258"/>
      <c r="P89" s="258"/>
      <c r="Q89" s="258"/>
      <c r="R89" s="258"/>
      <c r="S89" s="258"/>
      <c r="T89" s="258"/>
      <c r="U89" s="258">
        <v>383.33</v>
      </c>
      <c r="V89" s="258"/>
      <c r="W89" s="265"/>
      <c r="X89" s="258"/>
      <c r="Y89" s="258"/>
      <c r="Z89" s="258"/>
      <c r="AA89" s="258"/>
      <c r="AB89" s="258"/>
      <c r="AC89" s="258"/>
      <c r="AD89" s="270"/>
      <c r="AE89" s="258"/>
      <c r="AF89" s="258">
        <v>250</v>
      </c>
      <c r="AG89" s="270">
        <f t="shared" si="106"/>
        <v>3848.185</v>
      </c>
      <c r="AH89" s="270"/>
      <c r="AI89" s="278"/>
      <c r="AJ89" s="280"/>
      <c r="AK89" s="280"/>
      <c r="AL89" s="284">
        <v>1000</v>
      </c>
      <c r="AM89" s="281">
        <v>30000</v>
      </c>
      <c r="AN89" s="258"/>
      <c r="AO89" s="299">
        <v>1500</v>
      </c>
      <c r="AP89" s="299"/>
      <c r="AQ89" s="299"/>
      <c r="AR89" s="299">
        <f t="shared" si="107"/>
        <v>4454.80651666667</v>
      </c>
      <c r="AS89" s="300"/>
      <c r="AT89" s="300"/>
      <c r="AU89" s="299">
        <f t="shared" si="67"/>
        <v>24587.0414066667</v>
      </c>
      <c r="AV89" s="299">
        <f t="shared" si="114"/>
        <v>222740.325833333</v>
      </c>
      <c r="AW89" s="299">
        <f>AU89+AR89+AO89+AM89+AL89+AG89+AF89</f>
        <v>65640.0329233333</v>
      </c>
      <c r="AX89" s="299"/>
      <c r="AY89" s="299"/>
      <c r="AZ89" s="299">
        <f t="shared" si="99"/>
        <v>157100.29291</v>
      </c>
      <c r="BA89" s="429">
        <f t="shared" si="78"/>
        <v>2672883.91</v>
      </c>
      <c r="BB89" s="430">
        <f t="shared" si="79"/>
        <v>734576.782</v>
      </c>
      <c r="BC89" s="307">
        <f t="shared" si="80"/>
        <v>0</v>
      </c>
      <c r="BD89" s="308">
        <f t="shared" si="81"/>
        <v>734576.782</v>
      </c>
      <c r="BE89" s="313">
        <f t="shared" si="82"/>
        <v>1938307.128</v>
      </c>
      <c r="BF89" s="430"/>
      <c r="BG89" s="307">
        <f t="shared" si="83"/>
        <v>21000</v>
      </c>
      <c r="BH89" s="307">
        <f t="shared" si="84"/>
        <v>33000</v>
      </c>
      <c r="BI89" s="307">
        <f t="shared" si="85"/>
        <v>75000</v>
      </c>
      <c r="BJ89" s="307">
        <f t="shared" si="86"/>
        <v>95000</v>
      </c>
      <c r="BK89" s="307">
        <f t="shared" si="87"/>
        <v>71044.49688</v>
      </c>
      <c r="BL89" s="307" t="str">
        <f t="shared" si="88"/>
        <v/>
      </c>
      <c r="BM89" s="429">
        <f t="shared" si="89"/>
        <v>295044.49688</v>
      </c>
      <c r="BN89" s="320">
        <f t="shared" si="90"/>
        <v>26728.8391</v>
      </c>
      <c r="BO89" s="321">
        <f t="shared" si="103"/>
        <v>295044.49688</v>
      </c>
      <c r="BP89" s="322">
        <f t="shared" si="91"/>
        <v>24587.0414066667</v>
      </c>
      <c r="BQ89" s="323"/>
      <c r="BR89" s="324"/>
      <c r="BS89" s="325"/>
      <c r="BT89" s="326"/>
      <c r="BU89" s="326"/>
      <c r="BV89" s="334"/>
      <c r="BW89" s="335"/>
    </row>
    <row r="90" s="245" customFormat="1" ht="172.5" customHeight="1" spans="1:75">
      <c r="A90" s="255">
        <v>89</v>
      </c>
      <c r="B90" s="70" t="s">
        <v>2049</v>
      </c>
      <c r="C90" s="129" t="s">
        <v>204</v>
      </c>
      <c r="D90" s="129" t="s">
        <v>208</v>
      </c>
      <c r="E90" s="128" t="s">
        <v>122</v>
      </c>
      <c r="F90" s="1469" t="s">
        <v>838</v>
      </c>
      <c r="G90" s="257">
        <v>2035173</v>
      </c>
      <c r="H90" s="258">
        <f t="shared" si="110"/>
        <v>169597.75</v>
      </c>
      <c r="I90" s="258">
        <f t="shared" si="109"/>
        <v>19786.4041666667</v>
      </c>
      <c r="J90" s="258">
        <v>5000</v>
      </c>
      <c r="K90" s="258"/>
      <c r="L90" s="258"/>
      <c r="M90" s="258">
        <v>2500</v>
      </c>
      <c r="N90" s="258"/>
      <c r="O90" s="258"/>
      <c r="P90" s="258"/>
      <c r="Q90" s="258"/>
      <c r="R90" s="258"/>
      <c r="S90" s="258"/>
      <c r="T90" s="258"/>
      <c r="U90" s="258">
        <v>383.33</v>
      </c>
      <c r="V90" s="258"/>
      <c r="W90" s="265"/>
      <c r="X90" s="258"/>
      <c r="Y90" s="258"/>
      <c r="Z90" s="258"/>
      <c r="AA90" s="258"/>
      <c r="AB90" s="258"/>
      <c r="AC90" s="258"/>
      <c r="AD90" s="270"/>
      <c r="AE90" s="258"/>
      <c r="AF90" s="258"/>
      <c r="AG90" s="270">
        <f t="shared" si="106"/>
        <v>3391.955</v>
      </c>
      <c r="AH90" s="270"/>
      <c r="AI90" s="278"/>
      <c r="AJ90" s="280"/>
      <c r="AK90" s="280"/>
      <c r="AL90" s="280"/>
      <c r="AM90" s="281"/>
      <c r="AN90" s="258"/>
      <c r="AO90" s="299">
        <v>1500</v>
      </c>
      <c r="AP90" s="299"/>
      <c r="AQ90" s="299"/>
      <c r="AR90" s="299">
        <f t="shared" si="107"/>
        <v>3945.34968333333</v>
      </c>
      <c r="AS90" s="300"/>
      <c r="AT90" s="300"/>
      <c r="AU90" s="299">
        <f t="shared" si="67"/>
        <v>20307.6040066667</v>
      </c>
      <c r="AV90" s="299">
        <f t="shared" ref="AV90" si="115">V90+U90+N90+M90+K90+J90+I90+H90</f>
        <v>197267.484166667</v>
      </c>
      <c r="AW90" s="299">
        <f t="shared" si="102"/>
        <v>29144.90869</v>
      </c>
      <c r="AX90" s="299"/>
      <c r="AY90" s="299"/>
      <c r="AZ90" s="299">
        <f t="shared" si="99"/>
        <v>168122.575476667</v>
      </c>
      <c r="BA90" s="429">
        <f t="shared" si="78"/>
        <v>2367209.81</v>
      </c>
      <c r="BB90" s="430">
        <f t="shared" si="79"/>
        <v>673441.962</v>
      </c>
      <c r="BC90" s="307">
        <f t="shared" si="80"/>
        <v>0</v>
      </c>
      <c r="BD90" s="308">
        <f t="shared" si="81"/>
        <v>673441.962</v>
      </c>
      <c r="BE90" s="313">
        <f t="shared" si="82"/>
        <v>1693767.848</v>
      </c>
      <c r="BF90" s="430"/>
      <c r="BG90" s="307">
        <f t="shared" si="83"/>
        <v>21000</v>
      </c>
      <c r="BH90" s="307">
        <f t="shared" si="84"/>
        <v>33000</v>
      </c>
      <c r="BI90" s="307">
        <f t="shared" si="85"/>
        <v>75000</v>
      </c>
      <c r="BJ90" s="307">
        <f t="shared" si="86"/>
        <v>95000</v>
      </c>
      <c r="BK90" s="307">
        <f t="shared" si="87"/>
        <v>19691.24808</v>
      </c>
      <c r="BL90" s="307" t="str">
        <f t="shared" si="88"/>
        <v/>
      </c>
      <c r="BM90" s="429">
        <f t="shared" si="89"/>
        <v>243691.24808</v>
      </c>
      <c r="BN90" s="320">
        <f t="shared" si="90"/>
        <v>23672.0981</v>
      </c>
      <c r="BO90" s="321">
        <f t="shared" si="103"/>
        <v>243691.24808</v>
      </c>
      <c r="BP90" s="322">
        <f t="shared" si="91"/>
        <v>20307.6040066667</v>
      </c>
      <c r="BQ90" s="323"/>
      <c r="BR90" s="324"/>
      <c r="BS90" s="325"/>
      <c r="BT90" s="326"/>
      <c r="BU90" s="326"/>
      <c r="BV90" s="334"/>
      <c r="BW90" s="335"/>
    </row>
    <row r="91" s="245" customFormat="1" ht="179" customHeight="1" spans="1:75">
      <c r="A91" s="255">
        <v>90</v>
      </c>
      <c r="B91" s="70" t="s">
        <v>2050</v>
      </c>
      <c r="C91" s="129" t="s">
        <v>363</v>
      </c>
      <c r="D91" s="129" t="s">
        <v>465</v>
      </c>
      <c r="E91" s="128" t="s">
        <v>313</v>
      </c>
      <c r="F91" s="256">
        <v>2908285016</v>
      </c>
      <c r="G91" s="257">
        <f>H91*12</f>
        <v>990345</v>
      </c>
      <c r="H91" s="258">
        <f>165057.5/2</f>
        <v>82528.75</v>
      </c>
      <c r="I91" s="258"/>
      <c r="J91" s="258"/>
      <c r="K91" s="258"/>
      <c r="L91" s="258"/>
      <c r="M91" s="258">
        <v>2500</v>
      </c>
      <c r="N91" s="258"/>
      <c r="O91" s="258"/>
      <c r="P91" s="258"/>
      <c r="Q91" s="258"/>
      <c r="R91" s="258"/>
      <c r="S91" s="258"/>
      <c r="T91" s="258"/>
      <c r="U91" s="258"/>
      <c r="V91" s="258"/>
      <c r="W91" s="265"/>
      <c r="X91" s="258"/>
      <c r="Y91" s="258"/>
      <c r="Z91" s="258"/>
      <c r="AA91" s="258"/>
      <c r="AB91" s="258"/>
      <c r="AC91" s="258"/>
      <c r="AD91" s="270"/>
      <c r="AE91" s="258"/>
      <c r="AF91" s="258"/>
      <c r="AG91" s="270">
        <f t="shared" si="106"/>
        <v>1650.575</v>
      </c>
      <c r="AH91" s="270"/>
      <c r="AI91" s="278"/>
      <c r="AJ91" s="279">
        <v>1000</v>
      </c>
      <c r="AK91" s="280"/>
      <c r="AL91" s="280"/>
      <c r="AM91" s="281"/>
      <c r="AN91" s="258"/>
      <c r="AO91" s="299">
        <v>500</v>
      </c>
      <c r="AP91" s="299"/>
      <c r="AQ91" s="299"/>
      <c r="AR91" s="299">
        <f t="shared" si="107"/>
        <v>1700.575</v>
      </c>
      <c r="AS91" s="300"/>
      <c r="AT91" s="300"/>
      <c r="AU91" s="299">
        <f t="shared" si="67"/>
        <v>4703.45</v>
      </c>
      <c r="AV91" s="299">
        <f t="shared" ref="AV91:AV93" si="116">W91+V91+U91+N91+M91+K91+J91+I91+H91</f>
        <v>85028.75</v>
      </c>
      <c r="AW91" s="299">
        <f>AU91+AR91+AQ91+AO91+AN91+AM91+AK91+AI91+AH91+AG91+AF91+AE91+AD91+AJ91</f>
        <v>9554.6</v>
      </c>
      <c r="AX91" s="299"/>
      <c r="AY91" s="299"/>
      <c r="AZ91" s="299">
        <f t="shared" si="99"/>
        <v>75474.15</v>
      </c>
      <c r="BA91" s="429">
        <f t="shared" si="78"/>
        <v>1020345</v>
      </c>
      <c r="BB91" s="430">
        <f t="shared" si="79"/>
        <v>404069</v>
      </c>
      <c r="BC91" s="307">
        <f t="shared" si="80"/>
        <v>0</v>
      </c>
      <c r="BD91" s="308">
        <f t="shared" si="81"/>
        <v>404069</v>
      </c>
      <c r="BE91" s="313">
        <f t="shared" si="82"/>
        <v>616276</v>
      </c>
      <c r="BF91" s="430"/>
      <c r="BG91" s="307">
        <f t="shared" si="83"/>
        <v>21000</v>
      </c>
      <c r="BH91" s="307">
        <f t="shared" si="84"/>
        <v>33000</v>
      </c>
      <c r="BI91" s="307">
        <f t="shared" si="85"/>
        <v>2441.4</v>
      </c>
      <c r="BJ91" s="307" t="str">
        <f t="shared" si="86"/>
        <v/>
      </c>
      <c r="BK91" s="307" t="str">
        <f t="shared" si="87"/>
        <v/>
      </c>
      <c r="BL91" s="307" t="str">
        <f t="shared" si="88"/>
        <v/>
      </c>
      <c r="BM91" s="429">
        <f t="shared" si="89"/>
        <v>56441.4</v>
      </c>
      <c r="BN91" s="320">
        <f t="shared" si="90"/>
        <v>10203.45</v>
      </c>
      <c r="BO91" s="321">
        <f t="shared" si="103"/>
        <v>56441.4</v>
      </c>
      <c r="BP91" s="322">
        <f t="shared" si="91"/>
        <v>4703.45</v>
      </c>
      <c r="BQ91" s="323"/>
      <c r="BR91" s="324"/>
      <c r="BS91" s="325"/>
      <c r="BT91" s="326"/>
      <c r="BU91" s="326"/>
      <c r="BV91" s="334"/>
      <c r="BW91" s="335"/>
    </row>
    <row r="92" s="245" customFormat="1" ht="179" customHeight="1" spans="1:75">
      <c r="A92" s="255">
        <v>91</v>
      </c>
      <c r="B92" s="70" t="s">
        <v>362</v>
      </c>
      <c r="C92" s="129" t="s">
        <v>363</v>
      </c>
      <c r="D92" s="129" t="s">
        <v>1681</v>
      </c>
      <c r="E92" s="128"/>
      <c r="F92" s="256"/>
      <c r="G92" s="257">
        <f>H92*12</f>
        <v>1017689.04</v>
      </c>
      <c r="H92" s="258">
        <v>84807.42</v>
      </c>
      <c r="I92" s="258"/>
      <c r="J92" s="258"/>
      <c r="K92" s="258"/>
      <c r="L92" s="258"/>
      <c r="M92" s="258">
        <v>2500</v>
      </c>
      <c r="N92" s="258"/>
      <c r="O92" s="258"/>
      <c r="P92" s="258"/>
      <c r="Q92" s="258"/>
      <c r="R92" s="258"/>
      <c r="S92" s="258"/>
      <c r="T92" s="258"/>
      <c r="U92" s="258"/>
      <c r="V92" s="258"/>
      <c r="W92" s="265"/>
      <c r="X92" s="258"/>
      <c r="Y92" s="258"/>
      <c r="Z92" s="258"/>
      <c r="AA92" s="258"/>
      <c r="AB92" s="258"/>
      <c r="AC92" s="258"/>
      <c r="AD92" s="270"/>
      <c r="AE92" s="258"/>
      <c r="AF92" s="258"/>
      <c r="AG92" s="270">
        <f t="shared" si="106"/>
        <v>1696.1484</v>
      </c>
      <c r="AH92" s="270"/>
      <c r="AI92" s="278"/>
      <c r="AJ92" s="279"/>
      <c r="AK92" s="280"/>
      <c r="AL92" s="280"/>
      <c r="AM92" s="281"/>
      <c r="AN92" s="258"/>
      <c r="AO92" s="299">
        <v>500</v>
      </c>
      <c r="AP92" s="299"/>
      <c r="AQ92" s="299"/>
      <c r="AR92" s="299">
        <f t="shared" si="107"/>
        <v>1746.1484</v>
      </c>
      <c r="AS92" s="300"/>
      <c r="AT92" s="300"/>
      <c r="AU92" s="299">
        <f t="shared" si="67"/>
        <v>4976.8904</v>
      </c>
      <c r="AV92" s="299">
        <f t="shared" si="116"/>
        <v>87307.42</v>
      </c>
      <c r="AW92" s="299">
        <f>AU92+AR92+AQ92+AO92+AN92+AM92+AK92+AI92+AH92+AG92+AF92+AE92+AD92+AJ92</f>
        <v>8919.1872</v>
      </c>
      <c r="AX92" s="299"/>
      <c r="AY92" s="299"/>
      <c r="AZ92" s="299">
        <f t="shared" si="99"/>
        <v>78388.2328</v>
      </c>
      <c r="BA92" s="429">
        <f t="shared" si="78"/>
        <v>1047689.04</v>
      </c>
      <c r="BB92" s="430">
        <f t="shared" si="79"/>
        <v>409537.808</v>
      </c>
      <c r="BC92" s="307">
        <f t="shared" si="80"/>
        <v>0</v>
      </c>
      <c r="BD92" s="308">
        <f t="shared" si="81"/>
        <v>409537.808</v>
      </c>
      <c r="BE92" s="313">
        <f t="shared" si="82"/>
        <v>638151.232</v>
      </c>
      <c r="BF92" s="430"/>
      <c r="BG92" s="307">
        <f t="shared" si="83"/>
        <v>21000</v>
      </c>
      <c r="BH92" s="307">
        <f t="shared" si="84"/>
        <v>33000</v>
      </c>
      <c r="BI92" s="307">
        <f t="shared" si="85"/>
        <v>5722.68480000001</v>
      </c>
      <c r="BJ92" s="307" t="str">
        <f t="shared" si="86"/>
        <v/>
      </c>
      <c r="BK92" s="307" t="str">
        <f t="shared" si="87"/>
        <v/>
      </c>
      <c r="BL92" s="307" t="str">
        <f t="shared" si="88"/>
        <v/>
      </c>
      <c r="BM92" s="429">
        <f t="shared" si="89"/>
        <v>59722.6848</v>
      </c>
      <c r="BN92" s="320">
        <f t="shared" si="90"/>
        <v>10476.8904</v>
      </c>
      <c r="BO92" s="321">
        <f t="shared" si="103"/>
        <v>59722.6848</v>
      </c>
      <c r="BP92" s="322">
        <f t="shared" si="91"/>
        <v>4976.8904</v>
      </c>
      <c r="BQ92" s="323"/>
      <c r="BR92" s="324"/>
      <c r="BS92" s="325"/>
      <c r="BT92" s="326"/>
      <c r="BU92" s="326"/>
      <c r="BV92" s="334"/>
      <c r="BW92" s="335"/>
    </row>
    <row r="93" s="247" customFormat="1" ht="172.5" customHeight="1" spans="1:75">
      <c r="A93" s="255">
        <v>92</v>
      </c>
      <c r="B93" s="70" t="s">
        <v>365</v>
      </c>
      <c r="C93" s="129" t="s">
        <v>130</v>
      </c>
      <c r="D93" s="129" t="s">
        <v>272</v>
      </c>
      <c r="E93" s="256" t="s">
        <v>135</v>
      </c>
      <c r="F93" s="1469" t="s">
        <v>366</v>
      </c>
      <c r="G93" s="257">
        <v>2199196</v>
      </c>
      <c r="H93" s="258">
        <f>H87</f>
        <v>216707.166666667</v>
      </c>
      <c r="I93" s="258">
        <f t="shared" si="109"/>
        <v>25282.5027777778</v>
      </c>
      <c r="J93" s="258">
        <v>5000</v>
      </c>
      <c r="K93" s="258"/>
      <c r="L93" s="258"/>
      <c r="M93" s="258">
        <v>2500</v>
      </c>
      <c r="N93" s="258"/>
      <c r="O93" s="258"/>
      <c r="P93" s="258"/>
      <c r="Q93" s="258"/>
      <c r="R93" s="258"/>
      <c r="S93" s="258"/>
      <c r="T93" s="258"/>
      <c r="U93" s="258">
        <v>383.33</v>
      </c>
      <c r="V93" s="258"/>
      <c r="W93" s="265"/>
      <c r="X93" s="258"/>
      <c r="Y93" s="258"/>
      <c r="Z93" s="258"/>
      <c r="AA93" s="258"/>
      <c r="AB93" s="258"/>
      <c r="AC93" s="258"/>
      <c r="AD93" s="270"/>
      <c r="AE93" s="258"/>
      <c r="AF93" s="258">
        <v>1500</v>
      </c>
      <c r="AG93" s="270">
        <f t="shared" si="106"/>
        <v>4334.14333333333</v>
      </c>
      <c r="AH93" s="270"/>
      <c r="AI93" s="282">
        <v>1000</v>
      </c>
      <c r="AJ93" s="279"/>
      <c r="AK93" s="279"/>
      <c r="AL93" s="279"/>
      <c r="AM93" s="281"/>
      <c r="AN93" s="258">
        <v>7500</v>
      </c>
      <c r="AO93" s="299">
        <v>1500</v>
      </c>
      <c r="AP93" s="299"/>
      <c r="AQ93" s="299"/>
      <c r="AR93" s="299">
        <f t="shared" si="107"/>
        <v>4997.45998888889</v>
      </c>
      <c r="AS93" s="300"/>
      <c r="AT93" s="300"/>
      <c r="AU93" s="299">
        <f t="shared" si="67"/>
        <v>29145.3305733333</v>
      </c>
      <c r="AV93" s="299">
        <f t="shared" si="116"/>
        <v>249872.999444444</v>
      </c>
      <c r="AW93" s="299">
        <f t="shared" si="102"/>
        <v>49976.9338955556</v>
      </c>
      <c r="AX93" s="299"/>
      <c r="AY93" s="299"/>
      <c r="AZ93" s="299">
        <f t="shared" si="99"/>
        <v>199896.065548889</v>
      </c>
      <c r="BA93" s="429">
        <f t="shared" si="78"/>
        <v>2998475.99333333</v>
      </c>
      <c r="BB93" s="430">
        <f t="shared" si="79"/>
        <v>799695.198666667</v>
      </c>
      <c r="BC93" s="307">
        <f t="shared" si="80"/>
        <v>0</v>
      </c>
      <c r="BD93" s="308">
        <f t="shared" si="81"/>
        <v>799695.198666667</v>
      </c>
      <c r="BE93" s="313">
        <f t="shared" si="82"/>
        <v>2198780.79466667</v>
      </c>
      <c r="BF93" s="430"/>
      <c r="BG93" s="307">
        <f t="shared" si="83"/>
        <v>21000</v>
      </c>
      <c r="BH93" s="307">
        <f t="shared" si="84"/>
        <v>33000</v>
      </c>
      <c r="BI93" s="307">
        <f t="shared" si="85"/>
        <v>75000</v>
      </c>
      <c r="BJ93" s="307">
        <f t="shared" si="86"/>
        <v>95000</v>
      </c>
      <c r="BK93" s="307">
        <f t="shared" si="87"/>
        <v>125743.96688</v>
      </c>
      <c r="BL93" s="307" t="str">
        <f t="shared" si="88"/>
        <v/>
      </c>
      <c r="BM93" s="429">
        <f t="shared" si="89"/>
        <v>349743.96688</v>
      </c>
      <c r="BN93" s="320">
        <f t="shared" si="90"/>
        <v>29984.7599333333</v>
      </c>
      <c r="BO93" s="321">
        <f t="shared" si="103"/>
        <v>349743.96688</v>
      </c>
      <c r="BP93" s="322">
        <f t="shared" si="91"/>
        <v>29145.3305733333</v>
      </c>
      <c r="BQ93" s="323"/>
      <c r="BR93" s="324"/>
      <c r="BS93" s="325"/>
      <c r="BT93" s="326"/>
      <c r="BU93" s="326"/>
      <c r="BV93" s="357"/>
      <c r="BW93" s="358"/>
    </row>
    <row r="94" s="245" customFormat="1" ht="172.5" customHeight="1" spans="1:75">
      <c r="A94" s="255">
        <v>93</v>
      </c>
      <c r="B94" s="70" t="s">
        <v>2051</v>
      </c>
      <c r="C94" s="129" t="s">
        <v>204</v>
      </c>
      <c r="D94" s="129" t="s">
        <v>205</v>
      </c>
      <c r="E94" s="256" t="s">
        <v>113</v>
      </c>
      <c r="F94" s="256">
        <v>2216620496</v>
      </c>
      <c r="G94" s="257">
        <v>2090081</v>
      </c>
      <c r="H94" s="258">
        <f t="shared" ref="H94:H100" si="117">G94/12</f>
        <v>174173.416666667</v>
      </c>
      <c r="I94" s="258">
        <f t="shared" si="109"/>
        <v>20320.2319444444</v>
      </c>
      <c r="J94" s="258">
        <v>5000</v>
      </c>
      <c r="K94" s="258">
        <f>K88*3</f>
        <v>62499.99</v>
      </c>
      <c r="L94" s="258"/>
      <c r="M94" s="258">
        <v>2500</v>
      </c>
      <c r="N94" s="258"/>
      <c r="O94" s="258"/>
      <c r="P94" s="258"/>
      <c r="Q94" s="258"/>
      <c r="R94" s="258"/>
      <c r="S94" s="258"/>
      <c r="T94" s="258"/>
      <c r="U94" s="258">
        <v>383.33</v>
      </c>
      <c r="V94" s="258"/>
      <c r="W94" s="265"/>
      <c r="X94" s="258"/>
      <c r="Y94" s="258"/>
      <c r="Z94" s="258"/>
      <c r="AA94" s="258"/>
      <c r="AB94" s="258"/>
      <c r="AC94" s="258"/>
      <c r="AD94" s="270"/>
      <c r="AE94" s="258"/>
      <c r="AF94" s="258"/>
      <c r="AG94" s="270">
        <f t="shared" si="106"/>
        <v>3483.46833333333</v>
      </c>
      <c r="AH94" s="270"/>
      <c r="AI94" s="278"/>
      <c r="AJ94" s="280"/>
      <c r="AK94" s="280"/>
      <c r="AL94" s="284">
        <v>1000</v>
      </c>
      <c r="AM94" s="281">
        <f>36250+26250</f>
        <v>62500</v>
      </c>
      <c r="AN94" s="258"/>
      <c r="AO94" s="299">
        <v>1500</v>
      </c>
      <c r="AP94" s="299"/>
      <c r="AQ94" s="299"/>
      <c r="AR94" s="299">
        <f t="shared" si="107"/>
        <v>5297.53937222222</v>
      </c>
      <c r="AS94" s="300"/>
      <c r="AT94" s="300"/>
      <c r="AU94" s="299">
        <f t="shared" si="67"/>
        <v>31665.9973933333</v>
      </c>
      <c r="AV94" s="299">
        <f t="shared" ref="AV94" si="118">V94+U94+N94+M94+K94+J94+I94+H94</f>
        <v>264876.968611111</v>
      </c>
      <c r="AW94" s="299">
        <f>AU94+AR94+AQ94+AO94+AN94+AM94+AK94+AI94+AH94+AG94+AF94+AE94+AD94+AL94</f>
        <v>105447.005098889</v>
      </c>
      <c r="AX94" s="299"/>
      <c r="AY94" s="299"/>
      <c r="AZ94" s="299">
        <f t="shared" si="99"/>
        <v>159429.963512222</v>
      </c>
      <c r="BA94" s="429">
        <f t="shared" si="78"/>
        <v>3178523.62333333</v>
      </c>
      <c r="BB94" s="430">
        <f t="shared" si="79"/>
        <v>835704.724666667</v>
      </c>
      <c r="BC94" s="307">
        <f t="shared" si="80"/>
        <v>0</v>
      </c>
      <c r="BD94" s="308">
        <f t="shared" si="81"/>
        <v>835704.724666667</v>
      </c>
      <c r="BE94" s="313">
        <f t="shared" si="82"/>
        <v>2342818.89866667</v>
      </c>
      <c r="BF94" s="430"/>
      <c r="BG94" s="307">
        <f t="shared" si="83"/>
        <v>21000</v>
      </c>
      <c r="BH94" s="307">
        <f t="shared" si="84"/>
        <v>33000</v>
      </c>
      <c r="BI94" s="307">
        <f t="shared" si="85"/>
        <v>75000</v>
      </c>
      <c r="BJ94" s="307">
        <f t="shared" si="86"/>
        <v>95000</v>
      </c>
      <c r="BK94" s="307">
        <f t="shared" si="87"/>
        <v>155991.96872</v>
      </c>
      <c r="BL94" s="307" t="str">
        <f t="shared" si="88"/>
        <v/>
      </c>
      <c r="BM94" s="429">
        <f t="shared" si="89"/>
        <v>379991.96872</v>
      </c>
      <c r="BN94" s="320">
        <f t="shared" si="90"/>
        <v>31785.2362333333</v>
      </c>
      <c r="BO94" s="321">
        <f t="shared" si="103"/>
        <v>379991.96872</v>
      </c>
      <c r="BP94" s="322">
        <f t="shared" si="91"/>
        <v>31665.9973933333</v>
      </c>
      <c r="BQ94" s="323"/>
      <c r="BR94" s="324"/>
      <c r="BS94" s="325"/>
      <c r="BT94" s="326"/>
      <c r="BU94" s="326"/>
      <c r="BV94" s="334"/>
      <c r="BW94" s="335"/>
    </row>
    <row r="95" s="245" customFormat="1" ht="172.5" customHeight="1" spans="1:75">
      <c r="A95" s="255">
        <v>94</v>
      </c>
      <c r="B95" s="70" t="s">
        <v>369</v>
      </c>
      <c r="C95" s="129" t="s">
        <v>204</v>
      </c>
      <c r="D95" s="129" t="s">
        <v>360</v>
      </c>
      <c r="E95" s="256" t="s">
        <v>135</v>
      </c>
      <c r="F95" s="1469" t="s">
        <v>370</v>
      </c>
      <c r="G95" s="257">
        <v>2308911</v>
      </c>
      <c r="H95" s="258">
        <f t="shared" si="117"/>
        <v>192409.25</v>
      </c>
      <c r="I95" s="258">
        <f t="shared" si="109"/>
        <v>22447.7458333333</v>
      </c>
      <c r="J95" s="258">
        <v>5000</v>
      </c>
      <c r="K95" s="258"/>
      <c r="L95" s="258"/>
      <c r="M95" s="258">
        <v>2500</v>
      </c>
      <c r="N95" s="258"/>
      <c r="O95" s="258"/>
      <c r="P95" s="258"/>
      <c r="Q95" s="258"/>
      <c r="R95" s="258"/>
      <c r="S95" s="258"/>
      <c r="T95" s="258"/>
      <c r="U95" s="258">
        <v>383.33</v>
      </c>
      <c r="V95" s="258"/>
      <c r="W95" s="265"/>
      <c r="X95" s="258"/>
      <c r="Y95" s="258"/>
      <c r="Z95" s="258"/>
      <c r="AA95" s="258"/>
      <c r="AB95" s="258"/>
      <c r="AC95" s="258"/>
      <c r="AD95" s="270"/>
      <c r="AE95" s="258"/>
      <c r="AF95" s="258">
        <v>1250</v>
      </c>
      <c r="AG95" s="270">
        <f t="shared" si="106"/>
        <v>3848.185</v>
      </c>
      <c r="AH95" s="270"/>
      <c r="AI95" s="282">
        <v>1000</v>
      </c>
      <c r="AJ95" s="279"/>
      <c r="AK95" s="279"/>
      <c r="AL95" s="279"/>
      <c r="AM95" s="281"/>
      <c r="AN95" s="258"/>
      <c r="AO95" s="299">
        <v>1500</v>
      </c>
      <c r="AP95" s="299"/>
      <c r="AQ95" s="299"/>
      <c r="AR95" s="299">
        <f t="shared" si="107"/>
        <v>4454.80651666667</v>
      </c>
      <c r="AS95" s="300"/>
      <c r="AT95" s="300"/>
      <c r="AU95" s="299">
        <f t="shared" si="67"/>
        <v>24587.0414066667</v>
      </c>
      <c r="AV95" s="299">
        <f t="shared" ref="AV95:AV96" si="119">W95+V95+U95+N95+M95+K95+J95+I95+H95</f>
        <v>222740.325833333</v>
      </c>
      <c r="AW95" s="299">
        <f t="shared" si="102"/>
        <v>36640.0329233333</v>
      </c>
      <c r="AX95" s="299"/>
      <c r="AY95" s="299"/>
      <c r="AZ95" s="299">
        <f t="shared" si="99"/>
        <v>186100.29291</v>
      </c>
      <c r="BA95" s="429">
        <f t="shared" si="78"/>
        <v>2672883.91</v>
      </c>
      <c r="BB95" s="430">
        <f t="shared" si="79"/>
        <v>734576.782</v>
      </c>
      <c r="BC95" s="307">
        <f t="shared" si="80"/>
        <v>0</v>
      </c>
      <c r="BD95" s="308">
        <f t="shared" si="81"/>
        <v>734576.782</v>
      </c>
      <c r="BE95" s="313">
        <f t="shared" si="82"/>
        <v>1938307.128</v>
      </c>
      <c r="BF95" s="430"/>
      <c r="BG95" s="307">
        <f t="shared" si="83"/>
        <v>21000</v>
      </c>
      <c r="BH95" s="307">
        <f t="shared" si="84"/>
        <v>33000</v>
      </c>
      <c r="BI95" s="307">
        <f t="shared" si="85"/>
        <v>75000</v>
      </c>
      <c r="BJ95" s="307">
        <f t="shared" si="86"/>
        <v>95000</v>
      </c>
      <c r="BK95" s="307">
        <f t="shared" si="87"/>
        <v>71044.49688</v>
      </c>
      <c r="BL95" s="307" t="str">
        <f t="shared" si="88"/>
        <v/>
      </c>
      <c r="BM95" s="429">
        <f t="shared" si="89"/>
        <v>295044.49688</v>
      </c>
      <c r="BN95" s="320">
        <f t="shared" si="90"/>
        <v>26728.8391</v>
      </c>
      <c r="BO95" s="321">
        <f t="shared" si="103"/>
        <v>295044.49688</v>
      </c>
      <c r="BP95" s="322">
        <f t="shared" si="91"/>
        <v>24587.0414066667</v>
      </c>
      <c r="BQ95" s="323"/>
      <c r="BR95" s="324"/>
      <c r="BS95" s="325"/>
      <c r="BT95" s="326"/>
      <c r="BU95" s="326"/>
      <c r="BV95" s="334"/>
      <c r="BW95" s="335"/>
    </row>
    <row r="96" s="245" customFormat="1" ht="175" customHeight="1" spans="1:75">
      <c r="A96" s="255">
        <v>95</v>
      </c>
      <c r="B96" s="70" t="s">
        <v>2052</v>
      </c>
      <c r="C96" s="129" t="s">
        <v>221</v>
      </c>
      <c r="D96" s="129" t="s">
        <v>430</v>
      </c>
      <c r="E96" s="256" t="s">
        <v>165</v>
      </c>
      <c r="F96" s="256">
        <v>2000726706</v>
      </c>
      <c r="G96" s="257">
        <v>2048214</v>
      </c>
      <c r="H96" s="258">
        <f t="shared" si="117"/>
        <v>170684.5</v>
      </c>
      <c r="I96" s="258">
        <f t="shared" si="109"/>
        <v>19913.1916666667</v>
      </c>
      <c r="J96" s="258">
        <v>5000</v>
      </c>
      <c r="K96" s="258"/>
      <c r="L96" s="258"/>
      <c r="M96" s="258">
        <v>2500</v>
      </c>
      <c r="N96" s="258"/>
      <c r="O96" s="258"/>
      <c r="P96" s="258"/>
      <c r="Q96" s="258"/>
      <c r="R96" s="258"/>
      <c r="S96" s="258"/>
      <c r="T96" s="258"/>
      <c r="U96" s="258">
        <v>383.33</v>
      </c>
      <c r="V96" s="258"/>
      <c r="W96" s="265"/>
      <c r="X96" s="258"/>
      <c r="Y96" s="258"/>
      <c r="Z96" s="258"/>
      <c r="AA96" s="258"/>
      <c r="AB96" s="258"/>
      <c r="AC96" s="258"/>
      <c r="AD96" s="270"/>
      <c r="AE96" s="258"/>
      <c r="AF96" s="258"/>
      <c r="AG96" s="270">
        <f t="shared" si="106"/>
        <v>3413.69</v>
      </c>
      <c r="AH96" s="270"/>
      <c r="AI96" s="282"/>
      <c r="AJ96" s="280"/>
      <c r="AK96" s="280"/>
      <c r="AL96" s="280"/>
      <c r="AM96" s="281"/>
      <c r="AN96" s="258">
        <v>10000</v>
      </c>
      <c r="AO96" s="299">
        <v>1000</v>
      </c>
      <c r="AP96" s="299"/>
      <c r="AQ96" s="299"/>
      <c r="AR96" s="299">
        <f t="shared" si="107"/>
        <v>3969.62043333333</v>
      </c>
      <c r="AS96" s="300"/>
      <c r="AT96" s="300"/>
      <c r="AU96" s="299">
        <f t="shared" si="67"/>
        <v>20511.4783066667</v>
      </c>
      <c r="AV96" s="299">
        <f t="shared" si="119"/>
        <v>198481.021666667</v>
      </c>
      <c r="AW96" s="299">
        <f t="shared" si="102"/>
        <v>38894.78874</v>
      </c>
      <c r="AX96" s="299"/>
      <c r="AY96" s="299"/>
      <c r="AZ96" s="299">
        <f t="shared" si="99"/>
        <v>159586.232926667</v>
      </c>
      <c r="BA96" s="429">
        <f t="shared" si="78"/>
        <v>2381772.26</v>
      </c>
      <c r="BB96" s="430">
        <f t="shared" si="79"/>
        <v>676354.452</v>
      </c>
      <c r="BC96" s="307">
        <f t="shared" si="80"/>
        <v>0</v>
      </c>
      <c r="BD96" s="308">
        <f t="shared" si="81"/>
        <v>676354.452</v>
      </c>
      <c r="BE96" s="313">
        <f t="shared" si="82"/>
        <v>1705417.808</v>
      </c>
      <c r="BF96" s="430"/>
      <c r="BG96" s="307">
        <f t="shared" si="83"/>
        <v>21000</v>
      </c>
      <c r="BH96" s="307">
        <f t="shared" si="84"/>
        <v>33000</v>
      </c>
      <c r="BI96" s="307">
        <f t="shared" si="85"/>
        <v>75000</v>
      </c>
      <c r="BJ96" s="307">
        <f t="shared" si="86"/>
        <v>95000</v>
      </c>
      <c r="BK96" s="307">
        <f t="shared" si="87"/>
        <v>22137.7396799999</v>
      </c>
      <c r="BL96" s="307" t="str">
        <f t="shared" si="88"/>
        <v/>
      </c>
      <c r="BM96" s="429">
        <f t="shared" si="89"/>
        <v>246137.73968</v>
      </c>
      <c r="BN96" s="320">
        <f t="shared" si="90"/>
        <v>23817.7226</v>
      </c>
      <c r="BO96" s="321">
        <f t="shared" si="103"/>
        <v>246137.73968</v>
      </c>
      <c r="BP96" s="322">
        <f t="shared" si="91"/>
        <v>20511.4783066667</v>
      </c>
      <c r="BQ96" s="323"/>
      <c r="BR96" s="324"/>
      <c r="BS96" s="325"/>
      <c r="BT96" s="326"/>
      <c r="BU96" s="326"/>
      <c r="BV96" s="334"/>
      <c r="BW96" s="335"/>
    </row>
    <row r="97" s="245" customFormat="1" ht="172.5" customHeight="1" spans="1:75">
      <c r="A97" s="255">
        <v>96</v>
      </c>
      <c r="B97" s="70" t="s">
        <v>371</v>
      </c>
      <c r="C97" s="129" t="s">
        <v>138</v>
      </c>
      <c r="D97" s="129" t="s">
        <v>263</v>
      </c>
      <c r="E97" s="256" t="s">
        <v>165</v>
      </c>
      <c r="F97" s="256">
        <v>2005960363</v>
      </c>
      <c r="G97" s="257">
        <v>4479454</v>
      </c>
      <c r="H97" s="258">
        <f t="shared" si="117"/>
        <v>373287.833333333</v>
      </c>
      <c r="I97" s="258">
        <f t="shared" si="109"/>
        <v>43550.2472222222</v>
      </c>
      <c r="J97" s="258">
        <v>6666.67</v>
      </c>
      <c r="K97" s="258">
        <v>20833.33</v>
      </c>
      <c r="L97" s="258"/>
      <c r="M97" s="258">
        <v>2500</v>
      </c>
      <c r="N97" s="258"/>
      <c r="O97" s="258"/>
      <c r="P97" s="258"/>
      <c r="Q97" s="258"/>
      <c r="R97" s="258"/>
      <c r="S97" s="258"/>
      <c r="T97" s="258"/>
      <c r="U97" s="258">
        <v>383.33</v>
      </c>
      <c r="V97" s="258"/>
      <c r="W97" s="265"/>
      <c r="X97" s="258"/>
      <c r="Y97" s="258"/>
      <c r="Z97" s="258"/>
      <c r="AA97" s="258"/>
      <c r="AB97" s="258"/>
      <c r="AC97" s="258"/>
      <c r="AD97" s="270"/>
      <c r="AE97" s="258"/>
      <c r="AF97" s="258"/>
      <c r="AG97" s="270">
        <f t="shared" si="106"/>
        <v>7465.75666666667</v>
      </c>
      <c r="AH97" s="270">
        <f>5000</f>
        <v>5000</v>
      </c>
      <c r="AI97" s="278"/>
      <c r="AJ97" s="280"/>
      <c r="AK97" s="280"/>
      <c r="AL97" s="280"/>
      <c r="AM97" s="281">
        <f>109458.44+21000</f>
        <v>130458.44</v>
      </c>
      <c r="AN97" s="258">
        <v>10000</v>
      </c>
      <c r="AO97" s="299">
        <v>2500</v>
      </c>
      <c r="AP97" s="299"/>
      <c r="AQ97" s="299"/>
      <c r="AR97" s="299">
        <f t="shared" si="107"/>
        <v>8944.42821111111</v>
      </c>
      <c r="AS97" s="300"/>
      <c r="AT97" s="300"/>
      <c r="AU97" s="299">
        <f t="shared" si="67"/>
        <v>64533.1774933333</v>
      </c>
      <c r="AV97" s="299">
        <f t="shared" ref="AV97" si="120">V97+U97+N97+M97+K97+J97+I97+H97</f>
        <v>447221.410555556</v>
      </c>
      <c r="AW97" s="299">
        <f t="shared" si="102"/>
        <v>228901.802371111</v>
      </c>
      <c r="AX97" s="299"/>
      <c r="AY97" s="299"/>
      <c r="AZ97" s="299">
        <f t="shared" si="99"/>
        <v>218319.608184444</v>
      </c>
      <c r="BA97" s="429">
        <f t="shared" si="78"/>
        <v>5366656.92666667</v>
      </c>
      <c r="BB97" s="430">
        <f t="shared" si="79"/>
        <v>1273331.38533333</v>
      </c>
      <c r="BC97" s="307">
        <f t="shared" si="80"/>
        <v>0</v>
      </c>
      <c r="BD97" s="308">
        <f t="shared" si="81"/>
        <v>1273331.38533333</v>
      </c>
      <c r="BE97" s="313">
        <f t="shared" si="82"/>
        <v>4093325.54133333</v>
      </c>
      <c r="BF97" s="430"/>
      <c r="BG97" s="307">
        <f t="shared" si="83"/>
        <v>21000</v>
      </c>
      <c r="BH97" s="307">
        <f t="shared" si="84"/>
        <v>33000</v>
      </c>
      <c r="BI97" s="307">
        <f t="shared" si="85"/>
        <v>75000</v>
      </c>
      <c r="BJ97" s="307">
        <f t="shared" si="86"/>
        <v>95000</v>
      </c>
      <c r="BK97" s="307">
        <f t="shared" si="87"/>
        <v>336000</v>
      </c>
      <c r="BL97" s="307">
        <f t="shared" si="88"/>
        <v>214398.12992</v>
      </c>
      <c r="BM97" s="429">
        <f t="shared" si="89"/>
        <v>774398.12992</v>
      </c>
      <c r="BN97" s="320">
        <f t="shared" si="90"/>
        <v>53666.5692666667</v>
      </c>
      <c r="BO97" s="321">
        <f t="shared" si="103"/>
        <v>774398.12992</v>
      </c>
      <c r="BP97" s="322">
        <f t="shared" si="91"/>
        <v>64533.1774933333</v>
      </c>
      <c r="BQ97" s="323"/>
      <c r="BR97" s="324"/>
      <c r="BS97" s="325"/>
      <c r="BT97" s="326"/>
      <c r="BU97" s="326"/>
      <c r="BV97" s="334"/>
      <c r="BW97" s="335"/>
    </row>
    <row r="98" s="245" customFormat="1" ht="172.5" customHeight="1" spans="1:75">
      <c r="A98" s="255">
        <v>97</v>
      </c>
      <c r="B98" s="70" t="s">
        <v>2053</v>
      </c>
      <c r="C98" s="129" t="s">
        <v>204</v>
      </c>
      <c r="D98" s="129" t="s">
        <v>2039</v>
      </c>
      <c r="E98" s="256" t="s">
        <v>422</v>
      </c>
      <c r="F98" s="256">
        <v>1760353888</v>
      </c>
      <c r="G98" s="257">
        <f>G88</f>
        <v>2254203</v>
      </c>
      <c r="H98" s="258">
        <f t="shared" si="117"/>
        <v>187850.25</v>
      </c>
      <c r="I98" s="258">
        <f t="shared" si="109"/>
        <v>21915.8625</v>
      </c>
      <c r="J98" s="258">
        <v>5000</v>
      </c>
      <c r="K98" s="258"/>
      <c r="L98" s="258"/>
      <c r="M98" s="258">
        <v>2500</v>
      </c>
      <c r="N98" s="258"/>
      <c r="O98" s="258"/>
      <c r="P98" s="258"/>
      <c r="Q98" s="258"/>
      <c r="R98" s="258"/>
      <c r="S98" s="258"/>
      <c r="T98" s="258"/>
      <c r="U98" s="258">
        <v>383.33</v>
      </c>
      <c r="V98" s="258"/>
      <c r="W98" s="265"/>
      <c r="X98" s="258"/>
      <c r="Y98" s="258"/>
      <c r="Z98" s="258"/>
      <c r="AA98" s="258"/>
      <c r="AB98" s="258"/>
      <c r="AC98" s="258"/>
      <c r="AD98" s="270"/>
      <c r="AE98" s="258"/>
      <c r="AF98" s="258"/>
      <c r="AG98" s="270">
        <f t="shared" si="106"/>
        <v>3757.005</v>
      </c>
      <c r="AH98" s="270"/>
      <c r="AI98" s="278"/>
      <c r="AJ98" s="280"/>
      <c r="AK98" s="280"/>
      <c r="AL98" s="284">
        <v>1000</v>
      </c>
      <c r="AM98" s="281"/>
      <c r="AN98" s="258"/>
      <c r="AO98" s="299">
        <v>1500</v>
      </c>
      <c r="AP98" s="299"/>
      <c r="AQ98" s="299">
        <v>1250</v>
      </c>
      <c r="AR98" s="299">
        <f t="shared" si="107"/>
        <v>4352.98885</v>
      </c>
      <c r="AS98" s="300"/>
      <c r="AT98" s="300"/>
      <c r="AU98" s="299">
        <f t="shared" si="67"/>
        <v>23731.7730066667</v>
      </c>
      <c r="AV98" s="299">
        <f t="shared" ref="AV98" si="121">W98+V98+U98+N98+M98+K98+J98+I98+H98</f>
        <v>217649.4425</v>
      </c>
      <c r="AW98" s="299">
        <f>AU98+AR98+AQ98+AO98+AN98+AM98+AK98+AI98+AH98+AG98+AF98+AE98+AD98+AL98</f>
        <v>35591.7668566667</v>
      </c>
      <c r="AX98" s="299"/>
      <c r="AY98" s="299"/>
      <c r="AZ98" s="299">
        <f t="shared" si="99"/>
        <v>182057.675643333</v>
      </c>
      <c r="BA98" s="429">
        <f t="shared" si="78"/>
        <v>2611793.31</v>
      </c>
      <c r="BB98" s="430">
        <f t="shared" si="79"/>
        <v>722358.662</v>
      </c>
      <c r="BC98" s="307">
        <f t="shared" si="80"/>
        <v>0</v>
      </c>
      <c r="BD98" s="308">
        <f t="shared" si="81"/>
        <v>722358.662</v>
      </c>
      <c r="BE98" s="313">
        <f t="shared" si="82"/>
        <v>1889434.648</v>
      </c>
      <c r="BF98" s="430"/>
      <c r="BG98" s="307">
        <f t="shared" si="83"/>
        <v>21000</v>
      </c>
      <c r="BH98" s="307">
        <f t="shared" si="84"/>
        <v>33000</v>
      </c>
      <c r="BI98" s="307">
        <f t="shared" si="85"/>
        <v>75000</v>
      </c>
      <c r="BJ98" s="307">
        <f t="shared" si="86"/>
        <v>95000</v>
      </c>
      <c r="BK98" s="307">
        <f t="shared" si="87"/>
        <v>60781.27608</v>
      </c>
      <c r="BL98" s="307" t="str">
        <f t="shared" si="88"/>
        <v/>
      </c>
      <c r="BM98" s="429">
        <f t="shared" si="89"/>
        <v>284781.27608</v>
      </c>
      <c r="BN98" s="320">
        <f t="shared" si="90"/>
        <v>26117.9331</v>
      </c>
      <c r="BO98" s="321">
        <f t="shared" si="103"/>
        <v>284781.27608</v>
      </c>
      <c r="BP98" s="322">
        <f t="shared" si="91"/>
        <v>23731.7730066667</v>
      </c>
      <c r="BQ98" s="323"/>
      <c r="BR98" s="324"/>
      <c r="BS98" s="325"/>
      <c r="BT98" s="326"/>
      <c r="BU98" s="326"/>
      <c r="BV98" s="334"/>
      <c r="BW98" s="335"/>
    </row>
    <row r="99" s="245" customFormat="1" ht="172.5" customHeight="1" spans="1:75">
      <c r="A99" s="255">
        <v>98</v>
      </c>
      <c r="B99" s="70" t="s">
        <v>373</v>
      </c>
      <c r="C99" s="129" t="s">
        <v>204</v>
      </c>
      <c r="D99" s="129" t="s">
        <v>205</v>
      </c>
      <c r="E99" s="256" t="s">
        <v>135</v>
      </c>
      <c r="F99" s="1469" t="s">
        <v>374</v>
      </c>
      <c r="G99" s="257">
        <v>2090081</v>
      </c>
      <c r="H99" s="258">
        <f t="shared" si="117"/>
        <v>174173.416666667</v>
      </c>
      <c r="I99" s="258">
        <f t="shared" si="109"/>
        <v>20320.2319444444</v>
      </c>
      <c r="J99" s="258">
        <v>5000</v>
      </c>
      <c r="K99" s="258"/>
      <c r="L99" s="258"/>
      <c r="M99" s="258">
        <v>2500</v>
      </c>
      <c r="N99" s="258"/>
      <c r="O99" s="258"/>
      <c r="P99" s="258"/>
      <c r="Q99" s="258"/>
      <c r="R99" s="258"/>
      <c r="S99" s="258"/>
      <c r="T99" s="258"/>
      <c r="U99" s="258">
        <v>383.33</v>
      </c>
      <c r="V99" s="258"/>
      <c r="W99" s="265"/>
      <c r="X99" s="258"/>
      <c r="Y99" s="258"/>
      <c r="Z99" s="258"/>
      <c r="AA99" s="258"/>
      <c r="AB99" s="258"/>
      <c r="AC99" s="258"/>
      <c r="AD99" s="270"/>
      <c r="AE99" s="258"/>
      <c r="AF99" s="258">
        <v>1750</v>
      </c>
      <c r="AG99" s="270">
        <f t="shared" si="106"/>
        <v>3483.46833333333</v>
      </c>
      <c r="AH99" s="270">
        <f>10000</f>
        <v>10000</v>
      </c>
      <c r="AI99" s="278"/>
      <c r="AJ99" s="280"/>
      <c r="AK99" s="280"/>
      <c r="AL99" s="284">
        <v>1000</v>
      </c>
      <c r="AM99" s="281">
        <v>35000</v>
      </c>
      <c r="AN99" s="258"/>
      <c r="AO99" s="299">
        <v>1500</v>
      </c>
      <c r="AP99" s="299"/>
      <c r="AQ99" s="299"/>
      <c r="AR99" s="299">
        <f t="shared" si="107"/>
        <v>4047.53957222222</v>
      </c>
      <c r="AS99" s="300"/>
      <c r="AT99" s="300"/>
      <c r="AU99" s="299">
        <f t="shared" si="67"/>
        <v>21165.9990733333</v>
      </c>
      <c r="AV99" s="299">
        <f t="shared" ref="AV99" si="122">V99+U99+N99+M99+K99+J99+I99+H99</f>
        <v>202376.978611111</v>
      </c>
      <c r="AW99" s="299">
        <f>AU99+AR99+AQ99+AO99+AN99+AM99+AK99+AI99+AH99+AG99+AF99+AE99+AD99+AL99</f>
        <v>77947.0069788889</v>
      </c>
      <c r="AX99" s="299"/>
      <c r="AY99" s="299"/>
      <c r="AZ99" s="299">
        <f t="shared" si="99"/>
        <v>124429.971632222</v>
      </c>
      <c r="BA99" s="429">
        <f t="shared" si="78"/>
        <v>2428523.74333333</v>
      </c>
      <c r="BB99" s="430">
        <f t="shared" si="79"/>
        <v>685704.748666667</v>
      </c>
      <c r="BC99" s="307">
        <f t="shared" si="80"/>
        <v>0</v>
      </c>
      <c r="BD99" s="308">
        <f t="shared" si="81"/>
        <v>685704.748666667</v>
      </c>
      <c r="BE99" s="313">
        <f t="shared" si="82"/>
        <v>1742818.99466667</v>
      </c>
      <c r="BF99" s="430"/>
      <c r="BG99" s="307">
        <f t="shared" si="83"/>
        <v>21000</v>
      </c>
      <c r="BH99" s="307">
        <f t="shared" si="84"/>
        <v>33000</v>
      </c>
      <c r="BI99" s="307">
        <f t="shared" si="85"/>
        <v>75000</v>
      </c>
      <c r="BJ99" s="307">
        <f t="shared" si="86"/>
        <v>95000</v>
      </c>
      <c r="BK99" s="307">
        <f t="shared" si="87"/>
        <v>29991.98888</v>
      </c>
      <c r="BL99" s="307" t="str">
        <f t="shared" si="88"/>
        <v/>
      </c>
      <c r="BM99" s="429">
        <f t="shared" si="89"/>
        <v>253991.98888</v>
      </c>
      <c r="BN99" s="320">
        <f t="shared" si="90"/>
        <v>24285.2374333333</v>
      </c>
      <c r="BO99" s="321">
        <f t="shared" si="103"/>
        <v>253991.98888</v>
      </c>
      <c r="BP99" s="322">
        <f t="shared" si="91"/>
        <v>21165.9990733333</v>
      </c>
      <c r="BQ99" s="323"/>
      <c r="BR99" s="324"/>
      <c r="BS99" s="325"/>
      <c r="BT99" s="326"/>
      <c r="BU99" s="326"/>
      <c r="BV99" s="334"/>
      <c r="BW99" s="335"/>
    </row>
    <row r="100" s="245" customFormat="1" ht="180" customHeight="1" spans="1:75">
      <c r="A100" s="255">
        <v>99</v>
      </c>
      <c r="B100" s="70" t="s">
        <v>375</v>
      </c>
      <c r="C100" s="129" t="s">
        <v>221</v>
      </c>
      <c r="D100" s="129" t="s">
        <v>555</v>
      </c>
      <c r="E100" s="128" t="s">
        <v>122</v>
      </c>
      <c r="F100" s="1469" t="s">
        <v>377</v>
      </c>
      <c r="G100" s="257">
        <v>1796468</v>
      </c>
      <c r="H100" s="258">
        <f t="shared" si="117"/>
        <v>149705.666666667</v>
      </c>
      <c r="I100" s="258">
        <f t="shared" si="109"/>
        <v>17465.6611111111</v>
      </c>
      <c r="J100" s="258">
        <v>5000</v>
      </c>
      <c r="K100" s="258"/>
      <c r="L100" s="258"/>
      <c r="M100" s="258">
        <v>2500</v>
      </c>
      <c r="N100" s="258"/>
      <c r="O100" s="258"/>
      <c r="P100" s="258"/>
      <c r="Q100" s="258"/>
      <c r="R100" s="258"/>
      <c r="S100" s="258"/>
      <c r="T100" s="258"/>
      <c r="U100" s="258">
        <v>383.33</v>
      </c>
      <c r="V100" s="258"/>
      <c r="W100" s="265"/>
      <c r="X100" s="258"/>
      <c r="Y100" s="258"/>
      <c r="Z100" s="258"/>
      <c r="AA100" s="258"/>
      <c r="AB100" s="258"/>
      <c r="AC100" s="258"/>
      <c r="AD100" s="270"/>
      <c r="AE100" s="258"/>
      <c r="AF100" s="258">
        <v>3000</v>
      </c>
      <c r="AG100" s="270">
        <f t="shared" si="106"/>
        <v>2994.11333333333</v>
      </c>
      <c r="AH100" s="270">
        <v>20000</v>
      </c>
      <c r="AI100" s="282">
        <v>1000</v>
      </c>
      <c r="AJ100" s="279"/>
      <c r="AK100" s="279"/>
      <c r="AL100" s="279"/>
      <c r="AM100" s="281">
        <f>10000+14000</f>
        <v>24000</v>
      </c>
      <c r="AN100" s="258"/>
      <c r="AO100" s="299">
        <v>1000</v>
      </c>
      <c r="AP100" s="299"/>
      <c r="AQ100" s="299"/>
      <c r="AR100" s="299">
        <f t="shared" si="107"/>
        <v>3501.09315555556</v>
      </c>
      <c r="AS100" s="300"/>
      <c r="AT100" s="300"/>
      <c r="AU100" s="299">
        <f t="shared" si="67"/>
        <v>16774.9746488889</v>
      </c>
      <c r="AV100" s="299">
        <f t="shared" ref="AV100" si="123">W100+V100+U100+N100+M100+K100+J100+I100+H100</f>
        <v>175054.657777778</v>
      </c>
      <c r="AW100" s="299">
        <f t="shared" si="102"/>
        <v>72270.1811377778</v>
      </c>
      <c r="AX100" s="299"/>
      <c r="AY100" s="299"/>
      <c r="AZ100" s="299">
        <f t="shared" si="99"/>
        <v>102784.47664</v>
      </c>
      <c r="BA100" s="429">
        <f t="shared" si="78"/>
        <v>2100655.89333333</v>
      </c>
      <c r="BB100" s="430">
        <f t="shared" si="79"/>
        <v>620131.178666667</v>
      </c>
      <c r="BC100" s="307">
        <f t="shared" si="80"/>
        <v>0</v>
      </c>
      <c r="BD100" s="308">
        <f t="shared" si="81"/>
        <v>620131.178666667</v>
      </c>
      <c r="BE100" s="313">
        <f t="shared" si="82"/>
        <v>1480524.71466667</v>
      </c>
      <c r="BF100" s="430"/>
      <c r="BG100" s="307">
        <f t="shared" si="83"/>
        <v>21000</v>
      </c>
      <c r="BH100" s="307">
        <f t="shared" si="84"/>
        <v>33000</v>
      </c>
      <c r="BI100" s="307">
        <f t="shared" si="85"/>
        <v>75000</v>
      </c>
      <c r="BJ100" s="307">
        <f t="shared" si="86"/>
        <v>72299.6957866666</v>
      </c>
      <c r="BK100" s="307" t="str">
        <f t="shared" si="87"/>
        <v/>
      </c>
      <c r="BL100" s="307" t="str">
        <f t="shared" si="88"/>
        <v/>
      </c>
      <c r="BM100" s="429">
        <f t="shared" si="89"/>
        <v>201299.695786667</v>
      </c>
      <c r="BN100" s="320">
        <f t="shared" si="90"/>
        <v>21006.5589333333</v>
      </c>
      <c r="BO100" s="321">
        <f t="shared" si="103"/>
        <v>201299.695786667</v>
      </c>
      <c r="BP100" s="322">
        <f t="shared" si="91"/>
        <v>16774.9746488889</v>
      </c>
      <c r="BQ100" s="323"/>
      <c r="BR100" s="324"/>
      <c r="BS100" s="325"/>
      <c r="BT100" s="326"/>
      <c r="BU100" s="326"/>
      <c r="BV100" s="334"/>
      <c r="BW100" s="335"/>
    </row>
    <row r="101" s="245" customFormat="1" ht="172.5" customHeight="1" spans="1:75">
      <c r="A101" s="255">
        <v>100</v>
      </c>
      <c r="B101" s="70" t="s">
        <v>378</v>
      </c>
      <c r="C101" s="129" t="s">
        <v>2054</v>
      </c>
      <c r="D101" s="129" t="s">
        <v>308</v>
      </c>
      <c r="E101" s="256" t="s">
        <v>165</v>
      </c>
      <c r="F101" s="256">
        <v>1005655901</v>
      </c>
      <c r="G101" s="257">
        <f>H101*12</f>
        <v>1925865</v>
      </c>
      <c r="H101" s="258">
        <v>160488.75</v>
      </c>
      <c r="I101" s="258"/>
      <c r="J101" s="258"/>
      <c r="K101" s="258"/>
      <c r="L101" s="258"/>
      <c r="M101" s="258">
        <v>2500</v>
      </c>
      <c r="N101" s="258"/>
      <c r="O101" s="258">
        <v>48146.63</v>
      </c>
      <c r="P101" s="258">
        <v>72219.94</v>
      </c>
      <c r="Q101" s="258">
        <v>40122.19</v>
      </c>
      <c r="R101" s="258">
        <v>16048.88</v>
      </c>
      <c r="S101" s="258">
        <v>24073.31</v>
      </c>
      <c r="T101" s="258">
        <v>32097.75</v>
      </c>
      <c r="U101" s="258">
        <v>383.33</v>
      </c>
      <c r="V101" s="258">
        <v>62500</v>
      </c>
      <c r="W101" s="265">
        <v>128000</v>
      </c>
      <c r="X101" s="258"/>
      <c r="Y101" s="258">
        <v>62500</v>
      </c>
      <c r="Z101" s="258"/>
      <c r="AA101" s="258"/>
      <c r="AB101" s="258"/>
      <c r="AC101" s="258"/>
      <c r="AD101" s="270"/>
      <c r="AE101" s="258"/>
      <c r="AF101" s="258"/>
      <c r="AG101" s="270">
        <f t="shared" si="106"/>
        <v>3209.775</v>
      </c>
      <c r="AH101" s="270"/>
      <c r="AI101" s="278"/>
      <c r="AJ101" s="279">
        <v>1000</v>
      </c>
      <c r="AK101" s="280"/>
      <c r="AL101" s="280"/>
      <c r="AM101" s="281">
        <v>102500</v>
      </c>
      <c r="AN101" s="258"/>
      <c r="AO101" s="299">
        <v>3500</v>
      </c>
      <c r="AP101" s="299"/>
      <c r="AQ101" s="299"/>
      <c r="AR101" s="299">
        <f t="shared" si="107"/>
        <v>11731.6156</v>
      </c>
      <c r="AS101" s="300"/>
      <c r="AT101" s="300"/>
      <c r="AU101" s="299">
        <f t="shared" si="67"/>
        <v>91290.1764266667</v>
      </c>
      <c r="AV101" s="299">
        <f>W101+V101+U101+N101+M101+K101+J101+I101+H101+T101+S101+R101+Q101+P101+O101</f>
        <v>586580.78</v>
      </c>
      <c r="AW101" s="299">
        <f>AU101+AR101+AQ101+AO101+AN101+AM101+AK101+AJ101+AI101+AH101+AG101</f>
        <v>213231.567026667</v>
      </c>
      <c r="AX101" s="299"/>
      <c r="AY101" s="299"/>
      <c r="AZ101" s="299">
        <f t="shared" si="99"/>
        <v>373349.212973333</v>
      </c>
      <c r="BA101" s="429">
        <f t="shared" si="78"/>
        <v>7038969.36</v>
      </c>
      <c r="BB101" s="430">
        <f t="shared" si="79"/>
        <v>1607793.872</v>
      </c>
      <c r="BC101" s="307">
        <f t="shared" si="80"/>
        <v>0</v>
      </c>
      <c r="BD101" s="308">
        <f t="shared" si="81"/>
        <v>1607793.872</v>
      </c>
      <c r="BE101" s="313">
        <f t="shared" si="82"/>
        <v>5431175.488</v>
      </c>
      <c r="BF101" s="430"/>
      <c r="BG101" s="307">
        <f t="shared" si="83"/>
        <v>21000</v>
      </c>
      <c r="BH101" s="307">
        <f t="shared" si="84"/>
        <v>33000</v>
      </c>
      <c r="BI101" s="307">
        <f t="shared" si="85"/>
        <v>75000</v>
      </c>
      <c r="BJ101" s="307">
        <f t="shared" si="86"/>
        <v>95000</v>
      </c>
      <c r="BK101" s="307">
        <f t="shared" si="87"/>
        <v>336000</v>
      </c>
      <c r="BL101" s="307">
        <f t="shared" si="88"/>
        <v>535482.11712</v>
      </c>
      <c r="BM101" s="429">
        <f t="shared" si="89"/>
        <v>1095482.11712</v>
      </c>
      <c r="BN101" s="320">
        <f t="shared" si="90"/>
        <v>70389.6936</v>
      </c>
      <c r="BO101" s="321">
        <f t="shared" si="103"/>
        <v>1095482.11712</v>
      </c>
      <c r="BP101" s="322">
        <f t="shared" si="91"/>
        <v>91290.1764266667</v>
      </c>
      <c r="BQ101" s="323"/>
      <c r="BR101" s="324"/>
      <c r="BS101" s="325"/>
      <c r="BT101" s="326"/>
      <c r="BU101" s="326"/>
      <c r="BV101" s="334"/>
      <c r="BW101" s="335"/>
    </row>
    <row r="102" s="245" customFormat="1" ht="172.5" customHeight="1" spans="1:75">
      <c r="A102" s="255">
        <v>101</v>
      </c>
      <c r="B102" s="70" t="s">
        <v>2055</v>
      </c>
      <c r="C102" s="129" t="s">
        <v>2056</v>
      </c>
      <c r="D102" s="129" t="s">
        <v>2057</v>
      </c>
      <c r="E102" s="256" t="s">
        <v>101</v>
      </c>
      <c r="F102" s="1469" t="s">
        <v>2058</v>
      </c>
      <c r="G102" s="257">
        <v>5957106</v>
      </c>
      <c r="H102" s="258">
        <f>G102/12</f>
        <v>496425.5</v>
      </c>
      <c r="I102" s="258">
        <f t="shared" ref="I102" si="124">H102*0.35/3</f>
        <v>57916.3083333333</v>
      </c>
      <c r="J102" s="258">
        <v>6666.66</v>
      </c>
      <c r="K102" s="258"/>
      <c r="L102" s="258"/>
      <c r="M102" s="258">
        <v>2500</v>
      </c>
      <c r="N102" s="258"/>
      <c r="O102" s="258"/>
      <c r="P102" s="258"/>
      <c r="Q102" s="258"/>
      <c r="R102" s="258"/>
      <c r="S102" s="258"/>
      <c r="T102" s="258"/>
      <c r="U102" s="258">
        <v>383.33</v>
      </c>
      <c r="V102" s="258"/>
      <c r="W102" s="265"/>
      <c r="X102" s="258"/>
      <c r="Y102" s="258">
        <v>62500</v>
      </c>
      <c r="Z102" s="258"/>
      <c r="AA102" s="258"/>
      <c r="AB102" s="258"/>
      <c r="AC102" s="258"/>
      <c r="AD102" s="270"/>
      <c r="AE102" s="258"/>
      <c r="AF102" s="258"/>
      <c r="AG102" s="270">
        <f t="shared" si="106"/>
        <v>9928.51</v>
      </c>
      <c r="AH102" s="270"/>
      <c r="AI102" s="278"/>
      <c r="AJ102" s="279">
        <v>1000</v>
      </c>
      <c r="AK102" s="280"/>
      <c r="AL102" s="280"/>
      <c r="AM102" s="281"/>
      <c r="AN102" s="258"/>
      <c r="AO102" s="299">
        <v>3500</v>
      </c>
      <c r="AP102" s="299"/>
      <c r="AQ102" s="299"/>
      <c r="AR102" s="299">
        <f t="shared" si="107"/>
        <v>11277.8359666667</v>
      </c>
      <c r="AS102" s="300"/>
      <c r="AT102" s="300"/>
      <c r="AU102" s="299">
        <f t="shared" si="67"/>
        <v>86933.8919466667</v>
      </c>
      <c r="AV102" s="299">
        <f>W102+V102+U102+N102+M102+K102+J102+I102+H102+T102+S102+R102+Q102+P102+O102</f>
        <v>563891.798333333</v>
      </c>
      <c r="AW102" s="299">
        <f>AU102+AR102+AQ102+AO102+AN102+AM102+AK102+AJ102+AI102+AH102+AG102</f>
        <v>112640.237913333</v>
      </c>
      <c r="AX102" s="299"/>
      <c r="AY102" s="299"/>
      <c r="AZ102" s="299">
        <f t="shared" si="99"/>
        <v>451251.56042</v>
      </c>
      <c r="BA102" s="429">
        <f t="shared" si="78"/>
        <v>6766701.58</v>
      </c>
      <c r="BB102" s="430">
        <f t="shared" si="79"/>
        <v>1553340.316</v>
      </c>
      <c r="BC102" s="307">
        <f t="shared" si="80"/>
        <v>0</v>
      </c>
      <c r="BD102" s="308">
        <f t="shared" si="81"/>
        <v>1553340.316</v>
      </c>
      <c r="BE102" s="313">
        <f t="shared" si="82"/>
        <v>5213361.264</v>
      </c>
      <c r="BF102" s="430"/>
      <c r="BG102" s="307">
        <f t="shared" si="83"/>
        <v>21000</v>
      </c>
      <c r="BH102" s="307">
        <f t="shared" si="84"/>
        <v>33000</v>
      </c>
      <c r="BI102" s="307">
        <f t="shared" si="85"/>
        <v>75000</v>
      </c>
      <c r="BJ102" s="307">
        <f t="shared" si="86"/>
        <v>95000</v>
      </c>
      <c r="BK102" s="307">
        <f t="shared" si="87"/>
        <v>336000</v>
      </c>
      <c r="BL102" s="307">
        <f t="shared" si="88"/>
        <v>483206.70336</v>
      </c>
      <c r="BM102" s="429">
        <f t="shared" si="89"/>
        <v>1043206.70336</v>
      </c>
      <c r="BN102" s="320">
        <f t="shared" si="90"/>
        <v>67667.0158</v>
      </c>
      <c r="BO102" s="321">
        <f t="shared" si="103"/>
        <v>1043206.70336</v>
      </c>
      <c r="BP102" s="322">
        <f t="shared" si="91"/>
        <v>86933.8919466667</v>
      </c>
      <c r="BQ102" s="323"/>
      <c r="BR102" s="324"/>
      <c r="BS102" s="325"/>
      <c r="BT102" s="326"/>
      <c r="BU102" s="326"/>
      <c r="BV102" s="334"/>
      <c r="BW102" s="335"/>
    </row>
    <row r="103" s="245" customFormat="1" ht="172.5" customHeight="1" spans="1:75">
      <c r="A103" s="255">
        <v>102</v>
      </c>
      <c r="B103" s="70" t="s">
        <v>2059</v>
      </c>
      <c r="C103" s="129" t="s">
        <v>2056</v>
      </c>
      <c r="D103" s="129" t="s">
        <v>2057</v>
      </c>
      <c r="E103" s="256" t="s">
        <v>113</v>
      </c>
      <c r="F103" s="256">
        <v>2090470273</v>
      </c>
      <c r="G103" s="257">
        <v>5957106</v>
      </c>
      <c r="H103" s="258">
        <f>G103/12</f>
        <v>496425.5</v>
      </c>
      <c r="I103" s="258">
        <f>I102</f>
        <v>57916.3083333333</v>
      </c>
      <c r="J103" s="258">
        <v>6666.66</v>
      </c>
      <c r="K103" s="258">
        <f>K114</f>
        <v>20833.33</v>
      </c>
      <c r="L103" s="258"/>
      <c r="M103" s="258">
        <v>2500</v>
      </c>
      <c r="N103" s="258"/>
      <c r="O103" s="258"/>
      <c r="P103" s="258"/>
      <c r="Q103" s="258"/>
      <c r="R103" s="258"/>
      <c r="S103" s="258"/>
      <c r="T103" s="258"/>
      <c r="U103" s="258">
        <v>383.33</v>
      </c>
      <c r="V103" s="258"/>
      <c r="W103" s="265"/>
      <c r="X103" s="258"/>
      <c r="Y103" s="258">
        <v>62500</v>
      </c>
      <c r="Z103" s="258"/>
      <c r="AA103" s="258"/>
      <c r="AB103" s="258"/>
      <c r="AC103" s="258"/>
      <c r="AD103" s="270"/>
      <c r="AE103" s="258"/>
      <c r="AF103" s="258"/>
      <c r="AG103" s="270">
        <f t="shared" si="106"/>
        <v>9928.51</v>
      </c>
      <c r="AH103" s="270"/>
      <c r="AI103" s="278"/>
      <c r="AJ103" s="279">
        <v>1000</v>
      </c>
      <c r="AK103" s="280"/>
      <c r="AL103" s="280"/>
      <c r="AM103" s="281"/>
      <c r="AN103" s="258"/>
      <c r="AO103" s="299">
        <v>3500</v>
      </c>
      <c r="AP103" s="299"/>
      <c r="AQ103" s="299"/>
      <c r="AR103" s="299">
        <f t="shared" si="107"/>
        <v>11694.5025666667</v>
      </c>
      <c r="AS103" s="300"/>
      <c r="AT103" s="300"/>
      <c r="AU103" s="299">
        <f t="shared" si="67"/>
        <v>86933.8919466667</v>
      </c>
      <c r="AV103" s="299">
        <f t="shared" ref="AV103" si="125">W103+V103+U103+N103+M103+K103+J103+I103+H103</f>
        <v>584725.128333333</v>
      </c>
      <c r="AW103" s="299">
        <f>AU103+AR103+AQ103+AO103+AN103+AM103+AK103+AJ103+AI103+AH103+AG103</f>
        <v>113056.904513333</v>
      </c>
      <c r="AX103" s="299"/>
      <c r="AY103" s="299"/>
      <c r="AZ103" s="299">
        <f t="shared" si="99"/>
        <v>471668.22382</v>
      </c>
      <c r="BA103" s="429">
        <f t="shared" si="78"/>
        <v>7016701.54</v>
      </c>
      <c r="BB103" s="430">
        <f t="shared" si="79"/>
        <v>1603340.308</v>
      </c>
      <c r="BC103" s="307">
        <f t="shared" si="80"/>
        <v>0</v>
      </c>
      <c r="BD103" s="308">
        <f t="shared" si="81"/>
        <v>1603340.308</v>
      </c>
      <c r="BE103" s="313">
        <f t="shared" si="82"/>
        <v>5413361.232</v>
      </c>
      <c r="BF103" s="430"/>
      <c r="BG103" s="307">
        <f t="shared" si="83"/>
        <v>21000</v>
      </c>
      <c r="BH103" s="307">
        <f t="shared" si="84"/>
        <v>33000</v>
      </c>
      <c r="BI103" s="307">
        <f t="shared" si="85"/>
        <v>75000</v>
      </c>
      <c r="BJ103" s="307">
        <f t="shared" si="86"/>
        <v>95000</v>
      </c>
      <c r="BK103" s="307">
        <f t="shared" si="87"/>
        <v>336000</v>
      </c>
      <c r="BL103" s="307">
        <f t="shared" si="88"/>
        <v>531206.69568</v>
      </c>
      <c r="BM103" s="429">
        <f t="shared" si="89"/>
        <v>1091206.69568</v>
      </c>
      <c r="BN103" s="320">
        <f t="shared" si="90"/>
        <v>70167.0154</v>
      </c>
      <c r="BO103" s="321">
        <f t="shared" si="103"/>
        <v>1091206.69568</v>
      </c>
      <c r="BP103" s="322">
        <f>BP102</f>
        <v>86933.8919466667</v>
      </c>
      <c r="BQ103" s="323"/>
      <c r="BR103" s="324"/>
      <c r="BS103" s="325"/>
      <c r="BT103" s="326"/>
      <c r="BU103" s="326"/>
      <c r="BV103" s="334"/>
      <c r="BW103" s="335"/>
    </row>
    <row r="104" s="245" customFormat="1" ht="172.5" customHeight="1" spans="1:75">
      <c r="A104" s="255">
        <v>103</v>
      </c>
      <c r="B104" s="70" t="s">
        <v>382</v>
      </c>
      <c r="C104" s="129" t="s">
        <v>204</v>
      </c>
      <c r="D104" s="129" t="s">
        <v>205</v>
      </c>
      <c r="E104" s="256" t="s">
        <v>93</v>
      </c>
      <c r="F104" s="256">
        <v>3088351059</v>
      </c>
      <c r="G104" s="257">
        <f>G99</f>
        <v>2090081</v>
      </c>
      <c r="H104" s="258">
        <f>H99</f>
        <v>174173.416666667</v>
      </c>
      <c r="I104" s="258">
        <f t="shared" ref="I104:I163" si="126">H104*0.35/3</f>
        <v>20320.2319444444</v>
      </c>
      <c r="J104" s="258">
        <v>5000</v>
      </c>
      <c r="K104" s="258"/>
      <c r="L104" s="258"/>
      <c r="M104" s="258">
        <v>2500</v>
      </c>
      <c r="N104" s="258"/>
      <c r="O104" s="258"/>
      <c r="P104" s="258"/>
      <c r="Q104" s="258"/>
      <c r="R104" s="258"/>
      <c r="S104" s="258"/>
      <c r="T104" s="258"/>
      <c r="U104" s="258">
        <v>383.33</v>
      </c>
      <c r="V104" s="258"/>
      <c r="W104" s="265"/>
      <c r="X104" s="258"/>
      <c r="Y104" s="258"/>
      <c r="Z104" s="258"/>
      <c r="AA104" s="258"/>
      <c r="AB104" s="258"/>
      <c r="AC104" s="258"/>
      <c r="AD104" s="270"/>
      <c r="AE104" s="258"/>
      <c r="AF104" s="258">
        <v>2250</v>
      </c>
      <c r="AG104" s="270">
        <f t="shared" si="106"/>
        <v>3483.46833333333</v>
      </c>
      <c r="AH104" s="270">
        <f>10000</f>
        <v>10000</v>
      </c>
      <c r="AI104" s="285">
        <v>1000</v>
      </c>
      <c r="AJ104" s="286"/>
      <c r="AK104" s="286"/>
      <c r="AL104" s="286"/>
      <c r="AM104" s="281">
        <v>20000</v>
      </c>
      <c r="AN104" s="258"/>
      <c r="AO104" s="299">
        <v>1500</v>
      </c>
      <c r="AP104" s="299"/>
      <c r="AQ104" s="299"/>
      <c r="AR104" s="299">
        <f t="shared" si="107"/>
        <v>4047.53957222222</v>
      </c>
      <c r="AS104" s="300"/>
      <c r="AT104" s="300"/>
      <c r="AU104" s="299">
        <f t="shared" si="67"/>
        <v>21165.9990733333</v>
      </c>
      <c r="AV104" s="299">
        <f t="shared" ref="AV104" si="127">V104+U104+N104+M104+K104+J104+I104+H104</f>
        <v>202376.978611111</v>
      </c>
      <c r="AW104" s="299">
        <f t="shared" si="102"/>
        <v>63447.0069788889</v>
      </c>
      <c r="AX104" s="299"/>
      <c r="AY104" s="299"/>
      <c r="AZ104" s="299">
        <f t="shared" si="99"/>
        <v>138929.971632222</v>
      </c>
      <c r="BA104" s="429">
        <f t="shared" si="78"/>
        <v>2428523.74333333</v>
      </c>
      <c r="BB104" s="430">
        <f t="shared" si="79"/>
        <v>685704.748666667</v>
      </c>
      <c r="BC104" s="307">
        <f t="shared" si="80"/>
        <v>0</v>
      </c>
      <c r="BD104" s="308">
        <f t="shared" si="81"/>
        <v>685704.748666667</v>
      </c>
      <c r="BE104" s="313">
        <f t="shared" si="82"/>
        <v>1742818.99466667</v>
      </c>
      <c r="BF104" s="430"/>
      <c r="BG104" s="307">
        <f t="shared" si="83"/>
        <v>21000</v>
      </c>
      <c r="BH104" s="307">
        <f t="shared" si="84"/>
        <v>33000</v>
      </c>
      <c r="BI104" s="307">
        <f t="shared" si="85"/>
        <v>75000</v>
      </c>
      <c r="BJ104" s="307">
        <f t="shared" si="86"/>
        <v>95000</v>
      </c>
      <c r="BK104" s="307">
        <f t="shared" si="87"/>
        <v>29991.98888</v>
      </c>
      <c r="BL104" s="307" t="str">
        <f t="shared" si="88"/>
        <v/>
      </c>
      <c r="BM104" s="429">
        <f t="shared" si="89"/>
        <v>253991.98888</v>
      </c>
      <c r="BN104" s="320">
        <f t="shared" si="90"/>
        <v>24285.2374333333</v>
      </c>
      <c r="BO104" s="321">
        <f t="shared" si="103"/>
        <v>253991.98888</v>
      </c>
      <c r="BP104" s="322">
        <f t="shared" si="91"/>
        <v>21165.9990733333</v>
      </c>
      <c r="BQ104" s="323"/>
      <c r="BR104" s="324"/>
      <c r="BS104" s="325"/>
      <c r="BT104" s="326"/>
      <c r="BU104" s="326"/>
      <c r="BV104" s="334"/>
      <c r="BW104" s="335"/>
    </row>
    <row r="105" s="245" customFormat="1" ht="172.5" customHeight="1" spans="1:75">
      <c r="A105" s="255">
        <v>104</v>
      </c>
      <c r="B105" s="70" t="s">
        <v>383</v>
      </c>
      <c r="C105" s="129" t="s">
        <v>221</v>
      </c>
      <c r="D105" s="129" t="s">
        <v>2060</v>
      </c>
      <c r="E105" s="256" t="s">
        <v>97</v>
      </c>
      <c r="F105" s="1469" t="s">
        <v>2061</v>
      </c>
      <c r="G105" s="257">
        <v>1796468</v>
      </c>
      <c r="H105" s="258">
        <f>G105/12</f>
        <v>149705.666666667</v>
      </c>
      <c r="I105" s="258">
        <f t="shared" si="126"/>
        <v>17465.6611111111</v>
      </c>
      <c r="J105" s="258">
        <v>5000</v>
      </c>
      <c r="K105" s="258"/>
      <c r="L105" s="258"/>
      <c r="M105" s="258">
        <v>2500</v>
      </c>
      <c r="N105" s="258"/>
      <c r="O105" s="258"/>
      <c r="P105" s="258"/>
      <c r="Q105" s="258"/>
      <c r="R105" s="258"/>
      <c r="S105" s="258"/>
      <c r="T105" s="258"/>
      <c r="U105" s="258">
        <v>383.33</v>
      </c>
      <c r="V105" s="258"/>
      <c r="W105" s="265"/>
      <c r="X105" s="258"/>
      <c r="Y105" s="258"/>
      <c r="Z105" s="258"/>
      <c r="AA105" s="258"/>
      <c r="AB105" s="258"/>
      <c r="AC105" s="258"/>
      <c r="AD105" s="270"/>
      <c r="AE105" s="258"/>
      <c r="AF105" s="258">
        <v>1500</v>
      </c>
      <c r="AG105" s="270">
        <f t="shared" si="106"/>
        <v>2994.11333333333</v>
      </c>
      <c r="AH105" s="270"/>
      <c r="AI105" s="278"/>
      <c r="AJ105" s="280"/>
      <c r="AK105" s="280"/>
      <c r="AL105" s="284">
        <v>1000</v>
      </c>
      <c r="AM105" s="281">
        <v>20000</v>
      </c>
      <c r="AN105" s="258"/>
      <c r="AO105" s="299">
        <v>1000</v>
      </c>
      <c r="AP105" s="299"/>
      <c r="AQ105" s="299"/>
      <c r="AR105" s="299">
        <f t="shared" si="107"/>
        <v>3501.09315555556</v>
      </c>
      <c r="AS105" s="300"/>
      <c r="AT105" s="300"/>
      <c r="AU105" s="299">
        <f t="shared" si="67"/>
        <v>16774.9746488889</v>
      </c>
      <c r="AV105" s="299">
        <f t="shared" ref="AV105:AV107" si="128">W105+V105+U105+N105+M105+K105+J105+I105+H105</f>
        <v>175054.657777778</v>
      </c>
      <c r="AW105" s="299">
        <f>AU105+AR105+AQ105+AO105+AN105+AM105+AK105+AI105+AH105+AG105+AF105+AE105+AD105+AL105</f>
        <v>46770.1811377778</v>
      </c>
      <c r="AX105" s="299"/>
      <c r="AY105" s="299"/>
      <c r="AZ105" s="299">
        <f t="shared" si="99"/>
        <v>128284.47664</v>
      </c>
      <c r="BA105" s="429">
        <f t="shared" si="78"/>
        <v>2100655.89333333</v>
      </c>
      <c r="BB105" s="430">
        <f t="shared" si="79"/>
        <v>620131.178666667</v>
      </c>
      <c r="BC105" s="307">
        <f t="shared" si="80"/>
        <v>0</v>
      </c>
      <c r="BD105" s="308">
        <f t="shared" si="81"/>
        <v>620131.178666667</v>
      </c>
      <c r="BE105" s="313">
        <f t="shared" si="82"/>
        <v>1480524.71466667</v>
      </c>
      <c r="BF105" s="430"/>
      <c r="BG105" s="307">
        <f t="shared" si="83"/>
        <v>21000</v>
      </c>
      <c r="BH105" s="307">
        <f t="shared" si="84"/>
        <v>33000</v>
      </c>
      <c r="BI105" s="307">
        <f t="shared" si="85"/>
        <v>75000</v>
      </c>
      <c r="BJ105" s="307">
        <f t="shared" si="86"/>
        <v>72299.6957866666</v>
      </c>
      <c r="BK105" s="307" t="str">
        <f t="shared" si="87"/>
        <v/>
      </c>
      <c r="BL105" s="307" t="str">
        <f t="shared" si="88"/>
        <v/>
      </c>
      <c r="BM105" s="429">
        <f t="shared" si="89"/>
        <v>201299.695786667</v>
      </c>
      <c r="BN105" s="320">
        <f t="shared" si="90"/>
        <v>21006.5589333333</v>
      </c>
      <c r="BO105" s="321">
        <f t="shared" si="103"/>
        <v>201299.695786667</v>
      </c>
      <c r="BP105" s="322">
        <f t="shared" si="91"/>
        <v>16774.9746488889</v>
      </c>
      <c r="BQ105" s="323"/>
      <c r="BR105" s="324"/>
      <c r="BS105" s="325"/>
      <c r="BT105" s="326"/>
      <c r="BU105" s="326"/>
      <c r="BV105" s="334"/>
      <c r="BW105" s="335"/>
    </row>
    <row r="106" s="245" customFormat="1" ht="172.5" customHeight="1" spans="1:75">
      <c r="A106" s="255">
        <v>105</v>
      </c>
      <c r="B106" s="70" t="s">
        <v>386</v>
      </c>
      <c r="C106" s="129" t="s">
        <v>221</v>
      </c>
      <c r="D106" s="129" t="s">
        <v>2060</v>
      </c>
      <c r="E106" s="256" t="s">
        <v>93</v>
      </c>
      <c r="F106" s="256">
        <v>3061891561</v>
      </c>
      <c r="G106" s="257">
        <v>1796468</v>
      </c>
      <c r="H106" s="258">
        <f>G106/12</f>
        <v>149705.666666667</v>
      </c>
      <c r="I106" s="258">
        <f t="shared" si="126"/>
        <v>17465.6611111111</v>
      </c>
      <c r="J106" s="258">
        <v>5000</v>
      </c>
      <c r="K106" s="258"/>
      <c r="L106" s="258"/>
      <c r="M106" s="258">
        <v>2500</v>
      </c>
      <c r="N106" s="258"/>
      <c r="O106" s="258"/>
      <c r="P106" s="258"/>
      <c r="Q106" s="258"/>
      <c r="R106" s="258"/>
      <c r="S106" s="258"/>
      <c r="T106" s="258"/>
      <c r="U106" s="258">
        <v>383.33</v>
      </c>
      <c r="V106" s="258"/>
      <c r="W106" s="265"/>
      <c r="X106" s="258"/>
      <c r="Y106" s="258"/>
      <c r="Z106" s="258"/>
      <c r="AA106" s="258"/>
      <c r="AB106" s="258"/>
      <c r="AC106" s="258"/>
      <c r="AD106" s="270"/>
      <c r="AE106" s="258"/>
      <c r="AF106" s="258">
        <v>250</v>
      </c>
      <c r="AG106" s="270">
        <f t="shared" si="106"/>
        <v>2994.11333333333</v>
      </c>
      <c r="AH106" s="270"/>
      <c r="AI106" s="278"/>
      <c r="AJ106" s="279">
        <v>1000</v>
      </c>
      <c r="AK106" s="280"/>
      <c r="AL106" s="280"/>
      <c r="AM106" s="281"/>
      <c r="AN106" s="258"/>
      <c r="AO106" s="299">
        <v>1000</v>
      </c>
      <c r="AP106" s="299"/>
      <c r="AQ106" s="299"/>
      <c r="AR106" s="299">
        <f t="shared" si="107"/>
        <v>3501.09315555556</v>
      </c>
      <c r="AS106" s="300"/>
      <c r="AT106" s="300"/>
      <c r="AU106" s="299">
        <f t="shared" si="67"/>
        <v>16774.9746488889</v>
      </c>
      <c r="AV106" s="299">
        <f t="shared" si="128"/>
        <v>175054.657777778</v>
      </c>
      <c r="AW106" s="299">
        <f>AU106+AR106+AQ106+AO106+AM106+AK106+AJ106+AI106+AH106+AG106+AF106</f>
        <v>25520.1811377778</v>
      </c>
      <c r="AX106" s="299"/>
      <c r="AY106" s="299"/>
      <c r="AZ106" s="299">
        <f t="shared" si="99"/>
        <v>149534.47664</v>
      </c>
      <c r="BA106" s="429">
        <f t="shared" si="78"/>
        <v>2100655.89333333</v>
      </c>
      <c r="BB106" s="430">
        <f t="shared" si="79"/>
        <v>620131.178666667</v>
      </c>
      <c r="BC106" s="307">
        <f t="shared" si="80"/>
        <v>0</v>
      </c>
      <c r="BD106" s="308">
        <f t="shared" si="81"/>
        <v>620131.178666667</v>
      </c>
      <c r="BE106" s="313">
        <f t="shared" si="82"/>
        <v>1480524.71466667</v>
      </c>
      <c r="BF106" s="430"/>
      <c r="BG106" s="307">
        <f t="shared" si="83"/>
        <v>21000</v>
      </c>
      <c r="BH106" s="307">
        <f t="shared" si="84"/>
        <v>33000</v>
      </c>
      <c r="BI106" s="307">
        <f t="shared" si="85"/>
        <v>75000</v>
      </c>
      <c r="BJ106" s="307">
        <f t="shared" si="86"/>
        <v>72299.6957866666</v>
      </c>
      <c r="BK106" s="307" t="str">
        <f t="shared" si="87"/>
        <v/>
      </c>
      <c r="BL106" s="307" t="str">
        <f t="shared" si="88"/>
        <v/>
      </c>
      <c r="BM106" s="429">
        <f t="shared" si="89"/>
        <v>201299.695786667</v>
      </c>
      <c r="BN106" s="320">
        <f t="shared" si="90"/>
        <v>21006.5589333333</v>
      </c>
      <c r="BO106" s="321">
        <f t="shared" si="103"/>
        <v>201299.695786667</v>
      </c>
      <c r="BP106" s="322">
        <f t="shared" si="91"/>
        <v>16774.9746488889</v>
      </c>
      <c r="BQ106" s="323"/>
      <c r="BR106" s="324"/>
      <c r="BS106" s="325"/>
      <c r="BT106" s="326"/>
      <c r="BU106" s="326"/>
      <c r="BV106" s="334"/>
      <c r="BW106" s="335"/>
    </row>
    <row r="107" s="245" customFormat="1" ht="172.5" customHeight="1" spans="1:75">
      <c r="A107" s="255">
        <v>106</v>
      </c>
      <c r="B107" s="70" t="s">
        <v>388</v>
      </c>
      <c r="C107" s="129" t="s">
        <v>279</v>
      </c>
      <c r="D107" s="129" t="s">
        <v>294</v>
      </c>
      <c r="E107" s="256" t="s">
        <v>113</v>
      </c>
      <c r="F107" s="256">
        <v>2035514330</v>
      </c>
      <c r="G107" s="257">
        <v>2425322</v>
      </c>
      <c r="H107" s="258">
        <f>G107/12</f>
        <v>202110.166666667</v>
      </c>
      <c r="I107" s="258">
        <f t="shared" si="126"/>
        <v>23579.5194444444</v>
      </c>
      <c r="J107" s="258">
        <v>5000</v>
      </c>
      <c r="K107" s="258"/>
      <c r="L107" s="258"/>
      <c r="M107" s="258">
        <v>2500</v>
      </c>
      <c r="N107" s="258"/>
      <c r="O107" s="258"/>
      <c r="P107" s="258"/>
      <c r="Q107" s="258"/>
      <c r="R107" s="258"/>
      <c r="S107" s="258"/>
      <c r="T107" s="258"/>
      <c r="U107" s="258">
        <v>383.33</v>
      </c>
      <c r="V107" s="258"/>
      <c r="W107" s="265"/>
      <c r="X107" s="258"/>
      <c r="Y107" s="258"/>
      <c r="Z107" s="258"/>
      <c r="AA107" s="258"/>
      <c r="AB107" s="258"/>
      <c r="AC107" s="258"/>
      <c r="AD107" s="270"/>
      <c r="AE107" s="258"/>
      <c r="AF107" s="258">
        <v>1500</v>
      </c>
      <c r="AG107" s="270">
        <f t="shared" si="106"/>
        <v>4042.20333333333</v>
      </c>
      <c r="AH107" s="270">
        <f>10000</f>
        <v>10000</v>
      </c>
      <c r="AI107" s="278"/>
      <c r="AJ107" s="280"/>
      <c r="AK107" s="280"/>
      <c r="AL107" s="284">
        <v>1000</v>
      </c>
      <c r="AM107" s="281">
        <f>73750+52500</f>
        <v>126250</v>
      </c>
      <c r="AN107" s="258"/>
      <c r="AO107" s="299">
        <v>1500</v>
      </c>
      <c r="AP107" s="299"/>
      <c r="AQ107" s="299"/>
      <c r="AR107" s="299">
        <f t="shared" si="107"/>
        <v>4671.46032222222</v>
      </c>
      <c r="AS107" s="300"/>
      <c r="AT107" s="300"/>
      <c r="AU107" s="299">
        <v>20310.73</v>
      </c>
      <c r="AV107" s="299">
        <f t="shared" si="128"/>
        <v>233573.016111111</v>
      </c>
      <c r="AW107" s="299">
        <f>AU107+AR107+AQ107+AO107+AN107+AM107+AK107+AI107+AH107+AG107+AF107+AE107+AD107+AL107</f>
        <v>169274.393655556</v>
      </c>
      <c r="AX107" s="299"/>
      <c r="AY107" s="299"/>
      <c r="AZ107" s="299">
        <f t="shared" si="99"/>
        <v>64298.6224555555</v>
      </c>
      <c r="BA107" s="429">
        <f t="shared" si="78"/>
        <v>2802876.19333333</v>
      </c>
      <c r="BB107" s="430">
        <f t="shared" si="79"/>
        <v>760575.238666667</v>
      </c>
      <c r="BC107" s="307">
        <f t="shared" si="80"/>
        <v>0</v>
      </c>
      <c r="BD107" s="308">
        <f t="shared" si="81"/>
        <v>760575.238666667</v>
      </c>
      <c r="BE107" s="313">
        <f t="shared" si="82"/>
        <v>2042300.95466667</v>
      </c>
      <c r="BF107" s="430"/>
      <c r="BG107" s="307">
        <f t="shared" si="83"/>
        <v>21000</v>
      </c>
      <c r="BH107" s="307">
        <f t="shared" si="84"/>
        <v>33000</v>
      </c>
      <c r="BI107" s="307">
        <f t="shared" si="85"/>
        <v>75000</v>
      </c>
      <c r="BJ107" s="307">
        <f t="shared" si="86"/>
        <v>95000</v>
      </c>
      <c r="BK107" s="307">
        <f t="shared" si="87"/>
        <v>92883.20048</v>
      </c>
      <c r="BL107" s="307" t="str">
        <f t="shared" si="88"/>
        <v/>
      </c>
      <c r="BM107" s="429">
        <f t="shared" si="89"/>
        <v>316883.20048</v>
      </c>
      <c r="BN107" s="320">
        <f t="shared" si="90"/>
        <v>28028.7619333333</v>
      </c>
      <c r="BO107" s="321">
        <f t="shared" si="103"/>
        <v>316883.20048</v>
      </c>
      <c r="BP107" s="322">
        <f t="shared" si="91"/>
        <v>26406.9333733333</v>
      </c>
      <c r="BQ107" s="323"/>
      <c r="BR107" s="324"/>
      <c r="BS107" s="325"/>
      <c r="BT107" s="326"/>
      <c r="BU107" s="326"/>
      <c r="BV107" s="334"/>
      <c r="BW107" s="335"/>
    </row>
    <row r="108" s="245" customFormat="1" ht="172.5" customHeight="1" spans="1:75">
      <c r="A108" s="255">
        <v>107</v>
      </c>
      <c r="B108" s="70" t="s">
        <v>389</v>
      </c>
      <c r="C108" s="129" t="s">
        <v>125</v>
      </c>
      <c r="D108" s="129" t="s">
        <v>465</v>
      </c>
      <c r="E108" s="256" t="s">
        <v>113</v>
      </c>
      <c r="F108" s="256">
        <v>2097430504</v>
      </c>
      <c r="G108" s="257">
        <v>1920666</v>
      </c>
      <c r="H108" s="258">
        <f>G108/12</f>
        <v>160055.5</v>
      </c>
      <c r="I108" s="258">
        <f t="shared" si="126"/>
        <v>18673.1416666667</v>
      </c>
      <c r="J108" s="258">
        <v>5000</v>
      </c>
      <c r="K108" s="258"/>
      <c r="L108" s="258"/>
      <c r="M108" s="258">
        <v>2500</v>
      </c>
      <c r="N108" s="258"/>
      <c r="O108" s="258"/>
      <c r="P108" s="258"/>
      <c r="Q108" s="258"/>
      <c r="R108" s="258"/>
      <c r="S108" s="258"/>
      <c r="T108" s="258"/>
      <c r="U108" s="258">
        <v>383.33</v>
      </c>
      <c r="V108" s="258"/>
      <c r="W108" s="265"/>
      <c r="X108" s="258"/>
      <c r="Y108" s="258"/>
      <c r="Z108" s="258"/>
      <c r="AA108" s="258"/>
      <c r="AB108" s="258"/>
      <c r="AC108" s="258"/>
      <c r="AD108" s="270"/>
      <c r="AE108" s="258"/>
      <c r="AF108" s="258">
        <v>1500</v>
      </c>
      <c r="AG108" s="270">
        <f t="shared" si="106"/>
        <v>3201.11</v>
      </c>
      <c r="AH108" s="270"/>
      <c r="AI108" s="278"/>
      <c r="AJ108" s="280"/>
      <c r="AK108" s="280"/>
      <c r="AL108" s="284">
        <v>1000</v>
      </c>
      <c r="AM108" s="281"/>
      <c r="AN108" s="258"/>
      <c r="AO108" s="299">
        <v>1500</v>
      </c>
      <c r="AP108" s="299"/>
      <c r="AQ108" s="299"/>
      <c r="AR108" s="299">
        <f t="shared" si="107"/>
        <v>3732.23943333333</v>
      </c>
      <c r="AS108" s="300"/>
      <c r="AT108" s="300"/>
      <c r="AU108" s="299">
        <f>BP108</f>
        <v>18531.68636</v>
      </c>
      <c r="AV108" s="299">
        <f t="shared" ref="AV108" si="129">V108+U108+N108+M108+K108+J108+I108+H108</f>
        <v>186611.971666667</v>
      </c>
      <c r="AW108" s="299">
        <f>AU108+AR108+AQ108+AO108+AN108+AM108+AK108+AI108+AH108+AG108+AF108+AE108+AD108+AL108</f>
        <v>29465.0357933333</v>
      </c>
      <c r="AX108" s="299"/>
      <c r="AY108" s="299"/>
      <c r="AZ108" s="299">
        <f t="shared" si="99"/>
        <v>157146.935873333</v>
      </c>
      <c r="BA108" s="429">
        <f t="shared" si="78"/>
        <v>2239343.66</v>
      </c>
      <c r="BB108" s="430">
        <f t="shared" si="79"/>
        <v>647868.732</v>
      </c>
      <c r="BC108" s="307">
        <f t="shared" si="80"/>
        <v>0</v>
      </c>
      <c r="BD108" s="308">
        <f t="shared" si="81"/>
        <v>647868.732</v>
      </c>
      <c r="BE108" s="313">
        <f t="shared" si="82"/>
        <v>1591474.928</v>
      </c>
      <c r="BF108" s="430"/>
      <c r="BG108" s="307">
        <f t="shared" si="83"/>
        <v>21000</v>
      </c>
      <c r="BH108" s="307">
        <f t="shared" si="84"/>
        <v>33000</v>
      </c>
      <c r="BI108" s="307">
        <f t="shared" si="85"/>
        <v>75000</v>
      </c>
      <c r="BJ108" s="307">
        <f t="shared" si="86"/>
        <v>93380.23632</v>
      </c>
      <c r="BK108" s="307" t="str">
        <f t="shared" si="87"/>
        <v/>
      </c>
      <c r="BL108" s="307" t="str">
        <f t="shared" si="88"/>
        <v/>
      </c>
      <c r="BM108" s="429">
        <f t="shared" si="89"/>
        <v>222380.23632</v>
      </c>
      <c r="BN108" s="320">
        <f t="shared" si="90"/>
        <v>22393.4366</v>
      </c>
      <c r="BO108" s="321">
        <f t="shared" si="103"/>
        <v>222380.23632</v>
      </c>
      <c r="BP108" s="322">
        <f t="shared" si="91"/>
        <v>18531.68636</v>
      </c>
      <c r="BQ108" s="323"/>
      <c r="BR108" s="324"/>
      <c r="BS108" s="325"/>
      <c r="BT108" s="326"/>
      <c r="BU108" s="326"/>
      <c r="BV108" s="334"/>
      <c r="BW108" s="335"/>
    </row>
    <row r="109" s="245" customFormat="1" ht="172.5" customHeight="1" spans="1:75">
      <c r="A109" s="255">
        <v>108</v>
      </c>
      <c r="B109" s="70" t="s">
        <v>2062</v>
      </c>
      <c r="C109" s="129" t="s">
        <v>2063</v>
      </c>
      <c r="D109" s="129" t="s">
        <v>495</v>
      </c>
      <c r="E109" s="256" t="s">
        <v>101</v>
      </c>
      <c r="F109" s="1469" t="s">
        <v>2064</v>
      </c>
      <c r="G109" s="257">
        <f>H109*12</f>
        <v>873059.04</v>
      </c>
      <c r="H109" s="258">
        <v>72754.92</v>
      </c>
      <c r="I109" s="258"/>
      <c r="J109" s="258"/>
      <c r="K109" s="258"/>
      <c r="L109" s="258"/>
      <c r="M109" s="258">
        <v>2500</v>
      </c>
      <c r="N109" s="258"/>
      <c r="O109" s="258"/>
      <c r="P109" s="258"/>
      <c r="Q109" s="258"/>
      <c r="R109" s="258"/>
      <c r="S109" s="258"/>
      <c r="T109" s="258"/>
      <c r="U109" s="258"/>
      <c r="V109" s="258"/>
      <c r="W109" s="265"/>
      <c r="X109" s="258"/>
      <c r="Y109" s="258"/>
      <c r="Z109" s="258"/>
      <c r="AA109" s="258"/>
      <c r="AB109" s="258"/>
      <c r="AC109" s="258"/>
      <c r="AD109" s="270"/>
      <c r="AE109" s="258"/>
      <c r="AF109" s="258"/>
      <c r="AG109" s="270">
        <f t="shared" si="106"/>
        <v>1455.0984</v>
      </c>
      <c r="AH109" s="270"/>
      <c r="AI109" s="278"/>
      <c r="AJ109" s="280"/>
      <c r="AK109" s="280"/>
      <c r="AL109" s="280"/>
      <c r="AM109" s="281"/>
      <c r="AN109" s="258"/>
      <c r="AO109" s="299">
        <v>500</v>
      </c>
      <c r="AP109" s="299"/>
      <c r="AQ109" s="299"/>
      <c r="AR109" s="299">
        <f t="shared" si="107"/>
        <v>1505.0984</v>
      </c>
      <c r="AS109" s="300"/>
      <c r="AT109" s="300"/>
      <c r="AU109" s="299">
        <f>BP109</f>
        <v>3789.09962666667</v>
      </c>
      <c r="AV109" s="299">
        <f t="shared" ref="AV109:AV110" si="130">W109+V109+U109+N109+M109+K109+J109+I109+H109</f>
        <v>75254.92</v>
      </c>
      <c r="AW109" s="299">
        <f t="shared" si="102"/>
        <v>7249.29642666667</v>
      </c>
      <c r="AX109" s="299"/>
      <c r="AY109" s="299"/>
      <c r="AZ109" s="299">
        <f t="shared" si="99"/>
        <v>68005.6235733333</v>
      </c>
      <c r="BA109" s="429">
        <f t="shared" si="78"/>
        <v>903059.04</v>
      </c>
      <c r="BB109" s="430">
        <f t="shared" si="79"/>
        <v>380611.808</v>
      </c>
      <c r="BC109" s="307">
        <f t="shared" si="80"/>
        <v>0</v>
      </c>
      <c r="BD109" s="308">
        <f t="shared" si="81"/>
        <v>380611.808</v>
      </c>
      <c r="BE109" s="313">
        <f t="shared" si="82"/>
        <v>522447.232</v>
      </c>
      <c r="BF109" s="430"/>
      <c r="BG109" s="307">
        <f t="shared" si="83"/>
        <v>21000</v>
      </c>
      <c r="BH109" s="307">
        <f t="shared" si="84"/>
        <v>24469.19552</v>
      </c>
      <c r="BI109" s="307" t="str">
        <f t="shared" si="85"/>
        <v/>
      </c>
      <c r="BJ109" s="307" t="str">
        <f t="shared" si="86"/>
        <v/>
      </c>
      <c r="BK109" s="307" t="str">
        <f t="shared" si="87"/>
        <v/>
      </c>
      <c r="BL109" s="307" t="str">
        <f t="shared" si="88"/>
        <v/>
      </c>
      <c r="BM109" s="429">
        <f t="shared" si="89"/>
        <v>45469.19552</v>
      </c>
      <c r="BN109" s="320">
        <f t="shared" si="90"/>
        <v>9030.5904</v>
      </c>
      <c r="BO109" s="321">
        <f t="shared" ref="BO109:BO140" si="131">MAX(BM109:BN109)</f>
        <v>45469.19552</v>
      </c>
      <c r="BP109" s="322">
        <f t="shared" si="91"/>
        <v>3789.09962666667</v>
      </c>
      <c r="BQ109" s="323"/>
      <c r="BR109" s="324"/>
      <c r="BS109" s="325"/>
      <c r="BT109" s="326"/>
      <c r="BU109" s="326"/>
      <c r="BV109" s="334"/>
      <c r="BW109" s="335"/>
    </row>
    <row r="110" s="245" customFormat="1" ht="191" customHeight="1" spans="1:75">
      <c r="A110" s="255">
        <v>109</v>
      </c>
      <c r="B110" s="70" t="s">
        <v>392</v>
      </c>
      <c r="C110" s="129" t="s">
        <v>143</v>
      </c>
      <c r="D110" s="129" t="s">
        <v>394</v>
      </c>
      <c r="E110" s="256" t="s">
        <v>113</v>
      </c>
      <c r="F110" s="256">
        <v>1005205955</v>
      </c>
      <c r="G110" s="257">
        <v>3553649</v>
      </c>
      <c r="H110" s="258">
        <f>'[12]JACKSON AKPOJARO '!$M$97</f>
        <v>0</v>
      </c>
      <c r="I110" s="258">
        <f t="shared" si="126"/>
        <v>0</v>
      </c>
      <c r="J110" s="258">
        <v>5000</v>
      </c>
      <c r="K110" s="258"/>
      <c r="L110" s="258"/>
      <c r="M110" s="258">
        <v>2500</v>
      </c>
      <c r="N110" s="258"/>
      <c r="O110" s="258"/>
      <c r="P110" s="258"/>
      <c r="Q110" s="258"/>
      <c r="R110" s="258"/>
      <c r="S110" s="258"/>
      <c r="T110" s="258"/>
      <c r="U110" s="258">
        <v>383.33</v>
      </c>
      <c r="V110" s="258"/>
      <c r="W110" s="265"/>
      <c r="X110" s="258"/>
      <c r="Y110" s="258"/>
      <c r="Z110" s="258"/>
      <c r="AA110" s="258"/>
      <c r="AB110" s="258"/>
      <c r="AC110" s="258"/>
      <c r="AD110" s="270"/>
      <c r="AE110" s="258"/>
      <c r="AF110" s="258">
        <v>3750</v>
      </c>
      <c r="AG110" s="270">
        <f t="shared" si="106"/>
        <v>0</v>
      </c>
      <c r="AH110" s="270"/>
      <c r="AI110" s="278"/>
      <c r="AJ110" s="280"/>
      <c r="AK110" s="280"/>
      <c r="AL110" s="280"/>
      <c r="AM110" s="281">
        <f>25000</f>
        <v>25000</v>
      </c>
      <c r="AN110" s="258"/>
      <c r="AO110" s="299">
        <v>2000</v>
      </c>
      <c r="AP110" s="299"/>
      <c r="AQ110" s="299"/>
      <c r="AR110" s="299">
        <f t="shared" si="107"/>
        <v>157.6666</v>
      </c>
      <c r="AS110" s="300"/>
      <c r="AT110" s="300"/>
      <c r="AU110" s="299">
        <f t="shared" si="67"/>
        <v>78.8333</v>
      </c>
      <c r="AV110" s="299">
        <f t="shared" si="130"/>
        <v>7883.33</v>
      </c>
      <c r="AW110" s="299">
        <f t="shared" si="102"/>
        <v>30986.4999</v>
      </c>
      <c r="AX110" s="299"/>
      <c r="AY110" s="299"/>
      <c r="AZ110" s="299">
        <f t="shared" si="99"/>
        <v>-23103.1699</v>
      </c>
      <c r="BA110" s="429">
        <f t="shared" si="78"/>
        <v>94599.96</v>
      </c>
      <c r="BB110" s="430">
        <f t="shared" si="79"/>
        <v>218919.992</v>
      </c>
      <c r="BC110" s="307">
        <f t="shared" si="80"/>
        <v>0</v>
      </c>
      <c r="BD110" s="308">
        <f t="shared" si="81"/>
        <v>218919.992</v>
      </c>
      <c r="BE110" s="313">
        <f t="shared" si="82"/>
        <v>-124320.032</v>
      </c>
      <c r="BF110" s="430"/>
      <c r="BG110" s="307">
        <f t="shared" si="83"/>
        <v>945.9996</v>
      </c>
      <c r="BH110" s="307" t="str">
        <f t="shared" si="84"/>
        <v/>
      </c>
      <c r="BI110" s="307" t="str">
        <f t="shared" si="85"/>
        <v/>
      </c>
      <c r="BJ110" s="307" t="str">
        <f t="shared" si="86"/>
        <v/>
      </c>
      <c r="BK110" s="307" t="str">
        <f t="shared" si="87"/>
        <v/>
      </c>
      <c r="BL110" s="307" t="str">
        <f t="shared" si="88"/>
        <v/>
      </c>
      <c r="BM110" s="429">
        <f t="shared" si="89"/>
        <v>945.9996</v>
      </c>
      <c r="BN110" s="320">
        <f t="shared" si="90"/>
        <v>945.9996</v>
      </c>
      <c r="BO110" s="321">
        <f t="shared" si="131"/>
        <v>945.9996</v>
      </c>
      <c r="BP110" s="322">
        <f t="shared" si="91"/>
        <v>78.8333</v>
      </c>
      <c r="BQ110" s="323"/>
      <c r="BR110" s="324"/>
      <c r="BS110" s="325"/>
      <c r="BT110" s="326"/>
      <c r="BU110" s="326"/>
      <c r="BV110" s="334"/>
      <c r="BW110" s="335"/>
    </row>
    <row r="111" s="245" customFormat="1" ht="172.5" customHeight="1" spans="1:75">
      <c r="A111" s="255">
        <v>110</v>
      </c>
      <c r="B111" s="70" t="s">
        <v>393</v>
      </c>
      <c r="C111" s="129" t="s">
        <v>130</v>
      </c>
      <c r="D111" s="129" t="s">
        <v>153</v>
      </c>
      <c r="E111" s="256" t="s">
        <v>127</v>
      </c>
      <c r="F111" s="1469" t="s">
        <v>395</v>
      </c>
      <c r="G111" s="257">
        <v>2863233</v>
      </c>
      <c r="H111" s="258">
        <f>G111/12</f>
        <v>238602.75</v>
      </c>
      <c r="I111" s="258">
        <f t="shared" si="126"/>
        <v>27836.9875</v>
      </c>
      <c r="J111" s="258">
        <v>5000</v>
      </c>
      <c r="K111" s="258"/>
      <c r="L111" s="258"/>
      <c r="M111" s="258">
        <v>2500</v>
      </c>
      <c r="N111" s="258"/>
      <c r="O111" s="258"/>
      <c r="P111" s="258"/>
      <c r="Q111" s="258"/>
      <c r="R111" s="258"/>
      <c r="S111" s="258"/>
      <c r="T111" s="258"/>
      <c r="U111" s="258">
        <v>383.33</v>
      </c>
      <c r="V111" s="258"/>
      <c r="W111" s="265"/>
      <c r="X111" s="258"/>
      <c r="Y111" s="258"/>
      <c r="Z111" s="258"/>
      <c r="AA111" s="258"/>
      <c r="AB111" s="258"/>
      <c r="AC111" s="258"/>
      <c r="AD111" s="270"/>
      <c r="AE111" s="258"/>
      <c r="AF111" s="258">
        <v>3000</v>
      </c>
      <c r="AG111" s="270">
        <f t="shared" si="106"/>
        <v>4772.055</v>
      </c>
      <c r="AH111" s="270">
        <f>10000</f>
        <v>10000</v>
      </c>
      <c r="AI111" s="278"/>
      <c r="AJ111" s="280"/>
      <c r="AK111" s="280"/>
      <c r="AL111" s="280"/>
      <c r="AM111" s="281">
        <v>20000</v>
      </c>
      <c r="AN111" s="258">
        <v>5000</v>
      </c>
      <c r="AO111" s="299">
        <v>1500</v>
      </c>
      <c r="AP111" s="299"/>
      <c r="AQ111" s="299"/>
      <c r="AR111" s="299">
        <f t="shared" si="107"/>
        <v>5486.46135</v>
      </c>
      <c r="AS111" s="300"/>
      <c r="AT111" s="300"/>
      <c r="AU111" s="299">
        <f t="shared" si="67"/>
        <v>33252.9420066667</v>
      </c>
      <c r="AV111" s="299">
        <f t="shared" ref="AV111" si="132">V111+U111+N111+M111+K111+J111+I111+H111</f>
        <v>274323.0675</v>
      </c>
      <c r="AW111" s="299">
        <f t="shared" si="102"/>
        <v>83011.4583566667</v>
      </c>
      <c r="AX111" s="299"/>
      <c r="AY111" s="299"/>
      <c r="AZ111" s="299">
        <f t="shared" si="99"/>
        <v>191311.609143333</v>
      </c>
      <c r="BA111" s="429">
        <f t="shared" si="78"/>
        <v>3291876.81</v>
      </c>
      <c r="BB111" s="430">
        <f t="shared" si="79"/>
        <v>858375.362</v>
      </c>
      <c r="BC111" s="307">
        <f t="shared" si="80"/>
        <v>0</v>
      </c>
      <c r="BD111" s="308">
        <f t="shared" si="81"/>
        <v>858375.362</v>
      </c>
      <c r="BE111" s="313">
        <f t="shared" si="82"/>
        <v>2433501.448</v>
      </c>
      <c r="BF111" s="430"/>
      <c r="BG111" s="307">
        <f t="shared" si="83"/>
        <v>21000</v>
      </c>
      <c r="BH111" s="307">
        <f t="shared" si="84"/>
        <v>33000</v>
      </c>
      <c r="BI111" s="307">
        <f t="shared" si="85"/>
        <v>75000</v>
      </c>
      <c r="BJ111" s="307">
        <f t="shared" si="86"/>
        <v>95000</v>
      </c>
      <c r="BK111" s="307">
        <f t="shared" si="87"/>
        <v>175035.30408</v>
      </c>
      <c r="BL111" s="307" t="str">
        <f t="shared" si="88"/>
        <v/>
      </c>
      <c r="BM111" s="429">
        <f t="shared" si="89"/>
        <v>399035.30408</v>
      </c>
      <c r="BN111" s="320">
        <f t="shared" si="90"/>
        <v>32918.7681</v>
      </c>
      <c r="BO111" s="321">
        <f t="shared" si="131"/>
        <v>399035.30408</v>
      </c>
      <c r="BP111" s="322">
        <f t="shared" si="91"/>
        <v>33252.9420066667</v>
      </c>
      <c r="BQ111" s="323"/>
      <c r="BR111" s="324"/>
      <c r="BS111" s="325"/>
      <c r="BT111" s="326"/>
      <c r="BU111" s="326"/>
      <c r="BV111" s="334"/>
      <c r="BW111" s="335"/>
    </row>
    <row r="112" s="245" customFormat="1" ht="172.5" customHeight="1" spans="1:75">
      <c r="A112" s="255">
        <v>111</v>
      </c>
      <c r="B112" s="70" t="s">
        <v>396</v>
      </c>
      <c r="C112" s="129" t="s">
        <v>143</v>
      </c>
      <c r="D112" s="129" t="s">
        <v>333</v>
      </c>
      <c r="E112" s="256" t="s">
        <v>113</v>
      </c>
      <c r="F112" s="256">
        <v>2050863738</v>
      </c>
      <c r="G112" s="257">
        <v>3804852</v>
      </c>
      <c r="H112" s="258">
        <f>G112/12</f>
        <v>317071</v>
      </c>
      <c r="I112" s="258">
        <f t="shared" si="126"/>
        <v>36991.6166666667</v>
      </c>
      <c r="J112" s="258">
        <v>5000</v>
      </c>
      <c r="K112" s="258"/>
      <c r="L112" s="258"/>
      <c r="M112" s="258">
        <v>2500</v>
      </c>
      <c r="N112" s="258"/>
      <c r="O112" s="258"/>
      <c r="P112" s="258"/>
      <c r="Q112" s="258"/>
      <c r="R112" s="258"/>
      <c r="S112" s="258"/>
      <c r="T112" s="258"/>
      <c r="U112" s="258">
        <v>383.33</v>
      </c>
      <c r="V112" s="258"/>
      <c r="W112" s="265"/>
      <c r="X112" s="258"/>
      <c r="Y112" s="258"/>
      <c r="Z112" s="258"/>
      <c r="AA112" s="258"/>
      <c r="AB112" s="258"/>
      <c r="AC112" s="258"/>
      <c r="AD112" s="270"/>
      <c r="AE112" s="258"/>
      <c r="AF112" s="258"/>
      <c r="AG112" s="270">
        <f t="shared" si="106"/>
        <v>6341.42</v>
      </c>
      <c r="AH112" s="270"/>
      <c r="AI112" s="278"/>
      <c r="AJ112" s="279">
        <v>1000</v>
      </c>
      <c r="AK112" s="280"/>
      <c r="AL112" s="280"/>
      <c r="AM112" s="281">
        <v>29687.6</v>
      </c>
      <c r="AN112" s="258"/>
      <c r="AO112" s="299">
        <v>2000</v>
      </c>
      <c r="AP112" s="299"/>
      <c r="AQ112" s="299"/>
      <c r="AR112" s="299">
        <f t="shared" si="107"/>
        <v>7238.91893333333</v>
      </c>
      <c r="AS112" s="300"/>
      <c r="AT112" s="300"/>
      <c r="AU112" s="299">
        <f t="shared" si="67"/>
        <v>48160.2884266667</v>
      </c>
      <c r="AV112" s="299">
        <f t="shared" ref="AV112:AV113" si="133">W112+V112+U112+N112+M112+K112+J112+I112+H112</f>
        <v>361945.946666667</v>
      </c>
      <c r="AW112" s="299">
        <f>AU112+AR112+AQ112+AO112+AN112+AM112+AK112+AI112+AH112+AG112+AF112+AE112+AD112+AJ112</f>
        <v>94428.22736</v>
      </c>
      <c r="AX112" s="299"/>
      <c r="AY112" s="299"/>
      <c r="AZ112" s="299">
        <f t="shared" si="99"/>
        <v>267517.719306667</v>
      </c>
      <c r="BA112" s="429">
        <f t="shared" si="78"/>
        <v>4343351.36</v>
      </c>
      <c r="BB112" s="430">
        <f t="shared" si="79"/>
        <v>1068670.272</v>
      </c>
      <c r="BC112" s="307">
        <f t="shared" si="80"/>
        <v>0</v>
      </c>
      <c r="BD112" s="308">
        <f t="shared" si="81"/>
        <v>1068670.272</v>
      </c>
      <c r="BE112" s="313">
        <f t="shared" si="82"/>
        <v>3274681.088</v>
      </c>
      <c r="BF112" s="430"/>
      <c r="BG112" s="307">
        <f t="shared" si="83"/>
        <v>21000</v>
      </c>
      <c r="BH112" s="307">
        <f t="shared" si="84"/>
        <v>33000</v>
      </c>
      <c r="BI112" s="307">
        <f t="shared" si="85"/>
        <v>75000</v>
      </c>
      <c r="BJ112" s="307">
        <f t="shared" si="86"/>
        <v>95000</v>
      </c>
      <c r="BK112" s="307">
        <f t="shared" si="87"/>
        <v>336000</v>
      </c>
      <c r="BL112" s="307">
        <f t="shared" si="88"/>
        <v>17923.4611199999</v>
      </c>
      <c r="BM112" s="429">
        <f t="shared" si="89"/>
        <v>577923.46112</v>
      </c>
      <c r="BN112" s="320">
        <f t="shared" si="90"/>
        <v>43433.5136</v>
      </c>
      <c r="BO112" s="321">
        <f t="shared" si="131"/>
        <v>577923.46112</v>
      </c>
      <c r="BP112" s="322">
        <f t="shared" si="91"/>
        <v>48160.2884266667</v>
      </c>
      <c r="BQ112" s="323"/>
      <c r="BR112" s="324"/>
      <c r="BS112" s="325"/>
      <c r="BT112" s="326"/>
      <c r="BU112" s="326"/>
      <c r="BV112" s="334"/>
      <c r="BW112" s="335"/>
    </row>
    <row r="113" s="245" customFormat="1" ht="185" customHeight="1" spans="1:75">
      <c r="A113" s="255">
        <v>112</v>
      </c>
      <c r="B113" s="70" t="s">
        <v>403</v>
      </c>
      <c r="C113" s="129" t="s">
        <v>130</v>
      </c>
      <c r="D113" s="129" t="s">
        <v>153</v>
      </c>
      <c r="E113" s="256" t="s">
        <v>165</v>
      </c>
      <c r="F113" s="256">
        <v>1008257258</v>
      </c>
      <c r="G113" s="257">
        <v>2863233</v>
      </c>
      <c r="H113" s="258">
        <f t="shared" ref="H113:H133" si="134">G113/12</f>
        <v>238602.75</v>
      </c>
      <c r="I113" s="258">
        <f t="shared" si="126"/>
        <v>27836.9875</v>
      </c>
      <c r="J113" s="258">
        <v>5000</v>
      </c>
      <c r="K113" s="258"/>
      <c r="L113" s="258"/>
      <c r="M113" s="258">
        <v>2500</v>
      </c>
      <c r="N113" s="258"/>
      <c r="O113" s="258"/>
      <c r="P113" s="258"/>
      <c r="Q113" s="258"/>
      <c r="R113" s="258"/>
      <c r="S113" s="258"/>
      <c r="T113" s="258"/>
      <c r="U113" s="258">
        <v>383.33</v>
      </c>
      <c r="V113" s="258"/>
      <c r="W113" s="265"/>
      <c r="X113" s="258"/>
      <c r="Y113" s="258"/>
      <c r="Z113" s="258"/>
      <c r="AA113" s="258"/>
      <c r="AB113" s="258"/>
      <c r="AC113" s="258"/>
      <c r="AD113" s="270"/>
      <c r="AE113" s="258"/>
      <c r="AF113" s="258"/>
      <c r="AG113" s="270">
        <f t="shared" si="106"/>
        <v>4772.055</v>
      </c>
      <c r="AH113" s="270">
        <f>30000</f>
        <v>30000</v>
      </c>
      <c r="AI113" s="278"/>
      <c r="AJ113" s="279">
        <v>1000</v>
      </c>
      <c r="AK113" s="280"/>
      <c r="AL113" s="280"/>
      <c r="AM113" s="281">
        <v>51250</v>
      </c>
      <c r="AN113" s="258"/>
      <c r="AO113" s="299">
        <v>1500</v>
      </c>
      <c r="AP113" s="299"/>
      <c r="AQ113" s="299"/>
      <c r="AR113" s="299">
        <f t="shared" si="107"/>
        <v>5486.46135</v>
      </c>
      <c r="AS113" s="300"/>
      <c r="AT113" s="300"/>
      <c r="AU113" s="299">
        <f t="shared" si="67"/>
        <v>33252.9420066667</v>
      </c>
      <c r="AV113" s="299">
        <f t="shared" si="133"/>
        <v>274323.0675</v>
      </c>
      <c r="AW113" s="299">
        <f>AU113+AR113+AQ113+AO113+AN113+AM113+AK113+AJ113+AI113+AH113+AG113+AF113</f>
        <v>127261.458356667</v>
      </c>
      <c r="AX113" s="299"/>
      <c r="AY113" s="299"/>
      <c r="AZ113" s="299">
        <f t="shared" si="99"/>
        <v>147061.609143333</v>
      </c>
      <c r="BA113" s="429">
        <f t="shared" si="78"/>
        <v>3291876.81</v>
      </c>
      <c r="BB113" s="430">
        <f t="shared" si="79"/>
        <v>858375.362</v>
      </c>
      <c r="BC113" s="307">
        <f t="shared" si="80"/>
        <v>0</v>
      </c>
      <c r="BD113" s="308">
        <f t="shared" si="81"/>
        <v>858375.362</v>
      </c>
      <c r="BE113" s="313">
        <f t="shared" si="82"/>
        <v>2433501.448</v>
      </c>
      <c r="BF113" s="430"/>
      <c r="BG113" s="307">
        <f t="shared" si="83"/>
        <v>21000</v>
      </c>
      <c r="BH113" s="307">
        <f t="shared" si="84"/>
        <v>33000</v>
      </c>
      <c r="BI113" s="307">
        <f t="shared" si="85"/>
        <v>75000</v>
      </c>
      <c r="BJ113" s="307">
        <f t="shared" si="86"/>
        <v>95000</v>
      </c>
      <c r="BK113" s="307">
        <f t="shared" si="87"/>
        <v>175035.30408</v>
      </c>
      <c r="BL113" s="307" t="str">
        <f t="shared" si="88"/>
        <v/>
      </c>
      <c r="BM113" s="429">
        <f t="shared" si="89"/>
        <v>399035.30408</v>
      </c>
      <c r="BN113" s="320">
        <f t="shared" si="90"/>
        <v>32918.7681</v>
      </c>
      <c r="BO113" s="321">
        <f t="shared" si="131"/>
        <v>399035.30408</v>
      </c>
      <c r="BP113" s="322">
        <f t="shared" si="91"/>
        <v>33252.9420066667</v>
      </c>
      <c r="BQ113" s="323"/>
      <c r="BR113" s="324"/>
      <c r="BS113" s="325"/>
      <c r="BT113" s="326"/>
      <c r="BU113" s="326"/>
      <c r="BV113" s="334"/>
      <c r="BW113" s="335"/>
    </row>
    <row r="114" s="245" customFormat="1" ht="176" customHeight="1" spans="1:75">
      <c r="A114" s="255">
        <v>113</v>
      </c>
      <c r="B114" s="70" t="s">
        <v>404</v>
      </c>
      <c r="C114" s="129" t="s">
        <v>143</v>
      </c>
      <c r="D114" s="129" t="s">
        <v>333</v>
      </c>
      <c r="E114" s="256" t="s">
        <v>135</v>
      </c>
      <c r="F114" s="1469" t="s">
        <v>405</v>
      </c>
      <c r="G114" s="257">
        <f>G112</f>
        <v>3804852</v>
      </c>
      <c r="H114" s="258">
        <f t="shared" si="134"/>
        <v>317071</v>
      </c>
      <c r="I114" s="258">
        <f t="shared" si="126"/>
        <v>36991.6166666667</v>
      </c>
      <c r="J114" s="258">
        <v>5000</v>
      </c>
      <c r="K114" s="258">
        <f>K97</f>
        <v>20833.33</v>
      </c>
      <c r="L114" s="258"/>
      <c r="M114" s="258">
        <v>2500</v>
      </c>
      <c r="N114" s="258"/>
      <c r="O114" s="258"/>
      <c r="P114" s="258"/>
      <c r="Q114" s="258"/>
      <c r="R114" s="258"/>
      <c r="S114" s="258"/>
      <c r="T114" s="258"/>
      <c r="U114" s="258">
        <v>383.33</v>
      </c>
      <c r="V114" s="258"/>
      <c r="W114" s="265"/>
      <c r="X114" s="258"/>
      <c r="Y114" s="258"/>
      <c r="Z114" s="258"/>
      <c r="AA114" s="258"/>
      <c r="AB114" s="258"/>
      <c r="AC114" s="258"/>
      <c r="AD114" s="270"/>
      <c r="AE114" s="258"/>
      <c r="AF114" s="258">
        <v>2750</v>
      </c>
      <c r="AG114" s="270">
        <f t="shared" si="106"/>
        <v>6341.42</v>
      </c>
      <c r="AH114" s="270">
        <f>30000</f>
        <v>30000</v>
      </c>
      <c r="AI114" s="282">
        <v>1000</v>
      </c>
      <c r="AJ114" s="279"/>
      <c r="AK114" s="279"/>
      <c r="AL114" s="279"/>
      <c r="AM114" s="281">
        <v>72165</v>
      </c>
      <c r="AN114" s="258">
        <v>8333.33</v>
      </c>
      <c r="AO114" s="299">
        <v>2000</v>
      </c>
      <c r="AP114" s="299"/>
      <c r="AQ114" s="299"/>
      <c r="AR114" s="299">
        <f t="shared" si="107"/>
        <v>7655.58553333333</v>
      </c>
      <c r="AS114" s="300"/>
      <c r="AT114" s="300"/>
      <c r="AU114" s="299">
        <f t="shared" si="67"/>
        <v>52160.2877866667</v>
      </c>
      <c r="AV114" s="299">
        <f t="shared" ref="AV114" si="135">V114+U114+N114+M114+K114+J114+I114+H114</f>
        <v>382779.276666667</v>
      </c>
      <c r="AW114" s="299">
        <f t="shared" si="102"/>
        <v>182405.62332</v>
      </c>
      <c r="AX114" s="299"/>
      <c r="AY114" s="299"/>
      <c r="AZ114" s="299">
        <f t="shared" si="99"/>
        <v>200373.653346667</v>
      </c>
      <c r="BA114" s="429">
        <f t="shared" si="78"/>
        <v>4593351.32</v>
      </c>
      <c r="BB114" s="430">
        <f t="shared" si="79"/>
        <v>1118670.264</v>
      </c>
      <c r="BC114" s="307">
        <f t="shared" si="80"/>
        <v>0</v>
      </c>
      <c r="BD114" s="308">
        <f t="shared" si="81"/>
        <v>1118670.264</v>
      </c>
      <c r="BE114" s="313">
        <f t="shared" si="82"/>
        <v>3474681.056</v>
      </c>
      <c r="BF114" s="430"/>
      <c r="BG114" s="307">
        <f t="shared" si="83"/>
        <v>21000</v>
      </c>
      <c r="BH114" s="307">
        <f t="shared" si="84"/>
        <v>33000</v>
      </c>
      <c r="BI114" s="307">
        <f t="shared" si="85"/>
        <v>75000</v>
      </c>
      <c r="BJ114" s="307">
        <f t="shared" si="86"/>
        <v>95000</v>
      </c>
      <c r="BK114" s="307">
        <f t="shared" si="87"/>
        <v>336000</v>
      </c>
      <c r="BL114" s="307">
        <f t="shared" si="88"/>
        <v>65923.4534400001</v>
      </c>
      <c r="BM114" s="429">
        <f t="shared" si="89"/>
        <v>625923.45344</v>
      </c>
      <c r="BN114" s="320">
        <f t="shared" si="90"/>
        <v>45933.5132</v>
      </c>
      <c r="BO114" s="321">
        <f t="shared" si="131"/>
        <v>625923.45344</v>
      </c>
      <c r="BP114" s="322">
        <f t="shared" si="91"/>
        <v>52160.2877866667</v>
      </c>
      <c r="BQ114" s="323"/>
      <c r="BR114" s="324"/>
      <c r="BS114" s="325"/>
      <c r="BT114" s="326"/>
      <c r="BU114" s="326"/>
      <c r="BV114" s="334"/>
      <c r="BW114" s="335"/>
    </row>
    <row r="115" s="245" customFormat="1" ht="172.5" customHeight="1" spans="1:75">
      <c r="A115" s="255">
        <v>114</v>
      </c>
      <c r="B115" s="70" t="s">
        <v>406</v>
      </c>
      <c r="C115" s="129" t="s">
        <v>130</v>
      </c>
      <c r="D115" s="129" t="s">
        <v>297</v>
      </c>
      <c r="E115" s="256" t="s">
        <v>135</v>
      </c>
      <c r="F115" s="1469" t="s">
        <v>407</v>
      </c>
      <c r="G115" s="257">
        <v>2688069</v>
      </c>
      <c r="H115" s="258">
        <f t="shared" si="134"/>
        <v>224005.75</v>
      </c>
      <c r="I115" s="258">
        <f t="shared" si="126"/>
        <v>26134.0041666667</v>
      </c>
      <c r="J115" s="258">
        <v>5000</v>
      </c>
      <c r="K115" s="258"/>
      <c r="L115" s="258"/>
      <c r="M115" s="258">
        <v>2500</v>
      </c>
      <c r="N115" s="258"/>
      <c r="O115" s="258"/>
      <c r="P115" s="258"/>
      <c r="Q115" s="258"/>
      <c r="R115" s="258"/>
      <c r="S115" s="258"/>
      <c r="T115" s="258"/>
      <c r="U115" s="258">
        <v>383.33</v>
      </c>
      <c r="V115" s="258"/>
      <c r="W115" s="265"/>
      <c r="X115" s="258"/>
      <c r="Y115" s="258"/>
      <c r="Z115" s="258"/>
      <c r="AA115" s="258"/>
      <c r="AB115" s="258"/>
      <c r="AC115" s="258"/>
      <c r="AD115" s="270"/>
      <c r="AE115" s="258"/>
      <c r="AF115" s="258">
        <v>1500</v>
      </c>
      <c r="AG115" s="270">
        <f t="shared" si="106"/>
        <v>4480.115</v>
      </c>
      <c r="AH115" s="270">
        <f>50000</f>
        <v>50000</v>
      </c>
      <c r="AI115" s="282">
        <v>1000</v>
      </c>
      <c r="AJ115" s="279"/>
      <c r="AK115" s="279"/>
      <c r="AL115" s="279"/>
      <c r="AM115" s="281"/>
      <c r="AN115" s="258"/>
      <c r="AO115" s="299">
        <v>1500</v>
      </c>
      <c r="AP115" s="299"/>
      <c r="AQ115" s="299"/>
      <c r="AR115" s="299">
        <f t="shared" si="107"/>
        <v>5160.46168333333</v>
      </c>
      <c r="AS115" s="300"/>
      <c r="AT115" s="300"/>
      <c r="AU115" s="299">
        <f t="shared" ref="AU115:AU128" si="136">BP115</f>
        <v>30514.5448066667</v>
      </c>
      <c r="AV115" s="299">
        <f t="shared" ref="AV115" si="137">W115+V115+U115+N115+M115+K115+J115+I115+H115</f>
        <v>258023.084166667</v>
      </c>
      <c r="AW115" s="299">
        <f t="shared" si="102"/>
        <v>94155.12149</v>
      </c>
      <c r="AX115" s="299"/>
      <c r="AY115" s="299"/>
      <c r="AZ115" s="299">
        <f t="shared" si="99"/>
        <v>163867.962676667</v>
      </c>
      <c r="BA115" s="429">
        <f t="shared" si="78"/>
        <v>3096277.01</v>
      </c>
      <c r="BB115" s="430">
        <f t="shared" si="79"/>
        <v>819255.402</v>
      </c>
      <c r="BC115" s="307">
        <f t="shared" si="80"/>
        <v>0</v>
      </c>
      <c r="BD115" s="308">
        <f t="shared" si="81"/>
        <v>819255.402</v>
      </c>
      <c r="BE115" s="313">
        <f t="shared" si="82"/>
        <v>2277021.608</v>
      </c>
      <c r="BF115" s="430"/>
      <c r="BG115" s="307">
        <f t="shared" si="83"/>
        <v>21000</v>
      </c>
      <c r="BH115" s="307">
        <f t="shared" si="84"/>
        <v>33000</v>
      </c>
      <c r="BI115" s="307">
        <f t="shared" si="85"/>
        <v>75000</v>
      </c>
      <c r="BJ115" s="307">
        <f t="shared" si="86"/>
        <v>95000</v>
      </c>
      <c r="BK115" s="307">
        <f t="shared" si="87"/>
        <v>142174.53768</v>
      </c>
      <c r="BL115" s="307" t="str">
        <f t="shared" si="88"/>
        <v/>
      </c>
      <c r="BM115" s="429">
        <f t="shared" si="89"/>
        <v>366174.53768</v>
      </c>
      <c r="BN115" s="320">
        <f t="shared" si="90"/>
        <v>30962.7701</v>
      </c>
      <c r="BO115" s="321">
        <f t="shared" si="131"/>
        <v>366174.53768</v>
      </c>
      <c r="BP115" s="322">
        <f t="shared" si="91"/>
        <v>30514.5448066667</v>
      </c>
      <c r="BQ115" s="323"/>
      <c r="BR115" s="324"/>
      <c r="BS115" s="325"/>
      <c r="BT115" s="326"/>
      <c r="BU115" s="326"/>
      <c r="BV115" s="334"/>
      <c r="BW115" s="335"/>
    </row>
    <row r="116" s="245" customFormat="1" ht="172.5" customHeight="1" spans="1:75">
      <c r="A116" s="255">
        <v>115</v>
      </c>
      <c r="B116" s="70" t="s">
        <v>2065</v>
      </c>
      <c r="C116" s="129" t="s">
        <v>130</v>
      </c>
      <c r="D116" s="129" t="s">
        <v>272</v>
      </c>
      <c r="E116" s="256" t="s">
        <v>1037</v>
      </c>
      <c r="F116" s="1469" t="s">
        <v>2066</v>
      </c>
      <c r="G116" s="257">
        <v>2600486</v>
      </c>
      <c r="H116" s="258">
        <f t="shared" si="134"/>
        <v>216707.166666667</v>
      </c>
      <c r="I116" s="258">
        <f t="shared" si="126"/>
        <v>25282.5027777778</v>
      </c>
      <c r="J116" s="258">
        <v>5000</v>
      </c>
      <c r="K116" s="258"/>
      <c r="L116" s="258"/>
      <c r="M116" s="258">
        <v>2500</v>
      </c>
      <c r="N116" s="258">
        <v>75000</v>
      </c>
      <c r="O116" s="258"/>
      <c r="P116" s="258"/>
      <c r="Q116" s="258"/>
      <c r="R116" s="258"/>
      <c r="S116" s="258"/>
      <c r="T116" s="258"/>
      <c r="U116" s="258">
        <v>383.33</v>
      </c>
      <c r="V116" s="258"/>
      <c r="W116" s="265"/>
      <c r="X116" s="258"/>
      <c r="Y116" s="258"/>
      <c r="Z116" s="258"/>
      <c r="AA116" s="258"/>
      <c r="AB116" s="258"/>
      <c r="AC116" s="258"/>
      <c r="AD116" s="270"/>
      <c r="AE116" s="258"/>
      <c r="AF116" s="258">
        <v>1250</v>
      </c>
      <c r="AG116" s="270">
        <f t="shared" si="106"/>
        <v>4334.14333333333</v>
      </c>
      <c r="AH116" s="270"/>
      <c r="AI116" s="278"/>
      <c r="AJ116" s="279">
        <v>1000</v>
      </c>
      <c r="AK116" s="280"/>
      <c r="AL116" s="280"/>
      <c r="AM116" s="281">
        <f>32833.33-10000</f>
        <v>22833.33</v>
      </c>
      <c r="AN116" s="258"/>
      <c r="AO116" s="299">
        <v>1500</v>
      </c>
      <c r="AP116" s="299"/>
      <c r="AQ116" s="299"/>
      <c r="AR116" s="299">
        <f t="shared" si="107"/>
        <v>6497.45998888889</v>
      </c>
      <c r="AS116" s="300"/>
      <c r="AT116" s="300"/>
      <c r="AU116" s="299">
        <f t="shared" si="136"/>
        <v>41745.3305733333</v>
      </c>
      <c r="AV116" s="299">
        <f t="shared" ref="AV116" si="138">V116+U116+N116+M116+K116+J116+I116+H116</f>
        <v>324872.999444444</v>
      </c>
      <c r="AW116" s="299">
        <f>AU116+AR116+AQ116+AO116+AN116+AM116+AK116+AI116+AH116+AG116+AF116+AE116+AD116+AJ116</f>
        <v>79160.2638955556</v>
      </c>
      <c r="AX116" s="299"/>
      <c r="AY116" s="299"/>
      <c r="AZ116" s="299">
        <f t="shared" si="99"/>
        <v>245712.735548889</v>
      </c>
      <c r="BA116" s="429">
        <f t="shared" si="78"/>
        <v>3898475.99333333</v>
      </c>
      <c r="BB116" s="430">
        <f t="shared" si="79"/>
        <v>979695.198666667</v>
      </c>
      <c r="BC116" s="307">
        <f t="shared" si="80"/>
        <v>0</v>
      </c>
      <c r="BD116" s="308">
        <f t="shared" si="81"/>
        <v>979695.198666667</v>
      </c>
      <c r="BE116" s="313">
        <f t="shared" si="82"/>
        <v>2918780.79466667</v>
      </c>
      <c r="BF116" s="430"/>
      <c r="BG116" s="307">
        <f t="shared" si="83"/>
        <v>21000</v>
      </c>
      <c r="BH116" s="307">
        <f t="shared" si="84"/>
        <v>33000</v>
      </c>
      <c r="BI116" s="307">
        <f t="shared" si="85"/>
        <v>75000</v>
      </c>
      <c r="BJ116" s="307">
        <f t="shared" si="86"/>
        <v>95000</v>
      </c>
      <c r="BK116" s="307">
        <f t="shared" si="87"/>
        <v>276943.96688</v>
      </c>
      <c r="BL116" s="307" t="str">
        <f t="shared" si="88"/>
        <v/>
      </c>
      <c r="BM116" s="429">
        <f t="shared" si="89"/>
        <v>500943.96688</v>
      </c>
      <c r="BN116" s="320">
        <f t="shared" si="90"/>
        <v>38984.7599333333</v>
      </c>
      <c r="BO116" s="321">
        <f t="shared" si="131"/>
        <v>500943.96688</v>
      </c>
      <c r="BP116" s="322">
        <f t="shared" si="91"/>
        <v>41745.3305733333</v>
      </c>
      <c r="BQ116" s="323"/>
      <c r="BR116" s="324"/>
      <c r="BS116" s="325"/>
      <c r="BT116" s="326"/>
      <c r="BU116" s="326"/>
      <c r="BV116" s="334"/>
      <c r="BW116" s="335"/>
    </row>
    <row r="117" s="245" customFormat="1" ht="172.5" customHeight="1" spans="1:75">
      <c r="A117" s="255">
        <v>116</v>
      </c>
      <c r="B117" s="70" t="s">
        <v>408</v>
      </c>
      <c r="C117" s="129" t="s">
        <v>204</v>
      </c>
      <c r="D117" s="129" t="s">
        <v>208</v>
      </c>
      <c r="E117" s="256" t="s">
        <v>127</v>
      </c>
      <c r="F117" s="1469" t="s">
        <v>409</v>
      </c>
      <c r="G117" s="257">
        <v>2035375</v>
      </c>
      <c r="H117" s="258">
        <f t="shared" si="134"/>
        <v>169614.583333333</v>
      </c>
      <c r="I117" s="258">
        <f t="shared" si="126"/>
        <v>19788.3680555556</v>
      </c>
      <c r="J117" s="258">
        <v>5000</v>
      </c>
      <c r="K117" s="258"/>
      <c r="L117" s="258"/>
      <c r="M117" s="258">
        <v>2500</v>
      </c>
      <c r="N117" s="258"/>
      <c r="O117" s="258"/>
      <c r="P117" s="258"/>
      <c r="Q117" s="258"/>
      <c r="R117" s="258"/>
      <c r="S117" s="258"/>
      <c r="T117" s="258"/>
      <c r="U117" s="258">
        <v>383.33</v>
      </c>
      <c r="V117" s="258"/>
      <c r="W117" s="265"/>
      <c r="X117" s="258"/>
      <c r="Y117" s="258"/>
      <c r="Z117" s="258"/>
      <c r="AA117" s="258"/>
      <c r="AB117" s="258"/>
      <c r="AC117" s="258"/>
      <c r="AD117" s="270"/>
      <c r="AE117" s="258"/>
      <c r="AF117" s="258"/>
      <c r="AG117" s="270">
        <f t="shared" si="106"/>
        <v>3392.29166666667</v>
      </c>
      <c r="AH117" s="270"/>
      <c r="AI117" s="282">
        <v>1000</v>
      </c>
      <c r="AJ117" s="279"/>
      <c r="AK117" s="279"/>
      <c r="AL117" s="279"/>
      <c r="AM117" s="281"/>
      <c r="AN117" s="258">
        <v>7500</v>
      </c>
      <c r="AO117" s="299">
        <v>1500</v>
      </c>
      <c r="AP117" s="299"/>
      <c r="AQ117" s="299"/>
      <c r="AR117" s="299">
        <f t="shared" si="107"/>
        <v>3945.72562777778</v>
      </c>
      <c r="AS117" s="300"/>
      <c r="AT117" s="300"/>
      <c r="AU117" s="299">
        <f t="shared" si="136"/>
        <v>20310.76194</v>
      </c>
      <c r="AV117" s="299">
        <f t="shared" ref="AV117" si="139">W117+V117+U117+N117+M117+K117+J117+I117+H117</f>
        <v>197286.281388889</v>
      </c>
      <c r="AW117" s="299">
        <f t="shared" si="102"/>
        <v>37648.7792344444</v>
      </c>
      <c r="AX117" s="299"/>
      <c r="AY117" s="299"/>
      <c r="AZ117" s="299">
        <f t="shared" si="99"/>
        <v>159637.502154444</v>
      </c>
      <c r="BA117" s="429">
        <f t="shared" si="78"/>
        <v>2367435.37666667</v>
      </c>
      <c r="BB117" s="430">
        <f t="shared" si="79"/>
        <v>673487.075333333</v>
      </c>
      <c r="BC117" s="307">
        <f t="shared" si="80"/>
        <v>0</v>
      </c>
      <c r="BD117" s="308">
        <f t="shared" si="81"/>
        <v>673487.075333333</v>
      </c>
      <c r="BE117" s="313">
        <f t="shared" si="82"/>
        <v>1693948.30133333</v>
      </c>
      <c r="BF117" s="430"/>
      <c r="BG117" s="307">
        <f t="shared" si="83"/>
        <v>21000</v>
      </c>
      <c r="BH117" s="307">
        <f t="shared" si="84"/>
        <v>33000</v>
      </c>
      <c r="BI117" s="307">
        <f t="shared" si="85"/>
        <v>75000</v>
      </c>
      <c r="BJ117" s="307">
        <f t="shared" si="86"/>
        <v>95000</v>
      </c>
      <c r="BK117" s="307">
        <f t="shared" si="87"/>
        <v>19729.1432800001</v>
      </c>
      <c r="BL117" s="307" t="str">
        <f t="shared" si="88"/>
        <v/>
      </c>
      <c r="BM117" s="429">
        <f t="shared" si="89"/>
        <v>243729.14328</v>
      </c>
      <c r="BN117" s="320">
        <f t="shared" si="90"/>
        <v>23674.3537666667</v>
      </c>
      <c r="BO117" s="321">
        <f t="shared" si="131"/>
        <v>243729.14328</v>
      </c>
      <c r="BP117" s="322">
        <f t="shared" si="91"/>
        <v>20310.76194</v>
      </c>
      <c r="BQ117" s="323"/>
      <c r="BR117" s="324"/>
      <c r="BS117" s="325"/>
      <c r="BT117" s="326"/>
      <c r="BU117" s="326"/>
      <c r="BV117" s="334"/>
      <c r="BW117" s="335"/>
    </row>
    <row r="118" s="245" customFormat="1" ht="172.5" customHeight="1" spans="1:75">
      <c r="A118" s="255">
        <v>117</v>
      </c>
      <c r="B118" s="70" t="s">
        <v>410</v>
      </c>
      <c r="C118" s="129" t="s">
        <v>204</v>
      </c>
      <c r="D118" s="129" t="s">
        <v>208</v>
      </c>
      <c r="E118" s="128" t="s">
        <v>2041</v>
      </c>
      <c r="F118" s="256">
        <v>6001992260</v>
      </c>
      <c r="G118" s="257">
        <v>2035375</v>
      </c>
      <c r="H118" s="258">
        <f t="shared" si="134"/>
        <v>169614.583333333</v>
      </c>
      <c r="I118" s="258">
        <f t="shared" si="126"/>
        <v>19788.3680555556</v>
      </c>
      <c r="J118" s="258">
        <f>J117</f>
        <v>5000</v>
      </c>
      <c r="K118" s="342"/>
      <c r="L118" s="258"/>
      <c r="M118" s="258">
        <v>2500</v>
      </c>
      <c r="N118" s="258"/>
      <c r="O118" s="258"/>
      <c r="P118" s="258"/>
      <c r="Q118" s="258"/>
      <c r="R118" s="258"/>
      <c r="S118" s="258"/>
      <c r="T118" s="258"/>
      <c r="U118" s="258">
        <v>383.33</v>
      </c>
      <c r="V118" s="258"/>
      <c r="W118" s="265"/>
      <c r="X118" s="258"/>
      <c r="Y118" s="258"/>
      <c r="Z118" s="258"/>
      <c r="AA118" s="258"/>
      <c r="AB118" s="258"/>
      <c r="AC118" s="258"/>
      <c r="AD118" s="270"/>
      <c r="AE118" s="258"/>
      <c r="AF118" s="342">
        <v>3000</v>
      </c>
      <c r="AG118" s="270">
        <f t="shared" si="106"/>
        <v>3392.29166666667</v>
      </c>
      <c r="AH118" s="270">
        <f>5000</f>
        <v>5000</v>
      </c>
      <c r="AI118" s="278"/>
      <c r="AJ118" s="279">
        <v>1000</v>
      </c>
      <c r="AK118" s="280"/>
      <c r="AL118" s="280"/>
      <c r="AM118" s="281">
        <v>58604.17</v>
      </c>
      <c r="AN118" s="258"/>
      <c r="AO118" s="299">
        <v>1500</v>
      </c>
      <c r="AP118" s="299"/>
      <c r="AQ118" s="299"/>
      <c r="AR118" s="299">
        <f t="shared" si="107"/>
        <v>3945.72562777778</v>
      </c>
      <c r="AS118" s="300"/>
      <c r="AT118" s="300"/>
      <c r="AU118" s="299">
        <f t="shared" si="136"/>
        <v>20310.76194</v>
      </c>
      <c r="AV118" s="299">
        <f t="shared" ref="AV118" si="140">V118+U118+N118+M118+K118+J118+I118+H118</f>
        <v>197286.281388889</v>
      </c>
      <c r="AW118" s="299">
        <f>AU118+AR118+AQ118+AO118+AN118+AM118+AK118+AI118+AH118+AG118+AF118+AE118+AD118+AJ118</f>
        <v>96752.9492344445</v>
      </c>
      <c r="AX118" s="299"/>
      <c r="AY118" s="299"/>
      <c r="AZ118" s="299">
        <f t="shared" si="99"/>
        <v>100533.332154444</v>
      </c>
      <c r="BA118" s="429">
        <f t="shared" si="78"/>
        <v>2367435.37666667</v>
      </c>
      <c r="BB118" s="430">
        <f t="shared" si="79"/>
        <v>673487.075333333</v>
      </c>
      <c r="BC118" s="307">
        <f t="shared" si="80"/>
        <v>0</v>
      </c>
      <c r="BD118" s="308">
        <f t="shared" si="81"/>
        <v>673487.075333333</v>
      </c>
      <c r="BE118" s="313">
        <f t="shared" si="82"/>
        <v>1693948.30133333</v>
      </c>
      <c r="BF118" s="430"/>
      <c r="BG118" s="307">
        <f t="shared" si="83"/>
        <v>21000</v>
      </c>
      <c r="BH118" s="307">
        <f t="shared" si="84"/>
        <v>33000</v>
      </c>
      <c r="BI118" s="307">
        <f t="shared" si="85"/>
        <v>75000</v>
      </c>
      <c r="BJ118" s="307">
        <f t="shared" si="86"/>
        <v>95000</v>
      </c>
      <c r="BK118" s="307">
        <f t="shared" si="87"/>
        <v>19729.1432800001</v>
      </c>
      <c r="BL118" s="307" t="str">
        <f t="shared" si="88"/>
        <v/>
      </c>
      <c r="BM118" s="429">
        <f t="shared" si="89"/>
        <v>243729.14328</v>
      </c>
      <c r="BN118" s="320">
        <f t="shared" si="90"/>
        <v>23674.3537666667</v>
      </c>
      <c r="BO118" s="321">
        <f t="shared" si="131"/>
        <v>243729.14328</v>
      </c>
      <c r="BP118" s="322">
        <f t="shared" si="91"/>
        <v>20310.76194</v>
      </c>
      <c r="BQ118" s="323"/>
      <c r="BR118" s="324"/>
      <c r="BS118" s="325"/>
      <c r="BT118" s="326"/>
      <c r="BU118" s="326"/>
      <c r="BV118" s="334"/>
      <c r="BW118" s="335"/>
    </row>
    <row r="119" s="248" customFormat="1" ht="172.5" customHeight="1" spans="1:75">
      <c r="A119" s="255">
        <v>118</v>
      </c>
      <c r="B119" s="70" t="s">
        <v>412</v>
      </c>
      <c r="C119" s="339" t="s">
        <v>130</v>
      </c>
      <c r="D119" s="339" t="s">
        <v>297</v>
      </c>
      <c r="E119" s="340" t="s">
        <v>113</v>
      </c>
      <c r="F119" s="340">
        <v>1014869458</v>
      </c>
      <c r="G119" s="341">
        <v>2688069</v>
      </c>
      <c r="H119" s="258">
        <f t="shared" si="134"/>
        <v>224005.75</v>
      </c>
      <c r="I119" s="258">
        <f t="shared" si="126"/>
        <v>26134.0041666667</v>
      </c>
      <c r="J119" s="342">
        <v>5000</v>
      </c>
      <c r="K119" s="343"/>
      <c r="L119" s="342"/>
      <c r="M119" s="342">
        <v>2500</v>
      </c>
      <c r="N119" s="342"/>
      <c r="O119" s="342"/>
      <c r="P119" s="342"/>
      <c r="Q119" s="342"/>
      <c r="R119" s="342"/>
      <c r="S119" s="342"/>
      <c r="T119" s="342"/>
      <c r="U119" s="342">
        <v>383.33</v>
      </c>
      <c r="V119" s="342"/>
      <c r="W119" s="344"/>
      <c r="X119" s="342"/>
      <c r="Y119" s="342"/>
      <c r="Z119" s="342"/>
      <c r="AA119" s="342"/>
      <c r="AB119" s="342"/>
      <c r="AC119" s="342"/>
      <c r="AD119" s="270"/>
      <c r="AE119" s="342"/>
      <c r="AF119" s="342">
        <v>2250</v>
      </c>
      <c r="AG119" s="270">
        <f t="shared" si="106"/>
        <v>4480.115</v>
      </c>
      <c r="AH119" s="270"/>
      <c r="AI119" s="282">
        <v>1000</v>
      </c>
      <c r="AJ119" s="347"/>
      <c r="AK119" s="347"/>
      <c r="AL119" s="347"/>
      <c r="AM119" s="348"/>
      <c r="AN119" s="342"/>
      <c r="AO119" s="299">
        <v>1500</v>
      </c>
      <c r="AP119" s="349"/>
      <c r="AQ119" s="349"/>
      <c r="AR119" s="299">
        <f t="shared" si="107"/>
        <v>5160.46168333333</v>
      </c>
      <c r="AS119" s="350"/>
      <c r="AT119" s="350"/>
      <c r="AU119" s="349">
        <f t="shared" si="136"/>
        <v>30514.5448066667</v>
      </c>
      <c r="AV119" s="299">
        <f t="shared" ref="AV119:AV120" si="141">W119+V119+U119+N119+M119+K119+J119+I119+H119</f>
        <v>258023.084166667</v>
      </c>
      <c r="AW119" s="299">
        <f t="shared" si="102"/>
        <v>44905.12149</v>
      </c>
      <c r="AX119" s="349"/>
      <c r="AY119" s="349"/>
      <c r="AZ119" s="299">
        <f t="shared" si="99"/>
        <v>213117.962676667</v>
      </c>
      <c r="BA119" s="433">
        <f t="shared" si="78"/>
        <v>3096277.01</v>
      </c>
      <c r="BB119" s="434">
        <f t="shared" si="79"/>
        <v>819255.402</v>
      </c>
      <c r="BC119" s="325">
        <f t="shared" si="80"/>
        <v>0</v>
      </c>
      <c r="BD119" s="353">
        <f t="shared" si="81"/>
        <v>819255.402</v>
      </c>
      <c r="BE119" s="326">
        <f t="shared" si="82"/>
        <v>2277021.608</v>
      </c>
      <c r="BF119" s="434"/>
      <c r="BG119" s="325">
        <f t="shared" si="83"/>
        <v>21000</v>
      </c>
      <c r="BH119" s="325">
        <f t="shared" si="84"/>
        <v>33000</v>
      </c>
      <c r="BI119" s="325">
        <f t="shared" si="85"/>
        <v>75000</v>
      </c>
      <c r="BJ119" s="325">
        <f t="shared" si="86"/>
        <v>95000</v>
      </c>
      <c r="BK119" s="325">
        <f t="shared" si="87"/>
        <v>142174.53768</v>
      </c>
      <c r="BL119" s="325" t="str">
        <f t="shared" si="88"/>
        <v/>
      </c>
      <c r="BM119" s="433">
        <f t="shared" si="89"/>
        <v>366174.53768</v>
      </c>
      <c r="BN119" s="354">
        <f t="shared" si="90"/>
        <v>30962.7701</v>
      </c>
      <c r="BO119" s="355">
        <f t="shared" si="131"/>
        <v>366174.53768</v>
      </c>
      <c r="BP119" s="356">
        <f t="shared" si="91"/>
        <v>30514.5448066667</v>
      </c>
      <c r="BQ119" s="323"/>
      <c r="BR119" s="324"/>
      <c r="BS119" s="325"/>
      <c r="BT119" s="326"/>
      <c r="BU119" s="326"/>
      <c r="BV119" s="359"/>
      <c r="BW119" s="360"/>
    </row>
    <row r="120" s="245" customFormat="1" ht="172.5" customHeight="1" spans="1:75">
      <c r="A120" s="255">
        <v>119</v>
      </c>
      <c r="B120" s="70" t="s">
        <v>413</v>
      </c>
      <c r="C120" s="361" t="s">
        <v>204</v>
      </c>
      <c r="D120" s="361" t="s">
        <v>2040</v>
      </c>
      <c r="E120" s="362" t="s">
        <v>135</v>
      </c>
      <c r="F120" s="1473" t="s">
        <v>350</v>
      </c>
      <c r="G120" s="363">
        <v>2199496</v>
      </c>
      <c r="H120" s="258">
        <f t="shared" si="134"/>
        <v>183291.333333333</v>
      </c>
      <c r="I120" s="258">
        <f t="shared" si="126"/>
        <v>21383.9888888889</v>
      </c>
      <c r="J120" s="343">
        <v>5000</v>
      </c>
      <c r="K120" s="258"/>
      <c r="L120" s="343"/>
      <c r="M120" s="343">
        <v>2500</v>
      </c>
      <c r="N120" s="343"/>
      <c r="O120" s="343"/>
      <c r="P120" s="343"/>
      <c r="Q120" s="343"/>
      <c r="R120" s="343"/>
      <c r="S120" s="343"/>
      <c r="T120" s="343"/>
      <c r="U120" s="343">
        <v>383.33</v>
      </c>
      <c r="V120" s="343"/>
      <c r="W120" s="371"/>
      <c r="X120" s="343"/>
      <c r="Y120" s="343"/>
      <c r="Z120" s="343"/>
      <c r="AA120" s="343"/>
      <c r="AB120" s="343"/>
      <c r="AC120" s="343"/>
      <c r="AD120" s="270"/>
      <c r="AE120" s="343"/>
      <c r="AF120" s="343">
        <v>750</v>
      </c>
      <c r="AG120" s="270">
        <f t="shared" si="106"/>
        <v>3665.82666666667</v>
      </c>
      <c r="AH120" s="270"/>
      <c r="AI120" s="278"/>
      <c r="AJ120" s="377"/>
      <c r="AK120" s="377"/>
      <c r="AL120" s="378">
        <v>1000</v>
      </c>
      <c r="AM120" s="379"/>
      <c r="AN120" s="343"/>
      <c r="AO120" s="391">
        <v>1500</v>
      </c>
      <c r="AP120" s="391"/>
      <c r="AQ120" s="391"/>
      <c r="AR120" s="299">
        <f t="shared" si="107"/>
        <v>4251.17304444444</v>
      </c>
      <c r="AS120" s="392"/>
      <c r="AT120" s="392"/>
      <c r="AU120" s="391">
        <f t="shared" si="136"/>
        <v>22876.52024</v>
      </c>
      <c r="AV120" s="299">
        <f t="shared" si="141"/>
        <v>212558.652222222</v>
      </c>
      <c r="AW120" s="299">
        <f>AU120+AR120+AQ120+AO120+AN120+AM120+AK120+AI120+AH120+AG120+AF120+AE120+AD120+AL120</f>
        <v>34043.5199511111</v>
      </c>
      <c r="AX120" s="391"/>
      <c r="AY120" s="391"/>
      <c r="AZ120" s="299">
        <f t="shared" si="99"/>
        <v>178515.132271111</v>
      </c>
      <c r="BA120" s="435">
        <f t="shared" si="78"/>
        <v>2550703.82666667</v>
      </c>
      <c r="BB120" s="436">
        <f t="shared" si="79"/>
        <v>710140.765333334</v>
      </c>
      <c r="BC120" s="399">
        <f t="shared" si="80"/>
        <v>0</v>
      </c>
      <c r="BD120" s="400">
        <f t="shared" si="81"/>
        <v>710140.765333334</v>
      </c>
      <c r="BE120" s="409">
        <f t="shared" si="82"/>
        <v>1840563.06133333</v>
      </c>
      <c r="BF120" s="436"/>
      <c r="BG120" s="399">
        <f t="shared" si="83"/>
        <v>21000</v>
      </c>
      <c r="BH120" s="399">
        <f t="shared" si="84"/>
        <v>33000</v>
      </c>
      <c r="BI120" s="399">
        <f t="shared" si="85"/>
        <v>75000</v>
      </c>
      <c r="BJ120" s="399">
        <f t="shared" si="86"/>
        <v>95000</v>
      </c>
      <c r="BK120" s="399">
        <f t="shared" si="87"/>
        <v>50518.2428800001</v>
      </c>
      <c r="BL120" s="399" t="str">
        <f t="shared" si="88"/>
        <v/>
      </c>
      <c r="BM120" s="435">
        <f t="shared" si="89"/>
        <v>274518.24288</v>
      </c>
      <c r="BN120" s="412">
        <f t="shared" si="90"/>
        <v>25507.0382666667</v>
      </c>
      <c r="BO120" s="413">
        <f t="shared" si="131"/>
        <v>274518.24288</v>
      </c>
      <c r="BP120" s="414">
        <f t="shared" si="91"/>
        <v>22876.52024</v>
      </c>
      <c r="BQ120" s="415"/>
      <c r="BR120" s="416"/>
      <c r="BS120" s="417"/>
      <c r="BT120" s="418"/>
      <c r="BU120" s="418"/>
      <c r="BV120" s="334"/>
      <c r="BW120" s="335"/>
    </row>
    <row r="121" s="245" customFormat="1" ht="172.5" customHeight="1" spans="1:75">
      <c r="A121" s="255">
        <v>120</v>
      </c>
      <c r="B121" s="70" t="s">
        <v>414</v>
      </c>
      <c r="C121" s="361" t="s">
        <v>130</v>
      </c>
      <c r="D121" s="129" t="s">
        <v>297</v>
      </c>
      <c r="E121" s="256" t="s">
        <v>127</v>
      </c>
      <c r="F121" s="1469" t="s">
        <v>415</v>
      </c>
      <c r="G121" s="257">
        <v>2688069</v>
      </c>
      <c r="H121" s="258">
        <f t="shared" si="134"/>
        <v>224005.75</v>
      </c>
      <c r="I121" s="258">
        <f t="shared" si="126"/>
        <v>26134.0041666667</v>
      </c>
      <c r="J121" s="258">
        <v>5000</v>
      </c>
      <c r="K121" s="258"/>
      <c r="L121" s="258"/>
      <c r="M121" s="258">
        <v>2500</v>
      </c>
      <c r="N121" s="258"/>
      <c r="O121" s="258"/>
      <c r="P121" s="258"/>
      <c r="Q121" s="258"/>
      <c r="R121" s="258"/>
      <c r="S121" s="258"/>
      <c r="T121" s="258"/>
      <c r="U121" s="258">
        <v>383.33</v>
      </c>
      <c r="V121" s="258"/>
      <c r="W121" s="265"/>
      <c r="X121" s="258"/>
      <c r="Y121" s="258"/>
      <c r="Z121" s="258"/>
      <c r="AA121" s="258"/>
      <c r="AB121" s="258"/>
      <c r="AC121" s="258"/>
      <c r="AD121" s="270"/>
      <c r="AE121" s="258"/>
      <c r="AF121" s="258">
        <v>2000</v>
      </c>
      <c r="AG121" s="270">
        <f t="shared" si="106"/>
        <v>4480.115</v>
      </c>
      <c r="AH121" s="270"/>
      <c r="AI121" s="278"/>
      <c r="AJ121" s="280"/>
      <c r="AK121" s="280"/>
      <c r="AL121" s="380">
        <v>1000</v>
      </c>
      <c r="AM121" s="281">
        <v>72427.4</v>
      </c>
      <c r="AN121" s="258"/>
      <c r="AO121" s="391">
        <v>1500</v>
      </c>
      <c r="AP121" s="299"/>
      <c r="AQ121" s="299"/>
      <c r="AR121" s="299">
        <f t="shared" si="107"/>
        <v>5160.46168333333</v>
      </c>
      <c r="AS121" s="300"/>
      <c r="AT121" s="300"/>
      <c r="AU121" s="299">
        <f t="shared" si="136"/>
        <v>30514.5448066667</v>
      </c>
      <c r="AV121" s="299">
        <f t="shared" ref="AV121" si="142">V121+U121+N121+M121+K121+J121+I121+H121</f>
        <v>258023.084166667</v>
      </c>
      <c r="AW121" s="299">
        <f t="shared" si="102"/>
        <v>116082.52149</v>
      </c>
      <c r="AX121" s="299"/>
      <c r="AY121" s="299"/>
      <c r="AZ121" s="299">
        <f t="shared" si="99"/>
        <v>141940.562676667</v>
      </c>
      <c r="BA121" s="429">
        <f t="shared" si="78"/>
        <v>3096277.01</v>
      </c>
      <c r="BB121" s="430">
        <f t="shared" si="79"/>
        <v>819255.402</v>
      </c>
      <c r="BC121" s="307">
        <f t="shared" si="80"/>
        <v>0</v>
      </c>
      <c r="BD121" s="308">
        <f t="shared" si="81"/>
        <v>819255.402</v>
      </c>
      <c r="BE121" s="313">
        <f t="shared" si="82"/>
        <v>2277021.608</v>
      </c>
      <c r="BF121" s="430"/>
      <c r="BG121" s="307">
        <f t="shared" si="83"/>
        <v>21000</v>
      </c>
      <c r="BH121" s="307">
        <f t="shared" si="84"/>
        <v>33000</v>
      </c>
      <c r="BI121" s="307">
        <f t="shared" si="85"/>
        <v>75000</v>
      </c>
      <c r="BJ121" s="307">
        <f t="shared" si="86"/>
        <v>95000</v>
      </c>
      <c r="BK121" s="307">
        <f t="shared" si="87"/>
        <v>142174.53768</v>
      </c>
      <c r="BL121" s="307" t="str">
        <f t="shared" si="88"/>
        <v/>
      </c>
      <c r="BM121" s="429">
        <f t="shared" si="89"/>
        <v>366174.53768</v>
      </c>
      <c r="BN121" s="320">
        <f t="shared" si="90"/>
        <v>30962.7701</v>
      </c>
      <c r="BO121" s="321">
        <f t="shared" si="131"/>
        <v>366174.53768</v>
      </c>
      <c r="BP121" s="322">
        <f t="shared" si="91"/>
        <v>30514.5448066667</v>
      </c>
      <c r="BQ121" s="323"/>
      <c r="BR121" s="324"/>
      <c r="BS121" s="325"/>
      <c r="BT121" s="326"/>
      <c r="BU121" s="326"/>
      <c r="BV121" s="334"/>
      <c r="BW121" s="335"/>
    </row>
    <row r="122" s="245" customFormat="1" ht="172.5" customHeight="1" spans="1:75">
      <c r="A122" s="255">
        <v>121</v>
      </c>
      <c r="B122" s="70" t="s">
        <v>416</v>
      </c>
      <c r="C122" s="361" t="s">
        <v>204</v>
      </c>
      <c r="D122" s="129" t="s">
        <v>2040</v>
      </c>
      <c r="E122" s="256" t="s">
        <v>113</v>
      </c>
      <c r="F122" s="256">
        <v>1017304842</v>
      </c>
      <c r="G122" s="257">
        <v>2199496</v>
      </c>
      <c r="H122" s="258">
        <f t="shared" si="134"/>
        <v>183291.333333333</v>
      </c>
      <c r="I122" s="258">
        <f t="shared" si="126"/>
        <v>21383.9888888889</v>
      </c>
      <c r="J122" s="258">
        <v>5000</v>
      </c>
      <c r="K122" s="258"/>
      <c r="L122" s="258"/>
      <c r="M122" s="258">
        <v>2500</v>
      </c>
      <c r="N122" s="258"/>
      <c r="O122" s="258"/>
      <c r="P122" s="258"/>
      <c r="Q122" s="258"/>
      <c r="R122" s="258"/>
      <c r="S122" s="258"/>
      <c r="T122" s="258"/>
      <c r="U122" s="258">
        <v>383.33</v>
      </c>
      <c r="V122" s="258"/>
      <c r="W122" s="265"/>
      <c r="X122" s="258"/>
      <c r="Y122" s="258"/>
      <c r="Z122" s="258"/>
      <c r="AA122" s="258"/>
      <c r="AB122" s="258"/>
      <c r="AC122" s="258"/>
      <c r="AD122" s="270"/>
      <c r="AE122" s="258"/>
      <c r="AF122" s="258">
        <v>2000</v>
      </c>
      <c r="AG122" s="270">
        <f t="shared" si="106"/>
        <v>3665.82666666667</v>
      </c>
      <c r="AH122" s="270"/>
      <c r="AI122" s="278"/>
      <c r="AJ122" s="280"/>
      <c r="AK122" s="280"/>
      <c r="AL122" s="284">
        <v>1000</v>
      </c>
      <c r="AM122" s="281"/>
      <c r="AN122" s="258"/>
      <c r="AO122" s="299">
        <v>1500</v>
      </c>
      <c r="AP122" s="299"/>
      <c r="AQ122" s="299"/>
      <c r="AR122" s="299">
        <f t="shared" si="107"/>
        <v>4251.17304444444</v>
      </c>
      <c r="AS122" s="300"/>
      <c r="AT122" s="300"/>
      <c r="AU122" s="299">
        <f t="shared" si="136"/>
        <v>22876.52024</v>
      </c>
      <c r="AV122" s="299">
        <f t="shared" ref="AV122:AV123" si="143">W122+V122+U122+N122+M122+K122+J122+I122+H122</f>
        <v>212558.652222222</v>
      </c>
      <c r="AW122" s="299">
        <f>AU122+AR122+AO122+AL122+AG122+AF122</f>
        <v>35293.5199511111</v>
      </c>
      <c r="AX122" s="299"/>
      <c r="AY122" s="299"/>
      <c r="AZ122" s="299">
        <f t="shared" si="99"/>
        <v>177265.132271111</v>
      </c>
      <c r="BA122" s="429">
        <f t="shared" si="78"/>
        <v>2550703.82666667</v>
      </c>
      <c r="BB122" s="430">
        <f t="shared" si="79"/>
        <v>710140.765333334</v>
      </c>
      <c r="BC122" s="307">
        <f t="shared" si="80"/>
        <v>0</v>
      </c>
      <c r="BD122" s="308">
        <f t="shared" si="81"/>
        <v>710140.765333334</v>
      </c>
      <c r="BE122" s="313">
        <f t="shared" si="82"/>
        <v>1840563.06133333</v>
      </c>
      <c r="BF122" s="430"/>
      <c r="BG122" s="307">
        <f t="shared" si="83"/>
        <v>21000</v>
      </c>
      <c r="BH122" s="307">
        <f t="shared" si="84"/>
        <v>33000</v>
      </c>
      <c r="BI122" s="307">
        <f t="shared" si="85"/>
        <v>75000</v>
      </c>
      <c r="BJ122" s="307">
        <f t="shared" si="86"/>
        <v>95000</v>
      </c>
      <c r="BK122" s="307">
        <f t="shared" si="87"/>
        <v>50518.2428800001</v>
      </c>
      <c r="BL122" s="307" t="str">
        <f t="shared" si="88"/>
        <v/>
      </c>
      <c r="BM122" s="429">
        <f t="shared" si="89"/>
        <v>274518.24288</v>
      </c>
      <c r="BN122" s="320">
        <f t="shared" si="90"/>
        <v>25507.0382666667</v>
      </c>
      <c r="BO122" s="321">
        <f t="shared" si="131"/>
        <v>274518.24288</v>
      </c>
      <c r="BP122" s="322">
        <f t="shared" si="91"/>
        <v>22876.52024</v>
      </c>
      <c r="BQ122" s="323"/>
      <c r="BR122" s="324"/>
      <c r="BS122" s="325"/>
      <c r="BT122" s="326"/>
      <c r="BU122" s="326"/>
      <c r="BV122" s="334"/>
      <c r="BW122" s="335"/>
    </row>
    <row r="123" s="245" customFormat="1" ht="172.5" customHeight="1" spans="1:75">
      <c r="A123" s="255">
        <v>122</v>
      </c>
      <c r="B123" s="70" t="s">
        <v>417</v>
      </c>
      <c r="C123" s="361" t="s">
        <v>418</v>
      </c>
      <c r="D123" s="129" t="s">
        <v>205</v>
      </c>
      <c r="E123" s="256" t="s">
        <v>127</v>
      </c>
      <c r="F123" s="1469" t="s">
        <v>419</v>
      </c>
      <c r="G123" s="257">
        <v>2090081</v>
      </c>
      <c r="H123" s="258">
        <f t="shared" si="134"/>
        <v>174173.416666667</v>
      </c>
      <c r="I123" s="258">
        <f t="shared" si="126"/>
        <v>20320.2319444444</v>
      </c>
      <c r="J123" s="258">
        <v>5000</v>
      </c>
      <c r="K123" s="258"/>
      <c r="L123" s="258"/>
      <c r="M123" s="258">
        <v>2500</v>
      </c>
      <c r="N123" s="258"/>
      <c r="O123" s="258"/>
      <c r="P123" s="258"/>
      <c r="Q123" s="258"/>
      <c r="R123" s="258"/>
      <c r="S123" s="258"/>
      <c r="T123" s="258"/>
      <c r="U123" s="258">
        <v>383.33</v>
      </c>
      <c r="V123" s="258"/>
      <c r="W123" s="265"/>
      <c r="X123" s="258"/>
      <c r="Y123" s="258"/>
      <c r="Z123" s="258"/>
      <c r="AA123" s="258"/>
      <c r="AB123" s="258"/>
      <c r="AC123" s="258"/>
      <c r="AD123" s="270"/>
      <c r="AE123" s="258"/>
      <c r="AF123" s="258">
        <v>1750</v>
      </c>
      <c r="AG123" s="270">
        <f t="shared" si="106"/>
        <v>3483.46833333333</v>
      </c>
      <c r="AH123" s="270"/>
      <c r="AI123" s="278"/>
      <c r="AJ123" s="280"/>
      <c r="AK123" s="280"/>
      <c r="AL123" s="284">
        <v>1000</v>
      </c>
      <c r="AM123" s="281"/>
      <c r="AN123" s="258"/>
      <c r="AO123" s="299">
        <v>1500</v>
      </c>
      <c r="AP123" s="299"/>
      <c r="AQ123" s="299"/>
      <c r="AR123" s="299">
        <f t="shared" si="107"/>
        <v>4047.53957222222</v>
      </c>
      <c r="AS123" s="300"/>
      <c r="AT123" s="300"/>
      <c r="AU123" s="299">
        <f t="shared" si="136"/>
        <v>21165.9990733333</v>
      </c>
      <c r="AV123" s="299">
        <f t="shared" si="143"/>
        <v>202376.978611111</v>
      </c>
      <c r="AW123" s="299">
        <f>AU123+AR123+AQ123+AO123+AN123+AM123+AK123+AI123+AH123+AG123+AF123+AE123+AD123+AL123</f>
        <v>32947.0069788889</v>
      </c>
      <c r="AX123" s="299"/>
      <c r="AY123" s="299"/>
      <c r="AZ123" s="299">
        <f t="shared" si="99"/>
        <v>169429.971632222</v>
      </c>
      <c r="BA123" s="429">
        <f t="shared" si="78"/>
        <v>2428523.74333333</v>
      </c>
      <c r="BB123" s="430">
        <f t="shared" si="79"/>
        <v>685704.748666667</v>
      </c>
      <c r="BC123" s="307">
        <f t="shared" si="80"/>
        <v>0</v>
      </c>
      <c r="BD123" s="308">
        <f t="shared" si="81"/>
        <v>685704.748666667</v>
      </c>
      <c r="BE123" s="313">
        <f t="shared" si="82"/>
        <v>1742818.99466667</v>
      </c>
      <c r="BF123" s="430"/>
      <c r="BG123" s="307">
        <f t="shared" si="83"/>
        <v>21000</v>
      </c>
      <c r="BH123" s="307">
        <f t="shared" si="84"/>
        <v>33000</v>
      </c>
      <c r="BI123" s="307">
        <f t="shared" si="85"/>
        <v>75000</v>
      </c>
      <c r="BJ123" s="307">
        <f t="shared" si="86"/>
        <v>95000</v>
      </c>
      <c r="BK123" s="307">
        <f t="shared" si="87"/>
        <v>29991.98888</v>
      </c>
      <c r="BL123" s="307" t="str">
        <f t="shared" si="88"/>
        <v/>
      </c>
      <c r="BM123" s="429">
        <f t="shared" si="89"/>
        <v>253991.98888</v>
      </c>
      <c r="BN123" s="320">
        <f t="shared" si="90"/>
        <v>24285.2374333333</v>
      </c>
      <c r="BO123" s="321">
        <f t="shared" si="131"/>
        <v>253991.98888</v>
      </c>
      <c r="BP123" s="322">
        <f t="shared" si="91"/>
        <v>21165.9990733333</v>
      </c>
      <c r="BQ123" s="323"/>
      <c r="BR123" s="324"/>
      <c r="BS123" s="325"/>
      <c r="BT123" s="326"/>
      <c r="BU123" s="326"/>
      <c r="BV123" s="334"/>
      <c r="BW123" s="335"/>
    </row>
    <row r="124" s="245" customFormat="1" ht="172.5" customHeight="1" spans="1:75">
      <c r="A124" s="255">
        <v>123</v>
      </c>
      <c r="B124" s="70" t="s">
        <v>423</v>
      </c>
      <c r="C124" s="361" t="s">
        <v>130</v>
      </c>
      <c r="D124" s="129" t="s">
        <v>269</v>
      </c>
      <c r="E124" s="256" t="s">
        <v>135</v>
      </c>
      <c r="F124" s="1469" t="s">
        <v>424</v>
      </c>
      <c r="G124" s="257">
        <v>2775651</v>
      </c>
      <c r="H124" s="258">
        <f t="shared" si="134"/>
        <v>231304.25</v>
      </c>
      <c r="I124" s="258">
        <f t="shared" si="126"/>
        <v>26985.4958333333</v>
      </c>
      <c r="J124" s="258">
        <v>5000</v>
      </c>
      <c r="K124" s="258"/>
      <c r="L124" s="258"/>
      <c r="M124" s="258">
        <v>2500</v>
      </c>
      <c r="N124" s="258"/>
      <c r="O124" s="258"/>
      <c r="P124" s="258"/>
      <c r="Q124" s="258"/>
      <c r="R124" s="258"/>
      <c r="S124" s="258"/>
      <c r="T124" s="258"/>
      <c r="U124" s="258">
        <v>383.33</v>
      </c>
      <c r="V124" s="258"/>
      <c r="W124" s="265"/>
      <c r="X124" s="258"/>
      <c r="Y124" s="258"/>
      <c r="Z124" s="258"/>
      <c r="AA124" s="258"/>
      <c r="AB124" s="258"/>
      <c r="AC124" s="258"/>
      <c r="AD124" s="270"/>
      <c r="AE124" s="258"/>
      <c r="AF124" s="258"/>
      <c r="AG124" s="270">
        <f t="shared" si="106"/>
        <v>4626.085</v>
      </c>
      <c r="AH124" s="270">
        <f>10000</f>
        <v>10000</v>
      </c>
      <c r="AI124" s="278"/>
      <c r="AJ124" s="284">
        <v>2000</v>
      </c>
      <c r="AK124" s="280"/>
      <c r="AL124" s="280"/>
      <c r="AM124" s="281">
        <v>40608.33</v>
      </c>
      <c r="AN124" s="258">
        <v>8333.33</v>
      </c>
      <c r="AO124" s="299">
        <v>1500</v>
      </c>
      <c r="AP124" s="299"/>
      <c r="AQ124" s="299"/>
      <c r="AR124" s="299">
        <f t="shared" si="107"/>
        <v>5323.46151666667</v>
      </c>
      <c r="AS124" s="300"/>
      <c r="AT124" s="300"/>
      <c r="AU124" s="299">
        <f t="shared" si="136"/>
        <v>31883.7434066667</v>
      </c>
      <c r="AV124" s="299">
        <f t="shared" ref="AV124" si="144">V124+U124+N124+M124+K124+J124+I124+H124</f>
        <v>266173.075833333</v>
      </c>
      <c r="AW124" s="299" t="e">
        <f>AU124+AR124+AQ124+AO124+AN124+AM124+AK124+AI124+AH124+AG124+AF124+#REF!+AJ124</f>
        <v>#REF!</v>
      </c>
      <c r="AX124" s="299"/>
      <c r="AY124" s="299"/>
      <c r="AZ124" s="299" t="e">
        <f t="shared" si="99"/>
        <v>#REF!</v>
      </c>
      <c r="BA124" s="429">
        <f t="shared" si="78"/>
        <v>3194076.91</v>
      </c>
      <c r="BB124" s="430">
        <f t="shared" si="79"/>
        <v>838815.382</v>
      </c>
      <c r="BC124" s="307">
        <f t="shared" si="80"/>
        <v>0</v>
      </c>
      <c r="BD124" s="308">
        <f t="shared" si="81"/>
        <v>838815.382</v>
      </c>
      <c r="BE124" s="313">
        <f t="shared" si="82"/>
        <v>2355261.528</v>
      </c>
      <c r="BF124" s="430"/>
      <c r="BG124" s="307">
        <f t="shared" si="83"/>
        <v>21000</v>
      </c>
      <c r="BH124" s="307">
        <f t="shared" si="84"/>
        <v>33000</v>
      </c>
      <c r="BI124" s="307">
        <f t="shared" si="85"/>
        <v>75000</v>
      </c>
      <c r="BJ124" s="307">
        <f t="shared" si="86"/>
        <v>95000</v>
      </c>
      <c r="BK124" s="307">
        <f t="shared" si="87"/>
        <v>158604.92088</v>
      </c>
      <c r="BL124" s="307" t="str">
        <f t="shared" si="88"/>
        <v/>
      </c>
      <c r="BM124" s="429">
        <f t="shared" si="89"/>
        <v>382604.92088</v>
      </c>
      <c r="BN124" s="320">
        <f t="shared" si="90"/>
        <v>31940.7691</v>
      </c>
      <c r="BO124" s="321">
        <f t="shared" si="131"/>
        <v>382604.92088</v>
      </c>
      <c r="BP124" s="322">
        <f t="shared" si="91"/>
        <v>31883.7434066667</v>
      </c>
      <c r="BQ124" s="323"/>
      <c r="BR124" s="324"/>
      <c r="BS124" s="325"/>
      <c r="BT124" s="326"/>
      <c r="BU124" s="326"/>
      <c r="BV124" s="334"/>
      <c r="BW124" s="335"/>
    </row>
    <row r="125" s="245" customFormat="1" ht="185" customHeight="1" spans="1:75">
      <c r="A125" s="255">
        <v>124</v>
      </c>
      <c r="B125" s="70" t="s">
        <v>425</v>
      </c>
      <c r="C125" s="129" t="s">
        <v>130</v>
      </c>
      <c r="D125" s="129" t="s">
        <v>153</v>
      </c>
      <c r="E125" s="256" t="s">
        <v>127</v>
      </c>
      <c r="F125" s="1469" t="s">
        <v>426</v>
      </c>
      <c r="G125" s="257">
        <v>2863233</v>
      </c>
      <c r="H125" s="258">
        <f t="shared" si="134"/>
        <v>238602.75</v>
      </c>
      <c r="I125" s="258">
        <f t="shared" si="126"/>
        <v>27836.9875</v>
      </c>
      <c r="J125" s="258">
        <v>5000</v>
      </c>
      <c r="K125" s="258"/>
      <c r="L125" s="258"/>
      <c r="M125" s="258">
        <v>2500</v>
      </c>
      <c r="N125" s="258"/>
      <c r="O125" s="258"/>
      <c r="P125" s="258"/>
      <c r="Q125" s="258"/>
      <c r="R125" s="258"/>
      <c r="S125" s="258"/>
      <c r="T125" s="258"/>
      <c r="U125" s="258">
        <v>383.33</v>
      </c>
      <c r="V125" s="258"/>
      <c r="W125" s="265"/>
      <c r="X125" s="258"/>
      <c r="Y125" s="258"/>
      <c r="Z125" s="258"/>
      <c r="AA125" s="258"/>
      <c r="AB125" s="258"/>
      <c r="AC125" s="258"/>
      <c r="AD125" s="270"/>
      <c r="AE125" s="258"/>
      <c r="AF125" s="258">
        <v>3000</v>
      </c>
      <c r="AG125" s="270">
        <f t="shared" si="106"/>
        <v>4772.055</v>
      </c>
      <c r="AH125" s="270"/>
      <c r="AI125" s="278"/>
      <c r="AJ125" s="280"/>
      <c r="AK125" s="280"/>
      <c r="AL125" s="284">
        <v>1000</v>
      </c>
      <c r="AM125" s="281">
        <v>27916.67</v>
      </c>
      <c r="AN125" s="258"/>
      <c r="AO125" s="299">
        <v>1500</v>
      </c>
      <c r="AP125" s="299"/>
      <c r="AQ125" s="299"/>
      <c r="AR125" s="299">
        <f t="shared" si="107"/>
        <v>5486.46135</v>
      </c>
      <c r="AS125" s="300"/>
      <c r="AT125" s="300"/>
      <c r="AU125" s="299">
        <f t="shared" si="136"/>
        <v>33252.9420066667</v>
      </c>
      <c r="AV125" s="299">
        <f t="shared" ref="AV125:AV126" si="145">W125+V125+U125+N125+M125+K125+J125+I125+H125</f>
        <v>274323.0675</v>
      </c>
      <c r="AW125" s="299">
        <f>AU125+AR125+AO125+AM125+AL125+AG125+AF125</f>
        <v>76928.1283566667</v>
      </c>
      <c r="AX125" s="299"/>
      <c r="AY125" s="299"/>
      <c r="AZ125" s="299">
        <f t="shared" si="99"/>
        <v>197394.939143333</v>
      </c>
      <c r="BA125" s="429">
        <f t="shared" si="78"/>
        <v>3291876.81</v>
      </c>
      <c r="BB125" s="430">
        <f t="shared" si="79"/>
        <v>858375.362</v>
      </c>
      <c r="BC125" s="307">
        <f t="shared" si="80"/>
        <v>0</v>
      </c>
      <c r="BD125" s="308">
        <f t="shared" si="81"/>
        <v>858375.362</v>
      </c>
      <c r="BE125" s="313">
        <f t="shared" si="82"/>
        <v>2433501.448</v>
      </c>
      <c r="BF125" s="430"/>
      <c r="BG125" s="307">
        <f t="shared" si="83"/>
        <v>21000</v>
      </c>
      <c r="BH125" s="307">
        <f t="shared" si="84"/>
        <v>33000</v>
      </c>
      <c r="BI125" s="307">
        <f t="shared" si="85"/>
        <v>75000</v>
      </c>
      <c r="BJ125" s="307">
        <f t="shared" si="86"/>
        <v>95000</v>
      </c>
      <c r="BK125" s="307">
        <f t="shared" si="87"/>
        <v>175035.30408</v>
      </c>
      <c r="BL125" s="307" t="str">
        <f t="shared" si="88"/>
        <v/>
      </c>
      <c r="BM125" s="429">
        <f t="shared" si="89"/>
        <v>399035.30408</v>
      </c>
      <c r="BN125" s="320">
        <f t="shared" si="90"/>
        <v>32918.7681</v>
      </c>
      <c r="BO125" s="321">
        <f t="shared" si="131"/>
        <v>399035.30408</v>
      </c>
      <c r="BP125" s="322">
        <f t="shared" si="91"/>
        <v>33252.9420066667</v>
      </c>
      <c r="BQ125" s="323"/>
      <c r="BR125" s="324"/>
      <c r="BS125" s="325"/>
      <c r="BT125" s="326"/>
      <c r="BU125" s="326"/>
      <c r="BV125" s="334"/>
      <c r="BW125" s="335"/>
    </row>
    <row r="126" s="245" customFormat="1" ht="190" customHeight="1" spans="1:75">
      <c r="A126" s="255">
        <v>125</v>
      </c>
      <c r="B126" s="70" t="s">
        <v>427</v>
      </c>
      <c r="C126" s="129" t="s">
        <v>130</v>
      </c>
      <c r="D126" s="129" t="s">
        <v>272</v>
      </c>
      <c r="E126" s="256" t="s">
        <v>113</v>
      </c>
      <c r="F126" s="256">
        <v>2172788168</v>
      </c>
      <c r="G126" s="257">
        <v>2600486</v>
      </c>
      <c r="H126" s="258">
        <f t="shared" si="134"/>
        <v>216707.166666667</v>
      </c>
      <c r="I126" s="258">
        <f t="shared" si="126"/>
        <v>25282.5027777778</v>
      </c>
      <c r="J126" s="258">
        <v>5000</v>
      </c>
      <c r="K126" s="258"/>
      <c r="L126" s="258"/>
      <c r="M126" s="258">
        <v>2500</v>
      </c>
      <c r="N126" s="258"/>
      <c r="O126" s="258"/>
      <c r="P126" s="258"/>
      <c r="Q126" s="258"/>
      <c r="R126" s="258"/>
      <c r="S126" s="258"/>
      <c r="T126" s="258"/>
      <c r="U126" s="258">
        <v>383.33</v>
      </c>
      <c r="V126" s="258"/>
      <c r="W126" s="265"/>
      <c r="X126" s="258"/>
      <c r="Y126" s="258"/>
      <c r="Z126" s="258"/>
      <c r="AA126" s="258"/>
      <c r="AB126" s="258"/>
      <c r="AC126" s="258"/>
      <c r="AD126" s="270"/>
      <c r="AE126" s="258"/>
      <c r="AF126" s="258"/>
      <c r="AG126" s="270">
        <f t="shared" si="106"/>
        <v>4334.14333333333</v>
      </c>
      <c r="AH126" s="270"/>
      <c r="AI126" s="282"/>
      <c r="AJ126" s="279"/>
      <c r="AK126" s="279"/>
      <c r="AL126" s="279">
        <v>1000</v>
      </c>
      <c r="AM126" s="281"/>
      <c r="AN126" s="258"/>
      <c r="AO126" s="299">
        <v>1500</v>
      </c>
      <c r="AP126" s="299"/>
      <c r="AQ126" s="299"/>
      <c r="AR126" s="299">
        <f t="shared" si="107"/>
        <v>4997.45998888889</v>
      </c>
      <c r="AS126" s="300"/>
      <c r="AT126" s="300"/>
      <c r="AU126" s="299">
        <f t="shared" si="136"/>
        <v>29145.3305733333</v>
      </c>
      <c r="AV126" s="299">
        <f t="shared" si="145"/>
        <v>249872.999444444</v>
      </c>
      <c r="AW126" s="299">
        <f>AU126+AR126+AQ126+AO126+AN126+AM126+AK126+AI126+AH126+AG126+AF126+AE126+AD126+AL126</f>
        <v>40976.9338955556</v>
      </c>
      <c r="AX126" s="299"/>
      <c r="AY126" s="299"/>
      <c r="AZ126" s="299">
        <f t="shared" si="99"/>
        <v>208896.065548889</v>
      </c>
      <c r="BA126" s="429">
        <f t="shared" si="78"/>
        <v>2998475.99333333</v>
      </c>
      <c r="BB126" s="430">
        <f t="shared" si="79"/>
        <v>799695.198666667</v>
      </c>
      <c r="BC126" s="307">
        <f t="shared" si="80"/>
        <v>0</v>
      </c>
      <c r="BD126" s="308">
        <f t="shared" si="81"/>
        <v>799695.198666667</v>
      </c>
      <c r="BE126" s="313">
        <f t="shared" si="82"/>
        <v>2198780.79466667</v>
      </c>
      <c r="BF126" s="430"/>
      <c r="BG126" s="307">
        <f t="shared" si="83"/>
        <v>21000</v>
      </c>
      <c r="BH126" s="307">
        <f t="shared" si="84"/>
        <v>33000</v>
      </c>
      <c r="BI126" s="307">
        <f t="shared" si="85"/>
        <v>75000</v>
      </c>
      <c r="BJ126" s="307">
        <f t="shared" si="86"/>
        <v>95000</v>
      </c>
      <c r="BK126" s="307">
        <f t="shared" si="87"/>
        <v>125743.96688</v>
      </c>
      <c r="BL126" s="307" t="str">
        <f t="shared" si="88"/>
        <v/>
      </c>
      <c r="BM126" s="429">
        <f t="shared" si="89"/>
        <v>349743.96688</v>
      </c>
      <c r="BN126" s="320">
        <f t="shared" si="90"/>
        <v>29984.7599333333</v>
      </c>
      <c r="BO126" s="321">
        <f t="shared" si="131"/>
        <v>349743.96688</v>
      </c>
      <c r="BP126" s="322">
        <f t="shared" si="91"/>
        <v>29145.3305733333</v>
      </c>
      <c r="BQ126" s="323"/>
      <c r="BR126" s="324"/>
      <c r="BS126" s="325"/>
      <c r="BT126" s="326"/>
      <c r="BU126" s="326"/>
      <c r="BV126" s="334"/>
      <c r="BW126" s="335"/>
    </row>
    <row r="127" s="245" customFormat="1" ht="166" customHeight="1" spans="1:75">
      <c r="A127" s="255">
        <v>126</v>
      </c>
      <c r="B127" s="70" t="s">
        <v>428</v>
      </c>
      <c r="C127" s="129" t="s">
        <v>221</v>
      </c>
      <c r="D127" s="129" t="s">
        <v>439</v>
      </c>
      <c r="E127" s="128" t="s">
        <v>93</v>
      </c>
      <c r="F127" s="256">
        <v>3074712488</v>
      </c>
      <c r="G127" s="257">
        <v>1947516</v>
      </c>
      <c r="H127" s="258">
        <f t="shared" si="134"/>
        <v>162293</v>
      </c>
      <c r="I127" s="258">
        <f t="shared" si="126"/>
        <v>18934.1833333333</v>
      </c>
      <c r="J127" s="258">
        <v>5000</v>
      </c>
      <c r="K127" s="258"/>
      <c r="L127" s="258"/>
      <c r="M127" s="258">
        <v>2500</v>
      </c>
      <c r="N127" s="258"/>
      <c r="O127" s="258"/>
      <c r="P127" s="258"/>
      <c r="Q127" s="258"/>
      <c r="R127" s="258"/>
      <c r="S127" s="258"/>
      <c r="T127" s="258"/>
      <c r="U127" s="258">
        <v>383.33</v>
      </c>
      <c r="V127" s="258"/>
      <c r="W127" s="265"/>
      <c r="X127" s="258"/>
      <c r="Y127" s="258"/>
      <c r="Z127" s="258"/>
      <c r="AA127" s="258"/>
      <c r="AB127" s="258"/>
      <c r="AC127" s="258"/>
      <c r="AD127" s="270"/>
      <c r="AE127" s="258"/>
      <c r="AF127" s="258">
        <v>1750</v>
      </c>
      <c r="AG127" s="270">
        <f t="shared" si="106"/>
        <v>3245.86</v>
      </c>
      <c r="AH127" s="270"/>
      <c r="AI127" s="282">
        <v>1000</v>
      </c>
      <c r="AJ127" s="279"/>
      <c r="AK127" s="279"/>
      <c r="AL127" s="279"/>
      <c r="AM127" s="281">
        <f>46094+19075</f>
        <v>65169</v>
      </c>
      <c r="AN127" s="258"/>
      <c r="AO127" s="299">
        <v>1000</v>
      </c>
      <c r="AP127" s="299"/>
      <c r="AQ127" s="299"/>
      <c r="AR127" s="299">
        <f t="shared" si="107"/>
        <v>3782.21026666667</v>
      </c>
      <c r="AS127" s="300"/>
      <c r="AT127" s="300"/>
      <c r="AU127" s="299">
        <f t="shared" si="136"/>
        <v>18937.2329066667</v>
      </c>
      <c r="AV127" s="299">
        <f t="shared" ref="AV127" si="146">V127+U127+N127+M127+K127+J127+I127+H127</f>
        <v>189110.513333333</v>
      </c>
      <c r="AW127" s="299">
        <f t="shared" si="102"/>
        <v>94884.3031733333</v>
      </c>
      <c r="AX127" s="299"/>
      <c r="AY127" s="299"/>
      <c r="AZ127" s="299">
        <f t="shared" si="99"/>
        <v>94226.21016</v>
      </c>
      <c r="BA127" s="429">
        <f t="shared" si="78"/>
        <v>2269326.16</v>
      </c>
      <c r="BB127" s="430">
        <f t="shared" si="79"/>
        <v>653865.232</v>
      </c>
      <c r="BC127" s="307">
        <f t="shared" si="80"/>
        <v>0</v>
      </c>
      <c r="BD127" s="308">
        <f t="shared" si="81"/>
        <v>653865.232</v>
      </c>
      <c r="BE127" s="313">
        <f t="shared" si="82"/>
        <v>1615460.928</v>
      </c>
      <c r="BF127" s="430"/>
      <c r="BG127" s="307">
        <f t="shared" si="83"/>
        <v>21000</v>
      </c>
      <c r="BH127" s="307">
        <f t="shared" si="84"/>
        <v>33000</v>
      </c>
      <c r="BI127" s="307">
        <f t="shared" si="85"/>
        <v>75000</v>
      </c>
      <c r="BJ127" s="307">
        <f t="shared" si="86"/>
        <v>95000</v>
      </c>
      <c r="BK127" s="307">
        <f t="shared" si="87"/>
        <v>3246.79488000001</v>
      </c>
      <c r="BL127" s="307" t="str">
        <f t="shared" si="88"/>
        <v/>
      </c>
      <c r="BM127" s="429">
        <f t="shared" si="89"/>
        <v>227246.79488</v>
      </c>
      <c r="BN127" s="320">
        <f t="shared" si="90"/>
        <v>22693.2616</v>
      </c>
      <c r="BO127" s="321">
        <f t="shared" si="131"/>
        <v>227246.79488</v>
      </c>
      <c r="BP127" s="322">
        <f t="shared" si="91"/>
        <v>18937.2329066667</v>
      </c>
      <c r="BQ127" s="323"/>
      <c r="BR127" s="324"/>
      <c r="BS127" s="325"/>
      <c r="BT127" s="326"/>
      <c r="BU127" s="326"/>
      <c r="BV127" s="334"/>
      <c r="BW127" s="335"/>
    </row>
    <row r="128" s="245" customFormat="1" ht="156" customHeight="1" spans="1:75">
      <c r="A128" s="255">
        <v>127</v>
      </c>
      <c r="B128" s="70" t="s">
        <v>429</v>
      </c>
      <c r="C128" s="129" t="s">
        <v>221</v>
      </c>
      <c r="D128" s="129" t="s">
        <v>439</v>
      </c>
      <c r="E128" s="256" t="s">
        <v>354</v>
      </c>
      <c r="F128" s="256">
        <v>1005590620</v>
      </c>
      <c r="G128" s="257">
        <v>1947516</v>
      </c>
      <c r="H128" s="258">
        <f t="shared" si="134"/>
        <v>162293</v>
      </c>
      <c r="I128" s="258">
        <f t="shared" si="126"/>
        <v>18934.1833333333</v>
      </c>
      <c r="J128" s="258">
        <v>5000</v>
      </c>
      <c r="K128" s="258"/>
      <c r="L128" s="258"/>
      <c r="M128" s="258">
        <v>2500</v>
      </c>
      <c r="N128" s="258"/>
      <c r="O128" s="258"/>
      <c r="P128" s="258"/>
      <c r="Q128" s="258"/>
      <c r="R128" s="258"/>
      <c r="S128" s="258"/>
      <c r="T128" s="258"/>
      <c r="U128" s="258">
        <v>383.33</v>
      </c>
      <c r="V128" s="258"/>
      <c r="W128" s="265"/>
      <c r="X128" s="258"/>
      <c r="Y128" s="258"/>
      <c r="Z128" s="258"/>
      <c r="AA128" s="258"/>
      <c r="AB128" s="258"/>
      <c r="AC128" s="258"/>
      <c r="AD128" s="270"/>
      <c r="AE128" s="258"/>
      <c r="AF128" s="258">
        <v>2000</v>
      </c>
      <c r="AG128" s="270">
        <f t="shared" si="106"/>
        <v>3245.86</v>
      </c>
      <c r="AH128" s="270">
        <v>8000</v>
      </c>
      <c r="AI128" s="278"/>
      <c r="AJ128" s="280"/>
      <c r="AK128" s="280"/>
      <c r="AL128" s="280"/>
      <c r="AM128" s="281"/>
      <c r="AN128" s="258">
        <v>5000</v>
      </c>
      <c r="AO128" s="299">
        <v>1000</v>
      </c>
      <c r="AP128" s="299"/>
      <c r="AQ128" s="299">
        <v>1250</v>
      </c>
      <c r="AR128" s="299">
        <f t="shared" si="107"/>
        <v>3782.21026666667</v>
      </c>
      <c r="AS128" s="300"/>
      <c r="AT128" s="300"/>
      <c r="AU128" s="299">
        <f t="shared" si="136"/>
        <v>18937.2329066667</v>
      </c>
      <c r="AV128" s="299">
        <f t="shared" ref="AV128:AV129" si="147">W128+V128+U128+N128+M128+K128+J128+I128+H128</f>
        <v>189110.513333333</v>
      </c>
      <c r="AW128" s="299">
        <f t="shared" si="102"/>
        <v>43215.3031733333</v>
      </c>
      <c r="AX128" s="299"/>
      <c r="AY128" s="299"/>
      <c r="AZ128" s="299">
        <f t="shared" si="99"/>
        <v>145895.21016</v>
      </c>
      <c r="BA128" s="429">
        <f t="shared" si="78"/>
        <v>2269326.16</v>
      </c>
      <c r="BB128" s="430">
        <f t="shared" si="79"/>
        <v>653865.232</v>
      </c>
      <c r="BC128" s="307">
        <f t="shared" si="80"/>
        <v>0</v>
      </c>
      <c r="BD128" s="308">
        <f t="shared" si="81"/>
        <v>653865.232</v>
      </c>
      <c r="BE128" s="313">
        <f t="shared" si="82"/>
        <v>1615460.928</v>
      </c>
      <c r="BF128" s="430"/>
      <c r="BG128" s="307">
        <f t="shared" si="83"/>
        <v>21000</v>
      </c>
      <c r="BH128" s="307">
        <f t="shared" si="84"/>
        <v>33000</v>
      </c>
      <c r="BI128" s="307">
        <f t="shared" si="85"/>
        <v>75000</v>
      </c>
      <c r="BJ128" s="307">
        <f t="shared" si="86"/>
        <v>95000</v>
      </c>
      <c r="BK128" s="307">
        <f t="shared" si="87"/>
        <v>3246.79488000001</v>
      </c>
      <c r="BL128" s="307" t="str">
        <f t="shared" si="88"/>
        <v/>
      </c>
      <c r="BM128" s="429">
        <f t="shared" si="89"/>
        <v>227246.79488</v>
      </c>
      <c r="BN128" s="320">
        <f t="shared" si="90"/>
        <v>22693.2616</v>
      </c>
      <c r="BO128" s="321">
        <f t="shared" si="131"/>
        <v>227246.79488</v>
      </c>
      <c r="BP128" s="322">
        <f t="shared" si="91"/>
        <v>18937.2329066667</v>
      </c>
      <c r="BQ128" s="323"/>
      <c r="BR128" s="324"/>
      <c r="BS128" s="325"/>
      <c r="BT128" s="326"/>
      <c r="BU128" s="326"/>
      <c r="BV128" s="334"/>
      <c r="BW128" s="335"/>
    </row>
    <row r="129" s="245" customFormat="1" ht="156" customHeight="1" spans="1:75">
      <c r="A129" s="255">
        <v>128</v>
      </c>
      <c r="B129" s="70" t="s">
        <v>431</v>
      </c>
      <c r="C129" s="129" t="s">
        <v>130</v>
      </c>
      <c r="D129" s="129" t="s">
        <v>297</v>
      </c>
      <c r="E129" s="256" t="s">
        <v>127</v>
      </c>
      <c r="F129" s="1469" t="s">
        <v>2067</v>
      </c>
      <c r="G129" s="257">
        <v>2688069</v>
      </c>
      <c r="H129" s="258">
        <f t="shared" si="134"/>
        <v>224005.75</v>
      </c>
      <c r="I129" s="258">
        <f t="shared" si="126"/>
        <v>26134.0041666667</v>
      </c>
      <c r="J129" s="258">
        <v>5000</v>
      </c>
      <c r="K129" s="258"/>
      <c r="L129" s="258"/>
      <c r="M129" s="258">
        <v>2500</v>
      </c>
      <c r="N129" s="258"/>
      <c r="O129" s="258"/>
      <c r="P129" s="258"/>
      <c r="Q129" s="258"/>
      <c r="R129" s="258"/>
      <c r="S129" s="258"/>
      <c r="T129" s="258"/>
      <c r="U129" s="258">
        <v>383.33</v>
      </c>
      <c r="V129" s="258"/>
      <c r="W129" s="265"/>
      <c r="X129" s="258"/>
      <c r="Y129" s="258"/>
      <c r="Z129" s="258"/>
      <c r="AA129" s="258"/>
      <c r="AB129" s="258"/>
      <c r="AC129" s="258"/>
      <c r="AD129" s="270"/>
      <c r="AE129" s="258"/>
      <c r="AF129" s="258">
        <v>3500</v>
      </c>
      <c r="AG129" s="270">
        <f t="shared" si="106"/>
        <v>4480.115</v>
      </c>
      <c r="AH129" s="270"/>
      <c r="AI129" s="282">
        <v>1000</v>
      </c>
      <c r="AJ129" s="279"/>
      <c r="AK129" s="279"/>
      <c r="AL129" s="279"/>
      <c r="AM129" s="281"/>
      <c r="AN129" s="258">
        <v>10000</v>
      </c>
      <c r="AO129" s="299">
        <v>1500</v>
      </c>
      <c r="AP129" s="299"/>
      <c r="AQ129" s="299"/>
      <c r="AR129" s="299">
        <f t="shared" si="107"/>
        <v>5160.46168333333</v>
      </c>
      <c r="AS129" s="300"/>
      <c r="AT129" s="300"/>
      <c r="AU129" s="299">
        <f>AU128</f>
        <v>18937.2329066667</v>
      </c>
      <c r="AV129" s="299">
        <f t="shared" si="147"/>
        <v>258023.084166667</v>
      </c>
      <c r="AW129" s="299">
        <f t="shared" si="102"/>
        <v>44577.80959</v>
      </c>
      <c r="AX129" s="299"/>
      <c r="AY129" s="299"/>
      <c r="AZ129" s="299">
        <f t="shared" si="99"/>
        <v>213445.274576667</v>
      </c>
      <c r="BA129" s="429">
        <f t="shared" si="78"/>
        <v>3096277.01</v>
      </c>
      <c r="BB129" s="430">
        <f t="shared" si="79"/>
        <v>819255.402</v>
      </c>
      <c r="BC129" s="307">
        <f t="shared" si="80"/>
        <v>0</v>
      </c>
      <c r="BD129" s="308">
        <f t="shared" si="81"/>
        <v>819255.402</v>
      </c>
      <c r="BE129" s="313">
        <f t="shared" si="82"/>
        <v>2277021.608</v>
      </c>
      <c r="BF129" s="430"/>
      <c r="BG129" s="307">
        <f t="shared" si="83"/>
        <v>21000</v>
      </c>
      <c r="BH129" s="307">
        <f t="shared" si="84"/>
        <v>33000</v>
      </c>
      <c r="BI129" s="307">
        <f t="shared" si="85"/>
        <v>75000</v>
      </c>
      <c r="BJ129" s="307">
        <f t="shared" si="86"/>
        <v>95000</v>
      </c>
      <c r="BK129" s="307">
        <f t="shared" si="87"/>
        <v>142174.53768</v>
      </c>
      <c r="BL129" s="307" t="str">
        <f t="shared" si="88"/>
        <v/>
      </c>
      <c r="BM129" s="429">
        <f t="shared" si="89"/>
        <v>366174.53768</v>
      </c>
      <c r="BN129" s="320">
        <f t="shared" si="90"/>
        <v>30962.7701</v>
      </c>
      <c r="BO129" s="321">
        <f t="shared" si="131"/>
        <v>366174.53768</v>
      </c>
      <c r="BP129" s="322">
        <f t="shared" si="91"/>
        <v>30514.5448066667</v>
      </c>
      <c r="BQ129" s="323"/>
      <c r="BR129" s="324"/>
      <c r="BS129" s="325"/>
      <c r="BT129" s="326"/>
      <c r="BU129" s="326"/>
      <c r="BV129" s="334"/>
      <c r="BW129" s="335"/>
    </row>
    <row r="130" s="245" customFormat="1" ht="156" customHeight="1" spans="1:75">
      <c r="A130" s="255">
        <v>129</v>
      </c>
      <c r="B130" s="70" t="s">
        <v>433</v>
      </c>
      <c r="C130" s="129" t="s">
        <v>204</v>
      </c>
      <c r="D130" s="129" t="s">
        <v>205</v>
      </c>
      <c r="E130" s="256" t="s">
        <v>165</v>
      </c>
      <c r="F130" s="256">
        <v>1006686724</v>
      </c>
      <c r="G130" s="257">
        <v>2090081</v>
      </c>
      <c r="H130" s="258">
        <f t="shared" si="134"/>
        <v>174173.416666667</v>
      </c>
      <c r="I130" s="258">
        <f t="shared" si="126"/>
        <v>20320.2319444444</v>
      </c>
      <c r="J130" s="258">
        <v>5000</v>
      </c>
      <c r="K130" s="258"/>
      <c r="L130" s="258"/>
      <c r="M130" s="258">
        <v>2500</v>
      </c>
      <c r="N130" s="258"/>
      <c r="O130" s="258"/>
      <c r="P130" s="258"/>
      <c r="Q130" s="258"/>
      <c r="R130" s="258"/>
      <c r="S130" s="258"/>
      <c r="T130" s="258"/>
      <c r="U130" s="258">
        <v>383.33</v>
      </c>
      <c r="V130" s="258"/>
      <c r="W130" s="265"/>
      <c r="X130" s="258"/>
      <c r="Y130" s="258"/>
      <c r="Z130" s="258"/>
      <c r="AA130" s="258"/>
      <c r="AB130" s="258"/>
      <c r="AC130" s="258"/>
      <c r="AD130" s="270"/>
      <c r="AE130" s="258"/>
      <c r="AF130" s="258">
        <v>3750</v>
      </c>
      <c r="AG130" s="270">
        <f t="shared" si="106"/>
        <v>3483.46833333333</v>
      </c>
      <c r="AH130" s="270">
        <v>20000</v>
      </c>
      <c r="AI130" s="278"/>
      <c r="AJ130" s="280"/>
      <c r="AK130" s="280"/>
      <c r="AL130" s="280"/>
      <c r="AM130" s="281">
        <f>5000+17500</f>
        <v>22500</v>
      </c>
      <c r="AN130" s="258">
        <v>5000</v>
      </c>
      <c r="AO130" s="299">
        <v>1500</v>
      </c>
      <c r="AP130" s="299"/>
      <c r="AQ130" s="299"/>
      <c r="AR130" s="299">
        <f t="shared" si="107"/>
        <v>4047.53957222222</v>
      </c>
      <c r="AS130" s="300"/>
      <c r="AT130" s="300"/>
      <c r="AU130" s="299">
        <f>AU129</f>
        <v>18937.2329066667</v>
      </c>
      <c r="AV130" s="299">
        <f t="shared" ref="AV130" si="148">V130+U130+N130+M130+K130+J130+I130+H130</f>
        <v>202376.978611111</v>
      </c>
      <c r="AW130" s="299">
        <f t="shared" si="102"/>
        <v>79218.2408122222</v>
      </c>
      <c r="AX130" s="299"/>
      <c r="AY130" s="299"/>
      <c r="AZ130" s="299">
        <f t="shared" si="99"/>
        <v>123158.737798889</v>
      </c>
      <c r="BA130" s="429">
        <f t="shared" ref="BA130:BA178" si="149">AV130*12</f>
        <v>2428523.74333333</v>
      </c>
      <c r="BB130" s="430">
        <f t="shared" ref="BB130:BB178" si="150">200000+(0.2*BA130)</f>
        <v>685704.748666667</v>
      </c>
      <c r="BC130" s="307">
        <f t="shared" ref="BC130:BC178" si="151">AS130*12</f>
        <v>0</v>
      </c>
      <c r="BD130" s="308">
        <f t="shared" ref="BD130:BD178" si="152">SUM(BB130:BC130)</f>
        <v>685704.748666667</v>
      </c>
      <c r="BE130" s="313">
        <f t="shared" ref="BE130:BE178" si="153">+BA130-BD130</f>
        <v>1742818.99466667</v>
      </c>
      <c r="BF130" s="430"/>
      <c r="BG130" s="307">
        <f t="shared" ref="BG130:BG178" si="154">IF((BE130&gt;0),(IF((BE130&gt;300000),(300000*7%),(BE130*7%))),(BA130*1%))</f>
        <v>21000</v>
      </c>
      <c r="BH130" s="307">
        <f t="shared" ref="BH130:BH178" si="155">IF((BE130-300000)&gt;0,(IF((BE130&gt;600000),(300000*11%),((BE130-300000)*11%))),(""))</f>
        <v>33000</v>
      </c>
      <c r="BI130" s="307">
        <f t="shared" ref="BI130:BI178" si="156">IF(((BE130-600000)&gt;0),(IF((BE130&gt;1100000),(500000*15%),((BE130-600000)*15%))),(""))</f>
        <v>75000</v>
      </c>
      <c r="BJ130" s="307">
        <f t="shared" ref="BJ130:BJ178" si="157">IF(((BE130-(1100000))&gt;0),(IF((BE130&gt;(1600000)),((500000)*19%),((BE130-(1100000))*19%))),(""))</f>
        <v>95000</v>
      </c>
      <c r="BK130" s="307">
        <f t="shared" ref="BK130:BK178" si="158">IF(((BE130-(1600000))&gt;0),(IF((BE130&gt;(3200000)),((1600000)*21%),((BE130-(1600000))*21%))),(""))</f>
        <v>29991.98888</v>
      </c>
      <c r="BL130" s="307" t="str">
        <f t="shared" ref="BL130:BL178" si="159">IF(((BE130-(3200000))&gt;0),(IF((BE130&gt;(3200000)),((BE130-(3200000))*24%),(0))),(""))</f>
        <v/>
      </c>
      <c r="BM130" s="429">
        <f t="shared" ref="BM130:BM178" si="160">SUM(BG130:BL130)</f>
        <v>253991.98888</v>
      </c>
      <c r="BN130" s="320">
        <f t="shared" ref="BN130:BN178" si="161">1%*BA130</f>
        <v>24285.2374333333</v>
      </c>
      <c r="BO130" s="321">
        <f t="shared" si="131"/>
        <v>253991.98888</v>
      </c>
      <c r="BP130" s="322">
        <f t="shared" ref="BP130:BP178" si="162">+BO130/12</f>
        <v>21165.9990733333</v>
      </c>
      <c r="BQ130" s="323"/>
      <c r="BR130" s="324"/>
      <c r="BS130" s="325"/>
      <c r="BT130" s="326"/>
      <c r="BU130" s="326"/>
      <c r="BV130" s="334"/>
      <c r="BW130" s="335"/>
    </row>
    <row r="131" s="245" customFormat="1" ht="156" customHeight="1" spans="1:75">
      <c r="A131" s="255">
        <v>130</v>
      </c>
      <c r="B131" s="70" t="s">
        <v>434</v>
      </c>
      <c r="C131" s="129" t="s">
        <v>221</v>
      </c>
      <c r="D131" s="129" t="s">
        <v>555</v>
      </c>
      <c r="E131" s="256" t="s">
        <v>127</v>
      </c>
      <c r="F131" s="1469" t="s">
        <v>436</v>
      </c>
      <c r="G131" s="257">
        <v>1796468</v>
      </c>
      <c r="H131" s="258">
        <f t="shared" si="134"/>
        <v>149705.666666667</v>
      </c>
      <c r="I131" s="258">
        <f t="shared" si="126"/>
        <v>17465.6611111111</v>
      </c>
      <c r="J131" s="258">
        <v>5000</v>
      </c>
      <c r="K131" s="258"/>
      <c r="L131" s="258"/>
      <c r="M131" s="258">
        <v>2500</v>
      </c>
      <c r="N131" s="258"/>
      <c r="O131" s="258"/>
      <c r="P131" s="258"/>
      <c r="Q131" s="258"/>
      <c r="R131" s="258"/>
      <c r="S131" s="258"/>
      <c r="T131" s="258"/>
      <c r="U131" s="258">
        <v>383.33</v>
      </c>
      <c r="V131" s="258"/>
      <c r="W131" s="265"/>
      <c r="X131" s="258"/>
      <c r="Y131" s="258"/>
      <c r="Z131" s="258"/>
      <c r="AA131" s="258"/>
      <c r="AB131" s="258"/>
      <c r="AC131" s="258"/>
      <c r="AD131" s="270"/>
      <c r="AE131" s="258"/>
      <c r="AF131" s="258">
        <v>1750</v>
      </c>
      <c r="AG131" s="270">
        <f t="shared" si="106"/>
        <v>2994.11333333333</v>
      </c>
      <c r="AH131" s="270"/>
      <c r="AI131" s="278"/>
      <c r="AJ131" s="280"/>
      <c r="AK131" s="280"/>
      <c r="AL131" s="284">
        <v>1000</v>
      </c>
      <c r="AM131" s="281"/>
      <c r="AN131" s="258"/>
      <c r="AO131" s="299">
        <v>1000</v>
      </c>
      <c r="AP131" s="299"/>
      <c r="AQ131" s="299"/>
      <c r="AR131" s="299">
        <f t="shared" si="107"/>
        <v>3501.09315555556</v>
      </c>
      <c r="AS131" s="300"/>
      <c r="AT131" s="300"/>
      <c r="AU131" s="299">
        <f>AU130</f>
        <v>18937.2329066667</v>
      </c>
      <c r="AV131" s="299">
        <f t="shared" ref="AV131:AV132" si="163">W131+V131+U131+N131+M131+K131+J131+I131+H131</f>
        <v>175054.657777778</v>
      </c>
      <c r="AW131" s="299">
        <f>AU131+AR131+AQ131+AO131+AN131+AM131+AK131+AI131+AH131+AG131+AF131+AE131+AD131+AL131</f>
        <v>29182.4393955556</v>
      </c>
      <c r="AX131" s="299"/>
      <c r="AY131" s="299"/>
      <c r="AZ131" s="299">
        <f t="shared" si="99"/>
        <v>145872.218382222</v>
      </c>
      <c r="BA131" s="429">
        <f t="shared" si="149"/>
        <v>2100655.89333333</v>
      </c>
      <c r="BB131" s="430">
        <f t="shared" si="150"/>
        <v>620131.178666667</v>
      </c>
      <c r="BC131" s="307">
        <f t="shared" si="151"/>
        <v>0</v>
      </c>
      <c r="BD131" s="308">
        <f t="shared" si="152"/>
        <v>620131.178666667</v>
      </c>
      <c r="BE131" s="313">
        <f t="shared" si="153"/>
        <v>1480524.71466667</v>
      </c>
      <c r="BF131" s="430"/>
      <c r="BG131" s="307">
        <f t="shared" si="154"/>
        <v>21000</v>
      </c>
      <c r="BH131" s="307">
        <f t="shared" si="155"/>
        <v>33000</v>
      </c>
      <c r="BI131" s="307">
        <f t="shared" si="156"/>
        <v>75000</v>
      </c>
      <c r="BJ131" s="307">
        <f t="shared" si="157"/>
        <v>72299.6957866666</v>
      </c>
      <c r="BK131" s="307" t="str">
        <f t="shared" si="158"/>
        <v/>
      </c>
      <c r="BL131" s="307" t="str">
        <f t="shared" si="159"/>
        <v/>
      </c>
      <c r="BM131" s="429">
        <f t="shared" si="160"/>
        <v>201299.695786667</v>
      </c>
      <c r="BN131" s="320">
        <f t="shared" si="161"/>
        <v>21006.5589333333</v>
      </c>
      <c r="BO131" s="321">
        <f t="shared" si="131"/>
        <v>201299.695786667</v>
      </c>
      <c r="BP131" s="322">
        <f t="shared" si="162"/>
        <v>16774.9746488889</v>
      </c>
      <c r="BQ131" s="323"/>
      <c r="BR131" s="324"/>
      <c r="BS131" s="325"/>
      <c r="BT131" s="326"/>
      <c r="BU131" s="326"/>
      <c r="BV131" s="334"/>
      <c r="BW131" s="335"/>
    </row>
    <row r="132" s="245" customFormat="1" ht="156" customHeight="1" spans="1:75">
      <c r="A132" s="255">
        <v>131</v>
      </c>
      <c r="B132" s="70" t="s">
        <v>437</v>
      </c>
      <c r="C132" s="129" t="s">
        <v>204</v>
      </c>
      <c r="D132" s="129" t="s">
        <v>208</v>
      </c>
      <c r="E132" s="256" t="s">
        <v>93</v>
      </c>
      <c r="F132" s="256">
        <v>3045562177</v>
      </c>
      <c r="G132" s="257">
        <v>2035375</v>
      </c>
      <c r="H132" s="258">
        <f t="shared" si="134"/>
        <v>169614.583333333</v>
      </c>
      <c r="I132" s="258">
        <f t="shared" si="126"/>
        <v>19788.3680555556</v>
      </c>
      <c r="J132" s="258">
        <v>5000</v>
      </c>
      <c r="K132" s="258"/>
      <c r="L132" s="258"/>
      <c r="M132" s="258">
        <v>2500</v>
      </c>
      <c r="N132" s="258"/>
      <c r="O132" s="258"/>
      <c r="P132" s="258"/>
      <c r="Q132" s="258"/>
      <c r="R132" s="258"/>
      <c r="S132" s="258"/>
      <c r="T132" s="258"/>
      <c r="U132" s="258">
        <v>383.33</v>
      </c>
      <c r="V132" s="258"/>
      <c r="W132" s="265"/>
      <c r="X132" s="258"/>
      <c r="Y132" s="258"/>
      <c r="Z132" s="258"/>
      <c r="AA132" s="258"/>
      <c r="AB132" s="258"/>
      <c r="AC132" s="258"/>
      <c r="AD132" s="270"/>
      <c r="AE132" s="258"/>
      <c r="AF132" s="258"/>
      <c r="AG132" s="270">
        <f t="shared" si="106"/>
        <v>3392.29166666667</v>
      </c>
      <c r="AH132" s="270"/>
      <c r="AI132" s="282">
        <v>1000</v>
      </c>
      <c r="AJ132" s="279"/>
      <c r="AK132" s="279"/>
      <c r="AL132" s="279"/>
      <c r="AM132" s="281"/>
      <c r="AN132" s="258"/>
      <c r="AO132" s="299">
        <v>1500</v>
      </c>
      <c r="AP132" s="299"/>
      <c r="AQ132" s="299"/>
      <c r="AR132" s="299">
        <f t="shared" si="107"/>
        <v>3945.72562777778</v>
      </c>
      <c r="AS132" s="300"/>
      <c r="AT132" s="300"/>
      <c r="AU132" s="299">
        <f t="shared" ref="AU132:AU167" si="164">BP132</f>
        <v>20310.76194</v>
      </c>
      <c r="AV132" s="299">
        <f t="shared" si="163"/>
        <v>197286.281388889</v>
      </c>
      <c r="AW132" s="299">
        <f t="shared" si="102"/>
        <v>30148.7792344444</v>
      </c>
      <c r="AX132" s="299"/>
      <c r="AY132" s="299"/>
      <c r="AZ132" s="299">
        <f t="shared" si="99"/>
        <v>167137.502154444</v>
      </c>
      <c r="BA132" s="429">
        <f t="shared" si="149"/>
        <v>2367435.37666667</v>
      </c>
      <c r="BB132" s="430">
        <f t="shared" si="150"/>
        <v>673487.075333333</v>
      </c>
      <c r="BC132" s="307">
        <f t="shared" si="151"/>
        <v>0</v>
      </c>
      <c r="BD132" s="308">
        <f t="shared" si="152"/>
        <v>673487.075333333</v>
      </c>
      <c r="BE132" s="313">
        <f t="shared" si="153"/>
        <v>1693948.30133333</v>
      </c>
      <c r="BF132" s="430"/>
      <c r="BG132" s="307">
        <f t="shared" si="154"/>
        <v>21000</v>
      </c>
      <c r="BH132" s="307">
        <f t="shared" si="155"/>
        <v>33000</v>
      </c>
      <c r="BI132" s="307">
        <f t="shared" si="156"/>
        <v>75000</v>
      </c>
      <c r="BJ132" s="307">
        <f t="shared" si="157"/>
        <v>95000</v>
      </c>
      <c r="BK132" s="307">
        <f t="shared" si="158"/>
        <v>19729.1432800001</v>
      </c>
      <c r="BL132" s="307" t="str">
        <f t="shared" si="159"/>
        <v/>
      </c>
      <c r="BM132" s="429">
        <f t="shared" si="160"/>
        <v>243729.14328</v>
      </c>
      <c r="BN132" s="320">
        <f t="shared" si="161"/>
        <v>23674.3537666667</v>
      </c>
      <c r="BO132" s="321">
        <f t="shared" si="131"/>
        <v>243729.14328</v>
      </c>
      <c r="BP132" s="322">
        <f t="shared" si="162"/>
        <v>20310.76194</v>
      </c>
      <c r="BQ132" s="323"/>
      <c r="BR132" s="324"/>
      <c r="BS132" s="325"/>
      <c r="BT132" s="326"/>
      <c r="BU132" s="326"/>
      <c r="BV132" s="334"/>
      <c r="BW132" s="335"/>
    </row>
    <row r="133" s="245" customFormat="1" ht="156" customHeight="1" spans="1:75">
      <c r="A133" s="255">
        <v>132</v>
      </c>
      <c r="B133" s="70" t="s">
        <v>438</v>
      </c>
      <c r="C133" s="129" t="s">
        <v>221</v>
      </c>
      <c r="D133" s="129" t="s">
        <v>196</v>
      </c>
      <c r="E133" s="256" t="s">
        <v>113</v>
      </c>
      <c r="F133" s="256">
        <v>2241279302</v>
      </c>
      <c r="G133" s="258">
        <v>1846818</v>
      </c>
      <c r="H133" s="258">
        <f t="shared" si="134"/>
        <v>153901.5</v>
      </c>
      <c r="I133" s="258">
        <f t="shared" si="126"/>
        <v>17955.175</v>
      </c>
      <c r="J133" s="258">
        <v>5000</v>
      </c>
      <c r="K133" s="258"/>
      <c r="L133" s="258"/>
      <c r="M133" s="258">
        <v>2500</v>
      </c>
      <c r="N133" s="258"/>
      <c r="O133" s="258"/>
      <c r="P133" s="258"/>
      <c r="Q133" s="258"/>
      <c r="R133" s="258"/>
      <c r="S133" s="258"/>
      <c r="T133" s="258"/>
      <c r="U133" s="258">
        <v>383.33</v>
      </c>
      <c r="V133" s="258"/>
      <c r="W133" s="265"/>
      <c r="X133" s="258"/>
      <c r="Y133" s="258"/>
      <c r="Z133" s="258"/>
      <c r="AA133" s="258"/>
      <c r="AB133" s="258"/>
      <c r="AC133" s="258"/>
      <c r="AD133" s="270"/>
      <c r="AE133" s="258"/>
      <c r="AF133" s="258">
        <v>500</v>
      </c>
      <c r="AG133" s="270">
        <f t="shared" si="106"/>
        <v>3078.03</v>
      </c>
      <c r="AH133" s="270"/>
      <c r="AI133" s="278"/>
      <c r="AJ133" s="280"/>
      <c r="AK133" s="280"/>
      <c r="AL133" s="280"/>
      <c r="AM133" s="281"/>
      <c r="AN133" s="258"/>
      <c r="AO133" s="299">
        <v>1000</v>
      </c>
      <c r="AP133" s="299"/>
      <c r="AQ133" s="299"/>
      <c r="AR133" s="299">
        <f t="shared" si="107"/>
        <v>3594.8001</v>
      </c>
      <c r="AS133" s="300"/>
      <c r="AT133" s="300"/>
      <c r="AU133" s="299">
        <f t="shared" si="164"/>
        <v>17487.1474266667</v>
      </c>
      <c r="AV133" s="299">
        <f t="shared" ref="AV133" si="165">V133+U133+N133+M133+K133+J133+I133+H133</f>
        <v>179740.005</v>
      </c>
      <c r="AW133" s="299">
        <f t="shared" si="102"/>
        <v>25659.9775266667</v>
      </c>
      <c r="AX133" s="299"/>
      <c r="AY133" s="299"/>
      <c r="AZ133" s="299">
        <f t="shared" si="99"/>
        <v>154080.027473333</v>
      </c>
      <c r="BA133" s="429">
        <f t="shared" si="149"/>
        <v>2156880.06</v>
      </c>
      <c r="BB133" s="430">
        <f t="shared" si="150"/>
        <v>631376.012</v>
      </c>
      <c r="BC133" s="307">
        <f t="shared" si="151"/>
        <v>0</v>
      </c>
      <c r="BD133" s="308">
        <f t="shared" si="152"/>
        <v>631376.012</v>
      </c>
      <c r="BE133" s="313">
        <f t="shared" si="153"/>
        <v>1525504.048</v>
      </c>
      <c r="BF133" s="430"/>
      <c r="BG133" s="307">
        <f t="shared" si="154"/>
        <v>21000</v>
      </c>
      <c r="BH133" s="307">
        <f t="shared" si="155"/>
        <v>33000</v>
      </c>
      <c r="BI133" s="307">
        <f t="shared" si="156"/>
        <v>75000</v>
      </c>
      <c r="BJ133" s="307">
        <f t="shared" si="157"/>
        <v>80845.76912</v>
      </c>
      <c r="BK133" s="307" t="str">
        <f t="shared" si="158"/>
        <v/>
      </c>
      <c r="BL133" s="307" t="str">
        <f t="shared" si="159"/>
        <v/>
      </c>
      <c r="BM133" s="429">
        <f t="shared" si="160"/>
        <v>209845.76912</v>
      </c>
      <c r="BN133" s="320">
        <f t="shared" si="161"/>
        <v>21568.8006</v>
      </c>
      <c r="BO133" s="321">
        <f t="shared" si="131"/>
        <v>209845.76912</v>
      </c>
      <c r="BP133" s="322">
        <f t="shared" si="162"/>
        <v>17487.1474266667</v>
      </c>
      <c r="BQ133" s="323"/>
      <c r="BR133" s="324"/>
      <c r="BS133" s="325"/>
      <c r="BT133" s="326"/>
      <c r="BU133" s="326"/>
      <c r="BV133" s="334"/>
      <c r="BW133" s="335"/>
    </row>
    <row r="134" s="245" customFormat="1" ht="156" customHeight="1" spans="1:75">
      <c r="A134" s="255">
        <v>133</v>
      </c>
      <c r="B134" s="70" t="s">
        <v>441</v>
      </c>
      <c r="C134" s="129" t="s">
        <v>363</v>
      </c>
      <c r="D134" s="129" t="s">
        <v>208</v>
      </c>
      <c r="E134" s="256" t="s">
        <v>259</v>
      </c>
      <c r="F134" s="256">
        <v>4021422945</v>
      </c>
      <c r="G134" s="258">
        <f>H134*12</f>
        <v>1017686.52</v>
      </c>
      <c r="H134" s="258">
        <v>84807.21</v>
      </c>
      <c r="I134" s="258"/>
      <c r="J134" s="258"/>
      <c r="K134" s="258"/>
      <c r="L134" s="258"/>
      <c r="M134" s="258">
        <v>2500</v>
      </c>
      <c r="N134" s="258"/>
      <c r="O134" s="258"/>
      <c r="P134" s="258"/>
      <c r="Q134" s="258"/>
      <c r="R134" s="258"/>
      <c r="S134" s="258"/>
      <c r="T134" s="258"/>
      <c r="U134" s="258">
        <v>383.33</v>
      </c>
      <c r="V134" s="258"/>
      <c r="W134" s="265"/>
      <c r="X134" s="258"/>
      <c r="Y134" s="258"/>
      <c r="Z134" s="258"/>
      <c r="AA134" s="258"/>
      <c r="AB134" s="258"/>
      <c r="AC134" s="258"/>
      <c r="AD134" s="270"/>
      <c r="AE134" s="258"/>
      <c r="AF134" s="258"/>
      <c r="AG134" s="270">
        <f t="shared" si="106"/>
        <v>1696.1442</v>
      </c>
      <c r="AH134" s="270"/>
      <c r="AI134" s="381"/>
      <c r="AJ134" s="382"/>
      <c r="AK134" s="280"/>
      <c r="AL134" s="280"/>
      <c r="AM134" s="281"/>
      <c r="AN134" s="258"/>
      <c r="AO134" s="299">
        <v>750</v>
      </c>
      <c r="AP134" s="299"/>
      <c r="AQ134" s="299"/>
      <c r="AR134" s="299">
        <f t="shared" si="107"/>
        <v>1753.8108</v>
      </c>
      <c r="AS134" s="300"/>
      <c r="AT134" s="300"/>
      <c r="AU134" s="299">
        <f>AU164</f>
        <v>4976.8904</v>
      </c>
      <c r="AV134" s="299">
        <f t="shared" ref="AV134:AV137" si="166">W134+V134+U134+N134+M134+K134+J134+I134+H134</f>
        <v>87690.54</v>
      </c>
      <c r="AW134" s="299">
        <f t="shared" si="102"/>
        <v>9176.8454</v>
      </c>
      <c r="AX134" s="299"/>
      <c r="AY134" s="299"/>
      <c r="AZ134" s="299">
        <f t="shared" si="99"/>
        <v>78513.6946</v>
      </c>
      <c r="BA134" s="429">
        <f t="shared" si="149"/>
        <v>1052286.48</v>
      </c>
      <c r="BB134" s="430">
        <f t="shared" si="150"/>
        <v>410457.296</v>
      </c>
      <c r="BC134" s="307">
        <f t="shared" si="151"/>
        <v>0</v>
      </c>
      <c r="BD134" s="308">
        <f t="shared" si="152"/>
        <v>410457.296</v>
      </c>
      <c r="BE134" s="313">
        <f t="shared" si="153"/>
        <v>641829.184</v>
      </c>
      <c r="BF134" s="430"/>
      <c r="BG134" s="307">
        <f t="shared" si="154"/>
        <v>21000</v>
      </c>
      <c r="BH134" s="307">
        <f t="shared" si="155"/>
        <v>33000</v>
      </c>
      <c r="BI134" s="307">
        <f t="shared" si="156"/>
        <v>6274.3776</v>
      </c>
      <c r="BJ134" s="307" t="str">
        <f t="shared" si="157"/>
        <v/>
      </c>
      <c r="BK134" s="307" t="str">
        <f t="shared" si="158"/>
        <v/>
      </c>
      <c r="BL134" s="307" t="str">
        <f t="shared" si="159"/>
        <v/>
      </c>
      <c r="BM134" s="429">
        <f t="shared" si="160"/>
        <v>60274.3776</v>
      </c>
      <c r="BN134" s="320">
        <f t="shared" si="161"/>
        <v>10522.8648</v>
      </c>
      <c r="BO134" s="321">
        <f t="shared" si="131"/>
        <v>60274.3776</v>
      </c>
      <c r="BP134" s="322">
        <f t="shared" si="162"/>
        <v>5022.8648</v>
      </c>
      <c r="BQ134" s="323"/>
      <c r="BR134" s="324"/>
      <c r="BS134" s="325"/>
      <c r="BT134" s="326"/>
      <c r="BU134" s="326"/>
      <c r="BV134" s="334"/>
      <c r="BW134" s="335"/>
    </row>
    <row r="135" s="245" customFormat="1" ht="156" customHeight="1" spans="1:75">
      <c r="A135" s="255">
        <v>134</v>
      </c>
      <c r="B135" s="70" t="s">
        <v>1829</v>
      </c>
      <c r="C135" s="129" t="s">
        <v>363</v>
      </c>
      <c r="D135" s="129" t="s">
        <v>208</v>
      </c>
      <c r="E135" s="256" t="s">
        <v>259</v>
      </c>
      <c r="F135" s="256">
        <v>5334151353</v>
      </c>
      <c r="G135" s="258">
        <f>H135*12</f>
        <v>1017686.52</v>
      </c>
      <c r="H135" s="258">
        <v>84807.21</v>
      </c>
      <c r="I135" s="258"/>
      <c r="J135" s="258"/>
      <c r="K135" s="258"/>
      <c r="L135" s="258"/>
      <c r="M135" s="258">
        <v>2500</v>
      </c>
      <c r="N135" s="258"/>
      <c r="O135" s="258"/>
      <c r="P135" s="258"/>
      <c r="Q135" s="258"/>
      <c r="R135" s="258"/>
      <c r="S135" s="258"/>
      <c r="T135" s="258"/>
      <c r="U135" s="258">
        <v>383.33</v>
      </c>
      <c r="V135" s="258"/>
      <c r="W135" s="265"/>
      <c r="X135" s="258"/>
      <c r="Y135" s="258"/>
      <c r="Z135" s="258"/>
      <c r="AA135" s="258"/>
      <c r="AB135" s="258"/>
      <c r="AC135" s="258"/>
      <c r="AD135" s="270"/>
      <c r="AE135" s="258"/>
      <c r="AF135" s="258"/>
      <c r="AG135" s="270">
        <f t="shared" si="106"/>
        <v>1696.1442</v>
      </c>
      <c r="AH135" s="270"/>
      <c r="AI135" s="381"/>
      <c r="AJ135" s="383">
        <v>2000</v>
      </c>
      <c r="AK135" s="280"/>
      <c r="AL135" s="280"/>
      <c r="AM135" s="281"/>
      <c r="AN135" s="258"/>
      <c r="AO135" s="299">
        <v>750</v>
      </c>
      <c r="AP135" s="299"/>
      <c r="AQ135" s="299"/>
      <c r="AR135" s="299">
        <f t="shared" si="107"/>
        <v>1753.8108</v>
      </c>
      <c r="AS135" s="300"/>
      <c r="AT135" s="300"/>
      <c r="AU135" s="299">
        <f>BP135/2</f>
        <v>2511.4324</v>
      </c>
      <c r="AV135" s="299">
        <f t="shared" si="166"/>
        <v>87690.54</v>
      </c>
      <c r="AW135" s="299">
        <f>AU135+AR135+AQ135+AO135+AN135+AK135+AJ135+AI135+AH135+AG135+AF135</f>
        <v>8711.3874</v>
      </c>
      <c r="AX135" s="299"/>
      <c r="AY135" s="299"/>
      <c r="AZ135" s="299">
        <f t="shared" si="99"/>
        <v>78979.1526</v>
      </c>
      <c r="BA135" s="429">
        <f t="shared" si="149"/>
        <v>1052286.48</v>
      </c>
      <c r="BB135" s="430">
        <f t="shared" si="150"/>
        <v>410457.296</v>
      </c>
      <c r="BC135" s="307">
        <f t="shared" si="151"/>
        <v>0</v>
      </c>
      <c r="BD135" s="308">
        <f t="shared" si="152"/>
        <v>410457.296</v>
      </c>
      <c r="BE135" s="313">
        <f t="shared" si="153"/>
        <v>641829.184</v>
      </c>
      <c r="BF135" s="430"/>
      <c r="BG135" s="307">
        <f t="shared" si="154"/>
        <v>21000</v>
      </c>
      <c r="BH135" s="307">
        <f t="shared" si="155"/>
        <v>33000</v>
      </c>
      <c r="BI135" s="307">
        <f t="shared" si="156"/>
        <v>6274.3776</v>
      </c>
      <c r="BJ135" s="307" t="str">
        <f t="shared" si="157"/>
        <v/>
      </c>
      <c r="BK135" s="307" t="str">
        <f t="shared" si="158"/>
        <v/>
      </c>
      <c r="BL135" s="307" t="str">
        <f t="shared" si="159"/>
        <v/>
      </c>
      <c r="BM135" s="429">
        <f t="shared" si="160"/>
        <v>60274.3776</v>
      </c>
      <c r="BN135" s="320">
        <f t="shared" si="161"/>
        <v>10522.8648</v>
      </c>
      <c r="BO135" s="321">
        <f t="shared" si="131"/>
        <v>60274.3776</v>
      </c>
      <c r="BP135" s="322">
        <f t="shared" si="162"/>
        <v>5022.8648</v>
      </c>
      <c r="BQ135" s="323"/>
      <c r="BR135" s="324"/>
      <c r="BS135" s="325"/>
      <c r="BT135" s="326"/>
      <c r="BU135" s="326"/>
      <c r="BV135" s="334"/>
      <c r="BW135" s="335"/>
    </row>
    <row r="136" s="245" customFormat="1" ht="156" customHeight="1" spans="1:75">
      <c r="A136" s="255">
        <v>135</v>
      </c>
      <c r="B136" s="70" t="s">
        <v>443</v>
      </c>
      <c r="C136" s="129" t="s">
        <v>444</v>
      </c>
      <c r="D136" s="129" t="s">
        <v>445</v>
      </c>
      <c r="E136" s="256" t="s">
        <v>93</v>
      </c>
      <c r="F136" s="256">
        <v>3032095781</v>
      </c>
      <c r="G136" s="258">
        <f>1746118/2</f>
        <v>873059</v>
      </c>
      <c r="H136" s="258">
        <f>145509.83/2</f>
        <v>72754.915</v>
      </c>
      <c r="I136" s="258"/>
      <c r="J136" s="258"/>
      <c r="K136" s="258"/>
      <c r="L136" s="258"/>
      <c r="M136" s="258">
        <f>2500</f>
        <v>2500</v>
      </c>
      <c r="N136" s="258"/>
      <c r="O136" s="258"/>
      <c r="P136" s="258"/>
      <c r="Q136" s="258"/>
      <c r="R136" s="258"/>
      <c r="S136" s="258"/>
      <c r="T136" s="258"/>
      <c r="U136" s="258">
        <f>383.33</f>
        <v>383.33</v>
      </c>
      <c r="V136" s="258"/>
      <c r="W136" s="265"/>
      <c r="X136" s="258"/>
      <c r="Y136" s="258"/>
      <c r="Z136" s="258"/>
      <c r="AA136" s="258"/>
      <c r="AB136" s="258"/>
      <c r="AC136" s="258"/>
      <c r="AD136" s="270"/>
      <c r="AE136" s="258"/>
      <c r="AF136" s="258">
        <v>250</v>
      </c>
      <c r="AG136" s="270">
        <f t="shared" si="106"/>
        <v>1455.0983</v>
      </c>
      <c r="AH136" s="270"/>
      <c r="AI136" s="381"/>
      <c r="AJ136" s="286">
        <v>1000</v>
      </c>
      <c r="AK136" s="280"/>
      <c r="AL136" s="280"/>
      <c r="AM136" s="281"/>
      <c r="AN136" s="258"/>
      <c r="AO136" s="299">
        <v>500</v>
      </c>
      <c r="AP136" s="299"/>
      <c r="AQ136" s="299"/>
      <c r="AR136" s="299">
        <f t="shared" si="107"/>
        <v>1512.7649</v>
      </c>
      <c r="AS136" s="300"/>
      <c r="AT136" s="300"/>
      <c r="AU136" s="299">
        <f>BP136/2*2</f>
        <v>3822.83222666667</v>
      </c>
      <c r="AV136" s="299">
        <f t="shared" si="166"/>
        <v>75638.245</v>
      </c>
      <c r="AW136" s="299">
        <f>AU136+AR136+AO136+AJ136+AG136</f>
        <v>8290.69542666667</v>
      </c>
      <c r="AX136" s="299"/>
      <c r="AY136" s="299"/>
      <c r="AZ136" s="299">
        <f t="shared" si="99"/>
        <v>67347.5495733333</v>
      </c>
      <c r="BA136" s="429">
        <f t="shared" si="149"/>
        <v>907658.94</v>
      </c>
      <c r="BB136" s="430">
        <f t="shared" si="150"/>
        <v>381531.788</v>
      </c>
      <c r="BC136" s="307">
        <f t="shared" si="151"/>
        <v>0</v>
      </c>
      <c r="BD136" s="308">
        <f t="shared" si="152"/>
        <v>381531.788</v>
      </c>
      <c r="BE136" s="313">
        <f t="shared" si="153"/>
        <v>526127.152</v>
      </c>
      <c r="BF136" s="430"/>
      <c r="BG136" s="307">
        <f t="shared" si="154"/>
        <v>21000</v>
      </c>
      <c r="BH136" s="307">
        <f t="shared" si="155"/>
        <v>24873.98672</v>
      </c>
      <c r="BI136" s="307" t="str">
        <f t="shared" si="156"/>
        <v/>
      </c>
      <c r="BJ136" s="307" t="str">
        <f t="shared" si="157"/>
        <v/>
      </c>
      <c r="BK136" s="307" t="str">
        <f t="shared" si="158"/>
        <v/>
      </c>
      <c r="BL136" s="307" t="str">
        <f t="shared" si="159"/>
        <v/>
      </c>
      <c r="BM136" s="429">
        <f t="shared" si="160"/>
        <v>45873.98672</v>
      </c>
      <c r="BN136" s="320">
        <f t="shared" si="161"/>
        <v>9076.5894</v>
      </c>
      <c r="BO136" s="321">
        <f t="shared" si="131"/>
        <v>45873.98672</v>
      </c>
      <c r="BP136" s="322">
        <f t="shared" si="162"/>
        <v>3822.83222666667</v>
      </c>
      <c r="BQ136" s="323"/>
      <c r="BR136" s="324"/>
      <c r="BS136" s="325"/>
      <c r="BT136" s="326"/>
      <c r="BU136" s="326"/>
      <c r="BV136" s="334"/>
      <c r="BW136" s="335"/>
    </row>
    <row r="137" s="245" customFormat="1" ht="189" customHeight="1" spans="1:75">
      <c r="A137" s="255">
        <v>136</v>
      </c>
      <c r="B137" s="70" t="s">
        <v>451</v>
      </c>
      <c r="C137" s="129" t="s">
        <v>204</v>
      </c>
      <c r="D137" s="129" t="s">
        <v>2040</v>
      </c>
      <c r="E137" s="256" t="s">
        <v>113</v>
      </c>
      <c r="F137" s="256">
        <v>2080530783</v>
      </c>
      <c r="G137" s="257">
        <v>2109106</v>
      </c>
      <c r="H137" s="258">
        <f>G137/12</f>
        <v>175758.833333333</v>
      </c>
      <c r="I137" s="370">
        <f t="shared" si="126"/>
        <v>20505.1972222222</v>
      </c>
      <c r="J137" s="370">
        <v>5000</v>
      </c>
      <c r="K137" s="370"/>
      <c r="L137" s="370"/>
      <c r="M137" s="370">
        <v>2500</v>
      </c>
      <c r="N137" s="370"/>
      <c r="O137" s="370"/>
      <c r="P137" s="370"/>
      <c r="Q137" s="370"/>
      <c r="R137" s="370"/>
      <c r="S137" s="370"/>
      <c r="T137" s="370"/>
      <c r="U137" s="370">
        <v>383.33</v>
      </c>
      <c r="V137" s="370"/>
      <c r="W137" s="372"/>
      <c r="X137" s="370"/>
      <c r="Y137" s="370"/>
      <c r="Z137" s="370"/>
      <c r="AA137" s="370"/>
      <c r="AB137" s="370"/>
      <c r="AC137" s="370"/>
      <c r="AD137" s="374"/>
      <c r="AE137" s="370"/>
      <c r="AF137" s="370"/>
      <c r="AG137" s="374">
        <f t="shared" si="106"/>
        <v>3515.17666666667</v>
      </c>
      <c r="AH137" s="374"/>
      <c r="AI137" s="256"/>
      <c r="AJ137" s="384"/>
      <c r="AK137" s="384"/>
      <c r="AL137" s="385">
        <v>1000</v>
      </c>
      <c r="AM137" s="386"/>
      <c r="AN137" s="370"/>
      <c r="AO137" s="393">
        <v>1500</v>
      </c>
      <c r="AP137" s="393"/>
      <c r="AQ137" s="393"/>
      <c r="AR137" s="393">
        <f t="shared" si="107"/>
        <v>4082.94721111111</v>
      </c>
      <c r="AS137" s="394"/>
      <c r="AT137" s="394"/>
      <c r="AU137" s="393">
        <f t="shared" si="164"/>
        <v>21463.42324</v>
      </c>
      <c r="AV137" s="393">
        <f t="shared" si="166"/>
        <v>204147.360555556</v>
      </c>
      <c r="AW137" s="393">
        <f>AU137+AR137+AQ137+AO137+AN137+AM137+AK137+AI137+AH137+AG137+AF137+AE137+AD137+AL137</f>
        <v>31561.5471177778</v>
      </c>
      <c r="AX137" s="393"/>
      <c r="AY137" s="393"/>
      <c r="AZ137" s="393">
        <f t="shared" si="99"/>
        <v>172585.813437778</v>
      </c>
      <c r="BA137" s="401">
        <f t="shared" si="149"/>
        <v>2449768.32666667</v>
      </c>
      <c r="BB137" s="402">
        <f t="shared" si="150"/>
        <v>689953.665333333</v>
      </c>
      <c r="BC137" s="403">
        <f t="shared" si="151"/>
        <v>0</v>
      </c>
      <c r="BD137" s="404">
        <f t="shared" si="152"/>
        <v>689953.665333333</v>
      </c>
      <c r="BE137" s="410">
        <f t="shared" si="153"/>
        <v>1759814.66133333</v>
      </c>
      <c r="BF137" s="402"/>
      <c r="BG137" s="403">
        <f t="shared" si="154"/>
        <v>21000</v>
      </c>
      <c r="BH137" s="403">
        <f t="shared" si="155"/>
        <v>33000</v>
      </c>
      <c r="BI137" s="403">
        <f t="shared" si="156"/>
        <v>75000</v>
      </c>
      <c r="BJ137" s="403">
        <f t="shared" si="157"/>
        <v>95000</v>
      </c>
      <c r="BK137" s="403">
        <f t="shared" si="158"/>
        <v>33561.07888</v>
      </c>
      <c r="BL137" s="403" t="str">
        <f t="shared" si="159"/>
        <v/>
      </c>
      <c r="BM137" s="401">
        <f t="shared" si="160"/>
        <v>257561.07888</v>
      </c>
      <c r="BN137" s="419">
        <f t="shared" si="161"/>
        <v>24497.6832666667</v>
      </c>
      <c r="BO137" s="321">
        <f t="shared" si="131"/>
        <v>257561.07888</v>
      </c>
      <c r="BP137" s="322">
        <f t="shared" si="162"/>
        <v>21463.42324</v>
      </c>
      <c r="BQ137" s="323"/>
      <c r="BR137" s="324"/>
      <c r="BS137" s="325"/>
      <c r="BT137" s="326"/>
      <c r="BU137" s="326"/>
      <c r="BV137" s="334"/>
      <c r="BW137" s="335"/>
    </row>
    <row r="138" s="245" customFormat="1" ht="156" customHeight="1" spans="1:75">
      <c r="A138" s="255">
        <v>137</v>
      </c>
      <c r="B138" s="70" t="s">
        <v>452</v>
      </c>
      <c r="C138" s="129" t="s">
        <v>130</v>
      </c>
      <c r="D138" s="129" t="s">
        <v>294</v>
      </c>
      <c r="E138" s="256" t="s">
        <v>135</v>
      </c>
      <c r="F138" s="1469" t="s">
        <v>453</v>
      </c>
      <c r="G138" s="257">
        <v>2425322</v>
      </c>
      <c r="H138" s="258">
        <f>G138/12</f>
        <v>202110.166666667</v>
      </c>
      <c r="I138" s="258">
        <f t="shared" si="126"/>
        <v>23579.5194444444</v>
      </c>
      <c r="J138" s="258">
        <v>5000</v>
      </c>
      <c r="K138" s="258"/>
      <c r="L138" s="258"/>
      <c r="M138" s="258">
        <v>2500</v>
      </c>
      <c r="N138" s="258"/>
      <c r="O138" s="258"/>
      <c r="P138" s="258"/>
      <c r="Q138" s="258"/>
      <c r="R138" s="258"/>
      <c r="S138" s="258"/>
      <c r="T138" s="258"/>
      <c r="U138" s="258">
        <v>383.33</v>
      </c>
      <c r="V138" s="258"/>
      <c r="W138" s="265"/>
      <c r="X138" s="258"/>
      <c r="Y138" s="258"/>
      <c r="Z138" s="258"/>
      <c r="AA138" s="258"/>
      <c r="AB138" s="258"/>
      <c r="AC138" s="258"/>
      <c r="AD138" s="270"/>
      <c r="AE138" s="258"/>
      <c r="AF138" s="258"/>
      <c r="AG138" s="270">
        <f t="shared" si="106"/>
        <v>4042.20333333333</v>
      </c>
      <c r="AH138" s="270"/>
      <c r="AI138" s="278"/>
      <c r="AJ138" s="280"/>
      <c r="AK138" s="280"/>
      <c r="AL138" s="284">
        <v>1000</v>
      </c>
      <c r="AM138" s="281">
        <v>45000</v>
      </c>
      <c r="AN138" s="258">
        <v>7500</v>
      </c>
      <c r="AO138" s="299">
        <v>1500</v>
      </c>
      <c r="AP138" s="299"/>
      <c r="AQ138" s="299"/>
      <c r="AR138" s="299">
        <f t="shared" si="107"/>
        <v>4671.46032222222</v>
      </c>
      <c r="AS138" s="300"/>
      <c r="AT138" s="300"/>
      <c r="AU138" s="299">
        <f t="shared" si="164"/>
        <v>26406.9333733333</v>
      </c>
      <c r="AV138" s="299">
        <f t="shared" ref="AV138:AV139" si="167">V138+U138+N138+M138+K138+J138+I138+H138</f>
        <v>233573.016111111</v>
      </c>
      <c r="AW138" s="299">
        <f>AU138+AR138+AQ138+AO138+AN138+AM138+AK138+AI138+AH138+AG138+AF138+AE138+AD138+AL138</f>
        <v>90120.5970288889</v>
      </c>
      <c r="AX138" s="299"/>
      <c r="AY138" s="299"/>
      <c r="AZ138" s="299">
        <f t="shared" si="99"/>
        <v>143452.419082222</v>
      </c>
      <c r="BA138" s="429">
        <f t="shared" si="149"/>
        <v>2802876.19333333</v>
      </c>
      <c r="BB138" s="430">
        <f t="shared" si="150"/>
        <v>760575.238666667</v>
      </c>
      <c r="BC138" s="307">
        <f t="shared" si="151"/>
        <v>0</v>
      </c>
      <c r="BD138" s="308">
        <f t="shared" si="152"/>
        <v>760575.238666667</v>
      </c>
      <c r="BE138" s="313">
        <f t="shared" si="153"/>
        <v>2042300.95466667</v>
      </c>
      <c r="BF138" s="430"/>
      <c r="BG138" s="307">
        <f t="shared" si="154"/>
        <v>21000</v>
      </c>
      <c r="BH138" s="307">
        <f t="shared" si="155"/>
        <v>33000</v>
      </c>
      <c r="BI138" s="307">
        <f t="shared" si="156"/>
        <v>75000</v>
      </c>
      <c r="BJ138" s="307">
        <f t="shared" si="157"/>
        <v>95000</v>
      </c>
      <c r="BK138" s="307">
        <f t="shared" si="158"/>
        <v>92883.20048</v>
      </c>
      <c r="BL138" s="307" t="str">
        <f t="shared" si="159"/>
        <v/>
      </c>
      <c r="BM138" s="429">
        <f t="shared" si="160"/>
        <v>316883.20048</v>
      </c>
      <c r="BN138" s="320">
        <f t="shared" si="161"/>
        <v>28028.7619333333</v>
      </c>
      <c r="BO138" s="321">
        <f t="shared" si="131"/>
        <v>316883.20048</v>
      </c>
      <c r="BP138" s="322">
        <f t="shared" si="162"/>
        <v>26406.9333733333</v>
      </c>
      <c r="BQ138" s="323"/>
      <c r="BR138" s="324"/>
      <c r="BS138" s="325"/>
      <c r="BT138" s="326"/>
      <c r="BU138" s="326"/>
      <c r="BV138" s="334"/>
      <c r="BW138" s="335"/>
    </row>
    <row r="139" s="245" customFormat="1" ht="156" customHeight="1" spans="1:75">
      <c r="A139" s="255">
        <v>138</v>
      </c>
      <c r="B139" s="70" t="s">
        <v>2068</v>
      </c>
      <c r="C139" s="129" t="s">
        <v>442</v>
      </c>
      <c r="D139" s="129" t="s">
        <v>208</v>
      </c>
      <c r="E139" s="256" t="s">
        <v>361</v>
      </c>
      <c r="F139" s="256">
        <v>2005570980</v>
      </c>
      <c r="G139" s="257">
        <v>2035373</v>
      </c>
      <c r="H139" s="258">
        <v>84807.21</v>
      </c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  <c r="U139" s="258">
        <f>383.33</f>
        <v>383.33</v>
      </c>
      <c r="V139" s="258"/>
      <c r="W139" s="265"/>
      <c r="X139" s="258"/>
      <c r="Y139" s="258"/>
      <c r="Z139" s="258"/>
      <c r="AA139" s="258"/>
      <c r="AB139" s="258"/>
      <c r="AC139" s="258"/>
      <c r="AD139" s="270"/>
      <c r="AE139" s="258"/>
      <c r="AF139" s="258">
        <v>250</v>
      </c>
      <c r="AG139" s="270">
        <f t="shared" si="106"/>
        <v>1696.1442</v>
      </c>
      <c r="AH139" s="270"/>
      <c r="AI139" s="278"/>
      <c r="AJ139" s="280"/>
      <c r="AK139" s="280"/>
      <c r="AL139" s="280"/>
      <c r="AM139" s="281"/>
      <c r="AN139" s="258"/>
      <c r="AO139" s="299">
        <v>750</v>
      </c>
      <c r="AP139" s="299"/>
      <c r="AQ139" s="299"/>
      <c r="AR139" s="299">
        <f t="shared" si="107"/>
        <v>1703.8108</v>
      </c>
      <c r="AS139" s="300"/>
      <c r="AT139" s="300"/>
      <c r="AU139" s="299">
        <f t="shared" si="164"/>
        <v>4722.8648</v>
      </c>
      <c r="AV139" s="299">
        <f t="shared" si="167"/>
        <v>85190.54</v>
      </c>
      <c r="AW139" s="299">
        <f t="shared" ref="AW139:AW176" si="168">AU139+AR139+AQ139+AO139+AN139+AM139+AK139+AI139+AH139+AG139+AF139+AE139+AD139</f>
        <v>9122.8198</v>
      </c>
      <c r="AX139" s="299"/>
      <c r="AY139" s="299"/>
      <c r="AZ139" s="299">
        <f t="shared" ref="AZ139:AZ178" si="169">AV139-AW139</f>
        <v>76067.7202</v>
      </c>
      <c r="BA139" s="429">
        <f t="shared" si="149"/>
        <v>1022286.48</v>
      </c>
      <c r="BB139" s="430">
        <f t="shared" si="150"/>
        <v>404457.296</v>
      </c>
      <c r="BC139" s="307">
        <f t="shared" si="151"/>
        <v>0</v>
      </c>
      <c r="BD139" s="308">
        <f t="shared" si="152"/>
        <v>404457.296</v>
      </c>
      <c r="BE139" s="313">
        <f t="shared" si="153"/>
        <v>617829.184</v>
      </c>
      <c r="BF139" s="430"/>
      <c r="BG139" s="307">
        <f t="shared" si="154"/>
        <v>21000</v>
      </c>
      <c r="BH139" s="307">
        <f t="shared" si="155"/>
        <v>33000</v>
      </c>
      <c r="BI139" s="307">
        <f t="shared" si="156"/>
        <v>2674.37760000002</v>
      </c>
      <c r="BJ139" s="307" t="str">
        <f t="shared" si="157"/>
        <v/>
      </c>
      <c r="BK139" s="307" t="str">
        <f t="shared" si="158"/>
        <v/>
      </c>
      <c r="BL139" s="307" t="str">
        <f t="shared" si="159"/>
        <v/>
      </c>
      <c r="BM139" s="429">
        <f t="shared" si="160"/>
        <v>56674.3776</v>
      </c>
      <c r="BN139" s="320">
        <f t="shared" si="161"/>
        <v>10222.8648</v>
      </c>
      <c r="BO139" s="321">
        <f t="shared" si="131"/>
        <v>56674.3776</v>
      </c>
      <c r="BP139" s="322">
        <f t="shared" si="162"/>
        <v>4722.8648</v>
      </c>
      <c r="BQ139" s="323"/>
      <c r="BR139" s="324"/>
      <c r="BS139" s="325"/>
      <c r="BT139" s="326"/>
      <c r="BU139" s="326"/>
      <c r="BV139" s="334"/>
      <c r="BW139" s="335"/>
    </row>
    <row r="140" s="245" customFormat="1" ht="156" customHeight="1" spans="1:75">
      <c r="A140" s="255">
        <v>139</v>
      </c>
      <c r="B140" s="70" t="s">
        <v>2069</v>
      </c>
      <c r="C140" s="129" t="s">
        <v>2070</v>
      </c>
      <c r="D140" s="129" t="s">
        <v>555</v>
      </c>
      <c r="E140" s="256" t="s">
        <v>93</v>
      </c>
      <c r="F140" s="256">
        <v>3045166049</v>
      </c>
      <c r="G140" s="257">
        <v>1796468</v>
      </c>
      <c r="H140" s="258">
        <f>G140/12</f>
        <v>149705.666666667</v>
      </c>
      <c r="I140" s="258">
        <f>H140*0.35/3</f>
        <v>17465.6611111111</v>
      </c>
      <c r="J140" s="258">
        <v>5000</v>
      </c>
      <c r="K140" s="258"/>
      <c r="L140" s="258"/>
      <c r="M140" s="258">
        <v>2500</v>
      </c>
      <c r="N140" s="258"/>
      <c r="O140" s="258"/>
      <c r="P140" s="258"/>
      <c r="Q140" s="258"/>
      <c r="R140" s="258"/>
      <c r="S140" s="258"/>
      <c r="T140" s="258"/>
      <c r="U140" s="258">
        <v>383.33</v>
      </c>
      <c r="V140" s="258"/>
      <c r="W140" s="265"/>
      <c r="X140" s="258"/>
      <c r="Y140" s="258"/>
      <c r="Z140" s="258"/>
      <c r="AA140" s="258"/>
      <c r="AB140" s="258"/>
      <c r="AC140" s="258"/>
      <c r="AD140" s="270"/>
      <c r="AE140" s="258"/>
      <c r="AF140" s="258"/>
      <c r="AG140" s="270">
        <f t="shared" si="106"/>
        <v>2994.11333333333</v>
      </c>
      <c r="AH140" s="270"/>
      <c r="AI140" s="282">
        <v>1000</v>
      </c>
      <c r="AJ140" s="279"/>
      <c r="AK140" s="279"/>
      <c r="AL140" s="279"/>
      <c r="AM140" s="281"/>
      <c r="AN140" s="258"/>
      <c r="AO140" s="299">
        <v>1000</v>
      </c>
      <c r="AP140" s="299"/>
      <c r="AQ140" s="299"/>
      <c r="AR140" s="299">
        <f t="shared" si="107"/>
        <v>3501.09315555556</v>
      </c>
      <c r="AS140" s="300"/>
      <c r="AT140" s="300"/>
      <c r="AU140" s="299">
        <f t="shared" si="164"/>
        <v>16774.9746488889</v>
      </c>
      <c r="AV140" s="299">
        <f t="shared" ref="AV140" si="170">W140+V140+U140+N140+M140+K140+J140+I140+H140</f>
        <v>175054.657777778</v>
      </c>
      <c r="AW140" s="299">
        <f t="shared" si="168"/>
        <v>25270.1811377778</v>
      </c>
      <c r="AX140" s="299"/>
      <c r="AY140" s="299"/>
      <c r="AZ140" s="299">
        <f t="shared" si="169"/>
        <v>149784.47664</v>
      </c>
      <c r="BA140" s="429">
        <f t="shared" si="149"/>
        <v>2100655.89333333</v>
      </c>
      <c r="BB140" s="430">
        <f t="shared" si="150"/>
        <v>620131.178666667</v>
      </c>
      <c r="BC140" s="307">
        <f t="shared" si="151"/>
        <v>0</v>
      </c>
      <c r="BD140" s="308">
        <f t="shared" si="152"/>
        <v>620131.178666667</v>
      </c>
      <c r="BE140" s="313">
        <f t="shared" si="153"/>
        <v>1480524.71466667</v>
      </c>
      <c r="BF140" s="430"/>
      <c r="BG140" s="307">
        <f t="shared" si="154"/>
        <v>21000</v>
      </c>
      <c r="BH140" s="307">
        <f t="shared" si="155"/>
        <v>33000</v>
      </c>
      <c r="BI140" s="307">
        <f t="shared" si="156"/>
        <v>75000</v>
      </c>
      <c r="BJ140" s="307">
        <f t="shared" si="157"/>
        <v>72299.6957866666</v>
      </c>
      <c r="BK140" s="307" t="str">
        <f t="shared" si="158"/>
        <v/>
      </c>
      <c r="BL140" s="307" t="str">
        <f t="shared" si="159"/>
        <v/>
      </c>
      <c r="BM140" s="429">
        <f t="shared" si="160"/>
        <v>201299.695786667</v>
      </c>
      <c r="BN140" s="320">
        <f t="shared" si="161"/>
        <v>21006.5589333333</v>
      </c>
      <c r="BO140" s="321">
        <f t="shared" si="131"/>
        <v>201299.695786667</v>
      </c>
      <c r="BP140" s="322">
        <f t="shared" si="162"/>
        <v>16774.9746488889</v>
      </c>
      <c r="BQ140" s="323"/>
      <c r="BR140" s="324"/>
      <c r="BS140" s="325"/>
      <c r="BT140" s="326"/>
      <c r="BU140" s="326"/>
      <c r="BV140" s="334"/>
      <c r="BW140" s="335"/>
    </row>
    <row r="141" s="245" customFormat="1" ht="156" customHeight="1" spans="1:75">
      <c r="A141" s="255">
        <v>140</v>
      </c>
      <c r="B141" s="70" t="s">
        <v>455</v>
      </c>
      <c r="C141" s="129" t="s">
        <v>130</v>
      </c>
      <c r="D141" s="129" t="s">
        <v>218</v>
      </c>
      <c r="E141" s="256" t="s">
        <v>127</v>
      </c>
      <c r="F141" s="1469" t="s">
        <v>2071</v>
      </c>
      <c r="G141" s="257">
        <v>2512904</v>
      </c>
      <c r="H141" s="258">
        <f t="shared" ref="H141:H153" si="171">G141/12</f>
        <v>209408.666666667</v>
      </c>
      <c r="I141" s="258">
        <f t="shared" si="126"/>
        <v>24431.0111111111</v>
      </c>
      <c r="J141" s="258">
        <v>5000</v>
      </c>
      <c r="K141" s="258"/>
      <c r="L141" s="258"/>
      <c r="M141" s="258">
        <v>2500</v>
      </c>
      <c r="N141" s="258"/>
      <c r="O141" s="258"/>
      <c r="P141" s="258"/>
      <c r="Q141" s="258"/>
      <c r="R141" s="258"/>
      <c r="S141" s="258"/>
      <c r="T141" s="258"/>
      <c r="U141" s="258">
        <v>383.33</v>
      </c>
      <c r="V141" s="258"/>
      <c r="W141" s="265"/>
      <c r="X141" s="258"/>
      <c r="Y141" s="258"/>
      <c r="Z141" s="258"/>
      <c r="AA141" s="258"/>
      <c r="AB141" s="258"/>
      <c r="AC141" s="258"/>
      <c r="AD141" s="270"/>
      <c r="AE141" s="258"/>
      <c r="AF141" s="258"/>
      <c r="AG141" s="270">
        <f t="shared" si="106"/>
        <v>4188.17333333333</v>
      </c>
      <c r="AH141" s="270">
        <f>5000</f>
        <v>5000</v>
      </c>
      <c r="AI141" s="278"/>
      <c r="AJ141" s="279">
        <v>1000</v>
      </c>
      <c r="AK141" s="280"/>
      <c r="AL141" s="280"/>
      <c r="AM141" s="281">
        <f>15000+15158.33</f>
        <v>30158.33</v>
      </c>
      <c r="AN141" s="258">
        <v>8333.33</v>
      </c>
      <c r="AO141" s="299">
        <v>1500</v>
      </c>
      <c r="AP141" s="299"/>
      <c r="AQ141" s="299"/>
      <c r="AR141" s="299">
        <f t="shared" si="107"/>
        <v>4834.46015555556</v>
      </c>
      <c r="AS141" s="300"/>
      <c r="AT141" s="300"/>
      <c r="AU141" s="299">
        <f t="shared" si="164"/>
        <v>27776.1319733333</v>
      </c>
      <c r="AV141" s="299">
        <f t="shared" ref="AV141" si="172">V141+U141+N141+M141+K141+J141+I141+H141</f>
        <v>241723.007777778</v>
      </c>
      <c r="AW141" s="299">
        <f>AU141+AR141+AQ141+AO141+AN141+AM141+AK141+AI141+AH141+AG141+AF141+AE141+AD141+AJ141</f>
        <v>82790.4254622222</v>
      </c>
      <c r="AX141" s="299"/>
      <c r="AY141" s="299"/>
      <c r="AZ141" s="299">
        <f t="shared" si="169"/>
        <v>158932.582315556</v>
      </c>
      <c r="BA141" s="429">
        <f t="shared" si="149"/>
        <v>2900676.09333333</v>
      </c>
      <c r="BB141" s="430">
        <f t="shared" si="150"/>
        <v>780135.218666667</v>
      </c>
      <c r="BC141" s="307">
        <f t="shared" si="151"/>
        <v>0</v>
      </c>
      <c r="BD141" s="308">
        <f t="shared" si="152"/>
        <v>780135.218666667</v>
      </c>
      <c r="BE141" s="313">
        <f t="shared" si="153"/>
        <v>2120540.87466667</v>
      </c>
      <c r="BF141" s="430"/>
      <c r="BG141" s="307">
        <f t="shared" si="154"/>
        <v>21000</v>
      </c>
      <c r="BH141" s="307">
        <f t="shared" si="155"/>
        <v>33000</v>
      </c>
      <c r="BI141" s="307">
        <f t="shared" si="156"/>
        <v>75000</v>
      </c>
      <c r="BJ141" s="307">
        <f t="shared" si="157"/>
        <v>95000</v>
      </c>
      <c r="BK141" s="307">
        <f t="shared" si="158"/>
        <v>109313.58368</v>
      </c>
      <c r="BL141" s="307" t="str">
        <f t="shared" si="159"/>
        <v/>
      </c>
      <c r="BM141" s="429">
        <f t="shared" si="160"/>
        <v>333313.58368</v>
      </c>
      <c r="BN141" s="320">
        <f t="shared" si="161"/>
        <v>29006.7609333333</v>
      </c>
      <c r="BO141" s="321">
        <f t="shared" ref="BO141:BO172" si="173">MAX(BM141:BN141)</f>
        <v>333313.58368</v>
      </c>
      <c r="BP141" s="322">
        <f t="shared" si="162"/>
        <v>27776.1319733333</v>
      </c>
      <c r="BQ141" s="323"/>
      <c r="BR141" s="324"/>
      <c r="BS141" s="325"/>
      <c r="BT141" s="326"/>
      <c r="BU141" s="326"/>
      <c r="BV141" s="334"/>
      <c r="BW141" s="335"/>
    </row>
    <row r="142" s="245" customFormat="1" ht="156" customHeight="1" spans="1:75">
      <c r="A142" s="255">
        <v>141</v>
      </c>
      <c r="B142" s="70" t="s">
        <v>458</v>
      </c>
      <c r="C142" s="129" t="s">
        <v>204</v>
      </c>
      <c r="D142" s="129" t="s">
        <v>208</v>
      </c>
      <c r="E142" s="256" t="s">
        <v>127</v>
      </c>
      <c r="F142" s="1469" t="s">
        <v>459</v>
      </c>
      <c r="G142" s="257">
        <v>2035173</v>
      </c>
      <c r="H142" s="258">
        <f t="shared" si="171"/>
        <v>169597.75</v>
      </c>
      <c r="I142" s="258">
        <f t="shared" si="126"/>
        <v>19786.4041666667</v>
      </c>
      <c r="J142" s="258">
        <v>5000</v>
      </c>
      <c r="K142" s="258"/>
      <c r="L142" s="258"/>
      <c r="M142" s="258">
        <v>2500</v>
      </c>
      <c r="N142" s="258"/>
      <c r="O142" s="258"/>
      <c r="P142" s="258"/>
      <c r="Q142" s="258"/>
      <c r="R142" s="258"/>
      <c r="S142" s="258"/>
      <c r="T142" s="258"/>
      <c r="U142" s="258">
        <v>383.33</v>
      </c>
      <c r="V142" s="258"/>
      <c r="W142" s="265"/>
      <c r="X142" s="258"/>
      <c r="Y142" s="258"/>
      <c r="Z142" s="258"/>
      <c r="AA142" s="258"/>
      <c r="AB142" s="258"/>
      <c r="AC142" s="258"/>
      <c r="AD142" s="270"/>
      <c r="AE142" s="258"/>
      <c r="AF142" s="258"/>
      <c r="AG142" s="270">
        <f t="shared" si="106"/>
        <v>3391.955</v>
      </c>
      <c r="AH142" s="270"/>
      <c r="AI142" s="282">
        <v>1000</v>
      </c>
      <c r="AJ142" s="279"/>
      <c r="AK142" s="279"/>
      <c r="AL142" s="279"/>
      <c r="AM142" s="281">
        <v>20000</v>
      </c>
      <c r="AN142" s="258"/>
      <c r="AO142" s="299">
        <v>1500</v>
      </c>
      <c r="AP142" s="299"/>
      <c r="AQ142" s="299"/>
      <c r="AR142" s="299">
        <f t="shared" si="107"/>
        <v>3945.34968333333</v>
      </c>
      <c r="AS142" s="300"/>
      <c r="AT142" s="300"/>
      <c r="AU142" s="299">
        <f t="shared" si="164"/>
        <v>20307.6040066667</v>
      </c>
      <c r="AV142" s="299">
        <f t="shared" ref="AV142:AV144" si="174">W142+V142+U142+N142+M142+K142+J142+I142+H142</f>
        <v>197267.484166667</v>
      </c>
      <c r="AW142" s="299">
        <f>AU142+AR142+AQ142+AO142+AN142+AM142+AK142+AI142+AH142+AG142+AF142+AE142+AD142+AL142</f>
        <v>50144.90869</v>
      </c>
      <c r="AX142" s="299"/>
      <c r="AY142" s="299"/>
      <c r="AZ142" s="299">
        <f t="shared" si="169"/>
        <v>147122.575476667</v>
      </c>
      <c r="BA142" s="429">
        <f t="shared" si="149"/>
        <v>2367209.81</v>
      </c>
      <c r="BB142" s="430">
        <f t="shared" si="150"/>
        <v>673441.962</v>
      </c>
      <c r="BC142" s="307">
        <f t="shared" si="151"/>
        <v>0</v>
      </c>
      <c r="BD142" s="308">
        <f t="shared" si="152"/>
        <v>673441.962</v>
      </c>
      <c r="BE142" s="313">
        <f t="shared" si="153"/>
        <v>1693767.848</v>
      </c>
      <c r="BF142" s="430"/>
      <c r="BG142" s="307">
        <f t="shared" si="154"/>
        <v>21000</v>
      </c>
      <c r="BH142" s="307">
        <f t="shared" si="155"/>
        <v>33000</v>
      </c>
      <c r="BI142" s="307">
        <f t="shared" si="156"/>
        <v>75000</v>
      </c>
      <c r="BJ142" s="307">
        <f t="shared" si="157"/>
        <v>95000</v>
      </c>
      <c r="BK142" s="307">
        <f t="shared" si="158"/>
        <v>19691.24808</v>
      </c>
      <c r="BL142" s="307" t="str">
        <f t="shared" si="159"/>
        <v/>
      </c>
      <c r="BM142" s="429">
        <f t="shared" si="160"/>
        <v>243691.24808</v>
      </c>
      <c r="BN142" s="320">
        <f t="shared" si="161"/>
        <v>23672.0981</v>
      </c>
      <c r="BO142" s="321">
        <f t="shared" si="173"/>
        <v>243691.24808</v>
      </c>
      <c r="BP142" s="322">
        <f t="shared" si="162"/>
        <v>20307.6040066667</v>
      </c>
      <c r="BQ142" s="323"/>
      <c r="BR142" s="324"/>
      <c r="BS142" s="325"/>
      <c r="BT142" s="326"/>
      <c r="BU142" s="326"/>
      <c r="BV142" s="334"/>
      <c r="BW142" s="335"/>
    </row>
    <row r="143" s="245" customFormat="1" ht="162" customHeight="1" spans="1:75">
      <c r="A143" s="255">
        <v>142</v>
      </c>
      <c r="B143" s="70" t="s">
        <v>460</v>
      </c>
      <c r="C143" s="129" t="s">
        <v>204</v>
      </c>
      <c r="D143" s="129" t="s">
        <v>2072</v>
      </c>
      <c r="E143" s="256" t="s">
        <v>113</v>
      </c>
      <c r="F143" s="256">
        <v>20272450981</v>
      </c>
      <c r="G143" s="257">
        <v>1980666</v>
      </c>
      <c r="H143" s="258">
        <f t="shared" si="171"/>
        <v>165055.5</v>
      </c>
      <c r="I143" s="258">
        <f t="shared" si="126"/>
        <v>19256.475</v>
      </c>
      <c r="J143" s="258">
        <v>5000</v>
      </c>
      <c r="K143" s="258"/>
      <c r="L143" s="258"/>
      <c r="M143" s="258">
        <v>2500</v>
      </c>
      <c r="N143" s="258"/>
      <c r="O143" s="258"/>
      <c r="P143" s="258"/>
      <c r="Q143" s="258"/>
      <c r="R143" s="258"/>
      <c r="S143" s="258"/>
      <c r="T143" s="258"/>
      <c r="U143" s="258">
        <f>383.33</f>
        <v>383.33</v>
      </c>
      <c r="V143" s="258"/>
      <c r="W143" s="265"/>
      <c r="X143" s="258"/>
      <c r="Y143" s="258"/>
      <c r="Z143" s="258"/>
      <c r="AA143" s="258"/>
      <c r="AB143" s="258"/>
      <c r="AC143" s="258"/>
      <c r="AD143" s="270"/>
      <c r="AE143" s="258"/>
      <c r="AF143" s="258"/>
      <c r="AG143" s="270">
        <f t="shared" si="106"/>
        <v>3301.11</v>
      </c>
      <c r="AH143" s="270"/>
      <c r="AI143" s="282"/>
      <c r="AJ143" s="279"/>
      <c r="AK143" s="279"/>
      <c r="AL143" s="279">
        <v>1000</v>
      </c>
      <c r="AM143" s="281"/>
      <c r="AN143" s="258"/>
      <c r="AO143" s="299">
        <v>1500</v>
      </c>
      <c r="AP143" s="299"/>
      <c r="AQ143" s="299"/>
      <c r="AR143" s="299">
        <f t="shared" si="107"/>
        <v>3843.9061</v>
      </c>
      <c r="AS143" s="300"/>
      <c r="AT143" s="300"/>
      <c r="AU143" s="299">
        <f t="shared" si="164"/>
        <v>19455.4779066667</v>
      </c>
      <c r="AV143" s="299">
        <f t="shared" si="174"/>
        <v>192195.305</v>
      </c>
      <c r="AW143" s="299">
        <f>AU143+AR143+AQ143+AO143+AN143+AM143+AK143+AI143+AH143+AG143+AF143+AE143+AD143+AL143</f>
        <v>29100.4940066667</v>
      </c>
      <c r="AX143" s="299"/>
      <c r="AY143" s="299"/>
      <c r="AZ143" s="299">
        <f t="shared" si="169"/>
        <v>163094.810993333</v>
      </c>
      <c r="BA143" s="429">
        <f t="shared" si="149"/>
        <v>2306343.66</v>
      </c>
      <c r="BB143" s="430">
        <f t="shared" si="150"/>
        <v>661268.732</v>
      </c>
      <c r="BC143" s="307">
        <f t="shared" si="151"/>
        <v>0</v>
      </c>
      <c r="BD143" s="308">
        <f t="shared" si="152"/>
        <v>661268.732</v>
      </c>
      <c r="BE143" s="313">
        <f t="shared" si="153"/>
        <v>1645074.928</v>
      </c>
      <c r="BF143" s="430"/>
      <c r="BG143" s="307">
        <f t="shared" si="154"/>
        <v>21000</v>
      </c>
      <c r="BH143" s="307">
        <f t="shared" si="155"/>
        <v>33000</v>
      </c>
      <c r="BI143" s="307">
        <f t="shared" si="156"/>
        <v>75000</v>
      </c>
      <c r="BJ143" s="307">
        <f t="shared" si="157"/>
        <v>95000</v>
      </c>
      <c r="BK143" s="307">
        <f t="shared" si="158"/>
        <v>9465.73488000001</v>
      </c>
      <c r="BL143" s="307" t="str">
        <f t="shared" si="159"/>
        <v/>
      </c>
      <c r="BM143" s="429">
        <f t="shared" si="160"/>
        <v>233465.73488</v>
      </c>
      <c r="BN143" s="320">
        <f t="shared" si="161"/>
        <v>23063.4366</v>
      </c>
      <c r="BO143" s="321">
        <f t="shared" si="173"/>
        <v>233465.73488</v>
      </c>
      <c r="BP143" s="322">
        <f t="shared" si="162"/>
        <v>19455.4779066667</v>
      </c>
      <c r="BQ143" s="323"/>
      <c r="BR143" s="324"/>
      <c r="BS143" s="325"/>
      <c r="BT143" s="326"/>
      <c r="BU143" s="326"/>
      <c r="BV143" s="334"/>
      <c r="BW143" s="335"/>
    </row>
    <row r="144" s="245" customFormat="1" ht="189" customHeight="1" spans="1:75">
      <c r="A144" s="255">
        <v>143</v>
      </c>
      <c r="B144" s="70" t="s">
        <v>462</v>
      </c>
      <c r="C144" s="129" t="s">
        <v>204</v>
      </c>
      <c r="D144" s="129" t="s">
        <v>205</v>
      </c>
      <c r="E144" s="256" t="str">
        <f>'[13]NON ACADEMIC VOUCHER'!$D$5</f>
        <v>ZIKIRI</v>
      </c>
      <c r="F144" s="1470" t="str">
        <f>'[13]NON ACADEMIC VOUCHER'!$E$5</f>
        <v>ADMIN</v>
      </c>
      <c r="G144" s="257">
        <v>2090081</v>
      </c>
      <c r="H144" s="258">
        <f t="shared" si="171"/>
        <v>174173.416666667</v>
      </c>
      <c r="I144" s="258">
        <f t="shared" si="126"/>
        <v>20320.2319444444</v>
      </c>
      <c r="J144" s="258">
        <v>5000</v>
      </c>
      <c r="K144" s="258"/>
      <c r="L144" s="258"/>
      <c r="M144" s="258">
        <v>2500</v>
      </c>
      <c r="N144" s="258"/>
      <c r="O144" s="258"/>
      <c r="P144" s="258"/>
      <c r="Q144" s="258"/>
      <c r="R144" s="258"/>
      <c r="S144" s="258"/>
      <c r="T144" s="258"/>
      <c r="U144" s="258">
        <v>383.33</v>
      </c>
      <c r="V144" s="258"/>
      <c r="W144" s="265"/>
      <c r="X144" s="258"/>
      <c r="Y144" s="258"/>
      <c r="Z144" s="258"/>
      <c r="AA144" s="258"/>
      <c r="AB144" s="258"/>
      <c r="AC144" s="258"/>
      <c r="AD144" s="270"/>
      <c r="AE144" s="258"/>
      <c r="AF144" s="258"/>
      <c r="AG144" s="270">
        <f t="shared" si="106"/>
        <v>3483.46833333333</v>
      </c>
      <c r="AH144" s="270"/>
      <c r="AI144" s="278"/>
      <c r="AJ144" s="280"/>
      <c r="AK144" s="280"/>
      <c r="AL144" s="284">
        <v>1000</v>
      </c>
      <c r="AM144" s="281">
        <v>20000</v>
      </c>
      <c r="AN144" s="258"/>
      <c r="AO144" s="299">
        <v>1500</v>
      </c>
      <c r="AP144" s="299"/>
      <c r="AQ144" s="299"/>
      <c r="AR144" s="299">
        <f t="shared" si="107"/>
        <v>4047.53957222222</v>
      </c>
      <c r="AS144" s="300"/>
      <c r="AT144" s="300"/>
      <c r="AU144" s="299">
        <f t="shared" si="164"/>
        <v>21165.9990733333</v>
      </c>
      <c r="AV144" s="299">
        <f t="shared" si="174"/>
        <v>202376.978611111</v>
      </c>
      <c r="AW144" s="299">
        <f>AU144+AR144+AQ144+AO144+AN144+AM144+AK144+AI144+AH144+AG144+AF144+AE144+AD144+AL144</f>
        <v>51197.0069788889</v>
      </c>
      <c r="AX144" s="299"/>
      <c r="AY144" s="299"/>
      <c r="AZ144" s="299">
        <f t="shared" si="169"/>
        <v>151179.971632222</v>
      </c>
      <c r="BA144" s="429">
        <f t="shared" si="149"/>
        <v>2428523.74333333</v>
      </c>
      <c r="BB144" s="430">
        <f t="shared" si="150"/>
        <v>685704.748666667</v>
      </c>
      <c r="BC144" s="307">
        <f t="shared" si="151"/>
        <v>0</v>
      </c>
      <c r="BD144" s="308">
        <f t="shared" si="152"/>
        <v>685704.748666667</v>
      </c>
      <c r="BE144" s="313">
        <f t="shared" si="153"/>
        <v>1742818.99466667</v>
      </c>
      <c r="BF144" s="430"/>
      <c r="BG144" s="307">
        <f t="shared" si="154"/>
        <v>21000</v>
      </c>
      <c r="BH144" s="307">
        <f t="shared" si="155"/>
        <v>33000</v>
      </c>
      <c r="BI144" s="307">
        <f t="shared" si="156"/>
        <v>75000</v>
      </c>
      <c r="BJ144" s="307">
        <f t="shared" si="157"/>
        <v>95000</v>
      </c>
      <c r="BK144" s="307">
        <f t="shared" si="158"/>
        <v>29991.98888</v>
      </c>
      <c r="BL144" s="307" t="str">
        <f t="shared" si="159"/>
        <v/>
      </c>
      <c r="BM144" s="429">
        <f t="shared" si="160"/>
        <v>253991.98888</v>
      </c>
      <c r="BN144" s="320">
        <f t="shared" si="161"/>
        <v>24285.2374333333</v>
      </c>
      <c r="BO144" s="321">
        <f t="shared" si="173"/>
        <v>253991.98888</v>
      </c>
      <c r="BP144" s="322">
        <f t="shared" si="162"/>
        <v>21165.9990733333</v>
      </c>
      <c r="BQ144" s="323"/>
      <c r="BR144" s="324"/>
      <c r="BS144" s="325"/>
      <c r="BT144" s="326"/>
      <c r="BU144" s="326"/>
      <c r="BV144" s="334"/>
      <c r="BW144" s="335"/>
    </row>
    <row r="145" s="245" customFormat="1" ht="156" customHeight="1" spans="1:75">
      <c r="A145" s="255">
        <v>144</v>
      </c>
      <c r="B145" s="70" t="s">
        <v>464</v>
      </c>
      <c r="C145" s="129" t="s">
        <v>125</v>
      </c>
      <c r="D145" s="129" t="s">
        <v>213</v>
      </c>
      <c r="E145" s="256" t="s">
        <v>135</v>
      </c>
      <c r="F145" s="1469" t="s">
        <v>466</v>
      </c>
      <c r="G145" s="257">
        <v>1925958</v>
      </c>
      <c r="H145" s="258">
        <f t="shared" si="171"/>
        <v>160496.5</v>
      </c>
      <c r="I145" s="258">
        <f t="shared" si="126"/>
        <v>18724.5916666667</v>
      </c>
      <c r="J145" s="258">
        <v>5000</v>
      </c>
      <c r="K145" s="258"/>
      <c r="L145" s="258"/>
      <c r="M145" s="258">
        <v>2500</v>
      </c>
      <c r="N145" s="258"/>
      <c r="O145" s="258"/>
      <c r="P145" s="258"/>
      <c r="Q145" s="258"/>
      <c r="R145" s="258"/>
      <c r="S145" s="258"/>
      <c r="T145" s="258"/>
      <c r="U145" s="258">
        <v>383.33</v>
      </c>
      <c r="V145" s="258"/>
      <c r="W145" s="265"/>
      <c r="X145" s="258"/>
      <c r="Y145" s="258"/>
      <c r="Z145" s="258"/>
      <c r="AA145" s="258"/>
      <c r="AB145" s="258"/>
      <c r="AC145" s="258"/>
      <c r="AD145" s="270"/>
      <c r="AE145" s="258"/>
      <c r="AF145" s="258"/>
      <c r="AG145" s="270">
        <f t="shared" ref="AG145:AG178" si="175">H145*0.02</f>
        <v>3209.93</v>
      </c>
      <c r="AH145" s="270"/>
      <c r="AI145" s="278"/>
      <c r="AJ145" s="284">
        <v>2000</v>
      </c>
      <c r="AK145" s="280"/>
      <c r="AL145" s="280"/>
      <c r="AM145" s="281">
        <v>100000</v>
      </c>
      <c r="AN145" s="258"/>
      <c r="AO145" s="299">
        <v>1500</v>
      </c>
      <c r="AP145" s="299"/>
      <c r="AQ145" s="299"/>
      <c r="AR145" s="299">
        <f t="shared" ref="AR145:AR178" si="176">AV145*0.02</f>
        <v>3742.08843333333</v>
      </c>
      <c r="AS145" s="300"/>
      <c r="AT145" s="300"/>
      <c r="AU145" s="299">
        <f t="shared" si="164"/>
        <v>18606.53876</v>
      </c>
      <c r="AV145" s="299">
        <f t="shared" ref="AV145" si="177">V145+U145+N145+M145+K145+J145+I145+H145</f>
        <v>187104.421666667</v>
      </c>
      <c r="AW145" s="299">
        <f>AU145+AR145+AQ145+AO145+AN145+AM145+AK145+AJ145+AI145+AH145+AG145+AF145</f>
        <v>129058.557193333</v>
      </c>
      <c r="AX145" s="299"/>
      <c r="AY145" s="299"/>
      <c r="AZ145" s="299">
        <f t="shared" si="169"/>
        <v>58045.8644733333</v>
      </c>
      <c r="BA145" s="429">
        <f t="shared" si="149"/>
        <v>2245253.06</v>
      </c>
      <c r="BB145" s="430">
        <f t="shared" si="150"/>
        <v>649050.612</v>
      </c>
      <c r="BC145" s="307">
        <f t="shared" si="151"/>
        <v>0</v>
      </c>
      <c r="BD145" s="308">
        <f t="shared" si="152"/>
        <v>649050.612</v>
      </c>
      <c r="BE145" s="313">
        <f t="shared" si="153"/>
        <v>1596202.448</v>
      </c>
      <c r="BF145" s="430"/>
      <c r="BG145" s="307">
        <f t="shared" si="154"/>
        <v>21000</v>
      </c>
      <c r="BH145" s="307">
        <f t="shared" si="155"/>
        <v>33000</v>
      </c>
      <c r="BI145" s="307">
        <f t="shared" si="156"/>
        <v>75000</v>
      </c>
      <c r="BJ145" s="307">
        <f t="shared" si="157"/>
        <v>94278.46512</v>
      </c>
      <c r="BK145" s="307" t="str">
        <f t="shared" si="158"/>
        <v/>
      </c>
      <c r="BL145" s="307" t="str">
        <f t="shared" si="159"/>
        <v/>
      </c>
      <c r="BM145" s="429">
        <f t="shared" si="160"/>
        <v>223278.46512</v>
      </c>
      <c r="BN145" s="320">
        <f t="shared" si="161"/>
        <v>22452.5306</v>
      </c>
      <c r="BO145" s="321">
        <f t="shared" si="173"/>
        <v>223278.46512</v>
      </c>
      <c r="BP145" s="322">
        <f t="shared" si="162"/>
        <v>18606.53876</v>
      </c>
      <c r="BQ145" s="323"/>
      <c r="BR145" s="324"/>
      <c r="BS145" s="325"/>
      <c r="BT145" s="326"/>
      <c r="BU145" s="326"/>
      <c r="BV145" s="334"/>
      <c r="BW145" s="335"/>
    </row>
    <row r="146" s="245" customFormat="1" ht="169" customHeight="1" spans="1:75">
      <c r="A146" s="255">
        <v>145</v>
      </c>
      <c r="B146" s="70" t="s">
        <v>468</v>
      </c>
      <c r="C146" s="129" t="s">
        <v>352</v>
      </c>
      <c r="D146" s="129" t="s">
        <v>498</v>
      </c>
      <c r="E146" s="256" t="s">
        <v>127</v>
      </c>
      <c r="F146" s="1469" t="s">
        <v>469</v>
      </c>
      <c r="G146" s="257">
        <v>1606381</v>
      </c>
      <c r="H146" s="258">
        <f t="shared" si="171"/>
        <v>133865.083333333</v>
      </c>
      <c r="I146" s="258">
        <f t="shared" si="126"/>
        <v>15617.5930555556</v>
      </c>
      <c r="J146" s="258">
        <v>5000</v>
      </c>
      <c r="K146" s="258"/>
      <c r="L146" s="258"/>
      <c r="M146" s="258">
        <v>2500</v>
      </c>
      <c r="N146" s="258"/>
      <c r="O146" s="258"/>
      <c r="P146" s="258"/>
      <c r="Q146" s="258"/>
      <c r="R146" s="258"/>
      <c r="S146" s="258"/>
      <c r="T146" s="258"/>
      <c r="U146" s="258">
        <v>383.33</v>
      </c>
      <c r="V146" s="258"/>
      <c r="W146" s="265"/>
      <c r="X146" s="258"/>
      <c r="Y146" s="258"/>
      <c r="Z146" s="258"/>
      <c r="AA146" s="258"/>
      <c r="AB146" s="258"/>
      <c r="AC146" s="258"/>
      <c r="AD146" s="270"/>
      <c r="AE146" s="258"/>
      <c r="AF146" s="258">
        <v>2000</v>
      </c>
      <c r="AG146" s="270">
        <f t="shared" si="175"/>
        <v>2677.30166666667</v>
      </c>
      <c r="AH146" s="270"/>
      <c r="AI146" s="278"/>
      <c r="AJ146" s="279">
        <v>1000</v>
      </c>
      <c r="AK146" s="280"/>
      <c r="AL146" s="280"/>
      <c r="AM146" s="281"/>
      <c r="AN146" s="258"/>
      <c r="AO146" s="299">
        <v>1000</v>
      </c>
      <c r="AP146" s="299"/>
      <c r="AQ146" s="299"/>
      <c r="AR146" s="299">
        <f t="shared" si="176"/>
        <v>3147.32012777778</v>
      </c>
      <c r="AS146" s="300"/>
      <c r="AT146" s="300"/>
      <c r="AU146" s="299">
        <f t="shared" si="164"/>
        <v>14086.2996377778</v>
      </c>
      <c r="AV146" s="299">
        <f t="shared" ref="AV146:AV147" si="178">W146+V146+U146+N146+M146+K146+J146+I146+H146</f>
        <v>157366.006388889</v>
      </c>
      <c r="AW146" s="299">
        <f>AU146+AR146+AQ146+AO146+AN146+AM146+AK146+AI146+AH146+AG146+AF146+AE146+AD146+AJ146</f>
        <v>23910.9214322222</v>
      </c>
      <c r="AX146" s="299"/>
      <c r="AY146" s="299"/>
      <c r="AZ146" s="299">
        <f t="shared" si="169"/>
        <v>133455.084956667</v>
      </c>
      <c r="BA146" s="429">
        <f t="shared" si="149"/>
        <v>1888392.07666667</v>
      </c>
      <c r="BB146" s="430">
        <f t="shared" si="150"/>
        <v>577678.415333333</v>
      </c>
      <c r="BC146" s="307">
        <f t="shared" si="151"/>
        <v>0</v>
      </c>
      <c r="BD146" s="308">
        <f t="shared" si="152"/>
        <v>577678.415333333</v>
      </c>
      <c r="BE146" s="313">
        <f t="shared" si="153"/>
        <v>1310713.66133333</v>
      </c>
      <c r="BF146" s="430"/>
      <c r="BG146" s="307">
        <f t="shared" si="154"/>
        <v>21000</v>
      </c>
      <c r="BH146" s="307">
        <f t="shared" si="155"/>
        <v>33000</v>
      </c>
      <c r="BI146" s="307">
        <f t="shared" si="156"/>
        <v>75000</v>
      </c>
      <c r="BJ146" s="307">
        <f t="shared" si="157"/>
        <v>40035.5956533333</v>
      </c>
      <c r="BK146" s="307" t="str">
        <f t="shared" si="158"/>
        <v/>
      </c>
      <c r="BL146" s="307" t="str">
        <f t="shared" si="159"/>
        <v/>
      </c>
      <c r="BM146" s="429">
        <f t="shared" si="160"/>
        <v>169035.595653333</v>
      </c>
      <c r="BN146" s="320">
        <f t="shared" si="161"/>
        <v>18883.9207666667</v>
      </c>
      <c r="BO146" s="321">
        <f t="shared" si="173"/>
        <v>169035.595653333</v>
      </c>
      <c r="BP146" s="322">
        <f t="shared" si="162"/>
        <v>14086.2996377778</v>
      </c>
      <c r="BQ146" s="323"/>
      <c r="BR146" s="324"/>
      <c r="BS146" s="325"/>
      <c r="BT146" s="326"/>
      <c r="BU146" s="326"/>
      <c r="BV146" s="334"/>
      <c r="BW146" s="335"/>
    </row>
    <row r="147" s="245" customFormat="1" ht="160" customHeight="1" spans="1:75">
      <c r="A147" s="255">
        <v>146</v>
      </c>
      <c r="B147" s="70" t="s">
        <v>2073</v>
      </c>
      <c r="C147" s="129" t="s">
        <v>352</v>
      </c>
      <c r="D147" s="129" t="s">
        <v>199</v>
      </c>
      <c r="E147" s="256" t="s">
        <v>93</v>
      </c>
      <c r="F147" s="256">
        <v>3046684168</v>
      </c>
      <c r="G147" s="257">
        <v>1563603</v>
      </c>
      <c r="H147" s="258">
        <f t="shared" si="171"/>
        <v>130300.25</v>
      </c>
      <c r="I147" s="258">
        <f t="shared" si="126"/>
        <v>15201.6958333333</v>
      </c>
      <c r="J147" s="258">
        <v>5000</v>
      </c>
      <c r="K147" s="258"/>
      <c r="L147" s="258"/>
      <c r="M147" s="258">
        <v>2500</v>
      </c>
      <c r="N147" s="258"/>
      <c r="O147" s="258"/>
      <c r="P147" s="258"/>
      <c r="Q147" s="258"/>
      <c r="R147" s="258"/>
      <c r="S147" s="258"/>
      <c r="T147" s="258"/>
      <c r="U147" s="258">
        <v>383.33</v>
      </c>
      <c r="V147" s="258"/>
      <c r="W147" s="265"/>
      <c r="X147" s="258"/>
      <c r="Y147" s="258"/>
      <c r="Z147" s="258"/>
      <c r="AA147" s="258"/>
      <c r="AB147" s="258"/>
      <c r="AC147" s="258"/>
      <c r="AD147" s="270"/>
      <c r="AE147" s="258"/>
      <c r="AF147" s="375">
        <v>1500</v>
      </c>
      <c r="AG147" s="270">
        <f t="shared" si="175"/>
        <v>2606.005</v>
      </c>
      <c r="AH147" s="270"/>
      <c r="AI147" s="278"/>
      <c r="AJ147" s="280"/>
      <c r="AK147" s="280"/>
      <c r="AL147" s="280"/>
      <c r="AM147" s="281"/>
      <c r="AN147" s="258"/>
      <c r="AO147" s="299">
        <v>1000</v>
      </c>
      <c r="AP147" s="299"/>
      <c r="AQ147" s="299"/>
      <c r="AR147" s="299">
        <f t="shared" si="176"/>
        <v>3067.70551666667</v>
      </c>
      <c r="AS147" s="300"/>
      <c r="AT147" s="300"/>
      <c r="AU147" s="299">
        <f t="shared" si="164"/>
        <v>13481.2285933333</v>
      </c>
      <c r="AV147" s="299">
        <f t="shared" si="178"/>
        <v>153385.275833333</v>
      </c>
      <c r="AW147" s="299">
        <f t="shared" si="168"/>
        <v>21654.93911</v>
      </c>
      <c r="AX147" s="299"/>
      <c r="AY147" s="299"/>
      <c r="AZ147" s="299">
        <f t="shared" si="169"/>
        <v>131730.336723333</v>
      </c>
      <c r="BA147" s="429">
        <f t="shared" si="149"/>
        <v>1840623.31</v>
      </c>
      <c r="BB147" s="430">
        <f t="shared" si="150"/>
        <v>568124.662</v>
      </c>
      <c r="BC147" s="307">
        <f t="shared" si="151"/>
        <v>0</v>
      </c>
      <c r="BD147" s="308">
        <f t="shared" si="152"/>
        <v>568124.662</v>
      </c>
      <c r="BE147" s="313">
        <f t="shared" si="153"/>
        <v>1272498.648</v>
      </c>
      <c r="BF147" s="430"/>
      <c r="BG147" s="307">
        <f t="shared" si="154"/>
        <v>21000</v>
      </c>
      <c r="BH147" s="307">
        <f t="shared" si="155"/>
        <v>33000</v>
      </c>
      <c r="BI147" s="307">
        <f t="shared" si="156"/>
        <v>75000</v>
      </c>
      <c r="BJ147" s="307">
        <f t="shared" si="157"/>
        <v>32774.74312</v>
      </c>
      <c r="BK147" s="307" t="str">
        <f t="shared" si="158"/>
        <v/>
      </c>
      <c r="BL147" s="307" t="str">
        <f t="shared" si="159"/>
        <v/>
      </c>
      <c r="BM147" s="429">
        <f t="shared" si="160"/>
        <v>161774.74312</v>
      </c>
      <c r="BN147" s="320">
        <f t="shared" si="161"/>
        <v>18406.2331</v>
      </c>
      <c r="BO147" s="321">
        <f t="shared" si="173"/>
        <v>161774.74312</v>
      </c>
      <c r="BP147" s="322">
        <f t="shared" si="162"/>
        <v>13481.2285933333</v>
      </c>
      <c r="BQ147" s="323"/>
      <c r="BR147" s="324"/>
      <c r="BS147" s="325"/>
      <c r="BT147" s="326"/>
      <c r="BU147" s="326"/>
      <c r="BV147" s="334"/>
      <c r="BW147" s="335"/>
    </row>
    <row r="148" s="245" customFormat="1" ht="169" customHeight="1" spans="1:75">
      <c r="A148" s="255">
        <v>147</v>
      </c>
      <c r="B148" s="70" t="s">
        <v>470</v>
      </c>
      <c r="C148" s="129" t="s">
        <v>204</v>
      </c>
      <c r="D148" s="129" t="s">
        <v>465</v>
      </c>
      <c r="E148" s="256" t="s">
        <v>127</v>
      </c>
      <c r="F148" s="1469" t="s">
        <v>471</v>
      </c>
      <c r="G148" s="257">
        <v>1980666</v>
      </c>
      <c r="H148" s="258">
        <f t="shared" si="171"/>
        <v>165055.5</v>
      </c>
      <c r="I148" s="258">
        <f t="shared" si="126"/>
        <v>19256.475</v>
      </c>
      <c r="J148" s="258">
        <v>5000</v>
      </c>
      <c r="K148" s="258"/>
      <c r="L148" s="258"/>
      <c r="M148" s="258">
        <v>2500</v>
      </c>
      <c r="N148" s="258"/>
      <c r="O148" s="258"/>
      <c r="P148" s="258"/>
      <c r="Q148" s="258"/>
      <c r="R148" s="258"/>
      <c r="S148" s="258"/>
      <c r="T148" s="258"/>
      <c r="U148" s="258">
        <v>383.33</v>
      </c>
      <c r="V148" s="258"/>
      <c r="W148" s="265"/>
      <c r="X148" s="258"/>
      <c r="Y148" s="258"/>
      <c r="Z148" s="258"/>
      <c r="AA148" s="258"/>
      <c r="AB148" s="258"/>
      <c r="AC148" s="258"/>
      <c r="AD148" s="270"/>
      <c r="AE148" s="258"/>
      <c r="AF148" s="258">
        <v>250</v>
      </c>
      <c r="AG148" s="270">
        <f t="shared" si="175"/>
        <v>3301.11</v>
      </c>
      <c r="AH148" s="270"/>
      <c r="AI148" s="278"/>
      <c r="AJ148" s="280"/>
      <c r="AK148" s="280"/>
      <c r="AL148" s="284">
        <v>1000</v>
      </c>
      <c r="AM148" s="281"/>
      <c r="AN148" s="258"/>
      <c r="AO148" s="299">
        <v>1500</v>
      </c>
      <c r="AP148" s="299"/>
      <c r="AQ148" s="299"/>
      <c r="AR148" s="299">
        <f t="shared" si="176"/>
        <v>3843.9061</v>
      </c>
      <c r="AS148" s="300"/>
      <c r="AT148" s="300"/>
      <c r="AU148" s="299">
        <f t="shared" si="164"/>
        <v>19455.4779066667</v>
      </c>
      <c r="AV148" s="299">
        <f t="shared" ref="AV148" si="179">V148+U148+N148+M148+K148+J148+I148+H148</f>
        <v>192195.305</v>
      </c>
      <c r="AW148" s="299">
        <f>AU148+AR148+AQ148+AO148+AN148+AM148+AK148+AI148+AH148+AG148+AF148+AE148+AD148+AL148</f>
        <v>29350.4940066667</v>
      </c>
      <c r="AX148" s="299"/>
      <c r="AY148" s="299"/>
      <c r="AZ148" s="299">
        <f t="shared" si="169"/>
        <v>162844.810993333</v>
      </c>
      <c r="BA148" s="429">
        <f t="shared" si="149"/>
        <v>2306343.66</v>
      </c>
      <c r="BB148" s="430">
        <f t="shared" si="150"/>
        <v>661268.732</v>
      </c>
      <c r="BC148" s="307">
        <f t="shared" si="151"/>
        <v>0</v>
      </c>
      <c r="BD148" s="308">
        <f t="shared" si="152"/>
        <v>661268.732</v>
      </c>
      <c r="BE148" s="313">
        <f t="shared" si="153"/>
        <v>1645074.928</v>
      </c>
      <c r="BF148" s="430"/>
      <c r="BG148" s="307">
        <f t="shared" si="154"/>
        <v>21000</v>
      </c>
      <c r="BH148" s="307">
        <f t="shared" si="155"/>
        <v>33000</v>
      </c>
      <c r="BI148" s="307">
        <f t="shared" si="156"/>
        <v>75000</v>
      </c>
      <c r="BJ148" s="307">
        <f t="shared" si="157"/>
        <v>95000</v>
      </c>
      <c r="BK148" s="307">
        <f t="shared" si="158"/>
        <v>9465.73488000001</v>
      </c>
      <c r="BL148" s="307" t="str">
        <f t="shared" si="159"/>
        <v/>
      </c>
      <c r="BM148" s="429">
        <f t="shared" si="160"/>
        <v>233465.73488</v>
      </c>
      <c r="BN148" s="320">
        <f t="shared" si="161"/>
        <v>23063.4366</v>
      </c>
      <c r="BO148" s="321">
        <f t="shared" si="173"/>
        <v>233465.73488</v>
      </c>
      <c r="BP148" s="322">
        <f t="shared" si="162"/>
        <v>19455.4779066667</v>
      </c>
      <c r="BQ148" s="323"/>
      <c r="BR148" s="324"/>
      <c r="BS148" s="325"/>
      <c r="BT148" s="326"/>
      <c r="BU148" s="326"/>
      <c r="BV148" s="334"/>
      <c r="BW148" s="335"/>
    </row>
    <row r="149" s="245" customFormat="1" ht="162" customHeight="1" spans="1:75">
      <c r="A149" s="255">
        <v>148</v>
      </c>
      <c r="B149" s="70" t="s">
        <v>2074</v>
      </c>
      <c r="C149" s="129" t="s">
        <v>204</v>
      </c>
      <c r="D149" s="129" t="s">
        <v>213</v>
      </c>
      <c r="E149" s="256" t="s">
        <v>127</v>
      </c>
      <c r="F149" s="1469" t="s">
        <v>2075</v>
      </c>
      <c r="G149" s="257">
        <v>1980666</v>
      </c>
      <c r="H149" s="364">
        <v>160496.5</v>
      </c>
      <c r="I149" s="258">
        <f t="shared" si="126"/>
        <v>18724.5916666667</v>
      </c>
      <c r="J149" s="258">
        <v>5000</v>
      </c>
      <c r="K149" s="258"/>
      <c r="L149" s="258"/>
      <c r="M149" s="258">
        <v>2500</v>
      </c>
      <c r="N149" s="258"/>
      <c r="O149" s="258"/>
      <c r="P149" s="258"/>
      <c r="Q149" s="258"/>
      <c r="R149" s="258"/>
      <c r="S149" s="258"/>
      <c r="T149" s="258"/>
      <c r="U149" s="258">
        <v>383.33</v>
      </c>
      <c r="V149" s="258"/>
      <c r="W149" s="265"/>
      <c r="X149" s="258"/>
      <c r="Y149" s="258"/>
      <c r="Z149" s="258"/>
      <c r="AA149" s="258"/>
      <c r="AB149" s="258"/>
      <c r="AC149" s="258"/>
      <c r="AD149" s="270"/>
      <c r="AE149" s="258"/>
      <c r="AF149" s="258">
        <v>2250</v>
      </c>
      <c r="AG149" s="270">
        <f t="shared" si="175"/>
        <v>3209.93</v>
      </c>
      <c r="AH149" s="270"/>
      <c r="AI149" s="278"/>
      <c r="AJ149" s="280"/>
      <c r="AK149" s="280"/>
      <c r="AL149" s="280"/>
      <c r="AM149" s="281">
        <v>10000</v>
      </c>
      <c r="AN149" s="258">
        <v>10000</v>
      </c>
      <c r="AO149" s="299">
        <v>1500</v>
      </c>
      <c r="AP149" s="299"/>
      <c r="AQ149" s="299"/>
      <c r="AR149" s="299">
        <f t="shared" si="176"/>
        <v>3742.08843333333</v>
      </c>
      <c r="AS149" s="300"/>
      <c r="AT149" s="300"/>
      <c r="AU149" s="299">
        <f t="shared" si="164"/>
        <v>18606.53876</v>
      </c>
      <c r="AV149" s="299">
        <f t="shared" ref="AV149:AV150" si="180">W149+V149+U149+N149+M149+K149+J149+I149+H149</f>
        <v>187104.421666667</v>
      </c>
      <c r="AW149" s="299">
        <f t="shared" si="168"/>
        <v>49308.5571933333</v>
      </c>
      <c r="AX149" s="299"/>
      <c r="AY149" s="299"/>
      <c r="AZ149" s="299">
        <f t="shared" si="169"/>
        <v>137795.864473333</v>
      </c>
      <c r="BA149" s="429">
        <f t="shared" si="149"/>
        <v>2245253.06</v>
      </c>
      <c r="BB149" s="430">
        <f t="shared" si="150"/>
        <v>649050.612</v>
      </c>
      <c r="BC149" s="307">
        <f t="shared" si="151"/>
        <v>0</v>
      </c>
      <c r="BD149" s="308">
        <f t="shared" si="152"/>
        <v>649050.612</v>
      </c>
      <c r="BE149" s="313">
        <f t="shared" si="153"/>
        <v>1596202.448</v>
      </c>
      <c r="BF149" s="430"/>
      <c r="BG149" s="307">
        <f t="shared" si="154"/>
        <v>21000</v>
      </c>
      <c r="BH149" s="307">
        <f t="shared" si="155"/>
        <v>33000</v>
      </c>
      <c r="BI149" s="307">
        <f t="shared" si="156"/>
        <v>75000</v>
      </c>
      <c r="BJ149" s="307">
        <f t="shared" si="157"/>
        <v>94278.46512</v>
      </c>
      <c r="BK149" s="307" t="str">
        <f t="shared" si="158"/>
        <v/>
      </c>
      <c r="BL149" s="307" t="str">
        <f t="shared" si="159"/>
        <v/>
      </c>
      <c r="BM149" s="429">
        <f t="shared" si="160"/>
        <v>223278.46512</v>
      </c>
      <c r="BN149" s="320">
        <f t="shared" si="161"/>
        <v>22452.5306</v>
      </c>
      <c r="BO149" s="321">
        <f t="shared" si="173"/>
        <v>223278.46512</v>
      </c>
      <c r="BP149" s="322">
        <f t="shared" si="162"/>
        <v>18606.53876</v>
      </c>
      <c r="BQ149" s="323"/>
      <c r="BR149" s="324"/>
      <c r="BS149" s="325"/>
      <c r="BT149" s="326"/>
      <c r="BU149" s="326"/>
      <c r="BV149" s="334"/>
      <c r="BW149" s="335"/>
    </row>
    <row r="150" s="245" customFormat="1" ht="165" customHeight="1" spans="1:75">
      <c r="A150" s="255">
        <v>149</v>
      </c>
      <c r="B150" s="70" t="s">
        <v>475</v>
      </c>
      <c r="C150" s="129" t="s">
        <v>204</v>
      </c>
      <c r="D150" s="129" t="s">
        <v>205</v>
      </c>
      <c r="E150" s="256" t="s">
        <v>113</v>
      </c>
      <c r="F150" s="256">
        <v>2084214906</v>
      </c>
      <c r="G150" s="257">
        <f>G144</f>
        <v>2090081</v>
      </c>
      <c r="H150" s="258">
        <f t="shared" si="171"/>
        <v>174173.416666667</v>
      </c>
      <c r="I150" s="258">
        <f t="shared" si="126"/>
        <v>20320.2319444444</v>
      </c>
      <c r="J150" s="258">
        <v>5000</v>
      </c>
      <c r="K150" s="258"/>
      <c r="L150" s="258"/>
      <c r="M150" s="258">
        <v>2500</v>
      </c>
      <c r="N150" s="258"/>
      <c r="O150" s="258"/>
      <c r="P150" s="258"/>
      <c r="Q150" s="258"/>
      <c r="R150" s="258"/>
      <c r="S150" s="258"/>
      <c r="T150" s="258"/>
      <c r="U150" s="258">
        <v>383.33</v>
      </c>
      <c r="V150" s="258"/>
      <c r="W150" s="265"/>
      <c r="X150" s="258"/>
      <c r="Y150" s="258"/>
      <c r="Z150" s="258"/>
      <c r="AA150" s="258"/>
      <c r="AB150" s="258"/>
      <c r="AC150" s="258"/>
      <c r="AD150" s="270"/>
      <c r="AE150" s="258"/>
      <c r="AF150" s="258"/>
      <c r="AG150" s="270">
        <f t="shared" si="175"/>
        <v>3483.46833333333</v>
      </c>
      <c r="AH150" s="270">
        <v>10000</v>
      </c>
      <c r="AI150" s="278"/>
      <c r="AJ150" s="280"/>
      <c r="AK150" s="280"/>
      <c r="AL150" s="284">
        <v>1000</v>
      </c>
      <c r="AM150" s="281"/>
      <c r="AN150" s="258"/>
      <c r="AO150" s="299">
        <v>1500</v>
      </c>
      <c r="AP150" s="299"/>
      <c r="AQ150" s="299"/>
      <c r="AR150" s="299">
        <f t="shared" si="176"/>
        <v>4047.53957222222</v>
      </c>
      <c r="AS150" s="300"/>
      <c r="AT150" s="300"/>
      <c r="AU150" s="299">
        <f t="shared" si="164"/>
        <v>21165.9990733333</v>
      </c>
      <c r="AV150" s="299">
        <f t="shared" si="180"/>
        <v>202376.978611111</v>
      </c>
      <c r="AW150" s="299">
        <f>AU150+AR150+AQ150+AO150+AN150+AM150+AK150+AI150+AH150+AG150+AF150+AE150+AD150+AL150</f>
        <v>41197.0069788889</v>
      </c>
      <c r="AX150" s="299"/>
      <c r="AY150" s="299"/>
      <c r="AZ150" s="299">
        <f t="shared" si="169"/>
        <v>161179.971632222</v>
      </c>
      <c r="BA150" s="429">
        <f t="shared" si="149"/>
        <v>2428523.74333333</v>
      </c>
      <c r="BB150" s="430">
        <f t="shared" si="150"/>
        <v>685704.748666667</v>
      </c>
      <c r="BC150" s="307">
        <f t="shared" si="151"/>
        <v>0</v>
      </c>
      <c r="BD150" s="308">
        <f t="shared" si="152"/>
        <v>685704.748666667</v>
      </c>
      <c r="BE150" s="313">
        <f t="shared" si="153"/>
        <v>1742818.99466667</v>
      </c>
      <c r="BF150" s="430"/>
      <c r="BG150" s="307">
        <f t="shared" si="154"/>
        <v>21000</v>
      </c>
      <c r="BH150" s="307">
        <f t="shared" si="155"/>
        <v>33000</v>
      </c>
      <c r="BI150" s="307">
        <f t="shared" si="156"/>
        <v>75000</v>
      </c>
      <c r="BJ150" s="307">
        <f t="shared" si="157"/>
        <v>95000</v>
      </c>
      <c r="BK150" s="307">
        <f t="shared" si="158"/>
        <v>29991.98888</v>
      </c>
      <c r="BL150" s="307" t="str">
        <f t="shared" si="159"/>
        <v/>
      </c>
      <c r="BM150" s="429">
        <f t="shared" si="160"/>
        <v>253991.98888</v>
      </c>
      <c r="BN150" s="320">
        <f t="shared" si="161"/>
        <v>24285.2374333333</v>
      </c>
      <c r="BO150" s="321">
        <f t="shared" si="173"/>
        <v>253991.98888</v>
      </c>
      <c r="BP150" s="322">
        <f t="shared" si="162"/>
        <v>21165.9990733333</v>
      </c>
      <c r="BQ150" s="323"/>
      <c r="BR150" s="324"/>
      <c r="BS150" s="325"/>
      <c r="BT150" s="326"/>
      <c r="BU150" s="326"/>
      <c r="BV150" s="334"/>
      <c r="BW150" s="335"/>
    </row>
    <row r="151" s="245" customFormat="1" ht="156" customHeight="1" spans="1:75">
      <c r="A151" s="255">
        <v>150</v>
      </c>
      <c r="B151" s="70" t="s">
        <v>2076</v>
      </c>
      <c r="C151" s="129" t="s">
        <v>221</v>
      </c>
      <c r="D151" s="129" t="s">
        <v>439</v>
      </c>
      <c r="E151" s="256" t="s">
        <v>127</v>
      </c>
      <c r="F151" s="1469" t="s">
        <v>2008</v>
      </c>
      <c r="G151" s="257">
        <v>1947516</v>
      </c>
      <c r="H151" s="258">
        <f t="shared" si="171"/>
        <v>162293</v>
      </c>
      <c r="I151" s="258">
        <f t="shared" si="126"/>
        <v>18934.1833333333</v>
      </c>
      <c r="J151" s="258">
        <v>5000</v>
      </c>
      <c r="K151" s="258"/>
      <c r="L151" s="258"/>
      <c r="M151" s="258">
        <v>2500</v>
      </c>
      <c r="N151" s="258"/>
      <c r="O151" s="258"/>
      <c r="P151" s="258"/>
      <c r="Q151" s="258"/>
      <c r="R151" s="258"/>
      <c r="S151" s="258"/>
      <c r="T151" s="258"/>
      <c r="U151" s="258">
        <v>383.33</v>
      </c>
      <c r="V151" s="258"/>
      <c r="W151" s="265"/>
      <c r="X151" s="258"/>
      <c r="Y151" s="258"/>
      <c r="Z151" s="258"/>
      <c r="AA151" s="258"/>
      <c r="AB151" s="258"/>
      <c r="AC151" s="258"/>
      <c r="AD151" s="270"/>
      <c r="AE151" s="258"/>
      <c r="AF151" s="258"/>
      <c r="AG151" s="270">
        <f t="shared" si="175"/>
        <v>3245.86</v>
      </c>
      <c r="AH151" s="270"/>
      <c r="AI151" s="278"/>
      <c r="AJ151" s="280"/>
      <c r="AK151" s="280"/>
      <c r="AL151" s="280"/>
      <c r="AM151" s="281"/>
      <c r="AN151" s="258">
        <v>7500</v>
      </c>
      <c r="AO151" s="299">
        <v>1000</v>
      </c>
      <c r="AP151" s="299"/>
      <c r="AQ151" s="299"/>
      <c r="AR151" s="299">
        <f t="shared" si="176"/>
        <v>3782.21026666667</v>
      </c>
      <c r="AS151" s="300"/>
      <c r="AT151" s="300"/>
      <c r="AU151" s="299">
        <f t="shared" si="164"/>
        <v>18937.2329066667</v>
      </c>
      <c r="AV151" s="299">
        <f t="shared" ref="AV151" si="181">V151+U151+N151+M151+K151+J151+I151+H151</f>
        <v>189110.513333333</v>
      </c>
      <c r="AW151" s="299">
        <f t="shared" si="168"/>
        <v>34465.3031733333</v>
      </c>
      <c r="AX151" s="299"/>
      <c r="AY151" s="299"/>
      <c r="AZ151" s="299">
        <f t="shared" si="169"/>
        <v>154645.21016</v>
      </c>
      <c r="BA151" s="429">
        <f t="shared" si="149"/>
        <v>2269326.16</v>
      </c>
      <c r="BB151" s="430">
        <f t="shared" si="150"/>
        <v>653865.232</v>
      </c>
      <c r="BC151" s="307">
        <f t="shared" si="151"/>
        <v>0</v>
      </c>
      <c r="BD151" s="308">
        <f t="shared" si="152"/>
        <v>653865.232</v>
      </c>
      <c r="BE151" s="313">
        <f t="shared" si="153"/>
        <v>1615460.928</v>
      </c>
      <c r="BF151" s="430"/>
      <c r="BG151" s="307">
        <f t="shared" si="154"/>
        <v>21000</v>
      </c>
      <c r="BH151" s="307">
        <f t="shared" si="155"/>
        <v>33000</v>
      </c>
      <c r="BI151" s="307">
        <f t="shared" si="156"/>
        <v>75000</v>
      </c>
      <c r="BJ151" s="307">
        <f t="shared" si="157"/>
        <v>95000</v>
      </c>
      <c r="BK151" s="307">
        <f t="shared" si="158"/>
        <v>3246.79488000001</v>
      </c>
      <c r="BL151" s="307" t="str">
        <f t="shared" si="159"/>
        <v/>
      </c>
      <c r="BM151" s="429">
        <f t="shared" si="160"/>
        <v>227246.79488</v>
      </c>
      <c r="BN151" s="320">
        <f t="shared" si="161"/>
        <v>22693.2616</v>
      </c>
      <c r="BO151" s="321">
        <f t="shared" si="173"/>
        <v>227246.79488</v>
      </c>
      <c r="BP151" s="322">
        <f t="shared" si="162"/>
        <v>18937.2329066667</v>
      </c>
      <c r="BQ151" s="323"/>
      <c r="BR151" s="324"/>
      <c r="BS151" s="325"/>
      <c r="BT151" s="326"/>
      <c r="BU151" s="326"/>
      <c r="BV151" s="334"/>
      <c r="BW151" s="335"/>
    </row>
    <row r="152" s="245" customFormat="1" ht="156" customHeight="1" spans="1:75">
      <c r="A152" s="255">
        <v>151</v>
      </c>
      <c r="B152" s="70" t="s">
        <v>477</v>
      </c>
      <c r="C152" s="129" t="s">
        <v>352</v>
      </c>
      <c r="D152" s="129" t="s">
        <v>353</v>
      </c>
      <c r="E152" s="256" t="s">
        <v>113</v>
      </c>
      <c r="F152" s="256">
        <v>2108277021</v>
      </c>
      <c r="G152" s="257">
        <v>1691938</v>
      </c>
      <c r="H152" s="258">
        <f t="shared" si="171"/>
        <v>140994.833333333</v>
      </c>
      <c r="I152" s="258">
        <f t="shared" si="126"/>
        <v>16449.3972222222</v>
      </c>
      <c r="J152" s="258">
        <v>5000</v>
      </c>
      <c r="K152" s="258"/>
      <c r="L152" s="258"/>
      <c r="M152" s="258">
        <v>2500</v>
      </c>
      <c r="N152" s="258"/>
      <c r="O152" s="258"/>
      <c r="P152" s="258"/>
      <c r="Q152" s="258"/>
      <c r="R152" s="258"/>
      <c r="S152" s="258"/>
      <c r="T152" s="258"/>
      <c r="U152" s="258">
        <v>383.33</v>
      </c>
      <c r="V152" s="258"/>
      <c r="W152" s="265"/>
      <c r="X152" s="258"/>
      <c r="Y152" s="258"/>
      <c r="Z152" s="258"/>
      <c r="AA152" s="258"/>
      <c r="AB152" s="258"/>
      <c r="AC152" s="258"/>
      <c r="AD152" s="270"/>
      <c r="AE152" s="258"/>
      <c r="AF152" s="258">
        <v>1500</v>
      </c>
      <c r="AG152" s="270">
        <f t="shared" si="175"/>
        <v>2819.89666666667</v>
      </c>
      <c r="AH152" s="270"/>
      <c r="AI152" s="278"/>
      <c r="AJ152" s="279">
        <v>1000</v>
      </c>
      <c r="AK152" s="280"/>
      <c r="AL152" s="280"/>
      <c r="AM152" s="281">
        <v>42292</v>
      </c>
      <c r="AN152" s="258"/>
      <c r="AO152" s="299">
        <v>1000</v>
      </c>
      <c r="AP152" s="299"/>
      <c r="AQ152" s="299"/>
      <c r="AR152" s="299">
        <f t="shared" si="176"/>
        <v>3306.55121111111</v>
      </c>
      <c r="AS152" s="300"/>
      <c r="AT152" s="300"/>
      <c r="AU152" s="299">
        <f t="shared" si="164"/>
        <v>15296.4558711111</v>
      </c>
      <c r="AV152" s="299">
        <f t="shared" ref="AV152:AV153" si="182">W152+V152+U152+N152+M152+K152+J152+I152+H152</f>
        <v>165327.560555556</v>
      </c>
      <c r="AW152" s="299">
        <f>AU152+AR152+AQ152+AO152+AN152+AM152+AK152+AI152+AH152+AG152+AF152+AE152+AD152+AJ152</f>
        <v>67214.9037488889</v>
      </c>
      <c r="AX152" s="299"/>
      <c r="AY152" s="299"/>
      <c r="AZ152" s="299">
        <f t="shared" si="169"/>
        <v>98112.6568066667</v>
      </c>
      <c r="BA152" s="429">
        <f t="shared" si="149"/>
        <v>1983930.72666667</v>
      </c>
      <c r="BB152" s="430">
        <f t="shared" si="150"/>
        <v>596786.145333333</v>
      </c>
      <c r="BC152" s="307">
        <f t="shared" si="151"/>
        <v>0</v>
      </c>
      <c r="BD152" s="308">
        <f t="shared" si="152"/>
        <v>596786.145333333</v>
      </c>
      <c r="BE152" s="313">
        <f t="shared" si="153"/>
        <v>1387144.58133333</v>
      </c>
      <c r="BF152" s="430"/>
      <c r="BG152" s="307">
        <f t="shared" si="154"/>
        <v>21000</v>
      </c>
      <c r="BH152" s="307">
        <f t="shared" si="155"/>
        <v>33000</v>
      </c>
      <c r="BI152" s="307">
        <f t="shared" si="156"/>
        <v>75000</v>
      </c>
      <c r="BJ152" s="307">
        <f t="shared" si="157"/>
        <v>54557.4704533333</v>
      </c>
      <c r="BK152" s="307" t="str">
        <f t="shared" si="158"/>
        <v/>
      </c>
      <c r="BL152" s="307" t="str">
        <f t="shared" si="159"/>
        <v/>
      </c>
      <c r="BM152" s="429">
        <f t="shared" si="160"/>
        <v>183557.470453333</v>
      </c>
      <c r="BN152" s="320">
        <f t="shared" si="161"/>
        <v>19839.3072666667</v>
      </c>
      <c r="BO152" s="321">
        <f t="shared" si="173"/>
        <v>183557.470453333</v>
      </c>
      <c r="BP152" s="322">
        <f t="shared" si="162"/>
        <v>15296.4558711111</v>
      </c>
      <c r="BQ152" s="323"/>
      <c r="BR152" s="324"/>
      <c r="BS152" s="325"/>
      <c r="BT152" s="326"/>
      <c r="BU152" s="326"/>
      <c r="BV152" s="334"/>
      <c r="BW152" s="335"/>
    </row>
    <row r="153" s="245" customFormat="1" ht="156" customHeight="1" spans="1:75">
      <c r="A153" s="255">
        <v>152</v>
      </c>
      <c r="B153" s="70" t="s">
        <v>478</v>
      </c>
      <c r="C153" s="129" t="s">
        <v>221</v>
      </c>
      <c r="D153" s="129" t="s">
        <v>555</v>
      </c>
      <c r="E153" s="256" t="s">
        <v>93</v>
      </c>
      <c r="F153" s="256">
        <v>3097503078</v>
      </c>
      <c r="G153" s="257">
        <v>1796468</v>
      </c>
      <c r="H153" s="258">
        <f t="shared" si="171"/>
        <v>149705.666666667</v>
      </c>
      <c r="I153" s="258">
        <f t="shared" si="126"/>
        <v>17465.6611111111</v>
      </c>
      <c r="J153" s="258">
        <v>5000</v>
      </c>
      <c r="K153" s="258"/>
      <c r="L153" s="258"/>
      <c r="M153" s="258">
        <v>2500</v>
      </c>
      <c r="N153" s="258"/>
      <c r="O153" s="258"/>
      <c r="P153" s="258"/>
      <c r="Q153" s="258"/>
      <c r="R153" s="258"/>
      <c r="S153" s="258"/>
      <c r="T153" s="258"/>
      <c r="U153" s="258">
        <v>383.33</v>
      </c>
      <c r="V153" s="258"/>
      <c r="W153" s="265"/>
      <c r="X153" s="258"/>
      <c r="Y153" s="258"/>
      <c r="Z153" s="258"/>
      <c r="AA153" s="258"/>
      <c r="AB153" s="258"/>
      <c r="AC153" s="258"/>
      <c r="AD153" s="270"/>
      <c r="AE153" s="258"/>
      <c r="AF153" s="258">
        <v>1000</v>
      </c>
      <c r="AG153" s="270">
        <f t="shared" si="175"/>
        <v>2994.11333333333</v>
      </c>
      <c r="AH153" s="270"/>
      <c r="AI153" s="278"/>
      <c r="AJ153" s="280"/>
      <c r="AK153" s="280"/>
      <c r="AL153" s="284">
        <v>1000</v>
      </c>
      <c r="AM153" s="281"/>
      <c r="AN153" s="258"/>
      <c r="AO153" s="299">
        <v>1000</v>
      </c>
      <c r="AP153" s="299"/>
      <c r="AQ153" s="299"/>
      <c r="AR153" s="299">
        <f t="shared" si="176"/>
        <v>3501.09315555556</v>
      </c>
      <c r="AS153" s="300"/>
      <c r="AT153" s="300"/>
      <c r="AU153" s="299">
        <f t="shared" si="164"/>
        <v>16774.9746488889</v>
      </c>
      <c r="AV153" s="299">
        <f t="shared" si="182"/>
        <v>175054.657777778</v>
      </c>
      <c r="AW153" s="299">
        <f>AU153+AR153+AQ153+AO153+AN153+AM153+AK153+AI153+AH153+AG153+AF153+AE153+AD153+AL153</f>
        <v>26270.1811377778</v>
      </c>
      <c r="AX153" s="299"/>
      <c r="AY153" s="299"/>
      <c r="AZ153" s="299">
        <f t="shared" si="169"/>
        <v>148784.47664</v>
      </c>
      <c r="BA153" s="429">
        <f t="shared" si="149"/>
        <v>2100655.89333333</v>
      </c>
      <c r="BB153" s="430">
        <f t="shared" si="150"/>
        <v>620131.178666667</v>
      </c>
      <c r="BC153" s="307">
        <f t="shared" si="151"/>
        <v>0</v>
      </c>
      <c r="BD153" s="308">
        <f t="shared" si="152"/>
        <v>620131.178666667</v>
      </c>
      <c r="BE153" s="313">
        <f t="shared" si="153"/>
        <v>1480524.71466667</v>
      </c>
      <c r="BF153" s="430"/>
      <c r="BG153" s="307">
        <f t="shared" si="154"/>
        <v>21000</v>
      </c>
      <c r="BH153" s="307">
        <f t="shared" si="155"/>
        <v>33000</v>
      </c>
      <c r="BI153" s="307">
        <f t="shared" si="156"/>
        <v>75000</v>
      </c>
      <c r="BJ153" s="307">
        <f t="shared" si="157"/>
        <v>72299.6957866666</v>
      </c>
      <c r="BK153" s="307" t="str">
        <f t="shared" si="158"/>
        <v/>
      </c>
      <c r="BL153" s="307" t="str">
        <f t="shared" si="159"/>
        <v/>
      </c>
      <c r="BM153" s="429">
        <f t="shared" si="160"/>
        <v>201299.695786667</v>
      </c>
      <c r="BN153" s="320">
        <f t="shared" si="161"/>
        <v>21006.5589333333</v>
      </c>
      <c r="BO153" s="321">
        <f t="shared" si="173"/>
        <v>201299.695786667</v>
      </c>
      <c r="BP153" s="322">
        <f t="shared" si="162"/>
        <v>16774.9746488889</v>
      </c>
      <c r="BQ153" s="323"/>
      <c r="BR153" s="324"/>
      <c r="BS153" s="325"/>
      <c r="BT153" s="326"/>
      <c r="BU153" s="326"/>
      <c r="BV153" s="334"/>
      <c r="BW153" s="335"/>
    </row>
    <row r="154" s="245" customFormat="1" ht="156" customHeight="1" spans="1:75">
      <c r="A154" s="255">
        <v>153</v>
      </c>
      <c r="B154" s="70" t="s">
        <v>479</v>
      </c>
      <c r="C154" s="129" t="s">
        <v>352</v>
      </c>
      <c r="D154" s="129" t="s">
        <v>353</v>
      </c>
      <c r="E154" s="256" t="s">
        <v>127</v>
      </c>
      <c r="F154" s="1469" t="s">
        <v>480</v>
      </c>
      <c r="G154" s="257">
        <f>G152</f>
        <v>1691938</v>
      </c>
      <c r="H154" s="258">
        <f>H152</f>
        <v>140994.833333333</v>
      </c>
      <c r="I154" s="258">
        <f t="shared" si="126"/>
        <v>16449.3972222222</v>
      </c>
      <c r="J154" s="258">
        <v>5000</v>
      </c>
      <c r="K154" s="258"/>
      <c r="L154" s="258"/>
      <c r="M154" s="258">
        <v>2500</v>
      </c>
      <c r="N154" s="258"/>
      <c r="O154" s="258"/>
      <c r="P154" s="258"/>
      <c r="Q154" s="258"/>
      <c r="R154" s="258"/>
      <c r="S154" s="258"/>
      <c r="T154" s="258"/>
      <c r="U154" s="258">
        <v>383.33</v>
      </c>
      <c r="V154" s="258"/>
      <c r="W154" s="265"/>
      <c r="X154" s="258"/>
      <c r="Y154" s="258"/>
      <c r="Z154" s="258"/>
      <c r="AA154" s="258"/>
      <c r="AB154" s="258"/>
      <c r="AC154" s="258"/>
      <c r="AD154" s="270"/>
      <c r="AE154" s="258"/>
      <c r="AF154" s="258">
        <v>3500</v>
      </c>
      <c r="AG154" s="270">
        <f t="shared" si="175"/>
        <v>2819.89666666667</v>
      </c>
      <c r="AH154" s="270"/>
      <c r="AI154" s="278"/>
      <c r="AJ154" s="279">
        <v>1000</v>
      </c>
      <c r="AK154" s="280"/>
      <c r="AL154" s="280"/>
      <c r="AM154" s="281"/>
      <c r="AN154" s="258"/>
      <c r="AO154" s="299">
        <v>1000</v>
      </c>
      <c r="AP154" s="299"/>
      <c r="AQ154" s="299">
        <v>1250</v>
      </c>
      <c r="AR154" s="299">
        <f t="shared" si="176"/>
        <v>3306.55121111111</v>
      </c>
      <c r="AS154" s="300"/>
      <c r="AT154" s="300"/>
      <c r="AU154" s="299">
        <f t="shared" si="164"/>
        <v>15296.4558711111</v>
      </c>
      <c r="AV154" s="299">
        <f t="shared" ref="AV154" si="183">V154+U154+N154+M154+K154+J154+I154+H154</f>
        <v>165327.560555556</v>
      </c>
      <c r="AW154" s="299">
        <f>AU154+AR154+AQ154+AO154+AN154+AM154+AK154+AI154+AH154+AG154+AF154+AE154+AD154+AJ154</f>
        <v>28172.9037488889</v>
      </c>
      <c r="AX154" s="299"/>
      <c r="AY154" s="299"/>
      <c r="AZ154" s="299">
        <f t="shared" si="169"/>
        <v>137154.656806667</v>
      </c>
      <c r="BA154" s="429">
        <f t="shared" si="149"/>
        <v>1983930.72666667</v>
      </c>
      <c r="BB154" s="430">
        <f t="shared" si="150"/>
        <v>596786.145333333</v>
      </c>
      <c r="BC154" s="307">
        <f t="shared" si="151"/>
        <v>0</v>
      </c>
      <c r="BD154" s="308">
        <f t="shared" si="152"/>
        <v>596786.145333333</v>
      </c>
      <c r="BE154" s="313">
        <f t="shared" si="153"/>
        <v>1387144.58133333</v>
      </c>
      <c r="BF154" s="430"/>
      <c r="BG154" s="307">
        <f t="shared" si="154"/>
        <v>21000</v>
      </c>
      <c r="BH154" s="307">
        <f t="shared" si="155"/>
        <v>33000</v>
      </c>
      <c r="BI154" s="307">
        <f t="shared" si="156"/>
        <v>75000</v>
      </c>
      <c r="BJ154" s="307">
        <f t="shared" si="157"/>
        <v>54557.4704533333</v>
      </c>
      <c r="BK154" s="307" t="str">
        <f t="shared" si="158"/>
        <v/>
      </c>
      <c r="BL154" s="307" t="str">
        <f t="shared" si="159"/>
        <v/>
      </c>
      <c r="BM154" s="429">
        <f t="shared" si="160"/>
        <v>183557.470453333</v>
      </c>
      <c r="BN154" s="320">
        <f t="shared" si="161"/>
        <v>19839.3072666667</v>
      </c>
      <c r="BO154" s="321">
        <f t="shared" si="173"/>
        <v>183557.470453333</v>
      </c>
      <c r="BP154" s="322">
        <f t="shared" si="162"/>
        <v>15296.4558711111</v>
      </c>
      <c r="BQ154" s="323"/>
      <c r="BR154" s="324"/>
      <c r="BS154" s="325"/>
      <c r="BT154" s="326"/>
      <c r="BU154" s="326"/>
      <c r="BV154" s="334"/>
      <c r="BW154" s="335"/>
    </row>
    <row r="155" s="245" customFormat="1" ht="166" customHeight="1" spans="1:75">
      <c r="A155" s="255">
        <v>154</v>
      </c>
      <c r="B155" s="70" t="s">
        <v>2077</v>
      </c>
      <c r="C155" s="129" t="s">
        <v>352</v>
      </c>
      <c r="D155" s="129" t="s">
        <v>353</v>
      </c>
      <c r="E155" s="256" t="s">
        <v>93</v>
      </c>
      <c r="F155" s="256">
        <v>2033940276</v>
      </c>
      <c r="G155" s="257">
        <f>G154</f>
        <v>1691938</v>
      </c>
      <c r="H155" s="258">
        <f>H154</f>
        <v>140994.833333333</v>
      </c>
      <c r="I155" s="258">
        <f t="shared" si="126"/>
        <v>16449.3972222222</v>
      </c>
      <c r="J155" s="258">
        <v>5000</v>
      </c>
      <c r="K155" s="258"/>
      <c r="L155" s="258"/>
      <c r="M155" s="258">
        <v>2500</v>
      </c>
      <c r="N155" s="258"/>
      <c r="O155" s="258"/>
      <c r="P155" s="258"/>
      <c r="Q155" s="258"/>
      <c r="R155" s="258"/>
      <c r="S155" s="258"/>
      <c r="T155" s="258"/>
      <c r="U155" s="258">
        <v>383.33</v>
      </c>
      <c r="V155" s="258"/>
      <c r="W155" s="265"/>
      <c r="X155" s="258"/>
      <c r="Y155" s="258"/>
      <c r="Z155" s="258"/>
      <c r="AA155" s="258"/>
      <c r="AB155" s="258"/>
      <c r="AC155" s="258"/>
      <c r="AD155" s="270"/>
      <c r="AE155" s="258"/>
      <c r="AF155" s="258"/>
      <c r="AG155" s="270">
        <f t="shared" si="175"/>
        <v>2819.89666666667</v>
      </c>
      <c r="AH155" s="270"/>
      <c r="AI155" s="278"/>
      <c r="AJ155" s="280"/>
      <c r="AK155" s="280"/>
      <c r="AL155" s="280"/>
      <c r="AM155" s="281">
        <v>20000</v>
      </c>
      <c r="AN155" s="258"/>
      <c r="AO155" s="299">
        <v>1000</v>
      </c>
      <c r="AP155" s="299"/>
      <c r="AQ155" s="299"/>
      <c r="AR155" s="299">
        <f t="shared" si="176"/>
        <v>3306.55121111111</v>
      </c>
      <c r="AS155" s="300"/>
      <c r="AT155" s="300"/>
      <c r="AU155" s="299">
        <f t="shared" si="164"/>
        <v>15296.4558711111</v>
      </c>
      <c r="AV155" s="299">
        <f t="shared" ref="AV155:AV156" si="184">W155+V155+U155+N155+M155+K155+J155+I155+H155</f>
        <v>165327.560555556</v>
      </c>
      <c r="AW155" s="299">
        <f t="shared" si="168"/>
        <v>42422.9037488889</v>
      </c>
      <c r="AX155" s="299"/>
      <c r="AY155" s="299"/>
      <c r="AZ155" s="299">
        <f t="shared" si="169"/>
        <v>122904.656806667</v>
      </c>
      <c r="BA155" s="429">
        <f t="shared" si="149"/>
        <v>1983930.72666667</v>
      </c>
      <c r="BB155" s="430">
        <f t="shared" si="150"/>
        <v>596786.145333333</v>
      </c>
      <c r="BC155" s="307">
        <f t="shared" si="151"/>
        <v>0</v>
      </c>
      <c r="BD155" s="308">
        <f t="shared" si="152"/>
        <v>596786.145333333</v>
      </c>
      <c r="BE155" s="313">
        <f t="shared" si="153"/>
        <v>1387144.58133333</v>
      </c>
      <c r="BF155" s="430"/>
      <c r="BG155" s="307">
        <f t="shared" si="154"/>
        <v>21000</v>
      </c>
      <c r="BH155" s="307">
        <f t="shared" si="155"/>
        <v>33000</v>
      </c>
      <c r="BI155" s="307">
        <f t="shared" si="156"/>
        <v>75000</v>
      </c>
      <c r="BJ155" s="307">
        <f t="shared" si="157"/>
        <v>54557.4704533333</v>
      </c>
      <c r="BK155" s="307" t="str">
        <f t="shared" si="158"/>
        <v/>
      </c>
      <c r="BL155" s="307" t="str">
        <f t="shared" si="159"/>
        <v/>
      </c>
      <c r="BM155" s="429">
        <f t="shared" si="160"/>
        <v>183557.470453333</v>
      </c>
      <c r="BN155" s="320">
        <f t="shared" si="161"/>
        <v>19839.3072666667</v>
      </c>
      <c r="BO155" s="321">
        <f t="shared" si="173"/>
        <v>183557.470453333</v>
      </c>
      <c r="BP155" s="322">
        <f t="shared" si="162"/>
        <v>15296.4558711111</v>
      </c>
      <c r="BQ155" s="323"/>
      <c r="BR155" s="324"/>
      <c r="BS155" s="325"/>
      <c r="BT155" s="326"/>
      <c r="BU155" s="326"/>
      <c r="BV155" s="334"/>
      <c r="BW155" s="335"/>
    </row>
    <row r="156" s="245" customFormat="1" ht="156" customHeight="1" spans="1:75">
      <c r="A156" s="255">
        <v>155</v>
      </c>
      <c r="B156" s="70" t="s">
        <v>484</v>
      </c>
      <c r="C156" s="129" t="s">
        <v>125</v>
      </c>
      <c r="D156" s="129" t="s">
        <v>2078</v>
      </c>
      <c r="E156" s="256" t="s">
        <v>93</v>
      </c>
      <c r="F156" s="256">
        <v>2037312145</v>
      </c>
      <c r="G156" s="257">
        <v>1925958</v>
      </c>
      <c r="H156" s="258">
        <f>G156/12</f>
        <v>160496.5</v>
      </c>
      <c r="I156" s="258">
        <f t="shared" si="126"/>
        <v>18724.5916666667</v>
      </c>
      <c r="J156" s="258">
        <v>5000</v>
      </c>
      <c r="K156" s="258"/>
      <c r="L156" s="258"/>
      <c r="M156" s="258">
        <v>2500</v>
      </c>
      <c r="N156" s="258"/>
      <c r="O156" s="258"/>
      <c r="P156" s="258"/>
      <c r="Q156" s="258"/>
      <c r="R156" s="258"/>
      <c r="S156" s="258"/>
      <c r="T156" s="258"/>
      <c r="U156" s="258">
        <v>383.33</v>
      </c>
      <c r="V156" s="258"/>
      <c r="W156" s="265"/>
      <c r="X156" s="258"/>
      <c r="Y156" s="258"/>
      <c r="Z156" s="258"/>
      <c r="AA156" s="258"/>
      <c r="AB156" s="258"/>
      <c r="AC156" s="258"/>
      <c r="AD156" s="270"/>
      <c r="AE156" s="258"/>
      <c r="AF156" s="258">
        <v>3750</v>
      </c>
      <c r="AG156" s="270">
        <f t="shared" si="175"/>
        <v>3209.93</v>
      </c>
      <c r="AH156" s="270"/>
      <c r="AI156" s="278"/>
      <c r="AJ156" s="280"/>
      <c r="AK156" s="280"/>
      <c r="AL156" s="284">
        <v>1000</v>
      </c>
      <c r="AM156" s="281"/>
      <c r="AN156" s="258"/>
      <c r="AO156" s="299">
        <v>1500</v>
      </c>
      <c r="AP156" s="299"/>
      <c r="AQ156" s="299"/>
      <c r="AR156" s="299">
        <f t="shared" si="176"/>
        <v>3742.08843333333</v>
      </c>
      <c r="AS156" s="300"/>
      <c r="AT156" s="300"/>
      <c r="AU156" s="299">
        <f t="shared" si="164"/>
        <v>18606.53876</v>
      </c>
      <c r="AV156" s="299">
        <f t="shared" si="184"/>
        <v>187104.421666667</v>
      </c>
      <c r="AW156" s="299">
        <f>AU156+AR156+AQ156+AO156+AN156+AM156+AK156+AI156+AH156+AG156+AF156+AE156+AD156+AL156</f>
        <v>31808.5571933333</v>
      </c>
      <c r="AX156" s="299"/>
      <c r="AY156" s="299"/>
      <c r="AZ156" s="299">
        <f t="shared" si="169"/>
        <v>155295.864473333</v>
      </c>
      <c r="BA156" s="429">
        <f t="shared" si="149"/>
        <v>2245253.06</v>
      </c>
      <c r="BB156" s="430">
        <f t="shared" si="150"/>
        <v>649050.612</v>
      </c>
      <c r="BC156" s="307">
        <f t="shared" si="151"/>
        <v>0</v>
      </c>
      <c r="BD156" s="308">
        <f t="shared" si="152"/>
        <v>649050.612</v>
      </c>
      <c r="BE156" s="313">
        <f t="shared" si="153"/>
        <v>1596202.448</v>
      </c>
      <c r="BF156" s="430"/>
      <c r="BG156" s="307">
        <f t="shared" si="154"/>
        <v>21000</v>
      </c>
      <c r="BH156" s="307">
        <f t="shared" si="155"/>
        <v>33000</v>
      </c>
      <c r="BI156" s="307">
        <f t="shared" si="156"/>
        <v>75000</v>
      </c>
      <c r="BJ156" s="307">
        <f t="shared" si="157"/>
        <v>94278.46512</v>
      </c>
      <c r="BK156" s="307" t="str">
        <f t="shared" si="158"/>
        <v/>
      </c>
      <c r="BL156" s="307" t="str">
        <f t="shared" si="159"/>
        <v/>
      </c>
      <c r="BM156" s="429">
        <f t="shared" si="160"/>
        <v>223278.46512</v>
      </c>
      <c r="BN156" s="320">
        <f t="shared" si="161"/>
        <v>22452.5306</v>
      </c>
      <c r="BO156" s="321">
        <f t="shared" si="173"/>
        <v>223278.46512</v>
      </c>
      <c r="BP156" s="322">
        <f t="shared" si="162"/>
        <v>18606.53876</v>
      </c>
      <c r="BQ156" s="323"/>
      <c r="BR156" s="324"/>
      <c r="BS156" s="325"/>
      <c r="BT156" s="326"/>
      <c r="BU156" s="326"/>
      <c r="BV156" s="334"/>
      <c r="BW156" s="335"/>
    </row>
    <row r="157" s="245" customFormat="1" ht="156" customHeight="1" spans="1:75">
      <c r="A157" s="255">
        <v>156</v>
      </c>
      <c r="B157" s="70" t="s">
        <v>485</v>
      </c>
      <c r="C157" s="129" t="s">
        <v>221</v>
      </c>
      <c r="D157" s="129" t="s">
        <v>2079</v>
      </c>
      <c r="E157" s="256" t="s">
        <v>127</v>
      </c>
      <c r="F157" s="1469" t="s">
        <v>487</v>
      </c>
      <c r="G157" s="257">
        <v>1897166</v>
      </c>
      <c r="H157" s="258">
        <f>G157/12</f>
        <v>158097.166666667</v>
      </c>
      <c r="I157" s="258">
        <f t="shared" si="126"/>
        <v>18444.6694444444</v>
      </c>
      <c r="J157" s="258">
        <v>5000</v>
      </c>
      <c r="K157" s="258"/>
      <c r="L157" s="258"/>
      <c r="M157" s="258">
        <v>2500</v>
      </c>
      <c r="N157" s="258"/>
      <c r="O157" s="258"/>
      <c r="P157" s="258"/>
      <c r="Q157" s="258"/>
      <c r="R157" s="258"/>
      <c r="S157" s="258"/>
      <c r="T157" s="258"/>
      <c r="U157" s="258">
        <v>383.33</v>
      </c>
      <c r="V157" s="258"/>
      <c r="W157" s="265"/>
      <c r="X157" s="258"/>
      <c r="Y157" s="258"/>
      <c r="Z157" s="258"/>
      <c r="AA157" s="258"/>
      <c r="AB157" s="258"/>
      <c r="AC157" s="258"/>
      <c r="AD157" s="270"/>
      <c r="AE157" s="258"/>
      <c r="AF157" s="258">
        <v>500</v>
      </c>
      <c r="AG157" s="270">
        <f t="shared" si="175"/>
        <v>3161.94333333333</v>
      </c>
      <c r="AH157" s="270"/>
      <c r="AI157" s="282">
        <v>1000</v>
      </c>
      <c r="AJ157" s="279"/>
      <c r="AK157" s="279"/>
      <c r="AL157" s="279"/>
      <c r="AM157" s="281"/>
      <c r="AN157" s="258"/>
      <c r="AO157" s="299">
        <v>1000</v>
      </c>
      <c r="AP157" s="299"/>
      <c r="AQ157" s="299"/>
      <c r="AR157" s="299">
        <f t="shared" si="176"/>
        <v>3688.50332222222</v>
      </c>
      <c r="AS157" s="300"/>
      <c r="AT157" s="300"/>
      <c r="AU157" s="299">
        <f t="shared" si="164"/>
        <v>18199.2919155556</v>
      </c>
      <c r="AV157" s="299">
        <f t="shared" ref="AV157" si="185">V157+U157+N157+M157+K157+J157+I157+H157</f>
        <v>184425.166111111</v>
      </c>
      <c r="AW157" s="299">
        <f t="shared" si="168"/>
        <v>27549.7385711111</v>
      </c>
      <c r="AX157" s="299"/>
      <c r="AY157" s="299"/>
      <c r="AZ157" s="299">
        <f t="shared" si="169"/>
        <v>156875.42754</v>
      </c>
      <c r="BA157" s="429">
        <f t="shared" si="149"/>
        <v>2213101.99333333</v>
      </c>
      <c r="BB157" s="430">
        <f t="shared" si="150"/>
        <v>642620.398666667</v>
      </c>
      <c r="BC157" s="307">
        <f t="shared" si="151"/>
        <v>0</v>
      </c>
      <c r="BD157" s="308">
        <f t="shared" si="152"/>
        <v>642620.398666667</v>
      </c>
      <c r="BE157" s="313">
        <f t="shared" si="153"/>
        <v>1570481.59466667</v>
      </c>
      <c r="BF157" s="430"/>
      <c r="BG157" s="307">
        <f t="shared" si="154"/>
        <v>21000</v>
      </c>
      <c r="BH157" s="307">
        <f t="shared" si="155"/>
        <v>33000</v>
      </c>
      <c r="BI157" s="307">
        <f t="shared" si="156"/>
        <v>75000</v>
      </c>
      <c r="BJ157" s="307">
        <f t="shared" si="157"/>
        <v>89391.5029866667</v>
      </c>
      <c r="BK157" s="307" t="str">
        <f t="shared" si="158"/>
        <v/>
      </c>
      <c r="BL157" s="307" t="str">
        <f t="shared" si="159"/>
        <v/>
      </c>
      <c r="BM157" s="429">
        <f t="shared" si="160"/>
        <v>218391.502986667</v>
      </c>
      <c r="BN157" s="320">
        <f t="shared" si="161"/>
        <v>22131.0199333333</v>
      </c>
      <c r="BO157" s="321">
        <f t="shared" si="173"/>
        <v>218391.502986667</v>
      </c>
      <c r="BP157" s="322">
        <f t="shared" si="162"/>
        <v>18199.2919155556</v>
      </c>
      <c r="BQ157" s="323"/>
      <c r="BR157" s="324"/>
      <c r="BS157" s="325"/>
      <c r="BT157" s="326"/>
      <c r="BU157" s="326"/>
      <c r="BV157" s="334"/>
      <c r="BW157" s="335"/>
    </row>
    <row r="158" s="245" customFormat="1" ht="156" customHeight="1" spans="1:75">
      <c r="A158" s="255">
        <v>157</v>
      </c>
      <c r="B158" s="70" t="s">
        <v>2080</v>
      </c>
      <c r="C158" s="129" t="s">
        <v>352</v>
      </c>
      <c r="D158" s="129" t="s">
        <v>353</v>
      </c>
      <c r="E158" s="128" t="s">
        <v>122</v>
      </c>
      <c r="F158" s="1469" t="s">
        <v>489</v>
      </c>
      <c r="G158" s="257">
        <f>G155</f>
        <v>1691938</v>
      </c>
      <c r="H158" s="258">
        <f>G158/12</f>
        <v>140994.833333333</v>
      </c>
      <c r="I158" s="258">
        <f t="shared" si="126"/>
        <v>16449.3972222222</v>
      </c>
      <c r="J158" s="258">
        <v>5000</v>
      </c>
      <c r="K158" s="258"/>
      <c r="L158" s="258"/>
      <c r="M158" s="258">
        <v>2500</v>
      </c>
      <c r="N158" s="258"/>
      <c r="O158" s="258"/>
      <c r="P158" s="258"/>
      <c r="Q158" s="258"/>
      <c r="R158" s="258"/>
      <c r="S158" s="258"/>
      <c r="T158" s="258"/>
      <c r="U158" s="258">
        <v>383.33</v>
      </c>
      <c r="V158" s="258"/>
      <c r="W158" s="265"/>
      <c r="X158" s="258"/>
      <c r="Y158" s="258"/>
      <c r="Z158" s="258"/>
      <c r="AA158" s="258"/>
      <c r="AB158" s="258"/>
      <c r="AC158" s="258"/>
      <c r="AD158" s="270"/>
      <c r="AE158" s="258"/>
      <c r="AF158" s="258">
        <v>2500</v>
      </c>
      <c r="AG158" s="270">
        <f t="shared" si="175"/>
        <v>2819.89666666667</v>
      </c>
      <c r="AH158" s="270"/>
      <c r="AI158" s="282">
        <v>1000</v>
      </c>
      <c r="AJ158" s="279"/>
      <c r="AK158" s="279"/>
      <c r="AL158" s="279"/>
      <c r="AM158" s="281">
        <v>31750</v>
      </c>
      <c r="AN158" s="258"/>
      <c r="AO158" s="299">
        <v>1000</v>
      </c>
      <c r="AP158" s="299"/>
      <c r="AQ158" s="299"/>
      <c r="AR158" s="299">
        <f t="shared" si="176"/>
        <v>3306.55121111111</v>
      </c>
      <c r="AS158" s="300"/>
      <c r="AT158" s="300"/>
      <c r="AU158" s="299">
        <f t="shared" si="164"/>
        <v>15296.4558711111</v>
      </c>
      <c r="AV158" s="299">
        <f t="shared" ref="AV158:AV159" si="186">W158+V158+U158+N158+M158+K158+J158+I158+H158</f>
        <v>165327.560555556</v>
      </c>
      <c r="AW158" s="299">
        <f t="shared" si="168"/>
        <v>57672.9037488889</v>
      </c>
      <c r="AX158" s="299"/>
      <c r="AY158" s="299"/>
      <c r="AZ158" s="299">
        <f t="shared" si="169"/>
        <v>107654.656806667</v>
      </c>
      <c r="BA158" s="429">
        <f t="shared" si="149"/>
        <v>1983930.72666667</v>
      </c>
      <c r="BB158" s="430">
        <f t="shared" si="150"/>
        <v>596786.145333333</v>
      </c>
      <c r="BC158" s="307">
        <f t="shared" si="151"/>
        <v>0</v>
      </c>
      <c r="BD158" s="308">
        <f t="shared" si="152"/>
        <v>596786.145333333</v>
      </c>
      <c r="BE158" s="313">
        <f t="shared" si="153"/>
        <v>1387144.58133333</v>
      </c>
      <c r="BF158" s="430"/>
      <c r="BG158" s="307">
        <f t="shared" si="154"/>
        <v>21000</v>
      </c>
      <c r="BH158" s="307">
        <f t="shared" si="155"/>
        <v>33000</v>
      </c>
      <c r="BI158" s="307">
        <f t="shared" si="156"/>
        <v>75000</v>
      </c>
      <c r="BJ158" s="307">
        <f t="shared" si="157"/>
        <v>54557.4704533333</v>
      </c>
      <c r="BK158" s="307" t="str">
        <f t="shared" si="158"/>
        <v/>
      </c>
      <c r="BL158" s="307" t="str">
        <f t="shared" si="159"/>
        <v/>
      </c>
      <c r="BM158" s="429">
        <f t="shared" si="160"/>
        <v>183557.470453333</v>
      </c>
      <c r="BN158" s="320">
        <f t="shared" si="161"/>
        <v>19839.3072666667</v>
      </c>
      <c r="BO158" s="321">
        <f t="shared" si="173"/>
        <v>183557.470453333</v>
      </c>
      <c r="BP158" s="322">
        <f t="shared" si="162"/>
        <v>15296.4558711111</v>
      </c>
      <c r="BQ158" s="323"/>
      <c r="BR158" s="324"/>
      <c r="BS158" s="325"/>
      <c r="BT158" s="326"/>
      <c r="BU158" s="326"/>
      <c r="BV158" s="334"/>
      <c r="BW158" s="335"/>
    </row>
    <row r="159" s="245" customFormat="1" ht="156" customHeight="1" spans="1:75">
      <c r="A159" s="255">
        <v>158</v>
      </c>
      <c r="B159" s="70" t="s">
        <v>490</v>
      </c>
      <c r="C159" s="129" t="s">
        <v>221</v>
      </c>
      <c r="D159" s="129" t="s">
        <v>196</v>
      </c>
      <c r="E159" s="256" t="s">
        <v>127</v>
      </c>
      <c r="F159" s="1469" t="s">
        <v>491</v>
      </c>
      <c r="G159" s="257">
        <v>1846818</v>
      </c>
      <c r="H159" s="258">
        <f>G159/12</f>
        <v>153901.5</v>
      </c>
      <c r="I159" s="258">
        <f t="shared" si="126"/>
        <v>17955.175</v>
      </c>
      <c r="J159" s="258">
        <v>5000</v>
      </c>
      <c r="K159" s="258"/>
      <c r="L159" s="258"/>
      <c r="M159" s="258">
        <v>2500</v>
      </c>
      <c r="N159" s="258"/>
      <c r="O159" s="258"/>
      <c r="P159" s="258"/>
      <c r="Q159" s="258"/>
      <c r="R159" s="258"/>
      <c r="S159" s="258"/>
      <c r="T159" s="258"/>
      <c r="U159" s="258">
        <v>383.33</v>
      </c>
      <c r="V159" s="258"/>
      <c r="W159" s="265"/>
      <c r="X159" s="258"/>
      <c r="Y159" s="258"/>
      <c r="Z159" s="258"/>
      <c r="AA159" s="258"/>
      <c r="AB159" s="258"/>
      <c r="AC159" s="258"/>
      <c r="AD159" s="270"/>
      <c r="AE159" s="258"/>
      <c r="AF159" s="258">
        <v>1250</v>
      </c>
      <c r="AG159" s="270">
        <f t="shared" si="175"/>
        <v>3078.03</v>
      </c>
      <c r="AH159" s="270">
        <v>30000</v>
      </c>
      <c r="AI159" s="278"/>
      <c r="AJ159" s="279">
        <v>1000</v>
      </c>
      <c r="AK159" s="280"/>
      <c r="AL159" s="280"/>
      <c r="AM159" s="281">
        <v>50000</v>
      </c>
      <c r="AN159" s="258"/>
      <c r="AO159" s="299">
        <v>1000</v>
      </c>
      <c r="AP159" s="299"/>
      <c r="AQ159" s="299"/>
      <c r="AR159" s="299">
        <f t="shared" si="176"/>
        <v>3594.8001</v>
      </c>
      <c r="AS159" s="300"/>
      <c r="AT159" s="300"/>
      <c r="AU159" s="299">
        <f t="shared" si="164"/>
        <v>17487.1474266667</v>
      </c>
      <c r="AV159" s="299">
        <f t="shared" si="186"/>
        <v>179740.005</v>
      </c>
      <c r="AW159" s="299">
        <f>AU159+AR159+AQ159+AO159+AN159+AM159+AK159+AI159+AH159+AG159+AF159+AE159+AD159+AJ159</f>
        <v>107409.977526667</v>
      </c>
      <c r="AX159" s="299"/>
      <c r="AY159" s="299"/>
      <c r="AZ159" s="299">
        <f t="shared" si="169"/>
        <v>72330.0274733333</v>
      </c>
      <c r="BA159" s="429">
        <f t="shared" si="149"/>
        <v>2156880.06</v>
      </c>
      <c r="BB159" s="430">
        <f t="shared" si="150"/>
        <v>631376.012</v>
      </c>
      <c r="BC159" s="307">
        <f t="shared" si="151"/>
        <v>0</v>
      </c>
      <c r="BD159" s="308">
        <f t="shared" si="152"/>
        <v>631376.012</v>
      </c>
      <c r="BE159" s="313">
        <f t="shared" si="153"/>
        <v>1525504.048</v>
      </c>
      <c r="BF159" s="430"/>
      <c r="BG159" s="307">
        <f t="shared" si="154"/>
        <v>21000</v>
      </c>
      <c r="BH159" s="307">
        <f t="shared" si="155"/>
        <v>33000</v>
      </c>
      <c r="BI159" s="307">
        <f t="shared" si="156"/>
        <v>75000</v>
      </c>
      <c r="BJ159" s="307">
        <f t="shared" si="157"/>
        <v>80845.76912</v>
      </c>
      <c r="BK159" s="307" t="str">
        <f t="shared" si="158"/>
        <v/>
      </c>
      <c r="BL159" s="307" t="str">
        <f t="shared" si="159"/>
        <v/>
      </c>
      <c r="BM159" s="429">
        <f t="shared" si="160"/>
        <v>209845.76912</v>
      </c>
      <c r="BN159" s="320">
        <f t="shared" si="161"/>
        <v>21568.8006</v>
      </c>
      <c r="BO159" s="321">
        <f t="shared" si="173"/>
        <v>209845.76912</v>
      </c>
      <c r="BP159" s="322">
        <f t="shared" si="162"/>
        <v>17487.1474266667</v>
      </c>
      <c r="BQ159" s="323"/>
      <c r="BR159" s="324"/>
      <c r="BS159" s="325"/>
      <c r="BT159" s="326"/>
      <c r="BU159" s="326"/>
      <c r="BV159" s="334"/>
      <c r="BW159" s="335"/>
    </row>
    <row r="160" s="245" customFormat="1" ht="156" customHeight="1" spans="1:75">
      <c r="A160" s="255">
        <v>159</v>
      </c>
      <c r="B160" s="70" t="s">
        <v>2081</v>
      </c>
      <c r="C160" s="129" t="s">
        <v>352</v>
      </c>
      <c r="D160" s="129" t="s">
        <v>353</v>
      </c>
      <c r="E160" s="256" t="s">
        <v>135</v>
      </c>
      <c r="F160" s="1469" t="s">
        <v>483</v>
      </c>
      <c r="G160" s="257">
        <f>G158</f>
        <v>1691938</v>
      </c>
      <c r="H160" s="258">
        <f>H158</f>
        <v>140994.833333333</v>
      </c>
      <c r="I160" s="258">
        <f t="shared" si="126"/>
        <v>16449.3972222222</v>
      </c>
      <c r="J160" s="258">
        <v>5000</v>
      </c>
      <c r="K160" s="258"/>
      <c r="L160" s="258"/>
      <c r="M160" s="258">
        <v>2500</v>
      </c>
      <c r="N160" s="258"/>
      <c r="O160" s="258"/>
      <c r="P160" s="258"/>
      <c r="Q160" s="258"/>
      <c r="R160" s="258"/>
      <c r="S160" s="258"/>
      <c r="T160" s="258"/>
      <c r="U160" s="258">
        <v>383.33</v>
      </c>
      <c r="V160" s="258"/>
      <c r="W160" s="265"/>
      <c r="X160" s="258"/>
      <c r="Y160" s="258"/>
      <c r="Z160" s="258"/>
      <c r="AA160" s="258"/>
      <c r="AB160" s="258"/>
      <c r="AC160" s="258"/>
      <c r="AD160" s="270"/>
      <c r="AE160" s="258"/>
      <c r="AF160" s="258">
        <v>500</v>
      </c>
      <c r="AG160" s="270">
        <f t="shared" si="175"/>
        <v>2819.89666666667</v>
      </c>
      <c r="AH160" s="270"/>
      <c r="AI160" s="278"/>
      <c r="AJ160" s="280"/>
      <c r="AK160" s="280"/>
      <c r="AL160" s="284">
        <v>1000</v>
      </c>
      <c r="AM160" s="281"/>
      <c r="AN160" s="258"/>
      <c r="AO160" s="299">
        <v>1000</v>
      </c>
      <c r="AP160" s="299"/>
      <c r="AQ160" s="299"/>
      <c r="AR160" s="299">
        <f t="shared" si="176"/>
        <v>3306.55121111111</v>
      </c>
      <c r="AS160" s="300"/>
      <c r="AT160" s="300"/>
      <c r="AU160" s="299">
        <f t="shared" si="164"/>
        <v>15296.4558711111</v>
      </c>
      <c r="AV160" s="299">
        <f t="shared" ref="AV160:AV162" si="187">V160+U160+N160+M160+K160+J160+I160+H160</f>
        <v>165327.560555556</v>
      </c>
      <c r="AW160" s="299">
        <f>AU160+AR160+AQ160+AO160+AN160+AM160+AK160+AI160+AH160+AG160+AF160+AE160+AD160+AL160</f>
        <v>23922.9037488889</v>
      </c>
      <c r="AX160" s="299"/>
      <c r="AY160" s="299"/>
      <c r="AZ160" s="299">
        <f t="shared" si="169"/>
        <v>141404.656806667</v>
      </c>
      <c r="BA160" s="429">
        <f t="shared" si="149"/>
        <v>1983930.72666667</v>
      </c>
      <c r="BB160" s="430">
        <f t="shared" si="150"/>
        <v>596786.145333333</v>
      </c>
      <c r="BC160" s="307">
        <f t="shared" si="151"/>
        <v>0</v>
      </c>
      <c r="BD160" s="308">
        <f t="shared" si="152"/>
        <v>596786.145333333</v>
      </c>
      <c r="BE160" s="313">
        <f t="shared" si="153"/>
        <v>1387144.58133333</v>
      </c>
      <c r="BF160" s="430"/>
      <c r="BG160" s="307">
        <f t="shared" si="154"/>
        <v>21000</v>
      </c>
      <c r="BH160" s="307">
        <f t="shared" si="155"/>
        <v>33000</v>
      </c>
      <c r="BI160" s="307">
        <f t="shared" si="156"/>
        <v>75000</v>
      </c>
      <c r="BJ160" s="307">
        <f t="shared" si="157"/>
        <v>54557.4704533333</v>
      </c>
      <c r="BK160" s="307" t="str">
        <f t="shared" si="158"/>
        <v/>
      </c>
      <c r="BL160" s="307" t="str">
        <f t="shared" si="159"/>
        <v/>
      </c>
      <c r="BM160" s="429">
        <f t="shared" si="160"/>
        <v>183557.470453333</v>
      </c>
      <c r="BN160" s="320">
        <f t="shared" si="161"/>
        <v>19839.3072666667</v>
      </c>
      <c r="BO160" s="321">
        <f t="shared" si="173"/>
        <v>183557.470453333</v>
      </c>
      <c r="BP160" s="322">
        <f t="shared" si="162"/>
        <v>15296.4558711111</v>
      </c>
      <c r="BQ160" s="323"/>
      <c r="BR160" s="324"/>
      <c r="BS160" s="325"/>
      <c r="BT160" s="326"/>
      <c r="BU160" s="326"/>
      <c r="BV160" s="334"/>
      <c r="BW160" s="335"/>
    </row>
    <row r="161" s="245" customFormat="1" ht="156" customHeight="1" spans="1:75">
      <c r="A161" s="255">
        <v>160</v>
      </c>
      <c r="B161" s="70" t="s">
        <v>497</v>
      </c>
      <c r="C161" s="129" t="s">
        <v>352</v>
      </c>
      <c r="D161" s="129" t="s">
        <v>199</v>
      </c>
      <c r="E161" s="256" t="s">
        <v>135</v>
      </c>
      <c r="F161" s="1469" t="s">
        <v>499</v>
      </c>
      <c r="G161" s="257">
        <v>1563603</v>
      </c>
      <c r="H161" s="258">
        <f>H159</f>
        <v>153901.5</v>
      </c>
      <c r="I161" s="258">
        <f t="shared" si="126"/>
        <v>17955.175</v>
      </c>
      <c r="J161" s="258">
        <v>5000</v>
      </c>
      <c r="K161" s="258"/>
      <c r="L161" s="258"/>
      <c r="M161" s="258">
        <v>2500</v>
      </c>
      <c r="N161" s="258"/>
      <c r="O161" s="258"/>
      <c r="P161" s="258"/>
      <c r="Q161" s="258"/>
      <c r="R161" s="258"/>
      <c r="S161" s="258"/>
      <c r="T161" s="258"/>
      <c r="U161" s="258">
        <v>383.33</v>
      </c>
      <c r="V161" s="258"/>
      <c r="W161" s="265"/>
      <c r="X161" s="258"/>
      <c r="Y161" s="258"/>
      <c r="Z161" s="258"/>
      <c r="AA161" s="258"/>
      <c r="AB161" s="258"/>
      <c r="AC161" s="258"/>
      <c r="AD161" s="270"/>
      <c r="AE161" s="258"/>
      <c r="AF161" s="258">
        <v>3750</v>
      </c>
      <c r="AG161" s="270">
        <f t="shared" si="175"/>
        <v>3078.03</v>
      </c>
      <c r="AH161" s="270"/>
      <c r="AI161" s="278"/>
      <c r="AJ161" s="280"/>
      <c r="AK161" s="280"/>
      <c r="AL161" s="280"/>
      <c r="AM161" s="281"/>
      <c r="AN161" s="258"/>
      <c r="AO161" s="299">
        <v>1000</v>
      </c>
      <c r="AP161" s="299"/>
      <c r="AQ161" s="299"/>
      <c r="AR161" s="299">
        <f t="shared" si="176"/>
        <v>3594.8001</v>
      </c>
      <c r="AS161" s="300"/>
      <c r="AT161" s="300"/>
      <c r="AU161" s="299">
        <f t="shared" si="164"/>
        <v>17487.1474266667</v>
      </c>
      <c r="AV161" s="299">
        <f t="shared" si="187"/>
        <v>179740.005</v>
      </c>
      <c r="AW161" s="299">
        <f t="shared" ref="AW161:AW162" si="188">AU161+AR161+AQ161+AO161+AN161+AM161+AK161+AI161+AH161+AG161+AF161+AE161+AD161</f>
        <v>28909.9775266667</v>
      </c>
      <c r="AX161" s="299"/>
      <c r="AY161" s="299"/>
      <c r="AZ161" s="299">
        <f t="shared" si="169"/>
        <v>150830.027473333</v>
      </c>
      <c r="BA161" s="429">
        <f t="shared" si="149"/>
        <v>2156880.06</v>
      </c>
      <c r="BB161" s="430">
        <f t="shared" si="150"/>
        <v>631376.012</v>
      </c>
      <c r="BC161" s="307">
        <f t="shared" si="151"/>
        <v>0</v>
      </c>
      <c r="BD161" s="308">
        <f t="shared" si="152"/>
        <v>631376.012</v>
      </c>
      <c r="BE161" s="313">
        <f t="shared" si="153"/>
        <v>1525504.048</v>
      </c>
      <c r="BF161" s="430"/>
      <c r="BG161" s="307">
        <f t="shared" si="154"/>
        <v>21000</v>
      </c>
      <c r="BH161" s="307">
        <f t="shared" si="155"/>
        <v>33000</v>
      </c>
      <c r="BI161" s="307">
        <f t="shared" si="156"/>
        <v>75000</v>
      </c>
      <c r="BJ161" s="307">
        <f t="shared" si="157"/>
        <v>80845.76912</v>
      </c>
      <c r="BK161" s="307" t="str">
        <f t="shared" si="158"/>
        <v/>
      </c>
      <c r="BL161" s="307" t="str">
        <f t="shared" si="159"/>
        <v/>
      </c>
      <c r="BM161" s="429">
        <f t="shared" si="160"/>
        <v>209845.76912</v>
      </c>
      <c r="BN161" s="320">
        <f t="shared" si="161"/>
        <v>21568.8006</v>
      </c>
      <c r="BO161" s="321">
        <f t="shared" si="173"/>
        <v>209845.76912</v>
      </c>
      <c r="BP161" s="322">
        <f t="shared" si="162"/>
        <v>17487.1474266667</v>
      </c>
      <c r="BQ161" s="323"/>
      <c r="BR161" s="324"/>
      <c r="BS161" s="325"/>
      <c r="BT161" s="326"/>
      <c r="BU161" s="326"/>
      <c r="BV161" s="334"/>
      <c r="BW161" s="335"/>
    </row>
    <row r="162" s="245" customFormat="1" ht="156" customHeight="1" spans="1:75">
      <c r="A162" s="255">
        <v>161</v>
      </c>
      <c r="B162" s="70" t="s">
        <v>500</v>
      </c>
      <c r="C162" s="129" t="s">
        <v>352</v>
      </c>
      <c r="D162" s="129" t="s">
        <v>808</v>
      </c>
      <c r="E162" s="256" t="s">
        <v>135</v>
      </c>
      <c r="F162" s="1469" t="s">
        <v>501</v>
      </c>
      <c r="G162" s="257">
        <v>1520821</v>
      </c>
      <c r="H162" s="258">
        <f>H160</f>
        <v>140994.833333333</v>
      </c>
      <c r="I162" s="258">
        <f t="shared" si="126"/>
        <v>16449.3972222222</v>
      </c>
      <c r="J162" s="258">
        <v>5000</v>
      </c>
      <c r="K162" s="258"/>
      <c r="L162" s="258"/>
      <c r="M162" s="258">
        <v>2500</v>
      </c>
      <c r="N162" s="258"/>
      <c r="O162" s="258"/>
      <c r="P162" s="258"/>
      <c r="Q162" s="258"/>
      <c r="R162" s="258"/>
      <c r="S162" s="258"/>
      <c r="T162" s="258"/>
      <c r="U162" s="258">
        <v>383.33</v>
      </c>
      <c r="V162" s="258"/>
      <c r="W162" s="258"/>
      <c r="X162" s="258"/>
      <c r="Y162" s="258"/>
      <c r="Z162" s="258"/>
      <c r="AA162" s="258"/>
      <c r="AB162" s="258"/>
      <c r="AC162" s="258"/>
      <c r="AD162" s="270"/>
      <c r="AE162" s="258"/>
      <c r="AF162" s="258">
        <v>2750</v>
      </c>
      <c r="AG162" s="270">
        <f t="shared" si="175"/>
        <v>2819.89666666667</v>
      </c>
      <c r="AH162" s="270"/>
      <c r="AI162" s="278"/>
      <c r="AJ162" s="280"/>
      <c r="AK162" s="280"/>
      <c r="AL162" s="280"/>
      <c r="AM162" s="281"/>
      <c r="AN162" s="258"/>
      <c r="AO162" s="299">
        <v>1000</v>
      </c>
      <c r="AP162" s="299"/>
      <c r="AQ162" s="299"/>
      <c r="AR162" s="299">
        <f t="shared" si="176"/>
        <v>3306.55121111111</v>
      </c>
      <c r="AS162" s="300"/>
      <c r="AT162" s="300"/>
      <c r="AU162" s="299">
        <f t="shared" si="164"/>
        <v>15296.4558711111</v>
      </c>
      <c r="AV162" s="299">
        <f t="shared" si="187"/>
        <v>165327.560555556</v>
      </c>
      <c r="AW162" s="299">
        <f t="shared" si="188"/>
        <v>25172.9037488889</v>
      </c>
      <c r="AX162" s="299"/>
      <c r="AY162" s="299"/>
      <c r="AZ162" s="299">
        <f t="shared" si="169"/>
        <v>140154.656806667</v>
      </c>
      <c r="BA162" s="429">
        <f t="shared" si="149"/>
        <v>1983930.72666667</v>
      </c>
      <c r="BB162" s="430">
        <f t="shared" si="150"/>
        <v>596786.145333333</v>
      </c>
      <c r="BC162" s="307">
        <f t="shared" si="151"/>
        <v>0</v>
      </c>
      <c r="BD162" s="308">
        <f t="shared" si="152"/>
        <v>596786.145333333</v>
      </c>
      <c r="BE162" s="313">
        <f t="shared" si="153"/>
        <v>1387144.58133333</v>
      </c>
      <c r="BF162" s="430"/>
      <c r="BG162" s="307">
        <f t="shared" si="154"/>
        <v>21000</v>
      </c>
      <c r="BH162" s="307">
        <f t="shared" si="155"/>
        <v>33000</v>
      </c>
      <c r="BI162" s="307">
        <f t="shared" si="156"/>
        <v>75000</v>
      </c>
      <c r="BJ162" s="307">
        <f t="shared" si="157"/>
        <v>54557.4704533333</v>
      </c>
      <c r="BK162" s="307" t="str">
        <f t="shared" si="158"/>
        <v/>
      </c>
      <c r="BL162" s="307" t="str">
        <f t="shared" si="159"/>
        <v/>
      </c>
      <c r="BM162" s="429">
        <f t="shared" si="160"/>
        <v>183557.470453333</v>
      </c>
      <c r="BN162" s="320">
        <f t="shared" si="161"/>
        <v>19839.3072666667</v>
      </c>
      <c r="BO162" s="321">
        <f t="shared" si="173"/>
        <v>183557.470453333</v>
      </c>
      <c r="BP162" s="322">
        <f t="shared" si="162"/>
        <v>15296.4558711111</v>
      </c>
      <c r="BQ162" s="323"/>
      <c r="BR162" s="324"/>
      <c r="BS162" s="325"/>
      <c r="BT162" s="326"/>
      <c r="BU162" s="326"/>
      <c r="BV162" s="334"/>
      <c r="BW162" s="335"/>
    </row>
    <row r="163" s="245" customFormat="1" ht="156" customHeight="1" spans="1:75">
      <c r="A163" s="255">
        <v>162</v>
      </c>
      <c r="B163" s="70" t="s">
        <v>507</v>
      </c>
      <c r="C163" s="129" t="s">
        <v>221</v>
      </c>
      <c r="D163" s="129" t="s">
        <v>555</v>
      </c>
      <c r="E163" s="256" t="s">
        <v>113</v>
      </c>
      <c r="F163" s="256">
        <v>2080682242</v>
      </c>
      <c r="G163" s="257">
        <v>1796468</v>
      </c>
      <c r="H163" s="258">
        <f>G163/12</f>
        <v>149705.666666667</v>
      </c>
      <c r="I163" s="258">
        <f t="shared" si="126"/>
        <v>17465.6611111111</v>
      </c>
      <c r="J163" s="258">
        <v>5000</v>
      </c>
      <c r="K163" s="258"/>
      <c r="L163" s="258"/>
      <c r="M163" s="258">
        <v>2500</v>
      </c>
      <c r="N163" s="258"/>
      <c r="O163" s="258"/>
      <c r="P163" s="258"/>
      <c r="Q163" s="258"/>
      <c r="R163" s="258"/>
      <c r="S163" s="258"/>
      <c r="T163" s="258"/>
      <c r="U163" s="258">
        <v>383.33</v>
      </c>
      <c r="V163" s="258"/>
      <c r="W163" s="265"/>
      <c r="X163" s="258"/>
      <c r="Y163" s="258"/>
      <c r="Z163" s="258"/>
      <c r="AA163" s="258"/>
      <c r="AB163" s="258"/>
      <c r="AC163" s="258"/>
      <c r="AD163" s="270"/>
      <c r="AE163" s="258"/>
      <c r="AF163" s="258"/>
      <c r="AG163" s="270">
        <f t="shared" si="175"/>
        <v>2994.11333333333</v>
      </c>
      <c r="AH163" s="270"/>
      <c r="AI163" s="278"/>
      <c r="AJ163" s="280"/>
      <c r="AK163" s="280"/>
      <c r="AL163" s="284">
        <v>1000</v>
      </c>
      <c r="AM163" s="281">
        <v>37500</v>
      </c>
      <c r="AN163" s="258"/>
      <c r="AO163" s="299">
        <v>1000</v>
      </c>
      <c r="AP163" s="299"/>
      <c r="AQ163" s="299"/>
      <c r="AR163" s="299">
        <f t="shared" si="176"/>
        <v>3501.09315555556</v>
      </c>
      <c r="AS163" s="300"/>
      <c r="AT163" s="300"/>
      <c r="AU163" s="299">
        <f t="shared" si="164"/>
        <v>16774.9746488889</v>
      </c>
      <c r="AV163" s="299">
        <f t="shared" ref="AV163:AV165" si="189">W163+V163+U163+N163+M163+K163+J163+I163+H163</f>
        <v>175054.657777778</v>
      </c>
      <c r="AW163" s="299">
        <f>AU163+AR163+AQ163+AO163+AN163+AM163+AK163+AI163+AH163+AG163+AF163+AE163+AD163+AL163</f>
        <v>62770.1811377778</v>
      </c>
      <c r="AX163" s="299"/>
      <c r="AY163" s="299"/>
      <c r="AZ163" s="299">
        <f t="shared" si="169"/>
        <v>112284.47664</v>
      </c>
      <c r="BA163" s="429">
        <f t="shared" si="149"/>
        <v>2100655.89333333</v>
      </c>
      <c r="BB163" s="430">
        <f t="shared" si="150"/>
        <v>620131.178666667</v>
      </c>
      <c r="BC163" s="307">
        <f t="shared" si="151"/>
        <v>0</v>
      </c>
      <c r="BD163" s="308">
        <f t="shared" si="152"/>
        <v>620131.178666667</v>
      </c>
      <c r="BE163" s="313">
        <f t="shared" si="153"/>
        <v>1480524.71466667</v>
      </c>
      <c r="BF163" s="430"/>
      <c r="BG163" s="307">
        <f t="shared" si="154"/>
        <v>21000</v>
      </c>
      <c r="BH163" s="307">
        <f t="shared" si="155"/>
        <v>33000</v>
      </c>
      <c r="BI163" s="307">
        <f t="shared" si="156"/>
        <v>75000</v>
      </c>
      <c r="BJ163" s="307">
        <f t="shared" si="157"/>
        <v>72299.6957866666</v>
      </c>
      <c r="BK163" s="307" t="str">
        <f t="shared" si="158"/>
        <v/>
      </c>
      <c r="BL163" s="307" t="str">
        <f t="shared" si="159"/>
        <v/>
      </c>
      <c r="BM163" s="429">
        <f t="shared" si="160"/>
        <v>201299.695786667</v>
      </c>
      <c r="BN163" s="320">
        <f t="shared" si="161"/>
        <v>21006.5589333333</v>
      </c>
      <c r="BO163" s="321">
        <f t="shared" si="173"/>
        <v>201299.695786667</v>
      </c>
      <c r="BP163" s="322">
        <f t="shared" si="162"/>
        <v>16774.9746488889</v>
      </c>
      <c r="BQ163" s="323"/>
      <c r="BR163" s="324"/>
      <c r="BS163" s="325"/>
      <c r="BT163" s="326"/>
      <c r="BU163" s="326"/>
      <c r="BV163" s="334"/>
      <c r="BW163" s="335"/>
    </row>
    <row r="164" s="245" customFormat="1" ht="156" customHeight="1" spans="1:75">
      <c r="A164" s="255">
        <v>163</v>
      </c>
      <c r="B164" s="70" t="s">
        <v>508</v>
      </c>
      <c r="C164" s="129" t="s">
        <v>363</v>
      </c>
      <c r="D164" s="129" t="s">
        <v>208</v>
      </c>
      <c r="E164" s="256" t="s">
        <v>157</v>
      </c>
      <c r="F164" s="1469" t="s">
        <v>509</v>
      </c>
      <c r="G164" s="257">
        <f>H164*12</f>
        <v>1017689.04</v>
      </c>
      <c r="H164" s="258">
        <v>84807.42</v>
      </c>
      <c r="I164" s="258"/>
      <c r="J164" s="258"/>
      <c r="K164" s="258"/>
      <c r="L164" s="258"/>
      <c r="M164" s="258">
        <v>2500</v>
      </c>
      <c r="N164" s="258"/>
      <c r="O164" s="258"/>
      <c r="P164" s="258"/>
      <c r="Q164" s="258"/>
      <c r="R164" s="258"/>
      <c r="S164" s="258"/>
      <c r="T164" s="258"/>
      <c r="U164" s="258"/>
      <c r="V164" s="258"/>
      <c r="W164" s="265"/>
      <c r="X164" s="258"/>
      <c r="Y164" s="258"/>
      <c r="Z164" s="258"/>
      <c r="AA164" s="258"/>
      <c r="AB164" s="258"/>
      <c r="AC164" s="258"/>
      <c r="AD164" s="270"/>
      <c r="AE164" s="258"/>
      <c r="AF164" s="258"/>
      <c r="AG164" s="270">
        <f t="shared" si="175"/>
        <v>1696.1484</v>
      </c>
      <c r="AH164" s="270"/>
      <c r="AI164" s="278"/>
      <c r="AJ164" s="280"/>
      <c r="AK164" s="280"/>
      <c r="AL164" s="284"/>
      <c r="AM164" s="281"/>
      <c r="AN164" s="258"/>
      <c r="AO164" s="299">
        <v>500</v>
      </c>
      <c r="AP164" s="299"/>
      <c r="AQ164" s="299"/>
      <c r="AR164" s="299">
        <f t="shared" si="176"/>
        <v>1746.1484</v>
      </c>
      <c r="AS164" s="300"/>
      <c r="AT164" s="300"/>
      <c r="AU164" s="299">
        <f t="shared" si="164"/>
        <v>4976.8904</v>
      </c>
      <c r="AV164" s="299">
        <f t="shared" si="189"/>
        <v>87307.42</v>
      </c>
      <c r="AW164" s="299">
        <f>AU164+AR164+AQ164+AO164+AN164+AM164+AK164+AI164+AH164+AG164+AF164+AE164+AD164+AL164</f>
        <v>8919.1872</v>
      </c>
      <c r="AX164" s="299"/>
      <c r="AY164" s="299"/>
      <c r="AZ164" s="299">
        <f t="shared" si="169"/>
        <v>78388.2328</v>
      </c>
      <c r="BA164" s="429">
        <f t="shared" si="149"/>
        <v>1047689.04</v>
      </c>
      <c r="BB164" s="430">
        <f t="shared" si="150"/>
        <v>409537.808</v>
      </c>
      <c r="BC164" s="307">
        <f t="shared" si="151"/>
        <v>0</v>
      </c>
      <c r="BD164" s="308">
        <f t="shared" si="152"/>
        <v>409537.808</v>
      </c>
      <c r="BE164" s="313">
        <f t="shared" si="153"/>
        <v>638151.232</v>
      </c>
      <c r="BF164" s="430"/>
      <c r="BG164" s="307">
        <f t="shared" si="154"/>
        <v>21000</v>
      </c>
      <c r="BH164" s="307">
        <f t="shared" si="155"/>
        <v>33000</v>
      </c>
      <c r="BI164" s="307">
        <f t="shared" si="156"/>
        <v>5722.68480000001</v>
      </c>
      <c r="BJ164" s="307" t="str">
        <f t="shared" si="157"/>
        <v/>
      </c>
      <c r="BK164" s="307" t="str">
        <f t="shared" si="158"/>
        <v/>
      </c>
      <c r="BL164" s="307" t="str">
        <f t="shared" si="159"/>
        <v/>
      </c>
      <c r="BM164" s="429">
        <f t="shared" si="160"/>
        <v>59722.6848</v>
      </c>
      <c r="BN164" s="320">
        <f t="shared" si="161"/>
        <v>10476.8904</v>
      </c>
      <c r="BO164" s="321">
        <f t="shared" si="173"/>
        <v>59722.6848</v>
      </c>
      <c r="BP164" s="322">
        <f t="shared" si="162"/>
        <v>4976.8904</v>
      </c>
      <c r="BQ164" s="323"/>
      <c r="BR164" s="324"/>
      <c r="BS164" s="325"/>
      <c r="BT164" s="326"/>
      <c r="BU164" s="326"/>
      <c r="BV164" s="334"/>
      <c r="BW164" s="335"/>
    </row>
    <row r="165" s="245" customFormat="1" ht="156" customHeight="1" spans="1:75">
      <c r="A165" s="255">
        <v>164</v>
      </c>
      <c r="B165" s="70" t="s">
        <v>2082</v>
      </c>
      <c r="C165" s="129" t="s">
        <v>125</v>
      </c>
      <c r="D165" s="129" t="s">
        <v>208</v>
      </c>
      <c r="E165" s="256" t="s">
        <v>127</v>
      </c>
      <c r="F165" s="1469" t="s">
        <v>2083</v>
      </c>
      <c r="G165" s="257">
        <v>2035173</v>
      </c>
      <c r="H165" s="258">
        <f>G165/12</f>
        <v>169597.75</v>
      </c>
      <c r="I165" s="258">
        <f>H165*0.35/3</f>
        <v>19786.4041666667</v>
      </c>
      <c r="J165" s="258">
        <v>5000</v>
      </c>
      <c r="K165" s="258"/>
      <c r="L165" s="258"/>
      <c r="M165" s="258">
        <v>2500</v>
      </c>
      <c r="N165" s="258"/>
      <c r="O165" s="258"/>
      <c r="P165" s="258"/>
      <c r="Q165" s="258"/>
      <c r="R165" s="258"/>
      <c r="S165" s="258"/>
      <c r="T165" s="258"/>
      <c r="U165" s="258">
        <v>383.33</v>
      </c>
      <c r="V165" s="258"/>
      <c r="W165" s="265"/>
      <c r="X165" s="258"/>
      <c r="Y165" s="258"/>
      <c r="Z165" s="258"/>
      <c r="AA165" s="258"/>
      <c r="AB165" s="258"/>
      <c r="AC165" s="258"/>
      <c r="AD165" s="270"/>
      <c r="AE165" s="258"/>
      <c r="AF165" s="258">
        <v>2750</v>
      </c>
      <c r="AG165" s="270">
        <f t="shared" si="175"/>
        <v>3391.955</v>
      </c>
      <c r="AH165" s="270"/>
      <c r="AI165" s="282">
        <v>1000</v>
      </c>
      <c r="AJ165" s="279"/>
      <c r="AK165" s="279"/>
      <c r="AL165" s="279"/>
      <c r="AM165" s="281"/>
      <c r="AN165" s="258"/>
      <c r="AO165" s="299">
        <v>1500</v>
      </c>
      <c r="AP165" s="299"/>
      <c r="AQ165" s="299"/>
      <c r="AR165" s="299">
        <f t="shared" si="176"/>
        <v>3945.34968333333</v>
      </c>
      <c r="AS165" s="300"/>
      <c r="AT165" s="300"/>
      <c r="AU165" s="299">
        <f>AU142</f>
        <v>20307.6040066667</v>
      </c>
      <c r="AV165" s="299">
        <f t="shared" si="189"/>
        <v>197267.484166667</v>
      </c>
      <c r="AW165" s="299">
        <f>AU165+AR165+AQ165+AO165+AN165+AM165+AK165+AI165+RAJ157154+AG165+AF165+AE165+AD165</f>
        <v>32894.90869</v>
      </c>
      <c r="AX165" s="299"/>
      <c r="AY165" s="299"/>
      <c r="AZ165" s="299">
        <f t="shared" si="169"/>
        <v>164372.575476667</v>
      </c>
      <c r="BA165" s="429">
        <f t="shared" si="149"/>
        <v>2367209.81</v>
      </c>
      <c r="BB165" s="430">
        <f t="shared" si="150"/>
        <v>673441.962</v>
      </c>
      <c r="BC165" s="307">
        <f t="shared" si="151"/>
        <v>0</v>
      </c>
      <c r="BD165" s="308">
        <f t="shared" si="152"/>
        <v>673441.962</v>
      </c>
      <c r="BE165" s="313">
        <f t="shared" si="153"/>
        <v>1693767.848</v>
      </c>
      <c r="BF165" s="430"/>
      <c r="BG165" s="307">
        <f t="shared" si="154"/>
        <v>21000</v>
      </c>
      <c r="BH165" s="307">
        <f t="shared" si="155"/>
        <v>33000</v>
      </c>
      <c r="BI165" s="307">
        <f t="shared" si="156"/>
        <v>75000</v>
      </c>
      <c r="BJ165" s="307">
        <f t="shared" si="157"/>
        <v>95000</v>
      </c>
      <c r="BK165" s="307">
        <f t="shared" si="158"/>
        <v>19691.24808</v>
      </c>
      <c r="BL165" s="307" t="str">
        <f t="shared" si="159"/>
        <v/>
      </c>
      <c r="BM165" s="429">
        <f t="shared" si="160"/>
        <v>243691.24808</v>
      </c>
      <c r="BN165" s="320">
        <f t="shared" si="161"/>
        <v>23672.0981</v>
      </c>
      <c r="BO165" s="321">
        <f t="shared" si="173"/>
        <v>243691.24808</v>
      </c>
      <c r="BP165" s="322">
        <f t="shared" si="162"/>
        <v>20307.6040066667</v>
      </c>
      <c r="BQ165" s="323"/>
      <c r="BR165" s="324"/>
      <c r="BS165" s="325"/>
      <c r="BT165" s="326"/>
      <c r="BU165" s="326"/>
      <c r="BV165" s="334"/>
      <c r="BW165" s="335"/>
    </row>
    <row r="166" s="245" customFormat="1" ht="156" customHeight="1" spans="1:75">
      <c r="A166" s="255">
        <v>165</v>
      </c>
      <c r="B166" s="70" t="s">
        <v>512</v>
      </c>
      <c r="C166" s="129" t="s">
        <v>125</v>
      </c>
      <c r="D166" s="129" t="s">
        <v>208</v>
      </c>
      <c r="E166" s="256" t="s">
        <v>135</v>
      </c>
      <c r="F166" s="1469" t="s">
        <v>2084</v>
      </c>
      <c r="G166" s="257">
        <v>2035173</v>
      </c>
      <c r="H166" s="258">
        <f>H165</f>
        <v>169597.75</v>
      </c>
      <c r="I166" s="258">
        <f>H166*0.35/3</f>
        <v>19786.4041666667</v>
      </c>
      <c r="J166" s="258">
        <v>5000</v>
      </c>
      <c r="K166" s="258"/>
      <c r="L166" s="258"/>
      <c r="M166" s="258">
        <v>2500</v>
      </c>
      <c r="N166" s="258"/>
      <c r="O166" s="258"/>
      <c r="P166" s="258"/>
      <c r="Q166" s="258"/>
      <c r="R166" s="258"/>
      <c r="S166" s="258"/>
      <c r="T166" s="258"/>
      <c r="U166" s="258">
        <v>383.33</v>
      </c>
      <c r="V166" s="258"/>
      <c r="W166" s="265"/>
      <c r="X166" s="258"/>
      <c r="Y166" s="258"/>
      <c r="Z166" s="258"/>
      <c r="AA166" s="258"/>
      <c r="AB166" s="258"/>
      <c r="AC166" s="258"/>
      <c r="AD166" s="270"/>
      <c r="AE166" s="258"/>
      <c r="AF166" s="258">
        <v>2750</v>
      </c>
      <c r="AG166" s="270">
        <f t="shared" si="175"/>
        <v>3391.955</v>
      </c>
      <c r="AH166" s="270">
        <f>5000</f>
        <v>5000</v>
      </c>
      <c r="AI166" s="278"/>
      <c r="AJ166" s="279">
        <v>1000</v>
      </c>
      <c r="AK166" s="279">
        <v>12000</v>
      </c>
      <c r="AL166" s="279"/>
      <c r="AM166" s="281">
        <f>17500+10000</f>
        <v>27500</v>
      </c>
      <c r="AN166" s="258"/>
      <c r="AO166" s="299">
        <v>1500</v>
      </c>
      <c r="AP166" s="299"/>
      <c r="AQ166" s="299"/>
      <c r="AR166" s="299">
        <f t="shared" si="176"/>
        <v>3945.34968333333</v>
      </c>
      <c r="AS166" s="300"/>
      <c r="AT166" s="300"/>
      <c r="AU166" s="299">
        <f>AU165</f>
        <v>20307.6040066667</v>
      </c>
      <c r="AV166" s="299">
        <f t="shared" ref="AV166" si="190">V166+U166+N166+M166+K166+J166+I166+H166</f>
        <v>197267.484166667</v>
      </c>
      <c r="AW166" s="299">
        <f>AU166+AR166+AQ166+AO166+AN166+AM166+AK166+AJ166+AI166+AG166+AH166+AF166</f>
        <v>77394.90869</v>
      </c>
      <c r="AX166" s="299"/>
      <c r="AY166" s="299"/>
      <c r="AZ166" s="299">
        <f t="shared" si="169"/>
        <v>119872.575476667</v>
      </c>
      <c r="BA166" s="429">
        <f t="shared" si="149"/>
        <v>2367209.81</v>
      </c>
      <c r="BB166" s="430">
        <f t="shared" si="150"/>
        <v>673441.962</v>
      </c>
      <c r="BC166" s="307">
        <f t="shared" si="151"/>
        <v>0</v>
      </c>
      <c r="BD166" s="308">
        <f t="shared" si="152"/>
        <v>673441.962</v>
      </c>
      <c r="BE166" s="313">
        <f t="shared" si="153"/>
        <v>1693767.848</v>
      </c>
      <c r="BF166" s="430"/>
      <c r="BG166" s="307">
        <f t="shared" si="154"/>
        <v>21000</v>
      </c>
      <c r="BH166" s="307">
        <f t="shared" si="155"/>
        <v>33000</v>
      </c>
      <c r="BI166" s="307">
        <f t="shared" si="156"/>
        <v>75000</v>
      </c>
      <c r="BJ166" s="307">
        <f t="shared" si="157"/>
        <v>95000</v>
      </c>
      <c r="BK166" s="307">
        <f t="shared" si="158"/>
        <v>19691.24808</v>
      </c>
      <c r="BL166" s="307" t="str">
        <f t="shared" si="159"/>
        <v/>
      </c>
      <c r="BM166" s="429">
        <f t="shared" si="160"/>
        <v>243691.24808</v>
      </c>
      <c r="BN166" s="320">
        <f t="shared" si="161"/>
        <v>23672.0981</v>
      </c>
      <c r="BO166" s="321">
        <f t="shared" si="173"/>
        <v>243691.24808</v>
      </c>
      <c r="BP166" s="322">
        <f t="shared" si="162"/>
        <v>20307.6040066667</v>
      </c>
      <c r="BQ166" s="323"/>
      <c r="BR166" s="324"/>
      <c r="BS166" s="325"/>
      <c r="BT166" s="326"/>
      <c r="BU166" s="326"/>
      <c r="BV166" s="334"/>
      <c r="BW166" s="335"/>
    </row>
    <row r="167" s="245" customFormat="1" ht="174" customHeight="1" spans="1:75">
      <c r="A167" s="255">
        <v>166</v>
      </c>
      <c r="B167" s="70" t="s">
        <v>2085</v>
      </c>
      <c r="C167" s="129" t="s">
        <v>2086</v>
      </c>
      <c r="D167" s="129" t="s">
        <v>223</v>
      </c>
      <c r="E167" s="256" t="s">
        <v>93</v>
      </c>
      <c r="F167" s="256">
        <v>2013435086</v>
      </c>
      <c r="G167" s="257">
        <f>4631272/2</f>
        <v>2315636</v>
      </c>
      <c r="H167" s="258">
        <f>G167/12</f>
        <v>192969.666666667</v>
      </c>
      <c r="I167" s="258"/>
      <c r="J167" s="258"/>
      <c r="K167" s="258"/>
      <c r="L167" s="258"/>
      <c r="M167" s="258">
        <v>2500</v>
      </c>
      <c r="N167" s="258"/>
      <c r="O167" s="258"/>
      <c r="P167" s="258"/>
      <c r="Q167" s="258"/>
      <c r="R167" s="258"/>
      <c r="S167" s="258"/>
      <c r="T167" s="258"/>
      <c r="U167" s="258">
        <v>383.33</v>
      </c>
      <c r="V167" s="258"/>
      <c r="W167" s="265"/>
      <c r="X167" s="258"/>
      <c r="Y167" s="258"/>
      <c r="Z167" s="258"/>
      <c r="AA167" s="258"/>
      <c r="AB167" s="258"/>
      <c r="AC167" s="258"/>
      <c r="AD167" s="270"/>
      <c r="AE167" s="258"/>
      <c r="AF167" s="258"/>
      <c r="AG167" s="270">
        <f t="shared" si="175"/>
        <v>3859.39333333333</v>
      </c>
      <c r="AH167" s="270"/>
      <c r="AI167" s="278"/>
      <c r="AJ167" s="280"/>
      <c r="AK167" s="280"/>
      <c r="AL167" s="280"/>
      <c r="AM167" s="281"/>
      <c r="AN167" s="258"/>
      <c r="AO167" s="299">
        <v>2500</v>
      </c>
      <c r="AP167" s="299"/>
      <c r="AQ167" s="299"/>
      <c r="AR167" s="299">
        <f t="shared" si="176"/>
        <v>3917.05993333333</v>
      </c>
      <c r="AS167" s="300"/>
      <c r="AT167" s="300"/>
      <c r="AU167" s="299">
        <f t="shared" si="164"/>
        <v>20069.9701066667</v>
      </c>
      <c r="AV167" s="299">
        <f t="shared" ref="AV167:AV168" si="191">W167+V167+U167+N167+M167+K167+J167+I167+H167</f>
        <v>195852.996666667</v>
      </c>
      <c r="AW167" s="299">
        <f t="shared" si="168"/>
        <v>30346.4233733333</v>
      </c>
      <c r="AX167" s="299"/>
      <c r="AY167" s="299"/>
      <c r="AZ167" s="299">
        <f t="shared" si="169"/>
        <v>165506.573293333</v>
      </c>
      <c r="BA167" s="429">
        <f t="shared" si="149"/>
        <v>2350235.96</v>
      </c>
      <c r="BB167" s="430">
        <f t="shared" si="150"/>
        <v>670047.192</v>
      </c>
      <c r="BC167" s="307">
        <f t="shared" si="151"/>
        <v>0</v>
      </c>
      <c r="BD167" s="308">
        <f t="shared" si="152"/>
        <v>670047.192</v>
      </c>
      <c r="BE167" s="313">
        <f t="shared" si="153"/>
        <v>1680188.768</v>
      </c>
      <c r="BF167" s="430"/>
      <c r="BG167" s="307">
        <f t="shared" si="154"/>
        <v>21000</v>
      </c>
      <c r="BH167" s="307">
        <f t="shared" si="155"/>
        <v>33000</v>
      </c>
      <c r="BI167" s="307">
        <f t="shared" si="156"/>
        <v>75000</v>
      </c>
      <c r="BJ167" s="307">
        <f t="shared" si="157"/>
        <v>95000</v>
      </c>
      <c r="BK167" s="307">
        <f t="shared" si="158"/>
        <v>16839.64128</v>
      </c>
      <c r="BL167" s="307" t="str">
        <f t="shared" si="159"/>
        <v/>
      </c>
      <c r="BM167" s="429">
        <f t="shared" si="160"/>
        <v>240839.64128</v>
      </c>
      <c r="BN167" s="320">
        <f t="shared" si="161"/>
        <v>23502.3596</v>
      </c>
      <c r="BO167" s="321">
        <f t="shared" si="173"/>
        <v>240839.64128</v>
      </c>
      <c r="BP167" s="322">
        <f t="shared" si="162"/>
        <v>20069.9701066667</v>
      </c>
      <c r="BQ167" s="323"/>
      <c r="BR167" s="324"/>
      <c r="BS167" s="325"/>
      <c r="BT167" s="326"/>
      <c r="BU167" s="326"/>
      <c r="BV167" s="334"/>
      <c r="BW167" s="335"/>
    </row>
    <row r="168" s="245" customFormat="1" ht="156" customHeight="1" spans="1:75">
      <c r="A168" s="255">
        <v>167</v>
      </c>
      <c r="B168" s="70" t="s">
        <v>514</v>
      </c>
      <c r="C168" s="129" t="s">
        <v>100</v>
      </c>
      <c r="D168" s="129" t="s">
        <v>516</v>
      </c>
      <c r="E168" s="256" t="s">
        <v>113</v>
      </c>
      <c r="F168" s="256">
        <v>1005033200</v>
      </c>
      <c r="G168" s="257">
        <v>6664214</v>
      </c>
      <c r="H168" s="258">
        <f>'[12]JACKSON AKPOJARO '!$M$144</f>
        <v>0</v>
      </c>
      <c r="I168" s="258"/>
      <c r="J168" s="258"/>
      <c r="K168" s="258">
        <v>41667</v>
      </c>
      <c r="L168" s="258"/>
      <c r="M168" s="258">
        <v>2500</v>
      </c>
      <c r="N168" s="258"/>
      <c r="O168" s="258"/>
      <c r="P168" s="258"/>
      <c r="Q168" s="258"/>
      <c r="R168" s="258"/>
      <c r="S168" s="258"/>
      <c r="T168" s="258"/>
      <c r="U168" s="258">
        <v>383.33</v>
      </c>
      <c r="V168" s="258"/>
      <c r="W168" s="265"/>
      <c r="X168" s="258"/>
      <c r="Y168" s="258"/>
      <c r="Z168" s="258"/>
      <c r="AA168" s="258"/>
      <c r="AB168" s="258"/>
      <c r="AC168" s="258"/>
      <c r="AD168" s="270"/>
      <c r="AE168" s="258"/>
      <c r="AF168" s="258"/>
      <c r="AG168" s="270">
        <f t="shared" si="175"/>
        <v>0</v>
      </c>
      <c r="AH168" s="270"/>
      <c r="AI168" s="278"/>
      <c r="AJ168" s="280"/>
      <c r="AK168" s="280"/>
      <c r="AL168" s="280"/>
      <c r="AM168" s="281"/>
      <c r="AN168" s="258"/>
      <c r="AO168" s="299">
        <v>3500</v>
      </c>
      <c r="AP168" s="299"/>
      <c r="AQ168" s="299"/>
      <c r="AR168" s="299">
        <f t="shared" si="176"/>
        <v>891.0066</v>
      </c>
      <c r="AS168" s="300"/>
      <c r="AT168" s="300"/>
      <c r="AU168" s="299">
        <v>83779.74</v>
      </c>
      <c r="AV168" s="299">
        <f t="shared" si="191"/>
        <v>44550.33</v>
      </c>
      <c r="AW168" s="299">
        <f t="shared" si="168"/>
        <v>88170.7466</v>
      </c>
      <c r="AX168" s="299"/>
      <c r="AY168" s="299"/>
      <c r="AZ168" s="299">
        <f t="shared" si="169"/>
        <v>-43620.4166</v>
      </c>
      <c r="BA168" s="429">
        <f t="shared" si="149"/>
        <v>534603.96</v>
      </c>
      <c r="BB168" s="430">
        <f t="shared" si="150"/>
        <v>306920.792</v>
      </c>
      <c r="BC168" s="307">
        <f t="shared" si="151"/>
        <v>0</v>
      </c>
      <c r="BD168" s="308">
        <f t="shared" si="152"/>
        <v>306920.792</v>
      </c>
      <c r="BE168" s="313">
        <f t="shared" si="153"/>
        <v>227683.168</v>
      </c>
      <c r="BF168" s="430"/>
      <c r="BG168" s="307">
        <f t="shared" si="154"/>
        <v>15937.82176</v>
      </c>
      <c r="BH168" s="307" t="str">
        <f t="shared" si="155"/>
        <v/>
      </c>
      <c r="BI168" s="307" t="str">
        <f t="shared" si="156"/>
        <v/>
      </c>
      <c r="BJ168" s="307" t="str">
        <f t="shared" si="157"/>
        <v/>
      </c>
      <c r="BK168" s="307" t="str">
        <f t="shared" si="158"/>
        <v/>
      </c>
      <c r="BL168" s="307" t="str">
        <f t="shared" si="159"/>
        <v/>
      </c>
      <c r="BM168" s="429">
        <f t="shared" si="160"/>
        <v>15937.82176</v>
      </c>
      <c r="BN168" s="320">
        <f t="shared" si="161"/>
        <v>5346.0396</v>
      </c>
      <c r="BO168" s="321">
        <f t="shared" si="173"/>
        <v>15937.82176</v>
      </c>
      <c r="BP168" s="322">
        <f t="shared" si="162"/>
        <v>1328.15181333333</v>
      </c>
      <c r="BQ168" s="323"/>
      <c r="BR168" s="324"/>
      <c r="BS168" s="325"/>
      <c r="BT168" s="326"/>
      <c r="BU168" s="326"/>
      <c r="BV168" s="334"/>
      <c r="BW168" s="335"/>
    </row>
    <row r="169" s="245" customFormat="1" ht="156" customHeight="1" spans="1:75">
      <c r="A169" s="255">
        <v>168</v>
      </c>
      <c r="B169" s="70" t="s">
        <v>2087</v>
      </c>
      <c r="C169" s="129" t="s">
        <v>2047</v>
      </c>
      <c r="D169" s="129" t="s">
        <v>2088</v>
      </c>
      <c r="E169" s="256" t="s">
        <v>165</v>
      </c>
      <c r="F169" s="256">
        <v>2179811764</v>
      </c>
      <c r="G169" s="257">
        <v>4479454</v>
      </c>
      <c r="H169" s="258">
        <f>G169/12</f>
        <v>373287.833333333</v>
      </c>
      <c r="I169" s="258">
        <f>H169*0.35/3</f>
        <v>43550.2472222222</v>
      </c>
      <c r="J169" s="258">
        <v>6666.67</v>
      </c>
      <c r="K169" s="258">
        <f>41667/2</f>
        <v>20833.5</v>
      </c>
      <c r="L169" s="258"/>
      <c r="M169" s="258">
        <v>2500</v>
      </c>
      <c r="N169" s="258"/>
      <c r="O169" s="258"/>
      <c r="P169" s="258"/>
      <c r="Q169" s="258"/>
      <c r="R169" s="258"/>
      <c r="S169" s="258"/>
      <c r="T169" s="258"/>
      <c r="U169" s="258">
        <v>383.33</v>
      </c>
      <c r="V169" s="258"/>
      <c r="W169" s="265"/>
      <c r="X169" s="258"/>
      <c r="Y169" s="258"/>
      <c r="Z169" s="258"/>
      <c r="AA169" s="258"/>
      <c r="AB169" s="258"/>
      <c r="AC169" s="258"/>
      <c r="AD169" s="270"/>
      <c r="AE169" s="258"/>
      <c r="AF169" s="258"/>
      <c r="AG169" s="270">
        <f t="shared" si="175"/>
        <v>7465.75666666667</v>
      </c>
      <c r="AH169" s="270"/>
      <c r="AI169" s="282">
        <v>1000</v>
      </c>
      <c r="AJ169" s="279"/>
      <c r="AK169" s="279"/>
      <c r="AL169" s="279"/>
      <c r="AM169" s="281"/>
      <c r="AN169" s="258">
        <v>8333.33</v>
      </c>
      <c r="AO169" s="299">
        <v>2500</v>
      </c>
      <c r="AP169" s="299"/>
      <c r="AQ169" s="299"/>
      <c r="AR169" s="299">
        <f t="shared" si="176"/>
        <v>8944.43161111111</v>
      </c>
      <c r="AS169" s="300"/>
      <c r="AT169" s="300"/>
      <c r="AU169" s="299">
        <f t="shared" ref="AU169:AU178" si="192">BP169</f>
        <v>64533.2101333333</v>
      </c>
      <c r="AV169" s="299">
        <f t="shared" ref="AV169" si="193">V169+U169+N169+M169+K169+J169+I169+H169</f>
        <v>447221.580555556</v>
      </c>
      <c r="AW169" s="299">
        <f t="shared" si="168"/>
        <v>92776.7284111111</v>
      </c>
      <c r="AX169" s="299"/>
      <c r="AY169" s="299"/>
      <c r="AZ169" s="299">
        <f t="shared" si="169"/>
        <v>354444.852144444</v>
      </c>
      <c r="BA169" s="429">
        <f t="shared" si="149"/>
        <v>5366658.96666667</v>
      </c>
      <c r="BB169" s="430">
        <f t="shared" si="150"/>
        <v>1273331.79333333</v>
      </c>
      <c r="BC169" s="307">
        <f t="shared" si="151"/>
        <v>0</v>
      </c>
      <c r="BD169" s="308">
        <f t="shared" si="152"/>
        <v>1273331.79333333</v>
      </c>
      <c r="BE169" s="313">
        <f t="shared" si="153"/>
        <v>4093327.17333333</v>
      </c>
      <c r="BF169" s="430"/>
      <c r="BG169" s="307">
        <f t="shared" si="154"/>
        <v>21000</v>
      </c>
      <c r="BH169" s="307">
        <f t="shared" si="155"/>
        <v>33000</v>
      </c>
      <c r="BI169" s="307">
        <f t="shared" si="156"/>
        <v>75000</v>
      </c>
      <c r="BJ169" s="307">
        <f t="shared" si="157"/>
        <v>95000</v>
      </c>
      <c r="BK169" s="307">
        <f t="shared" si="158"/>
        <v>336000</v>
      </c>
      <c r="BL169" s="307">
        <f t="shared" si="159"/>
        <v>214398.5216</v>
      </c>
      <c r="BM169" s="429">
        <f t="shared" si="160"/>
        <v>774398.5216</v>
      </c>
      <c r="BN169" s="320">
        <f t="shared" si="161"/>
        <v>53666.5896666667</v>
      </c>
      <c r="BO169" s="321">
        <f t="shared" si="173"/>
        <v>774398.5216</v>
      </c>
      <c r="BP169" s="322">
        <f t="shared" si="162"/>
        <v>64533.2101333333</v>
      </c>
      <c r="BQ169" s="323"/>
      <c r="BR169" s="324"/>
      <c r="BS169" s="325"/>
      <c r="BT169" s="326"/>
      <c r="BU169" s="326"/>
      <c r="BV169" s="334"/>
      <c r="BW169" s="335"/>
    </row>
    <row r="170" s="245" customFormat="1" ht="156" customHeight="1" spans="1:75">
      <c r="A170" s="255">
        <v>169</v>
      </c>
      <c r="B170" s="70" t="s">
        <v>2089</v>
      </c>
      <c r="C170" s="129" t="s">
        <v>2047</v>
      </c>
      <c r="D170" s="129" t="s">
        <v>2090</v>
      </c>
      <c r="E170" s="256" t="s">
        <v>259</v>
      </c>
      <c r="F170" s="256">
        <v>6050821993</v>
      </c>
      <c r="G170" s="257">
        <v>4783091</v>
      </c>
      <c r="H170" s="258">
        <f>G170/12</f>
        <v>398590.916666667</v>
      </c>
      <c r="I170" s="258">
        <f>H170*0.35/3</f>
        <v>46502.2736111111</v>
      </c>
      <c r="J170" s="258">
        <v>6667.67</v>
      </c>
      <c r="K170" s="258"/>
      <c r="L170" s="258"/>
      <c r="M170" s="258">
        <v>2500</v>
      </c>
      <c r="N170" s="258"/>
      <c r="O170" s="258"/>
      <c r="P170" s="258"/>
      <c r="Q170" s="258"/>
      <c r="R170" s="258"/>
      <c r="S170" s="258"/>
      <c r="T170" s="258"/>
      <c r="U170" s="258">
        <v>383.33</v>
      </c>
      <c r="V170" s="258"/>
      <c r="W170" s="265"/>
      <c r="X170" s="258"/>
      <c r="Y170" s="258"/>
      <c r="Z170" s="258"/>
      <c r="AA170" s="258"/>
      <c r="AB170" s="258"/>
      <c r="AC170" s="258"/>
      <c r="AD170" s="270"/>
      <c r="AE170" s="258"/>
      <c r="AF170" s="258"/>
      <c r="AG170" s="270">
        <f t="shared" si="175"/>
        <v>7971.81833333333</v>
      </c>
      <c r="AH170" s="270"/>
      <c r="AI170" s="282"/>
      <c r="AJ170" s="279"/>
      <c r="AK170" s="279"/>
      <c r="AL170" s="279"/>
      <c r="AM170" s="281"/>
      <c r="AN170" s="258"/>
      <c r="AO170" s="299">
        <v>2500</v>
      </c>
      <c r="AP170" s="299"/>
      <c r="AQ170" s="299"/>
      <c r="AR170" s="299">
        <f t="shared" si="176"/>
        <v>9092.88380555556</v>
      </c>
      <c r="AS170" s="300"/>
      <c r="AT170" s="300"/>
      <c r="AU170" s="299">
        <f t="shared" si="192"/>
        <v>65958.3512</v>
      </c>
      <c r="AV170" s="299">
        <f t="shared" ref="AV170:AV175" si="194">W170+V170+U170+N170+M170+K170+J170+I170+H170</f>
        <v>454644.190277778</v>
      </c>
      <c r="AW170" s="299">
        <f t="shared" si="168"/>
        <v>85523.0533388889</v>
      </c>
      <c r="AX170" s="299"/>
      <c r="AY170" s="299"/>
      <c r="AZ170" s="299">
        <f t="shared" si="169"/>
        <v>369121.136938889</v>
      </c>
      <c r="BA170" s="429">
        <f t="shared" si="149"/>
        <v>5455730.28333333</v>
      </c>
      <c r="BB170" s="430">
        <f t="shared" si="150"/>
        <v>1291146.05666667</v>
      </c>
      <c r="BC170" s="307">
        <f t="shared" si="151"/>
        <v>0</v>
      </c>
      <c r="BD170" s="308">
        <f t="shared" si="152"/>
        <v>1291146.05666667</v>
      </c>
      <c r="BE170" s="313">
        <f t="shared" si="153"/>
        <v>4164584.22666667</v>
      </c>
      <c r="BF170" s="430"/>
      <c r="BG170" s="307">
        <f t="shared" si="154"/>
        <v>21000</v>
      </c>
      <c r="BH170" s="307">
        <f t="shared" si="155"/>
        <v>33000</v>
      </c>
      <c r="BI170" s="307">
        <f t="shared" si="156"/>
        <v>75000</v>
      </c>
      <c r="BJ170" s="307">
        <f t="shared" si="157"/>
        <v>95000</v>
      </c>
      <c r="BK170" s="307">
        <f t="shared" si="158"/>
        <v>336000</v>
      </c>
      <c r="BL170" s="307">
        <f t="shared" si="159"/>
        <v>231500.2144</v>
      </c>
      <c r="BM170" s="429">
        <f t="shared" si="160"/>
        <v>791500.2144</v>
      </c>
      <c r="BN170" s="320">
        <f t="shared" si="161"/>
        <v>54557.3028333333</v>
      </c>
      <c r="BO170" s="321">
        <f t="shared" si="173"/>
        <v>791500.2144</v>
      </c>
      <c r="BP170" s="322">
        <f t="shared" si="162"/>
        <v>65958.3512</v>
      </c>
      <c r="BQ170" s="323"/>
      <c r="BR170" s="324"/>
      <c r="BS170" s="325"/>
      <c r="BT170" s="326"/>
      <c r="BU170" s="326"/>
      <c r="BV170" s="334"/>
      <c r="BW170" s="335"/>
    </row>
    <row r="171" s="245" customFormat="1" ht="157" customHeight="1" spans="1:75">
      <c r="A171" s="255">
        <v>170</v>
      </c>
      <c r="B171" s="70" t="s">
        <v>2091</v>
      </c>
      <c r="C171" s="129" t="s">
        <v>2047</v>
      </c>
      <c r="D171" s="129" t="s">
        <v>2092</v>
      </c>
      <c r="E171" s="256" t="s">
        <v>97</v>
      </c>
      <c r="F171" s="256">
        <v>1779871581</v>
      </c>
      <c r="G171" s="257">
        <f>H171*12</f>
        <v>5249996.04</v>
      </c>
      <c r="H171" s="258">
        <v>437499.67</v>
      </c>
      <c r="I171" s="258">
        <f>H171*0.35/3</f>
        <v>51041.6281666667</v>
      </c>
      <c r="J171" s="258">
        <v>6667.67</v>
      </c>
      <c r="K171" s="258">
        <f>K177</f>
        <v>20833.33</v>
      </c>
      <c r="L171" s="258"/>
      <c r="M171" s="258">
        <v>2500</v>
      </c>
      <c r="N171" s="258"/>
      <c r="O171" s="258"/>
      <c r="P171" s="258"/>
      <c r="Q171" s="258"/>
      <c r="R171" s="258"/>
      <c r="S171" s="258"/>
      <c r="T171" s="258"/>
      <c r="U171" s="258">
        <v>383.33</v>
      </c>
      <c r="V171" s="258"/>
      <c r="W171" s="265"/>
      <c r="X171" s="258"/>
      <c r="Y171" s="258"/>
      <c r="Z171" s="258"/>
      <c r="AA171" s="258"/>
      <c r="AB171" s="258"/>
      <c r="AC171" s="258"/>
      <c r="AD171" s="270"/>
      <c r="AE171" s="258"/>
      <c r="AF171" s="258">
        <v>2500</v>
      </c>
      <c r="AG171" s="270">
        <f t="shared" si="175"/>
        <v>8749.9934</v>
      </c>
      <c r="AH171" s="270"/>
      <c r="AI171" s="282"/>
      <c r="AJ171" s="279">
        <v>1000</v>
      </c>
      <c r="AK171" s="279"/>
      <c r="AL171" s="279"/>
      <c r="AM171" s="281"/>
      <c r="AN171" s="258"/>
      <c r="AO171" s="299">
        <v>3500</v>
      </c>
      <c r="AP171" s="299"/>
      <c r="AQ171" s="299"/>
      <c r="AR171" s="299">
        <f t="shared" si="176"/>
        <v>10378.5125633333</v>
      </c>
      <c r="AS171" s="300"/>
      <c r="AT171" s="300"/>
      <c r="AU171" s="299">
        <f t="shared" si="192"/>
        <v>78300.3872746666</v>
      </c>
      <c r="AV171" s="299">
        <f t="shared" si="194"/>
        <v>518925.628166667</v>
      </c>
      <c r="AW171" s="299">
        <f>AU171+AR171+AQ171+AO171+AN171+AM171+AK171+AJ171+AI171+AH171+AG171+AF171</f>
        <v>104428.893238</v>
      </c>
      <c r="AX171" s="299"/>
      <c r="AY171" s="299"/>
      <c r="AZ171" s="299">
        <f t="shared" si="169"/>
        <v>414496.734928667</v>
      </c>
      <c r="BA171" s="429">
        <f t="shared" si="149"/>
        <v>6227107.538</v>
      </c>
      <c r="BB171" s="430">
        <f t="shared" si="150"/>
        <v>1445421.5076</v>
      </c>
      <c r="BC171" s="307">
        <f t="shared" si="151"/>
        <v>0</v>
      </c>
      <c r="BD171" s="308">
        <f t="shared" si="152"/>
        <v>1445421.5076</v>
      </c>
      <c r="BE171" s="313">
        <f t="shared" si="153"/>
        <v>4781686.0304</v>
      </c>
      <c r="BF171" s="430"/>
      <c r="BG171" s="307">
        <f t="shared" si="154"/>
        <v>21000</v>
      </c>
      <c r="BH171" s="307">
        <f t="shared" si="155"/>
        <v>33000</v>
      </c>
      <c r="BI171" s="307">
        <f t="shared" si="156"/>
        <v>75000</v>
      </c>
      <c r="BJ171" s="307">
        <f t="shared" si="157"/>
        <v>95000</v>
      </c>
      <c r="BK171" s="307">
        <f t="shared" si="158"/>
        <v>336000</v>
      </c>
      <c r="BL171" s="307">
        <f t="shared" si="159"/>
        <v>379604.647296</v>
      </c>
      <c r="BM171" s="429">
        <f t="shared" si="160"/>
        <v>939604.647296</v>
      </c>
      <c r="BN171" s="419">
        <f t="shared" si="161"/>
        <v>62271.07538</v>
      </c>
      <c r="BO171" s="321">
        <f t="shared" si="173"/>
        <v>939604.647296</v>
      </c>
      <c r="BP171" s="322">
        <f t="shared" si="162"/>
        <v>78300.3872746666</v>
      </c>
      <c r="BQ171" s="323"/>
      <c r="BR171" s="324"/>
      <c r="BS171" s="325"/>
      <c r="BT171" s="326"/>
      <c r="BU171" s="326"/>
      <c r="BV171" s="334"/>
      <c r="BW171" s="335"/>
    </row>
    <row r="172" s="245" customFormat="1" ht="156" customHeight="1" spans="1:75">
      <c r="A172" s="255">
        <v>171</v>
      </c>
      <c r="B172" s="70" t="s">
        <v>2093</v>
      </c>
      <c r="C172" s="129" t="s">
        <v>2094</v>
      </c>
      <c r="D172" s="129" t="s">
        <v>2095</v>
      </c>
      <c r="E172" s="256" t="s">
        <v>97</v>
      </c>
      <c r="F172" s="1469" t="str">
        <f>'[14]TEACHING STAFF'!$G$164</f>
        <v>0030621811</v>
      </c>
      <c r="G172" s="257">
        <f>5603551/2</f>
        <v>2801775.5</v>
      </c>
      <c r="H172" s="258">
        <f>G172/12</f>
        <v>233481.291666667</v>
      </c>
      <c r="I172" s="258"/>
      <c r="J172" s="258"/>
      <c r="K172" s="258"/>
      <c r="L172" s="258"/>
      <c r="M172" s="258">
        <v>2500</v>
      </c>
      <c r="N172" s="258"/>
      <c r="O172" s="258"/>
      <c r="P172" s="258"/>
      <c r="Q172" s="258"/>
      <c r="R172" s="258"/>
      <c r="S172" s="258"/>
      <c r="T172" s="258"/>
      <c r="U172" s="258"/>
      <c r="V172" s="258"/>
      <c r="W172" s="265"/>
      <c r="X172" s="258"/>
      <c r="Y172" s="258"/>
      <c r="Z172" s="258"/>
      <c r="AA172" s="258"/>
      <c r="AB172" s="258"/>
      <c r="AC172" s="258"/>
      <c r="AD172" s="270"/>
      <c r="AE172" s="258"/>
      <c r="AF172" s="258"/>
      <c r="AG172" s="270">
        <f t="shared" si="175"/>
        <v>4669.62583333333</v>
      </c>
      <c r="AH172" s="270"/>
      <c r="AI172" s="282">
        <v>1000</v>
      </c>
      <c r="AJ172" s="280"/>
      <c r="AK172" s="280"/>
      <c r="AL172" s="280"/>
      <c r="AM172" s="281"/>
      <c r="AN172" s="258"/>
      <c r="AO172" s="299">
        <v>3500</v>
      </c>
      <c r="AP172" s="299"/>
      <c r="AQ172" s="299"/>
      <c r="AR172" s="299">
        <f t="shared" si="176"/>
        <v>4719.62583333333</v>
      </c>
      <c r="AS172" s="300"/>
      <c r="AT172" s="300"/>
      <c r="AU172" s="299">
        <f t="shared" si="192"/>
        <v>26811.5236666667</v>
      </c>
      <c r="AV172" s="299">
        <f t="shared" si="194"/>
        <v>235981.291666667</v>
      </c>
      <c r="AW172" s="299">
        <f t="shared" ref="AW172" si="195">AU172+AR172+AQ172+AO172+AN172+AM172+AK172+AI172+AH172+AG172+AF172+AE172+AD172</f>
        <v>40700.7753333333</v>
      </c>
      <c r="AX172" s="299"/>
      <c r="AY172" s="299"/>
      <c r="AZ172" s="299">
        <f t="shared" si="169"/>
        <v>195280.516333333</v>
      </c>
      <c r="BA172" s="429">
        <f t="shared" si="149"/>
        <v>2831775.5</v>
      </c>
      <c r="BB172" s="430">
        <f t="shared" si="150"/>
        <v>766355.1</v>
      </c>
      <c r="BC172" s="307">
        <f t="shared" si="151"/>
        <v>0</v>
      </c>
      <c r="BD172" s="308">
        <f t="shared" si="152"/>
        <v>766355.1</v>
      </c>
      <c r="BE172" s="313">
        <f t="shared" si="153"/>
        <v>2065420.4</v>
      </c>
      <c r="BF172" s="430"/>
      <c r="BG172" s="307">
        <f t="shared" si="154"/>
        <v>21000</v>
      </c>
      <c r="BH172" s="307">
        <f t="shared" si="155"/>
        <v>33000</v>
      </c>
      <c r="BI172" s="307">
        <f t="shared" si="156"/>
        <v>75000</v>
      </c>
      <c r="BJ172" s="307">
        <f t="shared" si="157"/>
        <v>95000</v>
      </c>
      <c r="BK172" s="307">
        <f t="shared" si="158"/>
        <v>97738.284</v>
      </c>
      <c r="BL172" s="307" t="str">
        <f t="shared" si="159"/>
        <v/>
      </c>
      <c r="BM172" s="429">
        <f t="shared" si="160"/>
        <v>321738.284</v>
      </c>
      <c r="BN172" s="320">
        <f t="shared" si="161"/>
        <v>28317.755</v>
      </c>
      <c r="BO172" s="321">
        <f t="shared" si="173"/>
        <v>321738.284</v>
      </c>
      <c r="BP172" s="322">
        <f t="shared" si="162"/>
        <v>26811.5236666667</v>
      </c>
      <c r="BQ172" s="323"/>
      <c r="BR172" s="324"/>
      <c r="BS172" s="325"/>
      <c r="BT172" s="326"/>
      <c r="BU172" s="326"/>
      <c r="BV172" s="334"/>
      <c r="BW172" s="335"/>
    </row>
    <row r="173" s="245" customFormat="1" ht="156" customHeight="1" spans="1:75">
      <c r="A173" s="255">
        <v>172</v>
      </c>
      <c r="B173" s="70" t="s">
        <v>517</v>
      </c>
      <c r="C173" s="129" t="s">
        <v>2096</v>
      </c>
      <c r="D173" s="129" t="s">
        <v>134</v>
      </c>
      <c r="E173" s="256" t="s">
        <v>113</v>
      </c>
      <c r="F173" s="1469" t="str">
        <f>'[4]TEACHING STAFF'!$G$173</f>
        <v>0029686697</v>
      </c>
      <c r="G173" s="257">
        <f>'[4]TEACHING STAFF'!$I$174</f>
        <v>2863233</v>
      </c>
      <c r="H173" s="258">
        <f>'[4]TEACHING STAFF'!$J$174</f>
        <v>238602.75</v>
      </c>
      <c r="I173" s="258">
        <f>H173*0.35/3</f>
        <v>27836.9875</v>
      </c>
      <c r="J173" s="258"/>
      <c r="K173" s="258"/>
      <c r="L173" s="258"/>
      <c r="M173" s="258">
        <v>2500</v>
      </c>
      <c r="N173" s="258"/>
      <c r="O173" s="258"/>
      <c r="P173" s="258"/>
      <c r="Q173" s="258"/>
      <c r="R173" s="258"/>
      <c r="S173" s="258"/>
      <c r="T173" s="258"/>
      <c r="U173" s="258"/>
      <c r="V173" s="258"/>
      <c r="W173" s="265"/>
      <c r="X173" s="258"/>
      <c r="Y173" s="258"/>
      <c r="Z173" s="258"/>
      <c r="AA173" s="258"/>
      <c r="AB173" s="258"/>
      <c r="AC173" s="258"/>
      <c r="AD173" s="270"/>
      <c r="AE173" s="258"/>
      <c r="AF173" s="258"/>
      <c r="AG173" s="270">
        <f t="shared" si="175"/>
        <v>4772.055</v>
      </c>
      <c r="AH173" s="270"/>
      <c r="AI173" s="278"/>
      <c r="AJ173" s="279">
        <v>1000</v>
      </c>
      <c r="AK173" s="280"/>
      <c r="AL173" s="280"/>
      <c r="AM173" s="281"/>
      <c r="AN173" s="258"/>
      <c r="AO173" s="299">
        <v>1500</v>
      </c>
      <c r="AP173" s="299"/>
      <c r="AQ173" s="299"/>
      <c r="AR173" s="299">
        <f t="shared" si="176"/>
        <v>5378.79475</v>
      </c>
      <c r="AS173" s="300"/>
      <c r="AT173" s="300"/>
      <c r="AU173" s="299">
        <f t="shared" si="192"/>
        <v>32348.5425666667</v>
      </c>
      <c r="AV173" s="299">
        <f t="shared" si="194"/>
        <v>268939.7375</v>
      </c>
      <c r="AW173" s="299">
        <f>AU173+AR173+AQ173+AO173+AN173+AM173+AK173+AI173+AH173+AG173+AF173+AE173+AD173+AJ173</f>
        <v>44999.3923166667</v>
      </c>
      <c r="AX173" s="299"/>
      <c r="AY173" s="299"/>
      <c r="AZ173" s="299">
        <f t="shared" si="169"/>
        <v>223940.345183333</v>
      </c>
      <c r="BA173" s="429">
        <f t="shared" si="149"/>
        <v>3227276.85</v>
      </c>
      <c r="BB173" s="430">
        <f t="shared" si="150"/>
        <v>845455.37</v>
      </c>
      <c r="BC173" s="307">
        <f t="shared" si="151"/>
        <v>0</v>
      </c>
      <c r="BD173" s="308">
        <f t="shared" si="152"/>
        <v>845455.37</v>
      </c>
      <c r="BE173" s="313">
        <f t="shared" si="153"/>
        <v>2381821.48</v>
      </c>
      <c r="BF173" s="430"/>
      <c r="BG173" s="307">
        <f t="shared" si="154"/>
        <v>21000</v>
      </c>
      <c r="BH173" s="307">
        <f t="shared" si="155"/>
        <v>33000</v>
      </c>
      <c r="BI173" s="307">
        <f t="shared" si="156"/>
        <v>75000</v>
      </c>
      <c r="BJ173" s="307">
        <f t="shared" si="157"/>
        <v>95000</v>
      </c>
      <c r="BK173" s="307">
        <f t="shared" si="158"/>
        <v>164182.5108</v>
      </c>
      <c r="BL173" s="307" t="str">
        <f t="shared" si="159"/>
        <v/>
      </c>
      <c r="BM173" s="429">
        <f t="shared" si="160"/>
        <v>388182.5108</v>
      </c>
      <c r="BN173" s="320">
        <f t="shared" si="161"/>
        <v>32272.7685</v>
      </c>
      <c r="BO173" s="321">
        <f t="shared" ref="BO173:BO178" si="196">MAX(BM173:BN173)</f>
        <v>388182.5108</v>
      </c>
      <c r="BP173" s="322">
        <f t="shared" si="162"/>
        <v>32348.5425666667</v>
      </c>
      <c r="BQ173" s="323"/>
      <c r="BR173" s="324"/>
      <c r="BS173" s="325"/>
      <c r="BT173" s="326"/>
      <c r="BU173" s="326"/>
      <c r="BV173" s="334"/>
      <c r="BW173" s="335"/>
    </row>
    <row r="174" s="245" customFormat="1" ht="156" customHeight="1" spans="1:75">
      <c r="A174" s="255">
        <v>173</v>
      </c>
      <c r="B174" s="70" t="s">
        <v>521</v>
      </c>
      <c r="C174" s="129" t="s">
        <v>155</v>
      </c>
      <c r="D174" s="129" t="s">
        <v>525</v>
      </c>
      <c r="E174" s="256" t="s">
        <v>113</v>
      </c>
      <c r="F174" s="256">
        <f>'[4]TEACHING STAFF'!$G$174</f>
        <v>2010376654</v>
      </c>
      <c r="G174" s="257">
        <v>2890081</v>
      </c>
      <c r="H174" s="258">
        <v>174173.42</v>
      </c>
      <c r="I174" s="258">
        <f>H174*0.35/3</f>
        <v>20320.2323333333</v>
      </c>
      <c r="J174" s="258">
        <f>5000</f>
        <v>5000</v>
      </c>
      <c r="K174" s="258"/>
      <c r="L174" s="258"/>
      <c r="M174" s="258">
        <v>2500</v>
      </c>
      <c r="N174" s="258"/>
      <c r="O174" s="258"/>
      <c r="P174" s="258"/>
      <c r="Q174" s="258"/>
      <c r="R174" s="258"/>
      <c r="S174" s="258"/>
      <c r="T174" s="258"/>
      <c r="U174" s="258">
        <f>383.33</f>
        <v>383.33</v>
      </c>
      <c r="V174" s="258"/>
      <c r="W174" s="265"/>
      <c r="X174" s="258"/>
      <c r="Y174" s="258"/>
      <c r="Z174" s="258"/>
      <c r="AA174" s="258"/>
      <c r="AB174" s="258"/>
      <c r="AC174" s="258"/>
      <c r="AD174" s="270"/>
      <c r="AE174" s="258"/>
      <c r="AF174" s="258">
        <v>1000</v>
      </c>
      <c r="AG174" s="270">
        <f t="shared" si="175"/>
        <v>3483.4684</v>
      </c>
      <c r="AH174" s="270"/>
      <c r="AI174" s="282">
        <v>1000</v>
      </c>
      <c r="AJ174" s="280"/>
      <c r="AK174" s="280"/>
      <c r="AL174" s="280"/>
      <c r="AM174" s="281"/>
      <c r="AN174" s="258"/>
      <c r="AO174" s="299">
        <v>1500</v>
      </c>
      <c r="AP174" s="299"/>
      <c r="AQ174" s="299"/>
      <c r="AR174" s="299">
        <f t="shared" si="176"/>
        <v>4047.53964666667</v>
      </c>
      <c r="AS174" s="300"/>
      <c r="AT174" s="300"/>
      <c r="AU174" s="299">
        <f t="shared" si="192"/>
        <v>21165.9996986667</v>
      </c>
      <c r="AV174" s="299">
        <f t="shared" si="194"/>
        <v>202376.982333333</v>
      </c>
      <c r="AW174" s="299">
        <f t="shared" si="168"/>
        <v>32197.0077453333</v>
      </c>
      <c r="AX174" s="299"/>
      <c r="AY174" s="299"/>
      <c r="AZ174" s="299">
        <f t="shared" si="169"/>
        <v>170179.974588</v>
      </c>
      <c r="BA174" s="429">
        <f t="shared" si="149"/>
        <v>2428523.788</v>
      </c>
      <c r="BB174" s="430">
        <f t="shared" si="150"/>
        <v>685704.7576</v>
      </c>
      <c r="BC174" s="307">
        <f t="shared" si="151"/>
        <v>0</v>
      </c>
      <c r="BD174" s="308">
        <f t="shared" si="152"/>
        <v>685704.7576</v>
      </c>
      <c r="BE174" s="313">
        <f t="shared" si="153"/>
        <v>1742819.0304</v>
      </c>
      <c r="BF174" s="430"/>
      <c r="BG174" s="307">
        <f t="shared" si="154"/>
        <v>21000</v>
      </c>
      <c r="BH174" s="307">
        <f t="shared" si="155"/>
        <v>33000</v>
      </c>
      <c r="BI174" s="307">
        <f t="shared" si="156"/>
        <v>75000</v>
      </c>
      <c r="BJ174" s="307">
        <f t="shared" si="157"/>
        <v>95000</v>
      </c>
      <c r="BK174" s="307">
        <f t="shared" si="158"/>
        <v>29991.996384</v>
      </c>
      <c r="BL174" s="307" t="str">
        <f t="shared" si="159"/>
        <v/>
      </c>
      <c r="BM174" s="429">
        <f t="shared" si="160"/>
        <v>253991.996384</v>
      </c>
      <c r="BN174" s="320">
        <f t="shared" si="161"/>
        <v>24285.23788</v>
      </c>
      <c r="BO174" s="321">
        <f t="shared" si="196"/>
        <v>253991.996384</v>
      </c>
      <c r="BP174" s="322">
        <f t="shared" si="162"/>
        <v>21165.9996986667</v>
      </c>
      <c r="BQ174" s="323"/>
      <c r="BR174" s="324"/>
      <c r="BS174" s="325"/>
      <c r="BT174" s="326"/>
      <c r="BU174" s="326"/>
      <c r="BV174" s="334"/>
      <c r="BW174" s="335"/>
    </row>
    <row r="175" s="245" customFormat="1" ht="166" customHeight="1" spans="1:75">
      <c r="A175" s="255">
        <v>174</v>
      </c>
      <c r="B175" s="70" t="s">
        <v>524</v>
      </c>
      <c r="C175" s="129" t="s">
        <v>204</v>
      </c>
      <c r="D175" s="129" t="s">
        <v>2010</v>
      </c>
      <c r="E175" s="256" t="s">
        <v>259</v>
      </c>
      <c r="F175" s="256">
        <f>'[4]TEACHING STAFF'!$G$178</f>
        <v>2128380019</v>
      </c>
      <c r="G175" s="257">
        <v>2035375</v>
      </c>
      <c r="H175" s="258">
        <v>339195.5</v>
      </c>
      <c r="I175" s="258">
        <f>H175*0.35/3</f>
        <v>39572.8083333333</v>
      </c>
      <c r="J175" s="258">
        <f>5000</f>
        <v>5000</v>
      </c>
      <c r="K175" s="258"/>
      <c r="L175" s="258"/>
      <c r="M175" s="258">
        <v>5000</v>
      </c>
      <c r="N175" s="258"/>
      <c r="O175" s="258"/>
      <c r="P175" s="258"/>
      <c r="Q175" s="258"/>
      <c r="R175" s="258"/>
      <c r="S175" s="258"/>
      <c r="T175" s="258"/>
      <c r="U175" s="258">
        <f>383.33*2</f>
        <v>766.66</v>
      </c>
      <c r="V175" s="258"/>
      <c r="W175" s="265"/>
      <c r="X175" s="258"/>
      <c r="Y175" s="258"/>
      <c r="Z175" s="258"/>
      <c r="AA175" s="258"/>
      <c r="AB175" s="258"/>
      <c r="AC175" s="258"/>
      <c r="AD175" s="270"/>
      <c r="AE175" s="258"/>
      <c r="AF175" s="258">
        <v>6500</v>
      </c>
      <c r="AG175" s="270">
        <f t="shared" si="175"/>
        <v>6783.91</v>
      </c>
      <c r="AH175" s="270"/>
      <c r="AI175" s="282">
        <v>2000</v>
      </c>
      <c r="AJ175" s="280"/>
      <c r="AK175" s="280"/>
      <c r="AL175" s="280"/>
      <c r="AM175" s="281"/>
      <c r="AN175" s="258"/>
      <c r="AO175" s="299">
        <v>3000</v>
      </c>
      <c r="AP175" s="299"/>
      <c r="AQ175" s="299"/>
      <c r="AR175" s="299">
        <f t="shared" si="176"/>
        <v>7790.69936666667</v>
      </c>
      <c r="AS175" s="300"/>
      <c r="AT175" s="300"/>
      <c r="AU175" s="299">
        <f t="shared" si="192"/>
        <v>53457.3805866667</v>
      </c>
      <c r="AV175" s="299">
        <f t="shared" si="194"/>
        <v>389534.968333333</v>
      </c>
      <c r="AW175" s="299">
        <f t="shared" si="168"/>
        <v>79531.9899533333</v>
      </c>
      <c r="AX175" s="299"/>
      <c r="AY175" s="299"/>
      <c r="AZ175" s="299">
        <f t="shared" si="169"/>
        <v>310002.97838</v>
      </c>
      <c r="BA175" s="429">
        <f t="shared" si="149"/>
        <v>4674419.62</v>
      </c>
      <c r="BB175" s="430">
        <f t="shared" si="150"/>
        <v>1134883.924</v>
      </c>
      <c r="BC175" s="307">
        <f t="shared" si="151"/>
        <v>0</v>
      </c>
      <c r="BD175" s="308">
        <f t="shared" si="152"/>
        <v>1134883.924</v>
      </c>
      <c r="BE175" s="313">
        <f t="shared" si="153"/>
        <v>3539535.696</v>
      </c>
      <c r="BF175" s="430"/>
      <c r="BG175" s="307">
        <f t="shared" si="154"/>
        <v>21000</v>
      </c>
      <c r="BH175" s="307">
        <f t="shared" si="155"/>
        <v>33000</v>
      </c>
      <c r="BI175" s="307">
        <f t="shared" si="156"/>
        <v>75000</v>
      </c>
      <c r="BJ175" s="307">
        <f t="shared" si="157"/>
        <v>95000</v>
      </c>
      <c r="BK175" s="307">
        <f t="shared" si="158"/>
        <v>336000</v>
      </c>
      <c r="BL175" s="307">
        <f t="shared" si="159"/>
        <v>81488.56704</v>
      </c>
      <c r="BM175" s="429">
        <f t="shared" si="160"/>
        <v>641488.56704</v>
      </c>
      <c r="BN175" s="320">
        <f t="shared" si="161"/>
        <v>46744.1962</v>
      </c>
      <c r="BO175" s="321">
        <f t="shared" si="196"/>
        <v>641488.56704</v>
      </c>
      <c r="BP175" s="322">
        <f t="shared" si="162"/>
        <v>53457.3805866667</v>
      </c>
      <c r="BQ175" s="323"/>
      <c r="BR175" s="324"/>
      <c r="BS175" s="325"/>
      <c r="BT175" s="326"/>
      <c r="BU175" s="326"/>
      <c r="BV175" s="334"/>
      <c r="BW175" s="335"/>
    </row>
    <row r="176" s="249" customFormat="1" ht="174" customHeight="1" spans="1:75">
      <c r="A176" s="255">
        <v>175</v>
      </c>
      <c r="B176" s="365" t="s">
        <v>2097</v>
      </c>
      <c r="C176" s="366" t="s">
        <v>2098</v>
      </c>
      <c r="D176" s="366" t="s">
        <v>291</v>
      </c>
      <c r="E176" s="367" t="str">
        <f>'[4]TEACHING STAFF'!$F$179</f>
        <v>FIDELITY</v>
      </c>
      <c r="F176" s="367">
        <f>'[4]TEACHING STAFF'!$G$179</f>
        <v>6976347296</v>
      </c>
      <c r="G176" s="368">
        <f>H176*12</f>
        <v>3428046.96</v>
      </c>
      <c r="H176" s="369">
        <f>'[15]TEACHING STAFF'!$L$179</f>
        <v>285670.58</v>
      </c>
      <c r="I176" s="369">
        <f>H176*0.35/3</f>
        <v>33328.2343333333</v>
      </c>
      <c r="J176" s="369">
        <f>5000</f>
        <v>5000</v>
      </c>
      <c r="K176" s="369">
        <v>20833.33</v>
      </c>
      <c r="L176" s="369"/>
      <c r="M176" s="369">
        <f>2500</f>
        <v>2500</v>
      </c>
      <c r="N176" s="369"/>
      <c r="O176" s="369"/>
      <c r="P176" s="369"/>
      <c r="Q176" s="369"/>
      <c r="R176" s="369"/>
      <c r="S176" s="369"/>
      <c r="T176" s="369"/>
      <c r="U176" s="369">
        <f>383.33</f>
        <v>383.33</v>
      </c>
      <c r="V176" s="369"/>
      <c r="W176" s="373"/>
      <c r="X176" s="369"/>
      <c r="Y176" s="369"/>
      <c r="Z176" s="369"/>
      <c r="AA176" s="369"/>
      <c r="AB176" s="369"/>
      <c r="AC176" s="369"/>
      <c r="AD176" s="376"/>
      <c r="AE176" s="369"/>
      <c r="AF176" s="369"/>
      <c r="AG176" s="376">
        <f t="shared" si="175"/>
        <v>5713.4116</v>
      </c>
      <c r="AH176" s="376"/>
      <c r="AI176" s="387"/>
      <c r="AJ176" s="388"/>
      <c r="AK176" s="388"/>
      <c r="AL176" s="388"/>
      <c r="AM176" s="389"/>
      <c r="AN176" s="369"/>
      <c r="AO176" s="395">
        <v>2000</v>
      </c>
      <c r="AP176" s="395"/>
      <c r="AQ176" s="395"/>
      <c r="AR176" s="395">
        <f t="shared" si="176"/>
        <v>6946.64288666667</v>
      </c>
      <c r="AS176" s="396"/>
      <c r="AT176" s="396"/>
      <c r="AU176" s="395">
        <f t="shared" si="192"/>
        <v>45518.4669146667</v>
      </c>
      <c r="AV176" s="395">
        <f>M176+K176+J176+I176+H176</f>
        <v>347332.144333333</v>
      </c>
      <c r="AW176" s="395">
        <f t="shared" si="168"/>
        <v>60178.5214013333</v>
      </c>
      <c r="AX176" s="395"/>
      <c r="AY176" s="395"/>
      <c r="AZ176" s="395">
        <f t="shared" si="169"/>
        <v>287153.622932</v>
      </c>
      <c r="BA176" s="437">
        <f t="shared" si="149"/>
        <v>4167985.732</v>
      </c>
      <c r="BB176" s="438">
        <f t="shared" si="150"/>
        <v>1033597.1464</v>
      </c>
      <c r="BC176" s="407">
        <f t="shared" si="151"/>
        <v>0</v>
      </c>
      <c r="BD176" s="408">
        <f t="shared" si="152"/>
        <v>1033597.1464</v>
      </c>
      <c r="BE176" s="411">
        <f t="shared" si="153"/>
        <v>3134388.5856</v>
      </c>
      <c r="BF176" s="438"/>
      <c r="BG176" s="407">
        <f t="shared" si="154"/>
        <v>21000</v>
      </c>
      <c r="BH176" s="407">
        <f t="shared" si="155"/>
        <v>33000</v>
      </c>
      <c r="BI176" s="407">
        <f t="shared" si="156"/>
        <v>75000</v>
      </c>
      <c r="BJ176" s="407">
        <f t="shared" si="157"/>
        <v>95000</v>
      </c>
      <c r="BK176" s="407">
        <f t="shared" si="158"/>
        <v>322221.602976</v>
      </c>
      <c r="BL176" s="407" t="str">
        <f t="shared" si="159"/>
        <v/>
      </c>
      <c r="BM176" s="437">
        <f t="shared" si="160"/>
        <v>546221.602976</v>
      </c>
      <c r="BN176" s="420">
        <f t="shared" si="161"/>
        <v>41679.85732</v>
      </c>
      <c r="BO176" s="421">
        <f t="shared" si="196"/>
        <v>546221.602976</v>
      </c>
      <c r="BP176" s="422">
        <f t="shared" si="162"/>
        <v>45518.4669146667</v>
      </c>
      <c r="BQ176" s="423"/>
      <c r="BR176" s="424"/>
      <c r="BS176" s="425"/>
      <c r="BT176" s="426"/>
      <c r="BU176" s="426"/>
      <c r="BV176" s="427"/>
      <c r="BW176" s="428"/>
    </row>
    <row r="177" s="249" customFormat="1" ht="156" customHeight="1" spans="1:75">
      <c r="A177" s="255">
        <v>176</v>
      </c>
      <c r="B177" s="365" t="s">
        <v>2099</v>
      </c>
      <c r="C177" s="366" t="s">
        <v>2047</v>
      </c>
      <c r="D177" s="366" t="s">
        <v>186</v>
      </c>
      <c r="E177" s="367" t="str">
        <f>'[4]TEACHING STAFF'!$F$180</f>
        <v>GTB</v>
      </c>
      <c r="F177" s="1474" t="str">
        <f>'[4]TEACHING STAFF'!$G$180</f>
        <v>0246799705</v>
      </c>
      <c r="G177" s="368">
        <f>H177*12</f>
        <v>4327635.96</v>
      </c>
      <c r="H177" s="369">
        <f>H178</f>
        <v>360636.33</v>
      </c>
      <c r="I177" s="369">
        <f t="shared" ref="I177:I178" si="197">H177*0.35/3</f>
        <v>42074.2385</v>
      </c>
      <c r="J177" s="369">
        <f>'[16]TEACHING STAFF'!$M$161/2</f>
        <v>5000</v>
      </c>
      <c r="K177" s="369">
        <f>K22</f>
        <v>20833.33</v>
      </c>
      <c r="L177" s="369"/>
      <c r="M177" s="369">
        <f>2500</f>
        <v>2500</v>
      </c>
      <c r="N177" s="369"/>
      <c r="O177" s="369"/>
      <c r="P177" s="369"/>
      <c r="Q177" s="369"/>
      <c r="R177" s="369"/>
      <c r="S177" s="369"/>
      <c r="T177" s="369"/>
      <c r="U177" s="369">
        <f t="shared" ref="U177:U178" si="198">383.33</f>
        <v>383.33</v>
      </c>
      <c r="V177" s="369"/>
      <c r="W177" s="373"/>
      <c r="X177" s="369"/>
      <c r="Y177" s="369"/>
      <c r="Z177" s="369"/>
      <c r="AA177" s="369"/>
      <c r="AB177" s="369"/>
      <c r="AC177" s="369"/>
      <c r="AD177" s="376"/>
      <c r="AE177" s="369"/>
      <c r="AF177" s="369"/>
      <c r="AG177" s="376">
        <f t="shared" si="175"/>
        <v>7212.7266</v>
      </c>
      <c r="AH177" s="376"/>
      <c r="AI177" s="387"/>
      <c r="AJ177" s="390">
        <v>1000</v>
      </c>
      <c r="AK177" s="388"/>
      <c r="AL177" s="388"/>
      <c r="AM177" s="389"/>
      <c r="AN177" s="369"/>
      <c r="AO177" s="395">
        <v>2500</v>
      </c>
      <c r="AP177" s="395"/>
      <c r="AQ177" s="395"/>
      <c r="AR177" s="395">
        <f t="shared" si="176"/>
        <v>8628.54457</v>
      </c>
      <c r="AS177" s="396"/>
      <c r="AT177" s="396"/>
      <c r="AU177" s="395">
        <f t="shared" si="192"/>
        <v>61500.6945386667</v>
      </c>
      <c r="AV177" s="395">
        <f t="shared" ref="AV177" si="199">V177+U177+N177+M177+K177+J177+I177+H177</f>
        <v>431427.2285</v>
      </c>
      <c r="AW177" s="395">
        <f>AU177+AR177+AQ177+AO177+AN177+AM177+AK177+AI177+AH177+AG177+AF177+AE177+AD177+AJ177</f>
        <v>80841.9657086667</v>
      </c>
      <c r="AX177" s="395"/>
      <c r="AY177" s="395"/>
      <c r="AZ177" s="395">
        <f t="shared" si="169"/>
        <v>350585.262791333</v>
      </c>
      <c r="BA177" s="437">
        <f t="shared" si="149"/>
        <v>5177126.742</v>
      </c>
      <c r="BB177" s="438">
        <f t="shared" si="150"/>
        <v>1235425.3484</v>
      </c>
      <c r="BC177" s="407">
        <f t="shared" si="151"/>
        <v>0</v>
      </c>
      <c r="BD177" s="408">
        <f t="shared" si="152"/>
        <v>1235425.3484</v>
      </c>
      <c r="BE177" s="411">
        <f t="shared" si="153"/>
        <v>3941701.3936</v>
      </c>
      <c r="BF177" s="438"/>
      <c r="BG177" s="407">
        <f t="shared" si="154"/>
        <v>21000</v>
      </c>
      <c r="BH177" s="407">
        <f t="shared" si="155"/>
        <v>33000</v>
      </c>
      <c r="BI177" s="407">
        <f t="shared" si="156"/>
        <v>75000</v>
      </c>
      <c r="BJ177" s="407">
        <f t="shared" si="157"/>
        <v>95000</v>
      </c>
      <c r="BK177" s="407">
        <f t="shared" si="158"/>
        <v>336000</v>
      </c>
      <c r="BL177" s="407">
        <f t="shared" si="159"/>
        <v>178008.334464</v>
      </c>
      <c r="BM177" s="437">
        <f t="shared" si="160"/>
        <v>738008.334464</v>
      </c>
      <c r="BN177" s="420">
        <f t="shared" si="161"/>
        <v>51771.26742</v>
      </c>
      <c r="BO177" s="421">
        <f t="shared" si="196"/>
        <v>738008.334464</v>
      </c>
      <c r="BP177" s="422">
        <f t="shared" si="162"/>
        <v>61500.6945386667</v>
      </c>
      <c r="BQ177" s="423"/>
      <c r="BR177" s="424"/>
      <c r="BS177" s="425"/>
      <c r="BT177" s="426"/>
      <c r="BU177" s="426"/>
      <c r="BV177" s="427"/>
      <c r="BW177" s="428"/>
    </row>
    <row r="178" s="249" customFormat="1" ht="161" customHeight="1" spans="1:75">
      <c r="A178" s="255">
        <v>177</v>
      </c>
      <c r="B178" s="365" t="s">
        <v>2100</v>
      </c>
      <c r="C178" s="366" t="s">
        <v>2047</v>
      </c>
      <c r="D178" s="366" t="s">
        <v>186</v>
      </c>
      <c r="E178" s="367" t="s">
        <v>97</v>
      </c>
      <c r="F178" s="1474" t="s">
        <v>2101</v>
      </c>
      <c r="G178" s="368">
        <f>H178*12</f>
        <v>4327635.96</v>
      </c>
      <c r="H178" s="369">
        <v>360636.33</v>
      </c>
      <c r="I178" s="369">
        <f t="shared" si="197"/>
        <v>42074.2385</v>
      </c>
      <c r="J178" s="369">
        <f>'[16]TEACHING STAFF'!$M$161/2</f>
        <v>5000</v>
      </c>
      <c r="K178" s="369">
        <f>K177</f>
        <v>20833.33</v>
      </c>
      <c r="L178" s="369"/>
      <c r="M178" s="369">
        <f>2500</f>
        <v>2500</v>
      </c>
      <c r="N178" s="369"/>
      <c r="O178" s="369"/>
      <c r="P178" s="369"/>
      <c r="Q178" s="369"/>
      <c r="R178" s="369"/>
      <c r="S178" s="369"/>
      <c r="T178" s="369"/>
      <c r="U178" s="369">
        <f t="shared" si="198"/>
        <v>383.33</v>
      </c>
      <c r="V178" s="369"/>
      <c r="W178" s="373"/>
      <c r="X178" s="369"/>
      <c r="Y178" s="369"/>
      <c r="Z178" s="369"/>
      <c r="AA178" s="369"/>
      <c r="AB178" s="369"/>
      <c r="AC178" s="369"/>
      <c r="AD178" s="376"/>
      <c r="AE178" s="369"/>
      <c r="AF178" s="369"/>
      <c r="AG178" s="376">
        <f t="shared" si="175"/>
        <v>7212.7266</v>
      </c>
      <c r="AH178" s="376"/>
      <c r="AI178" s="387"/>
      <c r="AJ178" s="390">
        <v>1000</v>
      </c>
      <c r="AK178" s="388"/>
      <c r="AL178" s="388"/>
      <c r="AM178" s="389"/>
      <c r="AN178" s="369"/>
      <c r="AO178" s="395">
        <v>2500</v>
      </c>
      <c r="AP178" s="395"/>
      <c r="AQ178" s="395"/>
      <c r="AR178" s="395">
        <f t="shared" si="176"/>
        <v>8628.54457</v>
      </c>
      <c r="AS178" s="396"/>
      <c r="AT178" s="396"/>
      <c r="AU178" s="395">
        <f t="shared" si="192"/>
        <v>61500.6945386667</v>
      </c>
      <c r="AV178" s="395">
        <f t="shared" ref="AV178" si="200">W178+V178+U178+N178+M178+K178+J178+I178+H178</f>
        <v>431427.2285</v>
      </c>
      <c r="AW178" s="395">
        <f>AU178+AR178+AQ178+AO178+AN178+AM178+AK178+AI178+AH178+AG178+AF178+AE178+AD178+AJ178</f>
        <v>80841.9657086667</v>
      </c>
      <c r="AX178" s="395"/>
      <c r="AY178" s="395"/>
      <c r="AZ178" s="395">
        <f t="shared" si="169"/>
        <v>350585.262791333</v>
      </c>
      <c r="BA178" s="437">
        <f t="shared" si="149"/>
        <v>5177126.742</v>
      </c>
      <c r="BB178" s="438">
        <f t="shared" si="150"/>
        <v>1235425.3484</v>
      </c>
      <c r="BC178" s="407">
        <f t="shared" si="151"/>
        <v>0</v>
      </c>
      <c r="BD178" s="408">
        <f t="shared" si="152"/>
        <v>1235425.3484</v>
      </c>
      <c r="BE178" s="411">
        <f t="shared" si="153"/>
        <v>3941701.3936</v>
      </c>
      <c r="BF178" s="438"/>
      <c r="BG178" s="407">
        <f t="shared" si="154"/>
        <v>21000</v>
      </c>
      <c r="BH178" s="407">
        <f t="shared" si="155"/>
        <v>33000</v>
      </c>
      <c r="BI178" s="407">
        <f t="shared" si="156"/>
        <v>75000</v>
      </c>
      <c r="BJ178" s="407">
        <f t="shared" si="157"/>
        <v>95000</v>
      </c>
      <c r="BK178" s="407">
        <f t="shared" si="158"/>
        <v>336000</v>
      </c>
      <c r="BL178" s="407">
        <f t="shared" si="159"/>
        <v>178008.334464</v>
      </c>
      <c r="BM178" s="437">
        <f t="shared" si="160"/>
        <v>738008.334464</v>
      </c>
      <c r="BN178" s="420">
        <f t="shared" si="161"/>
        <v>51771.26742</v>
      </c>
      <c r="BO178" s="421">
        <f t="shared" si="196"/>
        <v>738008.334464</v>
      </c>
      <c r="BP178" s="422">
        <f t="shared" si="162"/>
        <v>61500.6945386667</v>
      </c>
      <c r="BQ178" s="423"/>
      <c r="BR178" s="424"/>
      <c r="BS178" s="425"/>
      <c r="BT178" s="426"/>
      <c r="BU178" s="426"/>
      <c r="BV178" s="427"/>
      <c r="BW178" s="428"/>
    </row>
    <row r="179" ht="15.75"/>
  </sheetData>
  <conditionalFormatting sqref="BB2:BC178 BF2:BN178 BR2:BU178">
    <cfRule type="cellIs" dxfId="0" priority="1" stopIfTrue="1" operator="lessThan">
      <formula>0</formula>
    </cfRule>
    <cfRule type="cellIs" dxfId="1" priority="2" stopIfTrue="1" operator="lessThan">
      <formula>0</formula>
    </cfRule>
  </conditionalFormatting>
  <hyperlinks>
    <hyperlink ref="BG1" r:id="rId1" display="1st 300K @ 7%"/>
    <hyperlink ref="BH1" r:id="rId2" display="next 300k @ 11%"/>
    <hyperlink ref="BI1" r:id="rId3" display="next 500k @ 15%"/>
    <hyperlink ref="BJ1" r:id="rId4" display="next 500k @ 19%"/>
    <hyperlink ref="BK1" r:id="rId5" display="next 1.6m @ 21%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80"/>
  <sheetViews>
    <sheetView view="pageBreakPreview" zoomScale="60" zoomScaleNormal="100" topLeftCell="AW1" workbookViewId="0">
      <selection activeCell="BA1" sqref="BA$1:BL$1048576"/>
    </sheetView>
  </sheetViews>
  <sheetFormatPr defaultColWidth="11.5047619047619" defaultRowHeight="15"/>
  <cols>
    <col min="2" max="2" width="21.8285714285714" customWidth="1"/>
    <col min="3" max="3" width="32.5047619047619" customWidth="1"/>
    <col min="4" max="4" width="22.1619047619048" customWidth="1"/>
    <col min="5" max="5" width="19" customWidth="1"/>
    <col min="6" max="6" width="22.3333333333333" customWidth="1"/>
  </cols>
  <sheetData>
    <row r="1" ht="15.75"/>
    <row r="2" s="244" customFormat="1" ht="297" customHeight="1" spans="1:61">
      <c r="A2" s="250" t="s">
        <v>2</v>
      </c>
      <c r="B2" s="251" t="s">
        <v>3</v>
      </c>
      <c r="C2" s="252" t="s">
        <v>5</v>
      </c>
      <c r="D2" s="252" t="s">
        <v>6</v>
      </c>
      <c r="E2" s="253" t="s">
        <v>7</v>
      </c>
      <c r="F2" s="253" t="s">
        <v>8</v>
      </c>
      <c r="G2" s="254" t="s">
        <v>9</v>
      </c>
      <c r="H2" s="254" t="s">
        <v>14</v>
      </c>
      <c r="I2" s="268" t="s">
        <v>15</v>
      </c>
      <c r="J2" s="268" t="s">
        <v>16</v>
      </c>
      <c r="K2" s="268" t="s">
        <v>17</v>
      </c>
      <c r="L2" s="268" t="s">
        <v>18</v>
      </c>
      <c r="M2" s="268" t="s">
        <v>19</v>
      </c>
      <c r="N2" s="268" t="s">
        <v>20</v>
      </c>
      <c r="O2" s="268" t="s">
        <v>1992</v>
      </c>
      <c r="P2" s="268" t="s">
        <v>1993</v>
      </c>
      <c r="Q2" s="268" t="s">
        <v>22</v>
      </c>
      <c r="R2" s="268" t="s">
        <v>23</v>
      </c>
      <c r="S2" s="268" t="s">
        <v>24</v>
      </c>
      <c r="T2" s="268" t="s">
        <v>1994</v>
      </c>
      <c r="U2" s="268" t="s">
        <v>26</v>
      </c>
      <c r="V2" s="268" t="s">
        <v>27</v>
      </c>
      <c r="W2" s="269" t="s">
        <v>28</v>
      </c>
      <c r="X2" s="268" t="s">
        <v>29</v>
      </c>
      <c r="Y2" s="268" t="s">
        <v>30</v>
      </c>
      <c r="Z2" s="268" t="s">
        <v>31</v>
      </c>
      <c r="AA2" s="268" t="s">
        <v>32</v>
      </c>
      <c r="AB2" s="268" t="s">
        <v>33</v>
      </c>
      <c r="AC2" s="268"/>
      <c r="AD2" s="254" t="s">
        <v>34</v>
      </c>
      <c r="AE2" s="254" t="s">
        <v>35</v>
      </c>
      <c r="AF2" s="254" t="s">
        <v>1995</v>
      </c>
      <c r="AG2" s="272" t="s">
        <v>38</v>
      </c>
      <c r="AH2" s="273" t="s">
        <v>41</v>
      </c>
      <c r="AI2" s="274" t="s">
        <v>1996</v>
      </c>
      <c r="AJ2" s="275" t="s">
        <v>44</v>
      </c>
      <c r="AK2" s="276" t="s">
        <v>46</v>
      </c>
      <c r="AL2" s="276" t="s">
        <v>1997</v>
      </c>
      <c r="AM2" s="276" t="s">
        <v>52</v>
      </c>
      <c r="AN2" s="277" t="s">
        <v>55</v>
      </c>
      <c r="AO2" s="254" t="s">
        <v>56</v>
      </c>
      <c r="AP2" s="254" t="s">
        <v>57</v>
      </c>
      <c r="AQ2" s="277" t="s">
        <v>58</v>
      </c>
      <c r="AR2" s="254" t="s">
        <v>59</v>
      </c>
      <c r="AS2" s="254" t="s">
        <v>60</v>
      </c>
      <c r="AT2" s="254" t="s">
        <v>61</v>
      </c>
      <c r="AU2" s="254" t="s">
        <v>62</v>
      </c>
      <c r="AV2" s="277" t="s">
        <v>63</v>
      </c>
      <c r="AW2" s="254" t="s">
        <v>64</v>
      </c>
      <c r="AX2" s="254" t="s">
        <v>65</v>
      </c>
      <c r="AY2" s="254" t="s">
        <v>66</v>
      </c>
      <c r="AZ2" s="254" t="s">
        <v>67</v>
      </c>
      <c r="BA2" s="303" t="s">
        <v>79</v>
      </c>
      <c r="BB2" s="315" t="s">
        <v>80</v>
      </c>
      <c r="BC2" s="316" t="s">
        <v>81</v>
      </c>
      <c r="BD2" s="316" t="s">
        <v>82</v>
      </c>
      <c r="BE2" s="317" t="s">
        <v>83</v>
      </c>
      <c r="BF2" s="318" t="s">
        <v>84</v>
      </c>
      <c r="BG2" s="319" t="s">
        <v>85</v>
      </c>
      <c r="BH2" s="319" t="s">
        <v>86</v>
      </c>
      <c r="BI2" s="319" t="s">
        <v>87</v>
      </c>
    </row>
    <row r="3" s="245" customFormat="1" ht="203" customHeight="1" spans="1:64">
      <c r="A3" s="255">
        <v>1</v>
      </c>
      <c r="B3" s="70" t="s">
        <v>89</v>
      </c>
      <c r="C3" s="129" t="s">
        <v>1998</v>
      </c>
      <c r="D3" s="129" t="s">
        <v>92</v>
      </c>
      <c r="E3" s="256" t="s">
        <v>675</v>
      </c>
      <c r="F3" s="256">
        <v>2017212564</v>
      </c>
      <c r="G3" s="257">
        <f ca="1" t="shared" ref="G3:G6" si="0">H3*12</f>
        <v>3830943.96</v>
      </c>
      <c r="H3" s="257">
        <f ca="1">G3</f>
        <v>555352</v>
      </c>
      <c r="I3" s="258">
        <f ca="1">H3*0.35/3</f>
        <v>64791.0666666667</v>
      </c>
      <c r="J3" s="258">
        <v>8333.33</v>
      </c>
      <c r="K3" s="258"/>
      <c r="L3" s="258"/>
      <c r="M3" s="258">
        <v>2500</v>
      </c>
      <c r="N3" s="258"/>
      <c r="O3" s="258"/>
      <c r="P3" s="258"/>
      <c r="Q3" s="258"/>
      <c r="R3" s="258"/>
      <c r="S3" s="258"/>
      <c r="T3" s="258"/>
      <c r="U3" s="258">
        <v>383.33</v>
      </c>
      <c r="V3" s="258">
        <v>250000</v>
      </c>
      <c r="W3" s="265"/>
      <c r="X3" s="258"/>
      <c r="Y3" s="258"/>
      <c r="Z3" s="258"/>
      <c r="AA3" s="258"/>
      <c r="AB3" s="258"/>
      <c r="AC3" s="258"/>
      <c r="AD3" s="270"/>
      <c r="AE3" s="258"/>
      <c r="AF3" s="258"/>
      <c r="AG3" s="270">
        <f ca="1">H3*0.02</f>
        <v>11107.04</v>
      </c>
      <c r="AH3" s="270">
        <f>100000</f>
        <v>100000</v>
      </c>
      <c r="AI3" s="278"/>
      <c r="AJ3" s="279">
        <v>1000</v>
      </c>
      <c r="AK3" s="280"/>
      <c r="AL3" s="280"/>
      <c r="AM3" s="281">
        <v>362500</v>
      </c>
      <c r="AN3" s="258">
        <v>25000</v>
      </c>
      <c r="AO3" s="299">
        <v>3500</v>
      </c>
      <c r="AP3" s="299">
        <v>3500</v>
      </c>
      <c r="AQ3" s="299"/>
      <c r="AR3" s="299">
        <f ca="1">AV3*0.02</f>
        <v>17627.1945333333</v>
      </c>
      <c r="AS3" s="300"/>
      <c r="AT3" s="300"/>
      <c r="AU3" s="299" t="e">
        <f>BD3</f>
        <v>#REF!</v>
      </c>
      <c r="AV3" s="299">
        <f ca="1">W3+V3+U3+N3+M3+K3+J3+I3+H3</f>
        <v>881359.726666667</v>
      </c>
      <c r="AW3" s="299">
        <f ca="1">AU3+AR3+AQ3+AO3+AN3+AM3+AK3+AJ3+AH3+AI3+AG3</f>
        <v>668621.96872</v>
      </c>
      <c r="AX3" s="304"/>
      <c r="AY3" s="304"/>
      <c r="AZ3" s="299">
        <f ca="1">AV3-AW3</f>
        <v>212737.757946667</v>
      </c>
      <c r="BA3" s="305" t="e">
        <f>SUM(#REF!)</f>
        <v>#REF!</v>
      </c>
      <c r="BB3" s="320" t="e">
        <f>1%*#REF!</f>
        <v>#REF!</v>
      </c>
      <c r="BC3" s="321" t="e">
        <f t="shared" ref="BC3:BC66" si="1">MAX(BA3:BB3)</f>
        <v>#REF!</v>
      </c>
      <c r="BD3" s="322" t="e">
        <f t="shared" ref="BD3:BD66" si="2">+BC3/12</f>
        <v>#REF!</v>
      </c>
      <c r="BE3" s="323"/>
      <c r="BF3" s="324"/>
      <c r="BG3" s="325"/>
      <c r="BH3" s="326"/>
      <c r="BI3" s="326"/>
      <c r="BJ3" s="334"/>
      <c r="BK3" s="335"/>
      <c r="BL3" s="335"/>
    </row>
    <row r="4" s="245" customFormat="1" ht="134" customHeight="1" spans="1:64">
      <c r="A4" s="255">
        <v>2</v>
      </c>
      <c r="B4" s="70" t="s">
        <v>94</v>
      </c>
      <c r="C4" s="129" t="s">
        <v>1999</v>
      </c>
      <c r="D4" s="129" t="s">
        <v>92</v>
      </c>
      <c r="E4" s="256" t="s">
        <v>97</v>
      </c>
      <c r="F4" s="1469" t="s">
        <v>98</v>
      </c>
      <c r="G4" s="257">
        <f ca="1" t="shared" si="0"/>
        <v>3830943.96</v>
      </c>
      <c r="H4" s="257">
        <f ca="1" t="shared" ref="H4:H5" si="3">G4</f>
        <v>555352</v>
      </c>
      <c r="I4" s="258"/>
      <c r="J4" s="258"/>
      <c r="K4" s="258">
        <f>K79</f>
        <v>41667</v>
      </c>
      <c r="L4" s="258"/>
      <c r="M4" s="258">
        <v>2500</v>
      </c>
      <c r="N4" s="258"/>
      <c r="O4" s="258"/>
      <c r="P4" s="258"/>
      <c r="Q4" s="258"/>
      <c r="R4" s="258"/>
      <c r="S4" s="258"/>
      <c r="T4" s="258"/>
      <c r="U4" s="258"/>
      <c r="V4" s="258"/>
      <c r="W4" s="265"/>
      <c r="X4" s="258"/>
      <c r="Y4" s="258"/>
      <c r="Z4" s="258"/>
      <c r="AA4" s="258"/>
      <c r="AB4" s="258"/>
      <c r="AC4" s="258"/>
      <c r="AD4" s="270"/>
      <c r="AE4" s="258"/>
      <c r="AF4" s="258"/>
      <c r="AG4" s="270">
        <f ca="1">H4*0.02</f>
        <v>0</v>
      </c>
      <c r="AH4" s="270"/>
      <c r="AI4" s="282">
        <v>1000</v>
      </c>
      <c r="AJ4" s="279"/>
      <c r="AK4" s="279"/>
      <c r="AL4" s="279"/>
      <c r="AM4" s="281"/>
      <c r="AN4" s="258">
        <v>25000</v>
      </c>
      <c r="AO4" s="299">
        <v>3500</v>
      </c>
      <c r="AP4" s="299">
        <v>3500</v>
      </c>
      <c r="AQ4" s="299"/>
      <c r="AR4" s="299">
        <f ca="1">AV4*0.02</f>
        <v>883.34</v>
      </c>
      <c r="AS4" s="300"/>
      <c r="AT4" s="300"/>
      <c r="AU4" s="299" t="e">
        <f>BD4</f>
        <v>#REF!</v>
      </c>
      <c r="AV4" s="299">
        <f ca="1">V4+U4+N4+M4+K4+J4+I4+H4</f>
        <v>44167</v>
      </c>
      <c r="AW4" s="299">
        <f ca="1">AU4+AR4+AQ4+AO4+AN4+AM4+AK4+AI4+AH4+AG4+AF4+AE4+AD4</f>
        <v>31690.0253333333</v>
      </c>
      <c r="AX4" s="304"/>
      <c r="AY4" s="304"/>
      <c r="AZ4" s="299">
        <f ca="1">AV4-AW4</f>
        <v>12476.9746666667</v>
      </c>
      <c r="BA4" s="305" t="e">
        <f>SUM(#REF!)</f>
        <v>#REF!</v>
      </c>
      <c r="BB4" s="320" t="e">
        <f>1%*#REF!</f>
        <v>#REF!</v>
      </c>
      <c r="BC4" s="321" t="e">
        <f t="shared" si="1"/>
        <v>#REF!</v>
      </c>
      <c r="BD4" s="322" t="e">
        <f t="shared" si="2"/>
        <v>#REF!</v>
      </c>
      <c r="BE4" s="323"/>
      <c r="BF4" s="324"/>
      <c r="BG4" s="325"/>
      <c r="BH4" s="326"/>
      <c r="BI4" s="326"/>
      <c r="BJ4" s="334"/>
      <c r="BK4" s="335"/>
      <c r="BL4" s="335"/>
    </row>
    <row r="5" s="245" customFormat="1" ht="161.25" customHeight="1" spans="1:63">
      <c r="A5" s="255">
        <v>3</v>
      </c>
      <c r="B5" s="70" t="s">
        <v>2000</v>
      </c>
      <c r="C5" s="129" t="s">
        <v>100</v>
      </c>
      <c r="D5" s="129" t="s">
        <v>92</v>
      </c>
      <c r="E5" s="256" t="s">
        <v>101</v>
      </c>
      <c r="F5" s="1470" t="str">
        <f>'[9]SEPT SALARY, 2021 BANK COPY'!$E$4</f>
        <v>0072045836</v>
      </c>
      <c r="G5" s="257">
        <f ca="1" t="shared" si="0"/>
        <v>3830943.96</v>
      </c>
      <c r="H5" s="257">
        <f ca="1" t="shared" si="3"/>
        <v>555352</v>
      </c>
      <c r="I5" s="258"/>
      <c r="J5" s="258"/>
      <c r="K5" s="258"/>
      <c r="L5" s="258"/>
      <c r="M5" s="258">
        <v>2500</v>
      </c>
      <c r="N5" s="258"/>
      <c r="O5" s="258"/>
      <c r="P5" s="258"/>
      <c r="Q5" s="258"/>
      <c r="R5" s="258"/>
      <c r="S5" s="258"/>
      <c r="T5" s="258"/>
      <c r="U5" s="258">
        <v>383.33</v>
      </c>
      <c r="V5" s="258"/>
      <c r="W5" s="265"/>
      <c r="X5" s="258">
        <v>0</v>
      </c>
      <c r="Y5" s="258"/>
      <c r="Z5" s="258"/>
      <c r="AA5" s="258"/>
      <c r="AB5" s="258"/>
      <c r="AC5" s="258"/>
      <c r="AD5" s="270"/>
      <c r="AE5" s="258"/>
      <c r="AF5" s="258"/>
      <c r="AG5" s="270">
        <f ca="1" t="shared" ref="AG5:AG81" si="4">H5*0.02</f>
        <v>0</v>
      </c>
      <c r="AH5" s="270"/>
      <c r="AI5" s="282">
        <v>1000</v>
      </c>
      <c r="AJ5" s="279"/>
      <c r="AK5" s="279"/>
      <c r="AL5" s="279"/>
      <c r="AM5" s="281"/>
      <c r="AN5" s="258">
        <v>8333.33</v>
      </c>
      <c r="AO5" s="299">
        <v>3500</v>
      </c>
      <c r="AP5" s="299"/>
      <c r="AQ5" s="299"/>
      <c r="AR5" s="299">
        <f ca="1" t="shared" ref="AR5:AR81" si="5">AV5*0.02</f>
        <v>57.6666</v>
      </c>
      <c r="AS5" s="300"/>
      <c r="AT5" s="300"/>
      <c r="AU5" s="299">
        <f>29831.41*2</f>
        <v>59662.82</v>
      </c>
      <c r="AV5" s="299">
        <f ca="1">W5+V5+U5+N5+M5+K5+J5+I5+H5</f>
        <v>2883.33</v>
      </c>
      <c r="AW5" s="299">
        <f ca="1" t="shared" ref="AW5:AW74" si="6">AU5+AR5+AQ5+AO5+AN5+AM5+AK5+AI5+AH5+AG5+AF5+AE5+AD5</f>
        <v>72553.8166</v>
      </c>
      <c r="AX5" s="299"/>
      <c r="AY5" s="299"/>
      <c r="AZ5" s="299">
        <f ca="1" t="shared" ref="AZ5:AZ75" si="7">AV5-AW5</f>
        <v>-69670.4866</v>
      </c>
      <c r="BA5" s="305" t="e">
        <f>SUM(#REF!)</f>
        <v>#REF!</v>
      </c>
      <c r="BB5" s="320" t="e">
        <f>1%*#REF!</f>
        <v>#REF!</v>
      </c>
      <c r="BC5" s="321" t="e">
        <f t="shared" si="1"/>
        <v>#REF!</v>
      </c>
      <c r="BD5" s="322">
        <f>AU5</f>
        <v>59662.82</v>
      </c>
      <c r="BE5" s="323"/>
      <c r="BF5" s="324"/>
      <c r="BG5" s="325"/>
      <c r="BH5" s="326"/>
      <c r="BI5" s="326"/>
      <c r="BJ5" s="334"/>
      <c r="BK5" s="335"/>
    </row>
    <row r="6" s="245" customFormat="1" ht="161.25" customHeight="1" spans="1:63">
      <c r="A6" s="255">
        <v>4</v>
      </c>
      <c r="B6" s="70" t="s">
        <v>103</v>
      </c>
      <c r="C6" s="129" t="s">
        <v>105</v>
      </c>
      <c r="D6" s="129" t="s">
        <v>106</v>
      </c>
      <c r="E6" s="256" t="s">
        <v>97</v>
      </c>
      <c r="F6" s="1470" t="s">
        <v>107</v>
      </c>
      <c r="G6" s="257">
        <f t="shared" si="0"/>
        <v>3830943.96</v>
      </c>
      <c r="H6" s="258">
        <f>319245.33</f>
        <v>319245.33</v>
      </c>
      <c r="I6" s="258"/>
      <c r="J6" s="258"/>
      <c r="K6" s="258"/>
      <c r="L6" s="258"/>
      <c r="M6" s="258">
        <v>2500</v>
      </c>
      <c r="N6" s="258"/>
      <c r="O6" s="258"/>
      <c r="P6" s="258"/>
      <c r="Q6" s="258"/>
      <c r="R6" s="258"/>
      <c r="S6" s="258"/>
      <c r="T6" s="258"/>
      <c r="U6" s="258"/>
      <c r="V6" s="258"/>
      <c r="W6" s="265"/>
      <c r="X6" s="258">
        <v>0</v>
      </c>
      <c r="Y6" s="258"/>
      <c r="Z6" s="258"/>
      <c r="AA6" s="258"/>
      <c r="AB6" s="258"/>
      <c r="AC6" s="258"/>
      <c r="AD6" s="270"/>
      <c r="AE6" s="258"/>
      <c r="AF6" s="258"/>
      <c r="AG6" s="270">
        <f t="shared" si="4"/>
        <v>6384.9066</v>
      </c>
      <c r="AH6" s="270"/>
      <c r="AI6" s="282">
        <v>1000</v>
      </c>
      <c r="AJ6" s="279"/>
      <c r="AK6" s="279"/>
      <c r="AL6" s="279"/>
      <c r="AM6" s="281"/>
      <c r="AN6" s="258"/>
      <c r="AO6" s="299">
        <v>3500</v>
      </c>
      <c r="AP6" s="299"/>
      <c r="AQ6" s="299"/>
      <c r="AR6" s="299">
        <f t="shared" si="5"/>
        <v>6434.9066</v>
      </c>
      <c r="AS6" s="300"/>
      <c r="AT6" s="300"/>
      <c r="AU6" s="299">
        <f>29831.41*2</f>
        <v>59662.82</v>
      </c>
      <c r="AV6" s="299">
        <f>W6+V6+U6+N6+M6+K6+J6+I6+H6</f>
        <v>321745.33</v>
      </c>
      <c r="AW6" s="299">
        <f t="shared" si="6"/>
        <v>76982.6332</v>
      </c>
      <c r="AX6" s="299"/>
      <c r="AY6" s="299"/>
      <c r="AZ6" s="299">
        <f t="shared" si="7"/>
        <v>244762.6968</v>
      </c>
      <c r="BA6" s="305" t="e">
        <f>SUM(#REF!)</f>
        <v>#REF!</v>
      </c>
      <c r="BB6" s="320" t="e">
        <f>1%*#REF!</f>
        <v>#REF!</v>
      </c>
      <c r="BC6" s="321" t="e">
        <f t="shared" si="1"/>
        <v>#REF!</v>
      </c>
      <c r="BD6" s="322">
        <f>AU6</f>
        <v>59662.82</v>
      </c>
      <c r="BE6" s="323"/>
      <c r="BF6" s="324"/>
      <c r="BG6" s="325"/>
      <c r="BH6" s="326"/>
      <c r="BI6" s="326"/>
      <c r="BJ6" s="334"/>
      <c r="BK6" s="335"/>
    </row>
    <row r="7" s="245" customFormat="1" ht="172.5" customHeight="1" spans="1:63">
      <c r="A7" s="255">
        <v>5</v>
      </c>
      <c r="B7" s="70" t="s">
        <v>119</v>
      </c>
      <c r="C7" s="129" t="s">
        <v>130</v>
      </c>
      <c r="D7" s="129" t="s">
        <v>2001</v>
      </c>
      <c r="E7" s="128" t="s">
        <v>122</v>
      </c>
      <c r="F7" s="1469" t="s">
        <v>123</v>
      </c>
      <c r="G7" s="257">
        <v>2425322</v>
      </c>
      <c r="H7" s="258">
        <f t="shared" ref="H7:H23" si="8">G7/12</f>
        <v>202110.166666667</v>
      </c>
      <c r="I7" s="258">
        <f t="shared" ref="I7:I35" si="9">H7*0.35/3</f>
        <v>23579.5194444444</v>
      </c>
      <c r="J7" s="258">
        <v>5000</v>
      </c>
      <c r="K7" s="258">
        <v>41667</v>
      </c>
      <c r="L7" s="258"/>
      <c r="M7" s="258">
        <v>2500</v>
      </c>
      <c r="N7" s="258"/>
      <c r="O7" s="258"/>
      <c r="P7" s="258"/>
      <c r="Q7" s="258"/>
      <c r="R7" s="258"/>
      <c r="S7" s="258"/>
      <c r="T7" s="258"/>
      <c r="U7" s="258">
        <v>383.33</v>
      </c>
      <c r="V7" s="258"/>
      <c r="W7" s="265"/>
      <c r="X7" s="258"/>
      <c r="Y7" s="258"/>
      <c r="Z7" s="258"/>
      <c r="AA7" s="258"/>
      <c r="AB7" s="258"/>
      <c r="AC7" s="258"/>
      <c r="AD7" s="270"/>
      <c r="AE7" s="258"/>
      <c r="AF7" s="258"/>
      <c r="AG7" s="270">
        <f t="shared" si="4"/>
        <v>4042.20333333333</v>
      </c>
      <c r="AH7" s="270"/>
      <c r="AI7" s="282">
        <v>1000</v>
      </c>
      <c r="AJ7" s="279"/>
      <c r="AK7" s="279"/>
      <c r="AL7" s="279"/>
      <c r="AM7" s="281"/>
      <c r="AN7" s="258"/>
      <c r="AO7" s="299">
        <v>1500</v>
      </c>
      <c r="AP7" s="299"/>
      <c r="AQ7" s="299"/>
      <c r="AR7" s="299">
        <f t="shared" si="5"/>
        <v>5504.80032222222</v>
      </c>
      <c r="AS7" s="300"/>
      <c r="AT7" s="300"/>
      <c r="AU7" s="299" t="e">
        <f t="shared" ref="AU7:AU50" si="10">BD7</f>
        <v>#REF!</v>
      </c>
      <c r="AV7" s="299">
        <f t="shared" ref="AV7:AV9" si="11">W7+V7+U7+N7+M7+K7+J7+I7+H7</f>
        <v>275240.016111111</v>
      </c>
      <c r="AW7" s="299" t="e">
        <f t="shared" si="6"/>
        <v>#REF!</v>
      </c>
      <c r="AX7" s="299"/>
      <c r="AY7" s="299"/>
      <c r="AZ7" s="299" t="e">
        <f t="shared" si="7"/>
        <v>#REF!</v>
      </c>
      <c r="BA7" s="305" t="e">
        <f>SUM(#REF!)</f>
        <v>#REF!</v>
      </c>
      <c r="BB7" s="320" t="e">
        <f>1%*#REF!</f>
        <v>#REF!</v>
      </c>
      <c r="BC7" s="321" t="e">
        <f t="shared" si="1"/>
        <v>#REF!</v>
      </c>
      <c r="BD7" s="322" t="e">
        <f t="shared" si="2"/>
        <v>#REF!</v>
      </c>
      <c r="BE7" s="323"/>
      <c r="BF7" s="324"/>
      <c r="BG7" s="325"/>
      <c r="BH7" s="326"/>
      <c r="BI7" s="326"/>
      <c r="BJ7" s="334"/>
      <c r="BK7" s="335"/>
    </row>
    <row r="8" s="245" customFormat="1" ht="172.5" customHeight="1" spans="1:63">
      <c r="A8" s="255">
        <v>6</v>
      </c>
      <c r="B8" s="70" t="s">
        <v>2002</v>
      </c>
      <c r="C8" s="129" t="s">
        <v>221</v>
      </c>
      <c r="D8" s="129" t="s">
        <v>2003</v>
      </c>
      <c r="E8" s="256" t="s">
        <v>127</v>
      </c>
      <c r="F8" s="1469" t="s">
        <v>128</v>
      </c>
      <c r="G8" s="257">
        <v>2048214</v>
      </c>
      <c r="H8" s="258">
        <f t="shared" si="8"/>
        <v>170684.5</v>
      </c>
      <c r="I8" s="258">
        <f t="shared" si="9"/>
        <v>19913.1916666667</v>
      </c>
      <c r="J8" s="258">
        <v>5000</v>
      </c>
      <c r="K8" s="258"/>
      <c r="L8" s="258"/>
      <c r="M8" s="258">
        <v>2500</v>
      </c>
      <c r="N8" s="258"/>
      <c r="O8" s="258"/>
      <c r="P8" s="258"/>
      <c r="Q8" s="258"/>
      <c r="R8" s="258"/>
      <c r="S8" s="258"/>
      <c r="T8" s="258"/>
      <c r="U8" s="258">
        <v>383.33</v>
      </c>
      <c r="V8" s="258"/>
      <c r="W8" s="265"/>
      <c r="X8" s="258"/>
      <c r="Y8" s="258"/>
      <c r="Z8" s="258"/>
      <c r="AA8" s="258"/>
      <c r="AB8" s="258"/>
      <c r="AC8" s="258"/>
      <c r="AD8" s="270"/>
      <c r="AE8" s="258"/>
      <c r="AF8" s="258"/>
      <c r="AG8" s="270">
        <f t="shared" si="4"/>
        <v>3413.69</v>
      </c>
      <c r="AH8" s="270"/>
      <c r="AI8" s="282">
        <v>1000</v>
      </c>
      <c r="AJ8" s="282"/>
      <c r="AK8" s="279"/>
      <c r="AL8" s="279"/>
      <c r="AM8" s="281"/>
      <c r="AN8" s="258"/>
      <c r="AO8" s="299">
        <v>1000</v>
      </c>
      <c r="AP8" s="299"/>
      <c r="AQ8" s="299"/>
      <c r="AR8" s="299">
        <f t="shared" si="5"/>
        <v>3969.62043333333</v>
      </c>
      <c r="AS8" s="300"/>
      <c r="AT8" s="300"/>
      <c r="AU8" s="299" t="e">
        <f t="shared" si="10"/>
        <v>#REF!</v>
      </c>
      <c r="AV8" s="299">
        <f t="shared" si="11"/>
        <v>198481.021666667</v>
      </c>
      <c r="AW8" s="299" t="e">
        <f t="shared" si="6"/>
        <v>#REF!</v>
      </c>
      <c r="AX8" s="299"/>
      <c r="AY8" s="299"/>
      <c r="AZ8" s="299" t="e">
        <f t="shared" si="7"/>
        <v>#REF!</v>
      </c>
      <c r="BA8" s="305" t="e">
        <f>SUM(#REF!)</f>
        <v>#REF!</v>
      </c>
      <c r="BB8" s="320" t="e">
        <f>1%*#REF!</f>
        <v>#REF!</v>
      </c>
      <c r="BC8" s="321" t="e">
        <f t="shared" si="1"/>
        <v>#REF!</v>
      </c>
      <c r="BD8" s="322" t="e">
        <f t="shared" si="2"/>
        <v>#REF!</v>
      </c>
      <c r="BE8" s="323"/>
      <c r="BF8" s="324"/>
      <c r="BG8" s="325"/>
      <c r="BH8" s="326"/>
      <c r="BI8" s="326"/>
      <c r="BJ8" s="334"/>
      <c r="BK8" s="335"/>
    </row>
    <row r="9" s="245" customFormat="1" ht="172.5" customHeight="1" spans="1:63">
      <c r="A9" s="255">
        <v>7</v>
      </c>
      <c r="B9" s="70" t="s">
        <v>2004</v>
      </c>
      <c r="C9" s="129" t="s">
        <v>105</v>
      </c>
      <c r="D9" s="129" t="s">
        <v>251</v>
      </c>
      <c r="E9" s="256" t="s">
        <v>113</v>
      </c>
      <c r="F9" s="261">
        <f>'[9]SEPT SALARY, 2021 BANK COPY'!$E$108</f>
        <v>1006415522</v>
      </c>
      <c r="G9" s="257">
        <f>6664214/2</f>
        <v>3332107</v>
      </c>
      <c r="H9" s="258">
        <f t="shared" si="8"/>
        <v>277675.583333333</v>
      </c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65"/>
      <c r="X9" s="258"/>
      <c r="Y9" s="258"/>
      <c r="Z9" s="258"/>
      <c r="AA9" s="258"/>
      <c r="AB9" s="258"/>
      <c r="AC9" s="258"/>
      <c r="AD9" s="270"/>
      <c r="AE9" s="258"/>
      <c r="AF9" s="258"/>
      <c r="AG9" s="270">
        <f t="shared" si="4"/>
        <v>5553.51166666667</v>
      </c>
      <c r="AH9" s="270"/>
      <c r="AI9" s="282"/>
      <c r="AJ9" s="279">
        <v>1000</v>
      </c>
      <c r="AK9" s="279"/>
      <c r="AL9" s="279"/>
      <c r="AM9" s="281"/>
      <c r="AN9" s="258"/>
      <c r="AO9" s="299">
        <v>1750</v>
      </c>
      <c r="AP9" s="299"/>
      <c r="AQ9" s="299"/>
      <c r="AR9" s="299">
        <f t="shared" si="5"/>
        <v>5553.51166666667</v>
      </c>
      <c r="AS9" s="300"/>
      <c r="AT9" s="300"/>
      <c r="AU9" s="299" t="e">
        <f t="shared" si="10"/>
        <v>#REF!</v>
      </c>
      <c r="AV9" s="299">
        <f t="shared" si="11"/>
        <v>277675.583333333</v>
      </c>
      <c r="AW9" s="299" t="e">
        <f t="shared" si="6"/>
        <v>#REF!</v>
      </c>
      <c r="AX9" s="299"/>
      <c r="AY9" s="299"/>
      <c r="AZ9" s="299" t="e">
        <f t="shared" si="7"/>
        <v>#REF!</v>
      </c>
      <c r="BA9" s="305" t="e">
        <f>SUM(#REF!)</f>
        <v>#REF!</v>
      </c>
      <c r="BB9" s="320" t="e">
        <f>1%*#REF!</f>
        <v>#REF!</v>
      </c>
      <c r="BC9" s="321" t="e">
        <f t="shared" si="1"/>
        <v>#REF!</v>
      </c>
      <c r="BD9" s="322" t="e">
        <f t="shared" si="2"/>
        <v>#REF!</v>
      </c>
      <c r="BE9" s="323"/>
      <c r="BF9" s="324"/>
      <c r="BG9" s="325"/>
      <c r="BH9" s="326"/>
      <c r="BI9" s="326"/>
      <c r="BJ9" s="334"/>
      <c r="BK9" s="335"/>
    </row>
    <row r="10" s="245" customFormat="1" ht="172.5" customHeight="1" spans="1:63">
      <c r="A10" s="255">
        <v>8</v>
      </c>
      <c r="B10" s="70" t="s">
        <v>129</v>
      </c>
      <c r="C10" s="129" t="s">
        <v>204</v>
      </c>
      <c r="D10" s="129" t="s">
        <v>2005</v>
      </c>
      <c r="E10" s="256" t="s">
        <v>113</v>
      </c>
      <c r="F10" s="256">
        <v>2067246166</v>
      </c>
      <c r="G10" s="257">
        <v>2308911</v>
      </c>
      <c r="H10" s="258">
        <f t="shared" si="8"/>
        <v>192409.25</v>
      </c>
      <c r="I10" s="258">
        <f t="shared" si="9"/>
        <v>22447.7458333333</v>
      </c>
      <c r="J10" s="258">
        <v>5000</v>
      </c>
      <c r="K10" s="258"/>
      <c r="L10" s="258"/>
      <c r="M10" s="258">
        <v>2500</v>
      </c>
      <c r="N10" s="258"/>
      <c r="O10" s="258"/>
      <c r="P10" s="258"/>
      <c r="Q10" s="258"/>
      <c r="R10" s="258"/>
      <c r="S10" s="258"/>
      <c r="T10" s="258"/>
      <c r="U10" s="258">
        <v>383.33</v>
      </c>
      <c r="V10" s="258"/>
      <c r="W10" s="265"/>
      <c r="X10" s="258"/>
      <c r="Y10" s="258"/>
      <c r="Z10" s="258"/>
      <c r="AA10" s="258"/>
      <c r="AB10" s="258"/>
      <c r="AC10" s="258"/>
      <c r="AD10" s="270"/>
      <c r="AE10" s="258"/>
      <c r="AF10" s="258">
        <v>4250</v>
      </c>
      <c r="AG10" s="270">
        <f t="shared" si="4"/>
        <v>3848.185</v>
      </c>
      <c r="AH10" s="270"/>
      <c r="AI10" s="282">
        <v>1000</v>
      </c>
      <c r="AJ10" s="279"/>
      <c r="AK10" s="279"/>
      <c r="AL10" s="279"/>
      <c r="AM10" s="281"/>
      <c r="AN10" s="258"/>
      <c r="AO10" s="299">
        <v>1500</v>
      </c>
      <c r="AP10" s="299"/>
      <c r="AQ10" s="299"/>
      <c r="AR10" s="299">
        <f t="shared" si="5"/>
        <v>4454.80651666667</v>
      </c>
      <c r="AS10" s="300"/>
      <c r="AT10" s="300"/>
      <c r="AU10" s="299" t="e">
        <f t="shared" si="10"/>
        <v>#REF!</v>
      </c>
      <c r="AV10" s="299">
        <f t="shared" ref="AV10" si="12">V10+U10+N10+M10+K10+J10+I10+H10</f>
        <v>222740.325833333</v>
      </c>
      <c r="AW10" s="299" t="e">
        <f t="shared" si="6"/>
        <v>#REF!</v>
      </c>
      <c r="AX10" s="299"/>
      <c r="AY10" s="299"/>
      <c r="AZ10" s="299" t="e">
        <f t="shared" si="7"/>
        <v>#REF!</v>
      </c>
      <c r="BA10" s="305" t="e">
        <f>SUM(#REF!)</f>
        <v>#REF!</v>
      </c>
      <c r="BB10" s="320" t="e">
        <f>1%*#REF!</f>
        <v>#REF!</v>
      </c>
      <c r="BC10" s="321" t="e">
        <f t="shared" si="1"/>
        <v>#REF!</v>
      </c>
      <c r="BD10" s="322" t="e">
        <f t="shared" si="2"/>
        <v>#REF!</v>
      </c>
      <c r="BE10" s="323"/>
      <c r="BF10" s="324"/>
      <c r="BG10" s="325"/>
      <c r="BH10" s="326"/>
      <c r="BI10" s="326"/>
      <c r="BJ10" s="334"/>
      <c r="BK10" s="335"/>
    </row>
    <row r="11" s="245" customFormat="1" ht="172.5" customHeight="1" spans="1:63">
      <c r="A11" s="255">
        <v>9</v>
      </c>
      <c r="B11" s="70" t="s">
        <v>132</v>
      </c>
      <c r="C11" s="129" t="s">
        <v>130</v>
      </c>
      <c r="D11" s="129" t="s">
        <v>161</v>
      </c>
      <c r="E11" s="256" t="s">
        <v>135</v>
      </c>
      <c r="F11" s="1470" t="s">
        <v>136</v>
      </c>
      <c r="G11" s="257">
        <v>2688069</v>
      </c>
      <c r="H11" s="258">
        <f t="shared" si="8"/>
        <v>224005.75</v>
      </c>
      <c r="I11" s="258">
        <f t="shared" si="9"/>
        <v>26134.0041666667</v>
      </c>
      <c r="J11" s="258">
        <v>5000</v>
      </c>
      <c r="K11" s="258"/>
      <c r="L11" s="258"/>
      <c r="M11" s="258">
        <v>2500</v>
      </c>
      <c r="N11" s="258"/>
      <c r="O11" s="258"/>
      <c r="P11" s="258"/>
      <c r="Q11" s="258"/>
      <c r="R11" s="258"/>
      <c r="S11" s="258"/>
      <c r="T11" s="258"/>
      <c r="U11" s="258">
        <v>383.33</v>
      </c>
      <c r="V11" s="258"/>
      <c r="W11" s="265"/>
      <c r="X11" s="258"/>
      <c r="Y11" s="258"/>
      <c r="Z11" s="258"/>
      <c r="AA11" s="258"/>
      <c r="AB11" s="258"/>
      <c r="AC11" s="258"/>
      <c r="AD11" s="270"/>
      <c r="AE11" s="258"/>
      <c r="AF11" s="258">
        <v>500</v>
      </c>
      <c r="AG11" s="270">
        <f t="shared" si="4"/>
        <v>4480.115</v>
      </c>
      <c r="AH11" s="270"/>
      <c r="AI11" s="282">
        <v>1000</v>
      </c>
      <c r="AJ11" s="279"/>
      <c r="AK11" s="279"/>
      <c r="AL11" s="279"/>
      <c r="AM11" s="281">
        <f>19333.33+17500</f>
        <v>36833.33</v>
      </c>
      <c r="AN11" s="258"/>
      <c r="AO11" s="299">
        <v>1500</v>
      </c>
      <c r="AP11" s="299"/>
      <c r="AQ11" s="299"/>
      <c r="AR11" s="299">
        <f t="shared" si="5"/>
        <v>5160.46168333333</v>
      </c>
      <c r="AS11" s="300"/>
      <c r="AT11" s="300"/>
      <c r="AU11" s="299" t="e">
        <f t="shared" si="10"/>
        <v>#REF!</v>
      </c>
      <c r="AV11" s="299">
        <f t="shared" ref="AV11" si="13">W11+V11+U11+N11+M11+K11+J11+I11+H11</f>
        <v>258023.084166667</v>
      </c>
      <c r="AW11" s="299" t="e">
        <f t="shared" si="6"/>
        <v>#REF!</v>
      </c>
      <c r="AX11" s="299"/>
      <c r="AY11" s="299"/>
      <c r="AZ11" s="299" t="e">
        <f t="shared" si="7"/>
        <v>#REF!</v>
      </c>
      <c r="BA11" s="305" t="e">
        <f>SUM(#REF!)</f>
        <v>#REF!</v>
      </c>
      <c r="BB11" s="320" t="e">
        <f>1%*#REF!</f>
        <v>#REF!</v>
      </c>
      <c r="BC11" s="321" t="e">
        <f t="shared" si="1"/>
        <v>#REF!</v>
      </c>
      <c r="BD11" s="322" t="e">
        <f t="shared" si="2"/>
        <v>#REF!</v>
      </c>
      <c r="BE11" s="323"/>
      <c r="BF11" s="324"/>
      <c r="BG11" s="325"/>
      <c r="BH11" s="326"/>
      <c r="BI11" s="326"/>
      <c r="BJ11" s="334"/>
      <c r="BK11" s="335"/>
    </row>
    <row r="12" s="245" customFormat="1" ht="172.5" customHeight="1" spans="1:63">
      <c r="A12" s="255">
        <v>10</v>
      </c>
      <c r="B12" s="70" t="s">
        <v>137</v>
      </c>
      <c r="C12" s="129" t="s">
        <v>143</v>
      </c>
      <c r="D12" s="129" t="s">
        <v>171</v>
      </c>
      <c r="E12" s="256" t="s">
        <v>135</v>
      </c>
      <c r="F12" s="1469" t="s">
        <v>140</v>
      </c>
      <c r="G12" s="257">
        <v>3588849</v>
      </c>
      <c r="H12" s="258">
        <v>296137.42</v>
      </c>
      <c r="I12" s="258">
        <f t="shared" si="9"/>
        <v>34549.3656666667</v>
      </c>
      <c r="J12" s="258">
        <v>5000</v>
      </c>
      <c r="K12" s="258"/>
      <c r="L12" s="258"/>
      <c r="M12" s="258">
        <v>2500</v>
      </c>
      <c r="N12" s="258"/>
      <c r="O12" s="258"/>
      <c r="P12" s="258"/>
      <c r="Q12" s="258"/>
      <c r="R12" s="258"/>
      <c r="S12" s="258"/>
      <c r="T12" s="258"/>
      <c r="U12" s="258">
        <v>383.33</v>
      </c>
      <c r="V12" s="258"/>
      <c r="W12" s="265"/>
      <c r="X12" s="258"/>
      <c r="Y12" s="258"/>
      <c r="Z12" s="258"/>
      <c r="AA12" s="258"/>
      <c r="AB12" s="258"/>
      <c r="AC12" s="258"/>
      <c r="AD12" s="270"/>
      <c r="AE12" s="258"/>
      <c r="AF12" s="258"/>
      <c r="AG12" s="270">
        <f t="shared" si="4"/>
        <v>5922.7484</v>
      </c>
      <c r="AH12" s="270">
        <v>10000</v>
      </c>
      <c r="AI12" s="282">
        <v>1000</v>
      </c>
      <c r="AJ12" s="279"/>
      <c r="AK12" s="279"/>
      <c r="AL12" s="279"/>
      <c r="AM12" s="281">
        <f>106250+12250</f>
        <v>118500</v>
      </c>
      <c r="AN12" s="258">
        <v>15000</v>
      </c>
      <c r="AO12" s="299">
        <v>2000</v>
      </c>
      <c r="AP12" s="299"/>
      <c r="AQ12" s="299"/>
      <c r="AR12" s="299">
        <f t="shared" si="5"/>
        <v>6771.40231333333</v>
      </c>
      <c r="AS12" s="300"/>
      <c r="AT12" s="300"/>
      <c r="AU12" s="299" t="e">
        <f t="shared" si="10"/>
        <v>#REF!</v>
      </c>
      <c r="AV12" s="299">
        <f t="shared" ref="AV12:AV14" si="14">V12+U12+N12+M12+K12+J12+I12+H12</f>
        <v>338570.115666667</v>
      </c>
      <c r="AW12" s="299" t="e">
        <f t="shared" si="6"/>
        <v>#REF!</v>
      </c>
      <c r="AX12" s="299"/>
      <c r="AY12" s="299"/>
      <c r="AZ12" s="299" t="e">
        <f t="shared" si="7"/>
        <v>#REF!</v>
      </c>
      <c r="BA12" s="305" t="e">
        <f>SUM(#REF!)</f>
        <v>#REF!</v>
      </c>
      <c r="BB12" s="320" t="e">
        <f>1%*#REF!</f>
        <v>#REF!</v>
      </c>
      <c r="BC12" s="321" t="e">
        <f t="shared" si="1"/>
        <v>#REF!</v>
      </c>
      <c r="BD12" s="322" t="e">
        <f t="shared" si="2"/>
        <v>#REF!</v>
      </c>
      <c r="BE12" s="323"/>
      <c r="BF12" s="324"/>
      <c r="BG12" s="325"/>
      <c r="BH12" s="326"/>
      <c r="BI12" s="326"/>
      <c r="BJ12" s="334"/>
      <c r="BK12" s="335"/>
    </row>
    <row r="13" s="245" customFormat="1" ht="172.5" customHeight="1" spans="1:63">
      <c r="A13" s="255">
        <v>11</v>
      </c>
      <c r="B13" s="70" t="s">
        <v>147</v>
      </c>
      <c r="C13" s="129" t="s">
        <v>2006</v>
      </c>
      <c r="D13" s="129" t="s">
        <v>171</v>
      </c>
      <c r="E13" s="256" t="s">
        <v>151</v>
      </c>
      <c r="F13" s="256">
        <v>3013002388</v>
      </c>
      <c r="G13" s="257">
        <v>3588849</v>
      </c>
      <c r="H13" s="258">
        <v>296137.42</v>
      </c>
      <c r="I13" s="258">
        <f t="shared" si="9"/>
        <v>34549.3656666667</v>
      </c>
      <c r="J13" s="258">
        <v>5000</v>
      </c>
      <c r="K13" s="258"/>
      <c r="L13" s="258"/>
      <c r="M13" s="258">
        <v>2500</v>
      </c>
      <c r="N13" s="258"/>
      <c r="O13" s="258"/>
      <c r="P13" s="258"/>
      <c r="Q13" s="258"/>
      <c r="R13" s="258"/>
      <c r="S13" s="258"/>
      <c r="T13" s="258"/>
      <c r="U13" s="258">
        <v>383.33</v>
      </c>
      <c r="V13" s="258"/>
      <c r="W13" s="265"/>
      <c r="X13" s="258"/>
      <c r="Y13" s="258"/>
      <c r="Z13" s="258"/>
      <c r="AA13" s="258"/>
      <c r="AB13" s="258"/>
      <c r="AC13" s="258"/>
      <c r="AD13" s="270"/>
      <c r="AE13" s="258"/>
      <c r="AF13" s="258"/>
      <c r="AG13" s="270">
        <f t="shared" si="4"/>
        <v>5922.7484</v>
      </c>
      <c r="AH13" s="270">
        <v>10000</v>
      </c>
      <c r="AI13" s="282">
        <v>1000</v>
      </c>
      <c r="AJ13" s="279"/>
      <c r="AK13" s="279"/>
      <c r="AL13" s="279"/>
      <c r="AM13" s="281"/>
      <c r="AN13" s="258"/>
      <c r="AO13" s="299">
        <v>2000</v>
      </c>
      <c r="AP13" s="299"/>
      <c r="AQ13" s="299"/>
      <c r="AR13" s="299">
        <f t="shared" si="5"/>
        <v>6771.40231333333</v>
      </c>
      <c r="AS13" s="300"/>
      <c r="AT13" s="300"/>
      <c r="AU13" s="299" t="e">
        <f>AU12</f>
        <v>#REF!</v>
      </c>
      <c r="AV13" s="299">
        <f t="shared" si="14"/>
        <v>338570.115666667</v>
      </c>
      <c r="AW13" s="299" t="e">
        <f t="shared" si="6"/>
        <v>#REF!</v>
      </c>
      <c r="AX13" s="299"/>
      <c r="AY13" s="299"/>
      <c r="AZ13" s="299" t="e">
        <f t="shared" si="7"/>
        <v>#REF!</v>
      </c>
      <c r="BA13" s="305"/>
      <c r="BB13" s="320"/>
      <c r="BC13" s="321"/>
      <c r="BD13" s="322">
        <f t="shared" si="2"/>
        <v>0</v>
      </c>
      <c r="BE13" s="323"/>
      <c r="BF13" s="324"/>
      <c r="BG13" s="325"/>
      <c r="BH13" s="326"/>
      <c r="BI13" s="326"/>
      <c r="BJ13" s="334"/>
      <c r="BK13" s="335"/>
    </row>
    <row r="14" s="245" customFormat="1" ht="172.5" customHeight="1" spans="1:63">
      <c r="A14" s="255">
        <v>12</v>
      </c>
      <c r="B14" s="70" t="s">
        <v>152</v>
      </c>
      <c r="C14" s="129" t="s">
        <v>130</v>
      </c>
      <c r="D14" s="129" t="s">
        <v>297</v>
      </c>
      <c r="E14" s="256" t="s">
        <v>93</v>
      </c>
      <c r="F14" s="256">
        <v>3041696126</v>
      </c>
      <c r="G14" s="257">
        <v>2688069</v>
      </c>
      <c r="H14" s="258">
        <f t="shared" si="8"/>
        <v>224005.75</v>
      </c>
      <c r="I14" s="258">
        <f t="shared" si="9"/>
        <v>26134.0041666667</v>
      </c>
      <c r="J14" s="258">
        <v>5000</v>
      </c>
      <c r="K14" s="258"/>
      <c r="L14" s="258"/>
      <c r="M14" s="258">
        <v>2500</v>
      </c>
      <c r="N14" s="258"/>
      <c r="O14" s="258"/>
      <c r="P14" s="258"/>
      <c r="Q14" s="258"/>
      <c r="R14" s="258"/>
      <c r="S14" s="258"/>
      <c r="T14" s="258"/>
      <c r="U14" s="258">
        <v>383.33</v>
      </c>
      <c r="V14" s="258"/>
      <c r="W14" s="265"/>
      <c r="X14" s="258"/>
      <c r="Y14" s="258"/>
      <c r="Z14" s="258"/>
      <c r="AA14" s="258"/>
      <c r="AB14" s="258"/>
      <c r="AC14" s="258"/>
      <c r="AD14" s="270"/>
      <c r="AE14" s="258"/>
      <c r="AF14" s="258">
        <v>3750</v>
      </c>
      <c r="AG14" s="270">
        <f t="shared" si="4"/>
        <v>4480.115</v>
      </c>
      <c r="AH14" s="270"/>
      <c r="AI14" s="282">
        <v>1000</v>
      </c>
      <c r="AJ14" s="279"/>
      <c r="AK14" s="279"/>
      <c r="AL14" s="279"/>
      <c r="AM14" s="281">
        <v>10000</v>
      </c>
      <c r="AN14" s="258">
        <v>10000</v>
      </c>
      <c r="AO14" s="299">
        <v>1500</v>
      </c>
      <c r="AP14" s="299">
        <v>2000</v>
      </c>
      <c r="AQ14" s="299"/>
      <c r="AR14" s="299">
        <f t="shared" si="5"/>
        <v>5160.46168333333</v>
      </c>
      <c r="AS14" s="300"/>
      <c r="AT14" s="300"/>
      <c r="AU14" s="299" t="e">
        <f t="shared" ref="AU14" si="15">BD14</f>
        <v>#REF!</v>
      </c>
      <c r="AV14" s="299">
        <f t="shared" si="14"/>
        <v>258023.084166667</v>
      </c>
      <c r="AW14" s="299" t="e">
        <f t="shared" si="6"/>
        <v>#REF!</v>
      </c>
      <c r="AX14" s="299"/>
      <c r="AY14" s="299"/>
      <c r="AZ14" s="299" t="e">
        <f t="shared" si="7"/>
        <v>#REF!</v>
      </c>
      <c r="BA14" s="305" t="e">
        <f>SUM(#REF!)</f>
        <v>#REF!</v>
      </c>
      <c r="BB14" s="320" t="e">
        <f>1%*#REF!</f>
        <v>#REF!</v>
      </c>
      <c r="BC14" s="321" t="e">
        <f t="shared" ref="BC14" si="16">MAX(BA14:BB14)</f>
        <v>#REF!</v>
      </c>
      <c r="BD14" s="322" t="e">
        <f t="shared" si="2"/>
        <v>#REF!</v>
      </c>
      <c r="BE14" s="323"/>
      <c r="BF14" s="324"/>
      <c r="BG14" s="325"/>
      <c r="BH14" s="326"/>
      <c r="BI14" s="326"/>
      <c r="BJ14" s="334"/>
      <c r="BK14" s="335"/>
    </row>
    <row r="15" s="245" customFormat="1" ht="179" customHeight="1" spans="1:63">
      <c r="A15" s="255">
        <v>13</v>
      </c>
      <c r="B15" s="70" t="s">
        <v>154</v>
      </c>
      <c r="C15" s="129" t="s">
        <v>155</v>
      </c>
      <c r="D15" s="129" t="s">
        <v>134</v>
      </c>
      <c r="E15" s="256" t="s">
        <v>157</v>
      </c>
      <c r="F15" s="1469" t="s">
        <v>158</v>
      </c>
      <c r="G15" s="257">
        <v>2863233</v>
      </c>
      <c r="H15" s="258">
        <f t="shared" si="8"/>
        <v>238602.75</v>
      </c>
      <c r="I15" s="258">
        <f t="shared" si="9"/>
        <v>27836.9875</v>
      </c>
      <c r="J15" s="258">
        <v>5000</v>
      </c>
      <c r="K15" s="258"/>
      <c r="L15" s="258"/>
      <c r="M15" s="258">
        <v>2500</v>
      </c>
      <c r="N15" s="258"/>
      <c r="O15" s="258"/>
      <c r="P15" s="258"/>
      <c r="Q15" s="258"/>
      <c r="R15" s="258"/>
      <c r="S15" s="258"/>
      <c r="T15" s="258"/>
      <c r="U15" s="258">
        <v>383.33</v>
      </c>
      <c r="V15" s="258"/>
      <c r="W15" s="265"/>
      <c r="X15" s="258"/>
      <c r="Y15" s="258"/>
      <c r="Z15" s="258"/>
      <c r="AA15" s="258"/>
      <c r="AB15" s="258"/>
      <c r="AC15" s="258"/>
      <c r="AD15" s="270"/>
      <c r="AE15" s="258"/>
      <c r="AF15" s="258"/>
      <c r="AG15" s="270">
        <f t="shared" si="4"/>
        <v>4772.055</v>
      </c>
      <c r="AH15" s="270"/>
      <c r="AI15" s="282">
        <v>1000</v>
      </c>
      <c r="AJ15" s="279"/>
      <c r="AK15" s="279"/>
      <c r="AL15" s="279"/>
      <c r="AM15" s="281"/>
      <c r="AN15" s="258">
        <v>15000</v>
      </c>
      <c r="AO15" s="299">
        <v>1500</v>
      </c>
      <c r="AP15" s="299"/>
      <c r="AQ15" s="299"/>
      <c r="AR15" s="299">
        <f t="shared" si="5"/>
        <v>5486.46135</v>
      </c>
      <c r="AS15" s="300"/>
      <c r="AT15" s="300"/>
      <c r="AU15" s="299" t="e">
        <f t="shared" si="10"/>
        <v>#REF!</v>
      </c>
      <c r="AV15" s="299">
        <f t="shared" ref="AV15" si="17">W15+V15+U15+N15+M15+K15+J15+I15+H15</f>
        <v>274323.0675</v>
      </c>
      <c r="AW15" s="299" t="e">
        <f t="shared" si="6"/>
        <v>#REF!</v>
      </c>
      <c r="AX15" s="299"/>
      <c r="AY15" s="299"/>
      <c r="AZ15" s="299" t="e">
        <f t="shared" si="7"/>
        <v>#REF!</v>
      </c>
      <c r="BA15" s="305" t="e">
        <f>SUM(#REF!)</f>
        <v>#REF!</v>
      </c>
      <c r="BB15" s="320" t="e">
        <f>1%*#REF!</f>
        <v>#REF!</v>
      </c>
      <c r="BC15" s="321" t="e">
        <f t="shared" si="1"/>
        <v>#REF!</v>
      </c>
      <c r="BD15" s="322" t="e">
        <f t="shared" si="2"/>
        <v>#REF!</v>
      </c>
      <c r="BE15" s="323"/>
      <c r="BF15" s="324"/>
      <c r="BG15" s="325"/>
      <c r="BH15" s="326"/>
      <c r="BI15" s="326"/>
      <c r="BJ15" s="334"/>
      <c r="BK15" s="335"/>
    </row>
    <row r="16" s="245" customFormat="1" ht="172.5" customHeight="1" spans="1:63">
      <c r="A16" s="255">
        <v>14</v>
      </c>
      <c r="B16" s="70" t="s">
        <v>2007</v>
      </c>
      <c r="C16" s="129" t="s">
        <v>130</v>
      </c>
      <c r="D16" s="129" t="s">
        <v>161</v>
      </c>
      <c r="E16" s="256" t="s">
        <v>127</v>
      </c>
      <c r="F16" s="1469" t="s">
        <v>2008</v>
      </c>
      <c r="G16" s="257">
        <f>G14</f>
        <v>2688069</v>
      </c>
      <c r="H16" s="258">
        <f t="shared" si="8"/>
        <v>224005.75</v>
      </c>
      <c r="I16" s="258">
        <f t="shared" si="9"/>
        <v>26134.0041666667</v>
      </c>
      <c r="J16" s="258">
        <v>5000</v>
      </c>
      <c r="K16" s="258"/>
      <c r="L16" s="258"/>
      <c r="M16" s="258">
        <v>2500</v>
      </c>
      <c r="N16" s="258"/>
      <c r="O16" s="258"/>
      <c r="P16" s="258"/>
      <c r="Q16" s="258"/>
      <c r="R16" s="258"/>
      <c r="S16" s="258"/>
      <c r="T16" s="258"/>
      <c r="U16" s="258">
        <v>383.33</v>
      </c>
      <c r="V16" s="258"/>
      <c r="W16" s="265"/>
      <c r="X16" s="258"/>
      <c r="Y16" s="258"/>
      <c r="Z16" s="258"/>
      <c r="AA16" s="258"/>
      <c r="AB16" s="258"/>
      <c r="AC16" s="258"/>
      <c r="AD16" s="270"/>
      <c r="AE16" s="258"/>
      <c r="AF16" s="258">
        <v>1250</v>
      </c>
      <c r="AG16" s="270">
        <f t="shared" si="4"/>
        <v>4480.115</v>
      </c>
      <c r="AH16" s="270"/>
      <c r="AI16" s="283">
        <v>1000</v>
      </c>
      <c r="AJ16" s="280"/>
      <c r="AK16" s="280"/>
      <c r="AL16" s="280"/>
      <c r="AM16" s="281"/>
      <c r="AN16" s="258">
        <v>8333.33</v>
      </c>
      <c r="AO16" s="299">
        <v>1500</v>
      </c>
      <c r="AP16" s="299"/>
      <c r="AQ16" s="299"/>
      <c r="AR16" s="299">
        <f t="shared" si="5"/>
        <v>5160.46168333333</v>
      </c>
      <c r="AS16" s="300"/>
      <c r="AT16" s="300"/>
      <c r="AU16" s="299" t="e">
        <f t="shared" si="10"/>
        <v>#REF!</v>
      </c>
      <c r="AV16" s="299">
        <f t="shared" ref="AV16" si="18">V16+U16+N16+M16+K16+J16+I16+H16</f>
        <v>258023.084166667</v>
      </c>
      <c r="AW16" s="299" t="e">
        <f t="shared" si="6"/>
        <v>#REF!</v>
      </c>
      <c r="AX16" s="299"/>
      <c r="AY16" s="299"/>
      <c r="AZ16" s="299" t="e">
        <f t="shared" si="7"/>
        <v>#REF!</v>
      </c>
      <c r="BA16" s="305" t="e">
        <f>SUM(#REF!)</f>
        <v>#REF!</v>
      </c>
      <c r="BB16" s="320" t="e">
        <f>1%*#REF!</f>
        <v>#REF!</v>
      </c>
      <c r="BC16" s="321" t="e">
        <f t="shared" si="1"/>
        <v>#REF!</v>
      </c>
      <c r="BD16" s="322" t="e">
        <f t="shared" si="2"/>
        <v>#REF!</v>
      </c>
      <c r="BE16" s="323"/>
      <c r="BF16" s="324"/>
      <c r="BG16" s="325"/>
      <c r="BH16" s="326"/>
      <c r="BI16" s="326"/>
      <c r="BJ16" s="334"/>
      <c r="BK16" s="335"/>
    </row>
    <row r="17" s="245" customFormat="1" ht="172.5" customHeight="1" spans="1:63">
      <c r="A17" s="255">
        <v>15</v>
      </c>
      <c r="B17" s="70" t="s">
        <v>159</v>
      </c>
      <c r="C17" s="129" t="s">
        <v>204</v>
      </c>
      <c r="D17" s="129" t="s">
        <v>126</v>
      </c>
      <c r="E17" s="128" t="s">
        <v>122</v>
      </c>
      <c r="F17" s="1469" t="s">
        <v>162</v>
      </c>
      <c r="G17" s="257">
        <v>2199496</v>
      </c>
      <c r="H17" s="258">
        <f t="shared" si="8"/>
        <v>183291.333333333</v>
      </c>
      <c r="I17" s="258">
        <f t="shared" si="9"/>
        <v>21383.9888888889</v>
      </c>
      <c r="J17" s="258">
        <v>5000</v>
      </c>
      <c r="K17" s="258"/>
      <c r="L17" s="258"/>
      <c r="M17" s="258">
        <v>2500</v>
      </c>
      <c r="N17" s="258"/>
      <c r="O17" s="258"/>
      <c r="P17" s="258"/>
      <c r="Q17" s="258"/>
      <c r="R17" s="258"/>
      <c r="S17" s="258"/>
      <c r="T17" s="258"/>
      <c r="U17" s="258">
        <v>383.33</v>
      </c>
      <c r="V17" s="258"/>
      <c r="W17" s="265"/>
      <c r="X17" s="258"/>
      <c r="Y17" s="258"/>
      <c r="Z17" s="258"/>
      <c r="AA17" s="258"/>
      <c r="AB17" s="258"/>
      <c r="AC17" s="258"/>
      <c r="AD17" s="270"/>
      <c r="AE17" s="258"/>
      <c r="AF17" s="258">
        <v>2250</v>
      </c>
      <c r="AG17" s="270">
        <f t="shared" si="4"/>
        <v>3665.82666666667</v>
      </c>
      <c r="AH17" s="270"/>
      <c r="AI17" s="278"/>
      <c r="AJ17" s="280"/>
      <c r="AK17" s="280"/>
      <c r="AL17" s="284">
        <v>1000</v>
      </c>
      <c r="AM17" s="281">
        <v>32125</v>
      </c>
      <c r="AN17" s="258"/>
      <c r="AO17" s="299">
        <v>1500</v>
      </c>
      <c r="AP17" s="299"/>
      <c r="AQ17" s="299"/>
      <c r="AR17" s="299">
        <f t="shared" si="5"/>
        <v>4251.17304444444</v>
      </c>
      <c r="AS17" s="300"/>
      <c r="AT17" s="300"/>
      <c r="AU17" s="299" t="e">
        <f t="shared" si="10"/>
        <v>#REF!</v>
      </c>
      <c r="AV17" s="299">
        <f t="shared" ref="AV17:AV18" si="19">W17+V17+U17+N17+M17+K17+J17+I17+H17</f>
        <v>212558.652222222</v>
      </c>
      <c r="AW17" s="299" t="e">
        <f>AU17+AR17+AO17+AM17+AL17+AG17+AF17</f>
        <v>#REF!</v>
      </c>
      <c r="AX17" s="299"/>
      <c r="AY17" s="299"/>
      <c r="AZ17" s="299" t="e">
        <f t="shared" si="7"/>
        <v>#REF!</v>
      </c>
      <c r="BA17" s="305" t="e">
        <f>SUM(#REF!)</f>
        <v>#REF!</v>
      </c>
      <c r="BB17" s="320" t="e">
        <f>1%*#REF!</f>
        <v>#REF!</v>
      </c>
      <c r="BC17" s="321" t="e">
        <f t="shared" si="1"/>
        <v>#REF!</v>
      </c>
      <c r="BD17" s="322" t="e">
        <f t="shared" si="2"/>
        <v>#REF!</v>
      </c>
      <c r="BE17" s="323"/>
      <c r="BF17" s="324"/>
      <c r="BG17" s="325"/>
      <c r="BH17" s="326"/>
      <c r="BI17" s="326"/>
      <c r="BJ17" s="334"/>
      <c r="BK17" s="335"/>
    </row>
    <row r="18" s="245" customFormat="1" ht="172.5" customHeight="1" spans="1:63">
      <c r="A18" s="255">
        <v>16</v>
      </c>
      <c r="B18" s="70" t="s">
        <v>163</v>
      </c>
      <c r="C18" s="129" t="s">
        <v>130</v>
      </c>
      <c r="D18" s="129" t="s">
        <v>161</v>
      </c>
      <c r="E18" s="256" t="s">
        <v>165</v>
      </c>
      <c r="F18" s="256">
        <v>2178561969</v>
      </c>
      <c r="G18" s="257">
        <f>G16</f>
        <v>2688069</v>
      </c>
      <c r="H18" s="258">
        <f t="shared" si="8"/>
        <v>224005.75</v>
      </c>
      <c r="I18" s="258">
        <f t="shared" si="9"/>
        <v>26134.0041666667</v>
      </c>
      <c r="J18" s="258">
        <v>5000</v>
      </c>
      <c r="K18" s="258"/>
      <c r="L18" s="258"/>
      <c r="M18" s="258">
        <v>2500</v>
      </c>
      <c r="N18" s="258"/>
      <c r="O18" s="258"/>
      <c r="P18" s="258"/>
      <c r="Q18" s="258"/>
      <c r="R18" s="258"/>
      <c r="S18" s="258"/>
      <c r="T18" s="258"/>
      <c r="U18" s="258">
        <v>383.33</v>
      </c>
      <c r="V18" s="258"/>
      <c r="W18" s="265"/>
      <c r="X18" s="258"/>
      <c r="Y18" s="258"/>
      <c r="Z18" s="258"/>
      <c r="AA18" s="258"/>
      <c r="AB18" s="258"/>
      <c r="AC18" s="258"/>
      <c r="AD18" s="270"/>
      <c r="AE18" s="258"/>
      <c r="AF18" s="258">
        <v>750</v>
      </c>
      <c r="AG18" s="270">
        <f t="shared" si="4"/>
        <v>4480.115</v>
      </c>
      <c r="AH18" s="270"/>
      <c r="AI18" s="278"/>
      <c r="AJ18" s="280"/>
      <c r="AK18" s="280"/>
      <c r="AL18" s="280"/>
      <c r="AM18" s="281"/>
      <c r="AN18" s="258">
        <v>10000</v>
      </c>
      <c r="AO18" s="299">
        <v>1500</v>
      </c>
      <c r="AP18" s="299"/>
      <c r="AQ18" s="299"/>
      <c r="AR18" s="299">
        <f t="shared" si="5"/>
        <v>5160.46168333333</v>
      </c>
      <c r="AS18" s="300"/>
      <c r="AT18" s="300"/>
      <c r="AU18" s="299" t="e">
        <f t="shared" si="10"/>
        <v>#REF!</v>
      </c>
      <c r="AV18" s="299">
        <f t="shared" si="19"/>
        <v>258023.084166667</v>
      </c>
      <c r="AW18" s="299" t="e">
        <f t="shared" si="6"/>
        <v>#REF!</v>
      </c>
      <c r="AX18" s="299"/>
      <c r="AY18" s="299"/>
      <c r="AZ18" s="299" t="e">
        <f t="shared" si="7"/>
        <v>#REF!</v>
      </c>
      <c r="BA18" s="305" t="e">
        <f>SUM(#REF!)</f>
        <v>#REF!</v>
      </c>
      <c r="BB18" s="320" t="e">
        <f>1%*#REF!</f>
        <v>#REF!</v>
      </c>
      <c r="BC18" s="321" t="e">
        <f t="shared" si="1"/>
        <v>#REF!</v>
      </c>
      <c r="BD18" s="322" t="e">
        <f t="shared" si="2"/>
        <v>#REF!</v>
      </c>
      <c r="BE18" s="323"/>
      <c r="BF18" s="324"/>
      <c r="BG18" s="325"/>
      <c r="BH18" s="326"/>
      <c r="BI18" s="326"/>
      <c r="BJ18" s="334"/>
      <c r="BK18" s="335"/>
    </row>
    <row r="19" s="245" customFormat="1" ht="172.5" customHeight="1" spans="1:63">
      <c r="A19" s="255">
        <v>17</v>
      </c>
      <c r="B19" s="70" t="s">
        <v>166</v>
      </c>
      <c r="C19" s="129" t="s">
        <v>130</v>
      </c>
      <c r="D19" s="129" t="s">
        <v>2009</v>
      </c>
      <c r="E19" s="256" t="s">
        <v>135</v>
      </c>
      <c r="F19" s="1470" t="str">
        <f>'[10]FEB SALARY, 2022 BANK COPY'!$E$281</f>
        <v>0077210321</v>
      </c>
      <c r="G19" s="257">
        <v>2775651</v>
      </c>
      <c r="H19" s="258">
        <f t="shared" si="8"/>
        <v>231304.25</v>
      </c>
      <c r="I19" s="258">
        <f t="shared" si="9"/>
        <v>26985.4958333333</v>
      </c>
      <c r="J19" s="258">
        <v>5000</v>
      </c>
      <c r="K19" s="258">
        <v>20833.33</v>
      </c>
      <c r="L19" s="258"/>
      <c r="M19" s="258">
        <v>2500</v>
      </c>
      <c r="N19" s="258"/>
      <c r="O19" s="258"/>
      <c r="P19" s="258"/>
      <c r="Q19" s="258"/>
      <c r="R19" s="258"/>
      <c r="S19" s="258"/>
      <c r="T19" s="258"/>
      <c r="U19" s="258">
        <v>383.33</v>
      </c>
      <c r="V19" s="258">
        <v>30000</v>
      </c>
      <c r="W19" s="265"/>
      <c r="X19" s="258"/>
      <c r="Y19" s="258"/>
      <c r="Z19" s="258"/>
      <c r="AA19" s="258"/>
      <c r="AB19" s="258"/>
      <c r="AC19" s="258"/>
      <c r="AD19" s="270"/>
      <c r="AE19" s="258"/>
      <c r="AF19" s="258"/>
      <c r="AG19" s="270">
        <f t="shared" si="4"/>
        <v>4626.085</v>
      </c>
      <c r="AH19" s="270"/>
      <c r="AI19" s="278"/>
      <c r="AJ19" s="280"/>
      <c r="AK19" s="280"/>
      <c r="AL19" s="284">
        <v>1000</v>
      </c>
      <c r="AM19" s="281">
        <f>31875+17500</f>
        <v>49375</v>
      </c>
      <c r="AN19" s="258"/>
      <c r="AO19" s="299">
        <v>1500</v>
      </c>
      <c r="AP19" s="299"/>
      <c r="AQ19" s="299">
        <f>1250*2</f>
        <v>2500</v>
      </c>
      <c r="AR19" s="299">
        <f t="shared" si="5"/>
        <v>6340.12811666667</v>
      </c>
      <c r="AS19" s="300"/>
      <c r="AT19" s="300"/>
      <c r="AU19" s="299" t="e">
        <f t="shared" si="10"/>
        <v>#REF!</v>
      </c>
      <c r="AV19" s="299">
        <f t="shared" ref="AV19" si="20">V19+U19+N19+M19+K19+J19+I19+H19</f>
        <v>317006.405833333</v>
      </c>
      <c r="AW19" s="299" t="e">
        <f>AU19+AR19+AQ19+AO19+AN19+AM19+AK19+AI19+AH19+AG19+AF19+AE19+AD19+AL19</f>
        <v>#REF!</v>
      </c>
      <c r="AX19" s="299"/>
      <c r="AY19" s="299"/>
      <c r="AZ19" s="299" t="e">
        <f t="shared" si="7"/>
        <v>#REF!</v>
      </c>
      <c r="BA19" s="305" t="e">
        <f>SUM(#REF!)</f>
        <v>#REF!</v>
      </c>
      <c r="BB19" s="320" t="e">
        <f>1%*#REF!</f>
        <v>#REF!</v>
      </c>
      <c r="BC19" s="321" t="e">
        <f t="shared" si="1"/>
        <v>#REF!</v>
      </c>
      <c r="BD19" s="322" t="e">
        <f t="shared" si="2"/>
        <v>#REF!</v>
      </c>
      <c r="BE19" s="323"/>
      <c r="BF19" s="324"/>
      <c r="BG19" s="325"/>
      <c r="BH19" s="326"/>
      <c r="BI19" s="326"/>
      <c r="BJ19" s="334"/>
      <c r="BK19" s="335"/>
    </row>
    <row r="20" s="245" customFormat="1" ht="172.5" customHeight="1" spans="1:63">
      <c r="A20" s="255">
        <v>18</v>
      </c>
      <c r="B20" s="70" t="s">
        <v>170</v>
      </c>
      <c r="C20" s="129" t="s">
        <v>204</v>
      </c>
      <c r="D20" s="129" t="s">
        <v>2010</v>
      </c>
      <c r="E20" s="256" t="s">
        <v>127</v>
      </c>
      <c r="F20" s="1470" t="s">
        <v>2011</v>
      </c>
      <c r="G20" s="257">
        <v>2035373</v>
      </c>
      <c r="H20" s="258">
        <f t="shared" si="8"/>
        <v>169614.416666667</v>
      </c>
      <c r="I20" s="258">
        <f t="shared" si="9"/>
        <v>19788.3486111111</v>
      </c>
      <c r="J20" s="258">
        <v>5000</v>
      </c>
      <c r="K20" s="258"/>
      <c r="L20" s="258"/>
      <c r="M20" s="258">
        <v>2500</v>
      </c>
      <c r="N20" s="258"/>
      <c r="O20" s="258"/>
      <c r="P20" s="258"/>
      <c r="Q20" s="258"/>
      <c r="R20" s="258"/>
      <c r="S20" s="258"/>
      <c r="T20" s="258"/>
      <c r="U20" s="258">
        <v>383.33</v>
      </c>
      <c r="V20" s="258"/>
      <c r="W20" s="265"/>
      <c r="X20" s="258"/>
      <c r="Y20" s="258"/>
      <c r="Z20" s="258"/>
      <c r="AA20" s="258"/>
      <c r="AB20" s="258"/>
      <c r="AC20" s="258"/>
      <c r="AD20" s="270"/>
      <c r="AE20" s="258"/>
      <c r="AF20" s="258"/>
      <c r="AG20" s="270">
        <f t="shared" si="4"/>
        <v>3392.28833333333</v>
      </c>
      <c r="AH20" s="270"/>
      <c r="AI20" s="278"/>
      <c r="AJ20" s="280"/>
      <c r="AK20" s="280"/>
      <c r="AL20" s="284">
        <v>1000</v>
      </c>
      <c r="AM20" s="281"/>
      <c r="AN20" s="258"/>
      <c r="AO20" s="299">
        <v>1500</v>
      </c>
      <c r="AP20" s="299"/>
      <c r="AQ20" s="299"/>
      <c r="AR20" s="299">
        <f t="shared" si="5"/>
        <v>3945.72190555556</v>
      </c>
      <c r="AS20" s="300"/>
      <c r="AT20" s="300"/>
      <c r="AU20" s="299" t="e">
        <f t="shared" si="10"/>
        <v>#REF!</v>
      </c>
      <c r="AV20" s="299">
        <f t="shared" ref="AV20" si="21">W20+V20+U20+N20+M20+K20+J20+I20+H20</f>
        <v>197286.095277778</v>
      </c>
      <c r="AW20" s="299" t="e">
        <f>AU20+AR20+AQ20+AO20+AN20+AM20+AK20+AI20+AH20+AG20+AF20+AE20+AD20+AL20</f>
        <v>#REF!</v>
      </c>
      <c r="AX20" s="299"/>
      <c r="AY20" s="299"/>
      <c r="AZ20" s="299" t="e">
        <f t="shared" si="7"/>
        <v>#REF!</v>
      </c>
      <c r="BA20" s="305" t="e">
        <f>SUM(#REF!)</f>
        <v>#REF!</v>
      </c>
      <c r="BB20" s="320" t="e">
        <f>1%*#REF!</f>
        <v>#REF!</v>
      </c>
      <c r="BC20" s="321" t="e">
        <f t="shared" si="1"/>
        <v>#REF!</v>
      </c>
      <c r="BD20" s="322" t="e">
        <f t="shared" si="2"/>
        <v>#REF!</v>
      </c>
      <c r="BE20" s="323"/>
      <c r="BF20" s="324"/>
      <c r="BG20" s="325"/>
      <c r="BH20" s="326"/>
      <c r="BI20" s="326"/>
      <c r="BJ20" s="334"/>
      <c r="BK20" s="335"/>
    </row>
    <row r="21" s="245" customFormat="1" ht="172.5" customHeight="1" spans="1:63">
      <c r="A21" s="255">
        <v>19</v>
      </c>
      <c r="B21" s="70" t="s">
        <v>173</v>
      </c>
      <c r="C21" s="129" t="s">
        <v>2012</v>
      </c>
      <c r="D21" s="129" t="s">
        <v>2013</v>
      </c>
      <c r="E21" s="128" t="s">
        <v>122</v>
      </c>
      <c r="F21" s="1470" t="s">
        <v>175</v>
      </c>
      <c r="G21" s="257">
        <v>1980666</v>
      </c>
      <c r="H21" s="258">
        <f t="shared" si="8"/>
        <v>165055.5</v>
      </c>
      <c r="I21" s="258">
        <f t="shared" si="9"/>
        <v>19256.475</v>
      </c>
      <c r="J21" s="258">
        <v>5000</v>
      </c>
      <c r="K21" s="258"/>
      <c r="L21" s="258"/>
      <c r="M21" s="258">
        <v>2500</v>
      </c>
      <c r="N21" s="258"/>
      <c r="O21" s="258"/>
      <c r="P21" s="258"/>
      <c r="Q21" s="258"/>
      <c r="R21" s="258"/>
      <c r="S21" s="258"/>
      <c r="T21" s="258"/>
      <c r="U21" s="258">
        <v>383.33</v>
      </c>
      <c r="V21" s="258"/>
      <c r="W21" s="265"/>
      <c r="X21" s="258"/>
      <c r="Y21" s="258"/>
      <c r="Z21" s="258"/>
      <c r="AA21" s="258"/>
      <c r="AB21" s="258"/>
      <c r="AC21" s="258"/>
      <c r="AD21" s="270"/>
      <c r="AE21" s="258"/>
      <c r="AF21" s="258">
        <f>3150+500</f>
        <v>3650</v>
      </c>
      <c r="AG21" s="270">
        <f t="shared" si="4"/>
        <v>3301.11</v>
      </c>
      <c r="AH21" s="270"/>
      <c r="AI21" s="278"/>
      <c r="AJ21" s="280"/>
      <c r="AK21" s="280"/>
      <c r="AL21" s="284">
        <v>1000</v>
      </c>
      <c r="AM21" s="281"/>
      <c r="AN21" s="258"/>
      <c r="AO21" s="299">
        <v>1500</v>
      </c>
      <c r="AP21" s="299"/>
      <c r="AQ21" s="299"/>
      <c r="AR21" s="299">
        <f t="shared" si="5"/>
        <v>3843.9061</v>
      </c>
      <c r="AS21" s="300"/>
      <c r="AT21" s="300"/>
      <c r="AU21" s="299" t="e">
        <f t="shared" si="10"/>
        <v>#REF!</v>
      </c>
      <c r="AV21" s="299">
        <f t="shared" ref="AV21" si="22">V21+U21+N21+M21+K21+J21+I21+H21</f>
        <v>192195.305</v>
      </c>
      <c r="AW21" s="299" t="e">
        <f>AU21+AR21+AQ21+AO21+AN21+AM21+AK21+AI21+AH21+AG21+AF21+AE21+AD21+AL21</f>
        <v>#REF!</v>
      </c>
      <c r="AX21" s="299"/>
      <c r="AY21" s="299"/>
      <c r="AZ21" s="299" t="e">
        <f t="shared" si="7"/>
        <v>#REF!</v>
      </c>
      <c r="BA21" s="305" t="e">
        <f>SUM(#REF!)</f>
        <v>#REF!</v>
      </c>
      <c r="BB21" s="320" t="e">
        <f>1%*#REF!</f>
        <v>#REF!</v>
      </c>
      <c r="BC21" s="321" t="e">
        <f t="shared" si="1"/>
        <v>#REF!</v>
      </c>
      <c r="BD21" s="322" t="e">
        <f t="shared" si="2"/>
        <v>#REF!</v>
      </c>
      <c r="BE21" s="323"/>
      <c r="BF21" s="324"/>
      <c r="BG21" s="325"/>
      <c r="BH21" s="326"/>
      <c r="BI21" s="326"/>
      <c r="BJ21" s="334"/>
      <c r="BK21" s="335"/>
    </row>
    <row r="22" s="245" customFormat="1" ht="172.5" customHeight="1" spans="1:63">
      <c r="A22" s="255">
        <v>20</v>
      </c>
      <c r="B22" s="70" t="s">
        <v>180</v>
      </c>
      <c r="C22" s="129" t="s">
        <v>204</v>
      </c>
      <c r="D22" s="129" t="s">
        <v>2005</v>
      </c>
      <c r="E22" s="256" t="s">
        <v>135</v>
      </c>
      <c r="F22" s="1469" t="s">
        <v>181</v>
      </c>
      <c r="G22" s="257">
        <v>2308911</v>
      </c>
      <c r="H22" s="258">
        <f t="shared" si="8"/>
        <v>192409.25</v>
      </c>
      <c r="I22" s="258">
        <f t="shared" si="9"/>
        <v>22447.7458333333</v>
      </c>
      <c r="J22" s="258">
        <v>5000</v>
      </c>
      <c r="K22" s="258"/>
      <c r="L22" s="258"/>
      <c r="M22" s="258">
        <v>2500</v>
      </c>
      <c r="N22" s="258"/>
      <c r="O22" s="258"/>
      <c r="P22" s="258"/>
      <c r="Q22" s="258"/>
      <c r="R22" s="258"/>
      <c r="S22" s="258"/>
      <c r="T22" s="258"/>
      <c r="U22" s="258">
        <v>383.33</v>
      </c>
      <c r="V22" s="258"/>
      <c r="W22" s="265"/>
      <c r="X22" s="258"/>
      <c r="Y22" s="258"/>
      <c r="Z22" s="258"/>
      <c r="AA22" s="258"/>
      <c r="AB22" s="258"/>
      <c r="AC22" s="258"/>
      <c r="AD22" s="270"/>
      <c r="AE22" s="258"/>
      <c r="AF22" s="258">
        <v>2500</v>
      </c>
      <c r="AG22" s="270">
        <f t="shared" si="4"/>
        <v>3848.185</v>
      </c>
      <c r="AH22" s="270"/>
      <c r="AI22" s="278"/>
      <c r="AJ22" s="280"/>
      <c r="AK22" s="280"/>
      <c r="AL22" s="284">
        <v>1000</v>
      </c>
      <c r="AM22" s="281">
        <v>62441.67</v>
      </c>
      <c r="AN22" s="258"/>
      <c r="AO22" s="299">
        <v>1500</v>
      </c>
      <c r="AP22" s="299"/>
      <c r="AQ22" s="299"/>
      <c r="AR22" s="299">
        <f t="shared" si="5"/>
        <v>4454.80651666667</v>
      </c>
      <c r="AS22" s="300"/>
      <c r="AT22" s="300"/>
      <c r="AU22" s="299" t="e">
        <f t="shared" si="10"/>
        <v>#REF!</v>
      </c>
      <c r="AV22" s="299">
        <f t="shared" ref="AV22:AV23" si="23">W22+V22+U22+N22+M22+K22+J22+I22+H22</f>
        <v>222740.325833333</v>
      </c>
      <c r="AW22" s="299" t="e">
        <f>AU22+AR22+AQ22+AO22+AN22+AM22+AK22+AI22+AH22+AG22+AF22+AE22+AD22+AL22</f>
        <v>#REF!</v>
      </c>
      <c r="AX22" s="299"/>
      <c r="AY22" s="299"/>
      <c r="AZ22" s="299" t="e">
        <f t="shared" si="7"/>
        <v>#REF!</v>
      </c>
      <c r="BA22" s="305" t="e">
        <f>SUM(#REF!)</f>
        <v>#REF!</v>
      </c>
      <c r="BB22" s="320" t="e">
        <f>1%*#REF!</f>
        <v>#REF!</v>
      </c>
      <c r="BC22" s="321" t="e">
        <f t="shared" si="1"/>
        <v>#REF!</v>
      </c>
      <c r="BD22" s="322" t="e">
        <f t="shared" si="2"/>
        <v>#REF!</v>
      </c>
      <c r="BE22" s="323"/>
      <c r="BF22" s="324"/>
      <c r="BG22" s="325"/>
      <c r="BH22" s="326"/>
      <c r="BI22" s="326"/>
      <c r="BJ22" s="334"/>
      <c r="BK22" s="335"/>
    </row>
    <row r="23" s="245" customFormat="1" ht="172.5" customHeight="1" spans="1:63">
      <c r="A23" s="255">
        <v>21</v>
      </c>
      <c r="B23" s="70" t="s">
        <v>182</v>
      </c>
      <c r="C23" s="129" t="s">
        <v>130</v>
      </c>
      <c r="D23" s="129" t="s">
        <v>161</v>
      </c>
      <c r="E23" s="256" t="s">
        <v>135</v>
      </c>
      <c r="F23" s="1469" t="s">
        <v>2014</v>
      </c>
      <c r="G23" s="257">
        <v>2688069</v>
      </c>
      <c r="H23" s="258">
        <f t="shared" si="8"/>
        <v>224005.75</v>
      </c>
      <c r="I23" s="258">
        <f t="shared" si="9"/>
        <v>26134.0041666667</v>
      </c>
      <c r="J23" s="258">
        <v>5000</v>
      </c>
      <c r="K23" s="258">
        <f>K19</f>
        <v>20833.33</v>
      </c>
      <c r="L23" s="258"/>
      <c r="M23" s="258">
        <v>2500</v>
      </c>
      <c r="N23" s="258"/>
      <c r="O23" s="258"/>
      <c r="P23" s="258"/>
      <c r="Q23" s="258"/>
      <c r="R23" s="258"/>
      <c r="S23" s="258"/>
      <c r="T23" s="258"/>
      <c r="U23" s="258">
        <v>383.33</v>
      </c>
      <c r="V23" s="258"/>
      <c r="W23" s="265"/>
      <c r="X23" s="258"/>
      <c r="Y23" s="258"/>
      <c r="Z23" s="258"/>
      <c r="AA23" s="258"/>
      <c r="AB23" s="258"/>
      <c r="AC23" s="258"/>
      <c r="AD23" s="270"/>
      <c r="AE23" s="258"/>
      <c r="AF23" s="258">
        <v>500</v>
      </c>
      <c r="AG23" s="270">
        <f t="shared" si="4"/>
        <v>4480.115</v>
      </c>
      <c r="AH23" s="270">
        <f>20000</f>
        <v>20000</v>
      </c>
      <c r="AI23" s="282">
        <v>1000</v>
      </c>
      <c r="AJ23" s="279"/>
      <c r="AK23" s="279"/>
      <c r="AL23" s="279"/>
      <c r="AM23" s="281">
        <f>10000+17500</f>
        <v>27500</v>
      </c>
      <c r="AN23" s="258"/>
      <c r="AO23" s="299">
        <v>1500</v>
      </c>
      <c r="AP23" s="299"/>
      <c r="AQ23" s="299"/>
      <c r="AR23" s="299">
        <f t="shared" si="5"/>
        <v>5577.12828333333</v>
      </c>
      <c r="AS23" s="300"/>
      <c r="AT23" s="300"/>
      <c r="AU23" s="299" t="e">
        <f t="shared" si="10"/>
        <v>#REF!</v>
      </c>
      <c r="AV23" s="299">
        <f t="shared" si="23"/>
        <v>278856.414166667</v>
      </c>
      <c r="AW23" s="299" t="e">
        <f t="shared" si="6"/>
        <v>#REF!</v>
      </c>
      <c r="AX23" s="299"/>
      <c r="AY23" s="299"/>
      <c r="AZ23" s="299" t="e">
        <f t="shared" si="7"/>
        <v>#REF!</v>
      </c>
      <c r="BA23" s="305" t="e">
        <f>SUM(#REF!)</f>
        <v>#REF!</v>
      </c>
      <c r="BB23" s="320" t="e">
        <f>1%*#REF!</f>
        <v>#REF!</v>
      </c>
      <c r="BC23" s="321" t="e">
        <f t="shared" si="1"/>
        <v>#REF!</v>
      </c>
      <c r="BD23" s="322" t="e">
        <f t="shared" si="2"/>
        <v>#REF!</v>
      </c>
      <c r="BE23" s="323"/>
      <c r="BF23" s="324"/>
      <c r="BG23" s="325"/>
      <c r="BH23" s="326"/>
      <c r="BI23" s="326"/>
      <c r="BJ23" s="334"/>
      <c r="BK23" s="335"/>
    </row>
    <row r="24" s="245" customFormat="1" ht="172.5" customHeight="1" spans="1:63">
      <c r="A24" s="255">
        <v>22</v>
      </c>
      <c r="B24" s="70" t="s">
        <v>184</v>
      </c>
      <c r="C24" s="129" t="s">
        <v>143</v>
      </c>
      <c r="D24" s="129" t="s">
        <v>2015</v>
      </c>
      <c r="E24" s="256" t="s">
        <v>93</v>
      </c>
      <c r="F24" s="256">
        <v>2035909165</v>
      </c>
      <c r="G24" s="257">
        <v>4432861</v>
      </c>
      <c r="H24" s="258">
        <f t="shared" ref="H24:H36" si="24">G24/12</f>
        <v>369405.083333333</v>
      </c>
      <c r="I24" s="258">
        <f t="shared" si="9"/>
        <v>43097.2597222222</v>
      </c>
      <c r="J24" s="258">
        <v>5000</v>
      </c>
      <c r="K24" s="258"/>
      <c r="L24" s="258"/>
      <c r="M24" s="258">
        <v>2500</v>
      </c>
      <c r="N24" s="258"/>
      <c r="O24" s="258"/>
      <c r="P24" s="258"/>
      <c r="Q24" s="258"/>
      <c r="R24" s="258"/>
      <c r="S24" s="258"/>
      <c r="T24" s="258"/>
      <c r="U24" s="258">
        <v>383.33</v>
      </c>
      <c r="V24" s="258"/>
      <c r="W24" s="265"/>
      <c r="X24" s="258"/>
      <c r="Y24" s="258"/>
      <c r="Z24" s="258"/>
      <c r="AA24" s="258"/>
      <c r="AB24" s="258"/>
      <c r="AC24" s="258"/>
      <c r="AD24" s="270"/>
      <c r="AE24" s="258"/>
      <c r="AF24" s="258"/>
      <c r="AG24" s="270">
        <f t="shared" si="4"/>
        <v>7388.10166666667</v>
      </c>
      <c r="AH24" s="270"/>
      <c r="AI24" s="278"/>
      <c r="AJ24" s="279">
        <v>1000</v>
      </c>
      <c r="AK24" s="280"/>
      <c r="AL24" s="280"/>
      <c r="AM24" s="281">
        <v>15000</v>
      </c>
      <c r="AN24" s="258">
        <v>15000</v>
      </c>
      <c r="AO24" s="299">
        <v>2000</v>
      </c>
      <c r="AP24" s="299"/>
      <c r="AQ24" s="299"/>
      <c r="AR24" s="299">
        <f t="shared" si="5"/>
        <v>8407.71346111111</v>
      </c>
      <c r="AS24" s="300"/>
      <c r="AT24" s="300"/>
      <c r="AU24" s="299" t="e">
        <f t="shared" si="10"/>
        <v>#REF!</v>
      </c>
      <c r="AV24" s="299">
        <f t="shared" ref="AV24" si="25">V24+U24+N24+M24+K24+J24+I24+H24</f>
        <v>420385.673055556</v>
      </c>
      <c r="AW24" s="299" t="e">
        <f>AU24+AR24+AQ24+AO24+AN24+AM24+AK24+AI24+AH24+AG24+AF24+AE24+AD24+AJ24</f>
        <v>#REF!</v>
      </c>
      <c r="AX24" s="299"/>
      <c r="AY24" s="299"/>
      <c r="AZ24" s="299" t="e">
        <f t="shared" si="7"/>
        <v>#REF!</v>
      </c>
      <c r="BA24" s="305" t="e">
        <f>SUM(#REF!)</f>
        <v>#REF!</v>
      </c>
      <c r="BB24" s="320" t="e">
        <f>1%*#REF!</f>
        <v>#REF!</v>
      </c>
      <c r="BC24" s="321" t="e">
        <f t="shared" si="1"/>
        <v>#REF!</v>
      </c>
      <c r="BD24" s="322" t="e">
        <f t="shared" si="2"/>
        <v>#REF!</v>
      </c>
      <c r="BE24" s="323"/>
      <c r="BF24" s="324"/>
      <c r="BG24" s="325"/>
      <c r="BH24" s="326"/>
      <c r="BI24" s="326"/>
      <c r="BJ24" s="334"/>
      <c r="BK24" s="335"/>
    </row>
    <row r="25" s="245" customFormat="1" ht="172.5" customHeight="1" spans="1:63">
      <c r="A25" s="255">
        <v>23</v>
      </c>
      <c r="B25" s="70" t="s">
        <v>187</v>
      </c>
      <c r="C25" s="129" t="s">
        <v>143</v>
      </c>
      <c r="D25" s="129" t="s">
        <v>178</v>
      </c>
      <c r="E25" s="256" t="s">
        <v>135</v>
      </c>
      <c r="F25" s="1469" t="s">
        <v>2016</v>
      </c>
      <c r="G25" s="257">
        <v>3675250</v>
      </c>
      <c r="H25" s="258">
        <f t="shared" si="24"/>
        <v>306270.833333333</v>
      </c>
      <c r="I25" s="258">
        <f t="shared" si="9"/>
        <v>35731.5972222222</v>
      </c>
      <c r="J25" s="258">
        <v>5000</v>
      </c>
      <c r="K25" s="258"/>
      <c r="L25" s="258"/>
      <c r="M25" s="258">
        <v>2500</v>
      </c>
      <c r="N25" s="258"/>
      <c r="O25" s="258"/>
      <c r="P25" s="258"/>
      <c r="Q25" s="258"/>
      <c r="R25" s="258"/>
      <c r="S25" s="258"/>
      <c r="T25" s="258"/>
      <c r="U25" s="258">
        <v>383.33</v>
      </c>
      <c r="V25" s="258"/>
      <c r="W25" s="265"/>
      <c r="X25" s="258"/>
      <c r="Y25" s="258"/>
      <c r="Z25" s="258"/>
      <c r="AA25" s="258"/>
      <c r="AB25" s="258"/>
      <c r="AC25" s="258"/>
      <c r="AD25" s="270"/>
      <c r="AE25" s="258"/>
      <c r="AF25" s="258"/>
      <c r="AG25" s="270">
        <f t="shared" si="4"/>
        <v>6125.41666666667</v>
      </c>
      <c r="AH25" s="270"/>
      <c r="AI25" s="278"/>
      <c r="AJ25" s="280"/>
      <c r="AK25" s="280"/>
      <c r="AL25" s="284">
        <v>1000</v>
      </c>
      <c r="AM25" s="281"/>
      <c r="AN25" s="258">
        <v>7500</v>
      </c>
      <c r="AO25" s="299">
        <v>2000</v>
      </c>
      <c r="AP25" s="299"/>
      <c r="AQ25" s="299"/>
      <c r="AR25" s="299">
        <f t="shared" si="5"/>
        <v>6997.71521111111</v>
      </c>
      <c r="AS25" s="300"/>
      <c r="AT25" s="300"/>
      <c r="AU25" s="299" t="e">
        <f t="shared" si="10"/>
        <v>#REF!</v>
      </c>
      <c r="AV25" s="299">
        <f t="shared" ref="AV25:AV26" si="26">W25+V25+U25+N25+M25+K25+J25+I25+H25</f>
        <v>349885.760555556</v>
      </c>
      <c r="AW25" s="299" t="e">
        <f>AU25+AR25+AQ25+AO25+AN25+AM25+AK25+AI25+AH25+AG25+AF25+AE25+AD25+AL25</f>
        <v>#REF!</v>
      </c>
      <c r="AX25" s="299"/>
      <c r="AY25" s="299"/>
      <c r="AZ25" s="299" t="e">
        <f t="shared" si="7"/>
        <v>#REF!</v>
      </c>
      <c r="BA25" s="305" t="e">
        <f>SUM(#REF!)</f>
        <v>#REF!</v>
      </c>
      <c r="BB25" s="320" t="e">
        <f>1%*#REF!</f>
        <v>#REF!</v>
      </c>
      <c r="BC25" s="321" t="e">
        <f t="shared" si="1"/>
        <v>#REF!</v>
      </c>
      <c r="BD25" s="322" t="e">
        <f t="shared" si="2"/>
        <v>#REF!</v>
      </c>
      <c r="BE25" s="323"/>
      <c r="BF25" s="324"/>
      <c r="BG25" s="325"/>
      <c r="BH25" s="326"/>
      <c r="BI25" s="326"/>
      <c r="BJ25" s="334"/>
      <c r="BK25" s="335"/>
    </row>
    <row r="26" s="245" customFormat="1" ht="176" customHeight="1" spans="1:63">
      <c r="A26" s="255">
        <v>24</v>
      </c>
      <c r="B26" s="70" t="s">
        <v>2017</v>
      </c>
      <c r="C26" s="129" t="s">
        <v>204</v>
      </c>
      <c r="D26" s="129" t="s">
        <v>360</v>
      </c>
      <c r="E26" s="256" t="s">
        <v>313</v>
      </c>
      <c r="F26" s="1469" t="s">
        <v>2018</v>
      </c>
      <c r="G26" s="257">
        <f>G23</f>
        <v>2688069</v>
      </c>
      <c r="H26" s="258">
        <f t="shared" si="24"/>
        <v>224005.75</v>
      </c>
      <c r="I26" s="258">
        <f t="shared" si="9"/>
        <v>26134.0041666667</v>
      </c>
      <c r="J26" s="258">
        <v>5000</v>
      </c>
      <c r="K26" s="258"/>
      <c r="L26" s="258"/>
      <c r="M26" s="258">
        <v>2500</v>
      </c>
      <c r="N26" s="258"/>
      <c r="O26" s="258"/>
      <c r="P26" s="258"/>
      <c r="Q26" s="258"/>
      <c r="R26" s="258"/>
      <c r="S26" s="258"/>
      <c r="T26" s="258"/>
      <c r="U26" s="258">
        <v>383.33</v>
      </c>
      <c r="V26" s="258"/>
      <c r="W26" s="265"/>
      <c r="X26" s="258"/>
      <c r="Y26" s="258"/>
      <c r="Z26" s="258"/>
      <c r="AA26" s="258"/>
      <c r="AB26" s="258"/>
      <c r="AC26" s="258"/>
      <c r="AD26" s="270"/>
      <c r="AE26" s="258"/>
      <c r="AF26" s="258"/>
      <c r="AG26" s="270">
        <f t="shared" si="4"/>
        <v>4480.115</v>
      </c>
      <c r="AH26" s="270"/>
      <c r="AI26" s="285">
        <v>1000</v>
      </c>
      <c r="AJ26" s="286"/>
      <c r="AK26" s="286"/>
      <c r="AL26" s="286"/>
      <c r="AM26" s="281"/>
      <c r="AN26" s="258"/>
      <c r="AO26" s="299">
        <v>1500</v>
      </c>
      <c r="AP26" s="299"/>
      <c r="AQ26" s="299"/>
      <c r="AR26" s="299">
        <f t="shared" si="5"/>
        <v>5160.46168333333</v>
      </c>
      <c r="AS26" s="300"/>
      <c r="AT26" s="300"/>
      <c r="AU26" s="299" t="e">
        <f t="shared" si="10"/>
        <v>#REF!</v>
      </c>
      <c r="AV26" s="299">
        <f t="shared" si="26"/>
        <v>258023.084166667</v>
      </c>
      <c r="AW26" s="299" t="e">
        <f t="shared" si="6"/>
        <v>#REF!</v>
      </c>
      <c r="AX26" s="299"/>
      <c r="AY26" s="299"/>
      <c r="AZ26" s="299" t="e">
        <f t="shared" si="7"/>
        <v>#REF!</v>
      </c>
      <c r="BA26" s="305" t="e">
        <f>SUM(#REF!)</f>
        <v>#REF!</v>
      </c>
      <c r="BB26" s="320" t="e">
        <f>1%*#REF!</f>
        <v>#REF!</v>
      </c>
      <c r="BC26" s="321" t="e">
        <f t="shared" si="1"/>
        <v>#REF!</v>
      </c>
      <c r="BD26" s="322" t="e">
        <f t="shared" si="2"/>
        <v>#REF!</v>
      </c>
      <c r="BE26" s="323"/>
      <c r="BF26" s="324"/>
      <c r="BG26" s="325"/>
      <c r="BH26" s="326"/>
      <c r="BI26" s="326"/>
      <c r="BJ26" s="334"/>
      <c r="BK26" s="335"/>
    </row>
    <row r="27" s="246" customFormat="1" ht="183" customHeight="1" spans="1:63">
      <c r="A27" s="255">
        <v>25</v>
      </c>
      <c r="B27" s="262" t="s">
        <v>190</v>
      </c>
      <c r="C27" s="263" t="s">
        <v>143</v>
      </c>
      <c r="D27" s="263" t="s">
        <v>276</v>
      </c>
      <c r="E27" s="130" t="s">
        <v>145</v>
      </c>
      <c r="F27" s="1471" t="s">
        <v>192</v>
      </c>
      <c r="G27" s="264">
        <f>G25</f>
        <v>3675250</v>
      </c>
      <c r="H27" s="265">
        <f t="shared" si="24"/>
        <v>306270.833333333</v>
      </c>
      <c r="I27" s="265">
        <f t="shared" si="9"/>
        <v>35731.5972222222</v>
      </c>
      <c r="J27" s="265">
        <v>5000</v>
      </c>
      <c r="K27" s="265">
        <v>41667</v>
      </c>
      <c r="L27" s="265"/>
      <c r="M27" s="265">
        <v>2500</v>
      </c>
      <c r="N27" s="265"/>
      <c r="O27" s="265"/>
      <c r="P27" s="265"/>
      <c r="Q27" s="265"/>
      <c r="R27" s="265"/>
      <c r="S27" s="265"/>
      <c r="T27" s="265"/>
      <c r="U27" s="265">
        <v>383.33</v>
      </c>
      <c r="V27" s="265"/>
      <c r="W27" s="265"/>
      <c r="X27" s="265"/>
      <c r="Y27" s="265"/>
      <c r="Z27" s="265"/>
      <c r="AA27" s="265"/>
      <c r="AB27" s="265"/>
      <c r="AC27" s="265"/>
      <c r="AD27" s="271"/>
      <c r="AE27" s="265"/>
      <c r="AF27" s="265"/>
      <c r="AG27" s="271">
        <f t="shared" si="4"/>
        <v>6125.41666666667</v>
      </c>
      <c r="AH27" s="271"/>
      <c r="AI27" s="287"/>
      <c r="AJ27" s="288">
        <v>2000</v>
      </c>
      <c r="AK27" s="289"/>
      <c r="AL27" s="289"/>
      <c r="AM27" s="290">
        <f>10000+17500</f>
        <v>27500</v>
      </c>
      <c r="AN27" s="265">
        <v>15000</v>
      </c>
      <c r="AO27" s="301">
        <v>2000</v>
      </c>
      <c r="AP27" s="301"/>
      <c r="AQ27" s="301"/>
      <c r="AR27" s="301">
        <f t="shared" si="5"/>
        <v>7831.05521111111</v>
      </c>
      <c r="AS27" s="302"/>
      <c r="AT27" s="302"/>
      <c r="AU27" s="301" t="e">
        <f t="shared" si="10"/>
        <v>#REF!</v>
      </c>
      <c r="AV27" s="301">
        <f t="shared" ref="AV27" si="27">V27+U27+N27+M27+K27+J27+I27+H27</f>
        <v>391552.760555556</v>
      </c>
      <c r="AW27" s="301" t="e">
        <f>AU27+AR27+AQ27+AO27+AM27+AN27+AK27+AJ27+AI27+AH27+AG27+AF27</f>
        <v>#REF!</v>
      </c>
      <c r="AX27" s="301"/>
      <c r="AY27" s="301"/>
      <c r="AZ27" s="301" t="e">
        <f t="shared" si="7"/>
        <v>#REF!</v>
      </c>
      <c r="BA27" s="309" t="e">
        <f>SUM(#REF!)</f>
        <v>#REF!</v>
      </c>
      <c r="BB27" s="327" t="e">
        <f>1%*#REF!</f>
        <v>#REF!</v>
      </c>
      <c r="BC27" s="328" t="e">
        <f t="shared" si="1"/>
        <v>#REF!</v>
      </c>
      <c r="BD27" s="329" t="e">
        <f t="shared" si="2"/>
        <v>#REF!</v>
      </c>
      <c r="BE27" s="330"/>
      <c r="BF27" s="331"/>
      <c r="BG27" s="332"/>
      <c r="BH27" s="333"/>
      <c r="BI27" s="333"/>
      <c r="BJ27" s="337"/>
      <c r="BK27" s="338"/>
    </row>
    <row r="28" s="245" customFormat="1" ht="183" customHeight="1" spans="1:63">
      <c r="A28" s="255">
        <v>26</v>
      </c>
      <c r="B28" s="70" t="s">
        <v>193</v>
      </c>
      <c r="C28" s="129" t="s">
        <v>352</v>
      </c>
      <c r="D28" s="129" t="s">
        <v>353</v>
      </c>
      <c r="E28" s="256" t="s">
        <v>165</v>
      </c>
      <c r="F28" s="256">
        <v>2007556061</v>
      </c>
      <c r="G28" s="257">
        <v>1691938</v>
      </c>
      <c r="H28" s="258">
        <f t="shared" si="24"/>
        <v>140994.833333333</v>
      </c>
      <c r="I28" s="258">
        <f t="shared" si="9"/>
        <v>16449.3972222222</v>
      </c>
      <c r="J28" s="258">
        <v>5000</v>
      </c>
      <c r="K28" s="258"/>
      <c r="L28" s="258"/>
      <c r="M28" s="258">
        <v>2500</v>
      </c>
      <c r="N28" s="258"/>
      <c r="O28" s="258"/>
      <c r="P28" s="258"/>
      <c r="Q28" s="258"/>
      <c r="R28" s="258"/>
      <c r="S28" s="258"/>
      <c r="T28" s="258"/>
      <c r="U28" s="258">
        <v>383.33</v>
      </c>
      <c r="V28" s="258"/>
      <c r="W28" s="265"/>
      <c r="X28" s="258"/>
      <c r="Y28" s="258"/>
      <c r="Z28" s="258"/>
      <c r="AA28" s="258"/>
      <c r="AB28" s="258"/>
      <c r="AC28" s="258"/>
      <c r="AD28" s="270"/>
      <c r="AE28" s="258"/>
      <c r="AF28" s="258">
        <v>750</v>
      </c>
      <c r="AG28" s="270">
        <f t="shared" si="4"/>
        <v>2819.89666666667</v>
      </c>
      <c r="AH28" s="270"/>
      <c r="AI28" s="278"/>
      <c r="AJ28" s="280"/>
      <c r="AK28" s="280"/>
      <c r="AL28" s="280"/>
      <c r="AM28" s="281"/>
      <c r="AN28" s="258">
        <v>15000</v>
      </c>
      <c r="AO28" s="299">
        <v>1000</v>
      </c>
      <c r="AP28" s="299">
        <v>1000</v>
      </c>
      <c r="AQ28" s="299"/>
      <c r="AR28" s="299">
        <f t="shared" si="5"/>
        <v>3306.55121111111</v>
      </c>
      <c r="AS28" s="300"/>
      <c r="AT28" s="300"/>
      <c r="AU28" s="299" t="e">
        <f t="shared" si="10"/>
        <v>#REF!</v>
      </c>
      <c r="AV28" s="299">
        <f t="shared" ref="AV28:AV29" si="28">W28+V28+U28+N28+M28+K28+J28+I28+H28</f>
        <v>165327.560555556</v>
      </c>
      <c r="AW28" s="299" t="e">
        <f t="shared" si="6"/>
        <v>#REF!</v>
      </c>
      <c r="AX28" s="299"/>
      <c r="AY28" s="299"/>
      <c r="AZ28" s="299" t="e">
        <f t="shared" si="7"/>
        <v>#REF!</v>
      </c>
      <c r="BA28" s="305" t="e">
        <f>SUM(#REF!)</f>
        <v>#REF!</v>
      </c>
      <c r="BB28" s="320" t="e">
        <f>1%*#REF!</f>
        <v>#REF!</v>
      </c>
      <c r="BC28" s="321" t="e">
        <f t="shared" si="1"/>
        <v>#REF!</v>
      </c>
      <c r="BD28" s="322" t="e">
        <f t="shared" si="2"/>
        <v>#REF!</v>
      </c>
      <c r="BE28" s="323"/>
      <c r="BF28" s="324"/>
      <c r="BG28" s="325"/>
      <c r="BH28" s="326"/>
      <c r="BI28" s="326"/>
      <c r="BJ28" s="334"/>
      <c r="BK28" s="335"/>
    </row>
    <row r="29" s="245" customFormat="1" ht="183" customHeight="1" spans="1:63">
      <c r="A29" s="255">
        <v>27</v>
      </c>
      <c r="B29" s="70" t="s">
        <v>202</v>
      </c>
      <c r="C29" s="129" t="s">
        <v>204</v>
      </c>
      <c r="D29" s="129" t="s">
        <v>465</v>
      </c>
      <c r="E29" s="256" t="s">
        <v>165</v>
      </c>
      <c r="F29" s="256">
        <v>1002357668</v>
      </c>
      <c r="G29" s="257">
        <v>1691939</v>
      </c>
      <c r="H29" s="258">
        <v>165055.5</v>
      </c>
      <c r="I29" s="258">
        <f t="shared" si="9"/>
        <v>19256.475</v>
      </c>
      <c r="J29" s="258">
        <v>5000</v>
      </c>
      <c r="K29" s="258"/>
      <c r="L29" s="258"/>
      <c r="M29" s="258">
        <v>2500</v>
      </c>
      <c r="N29" s="258"/>
      <c r="O29" s="258"/>
      <c r="P29" s="258"/>
      <c r="Q29" s="258"/>
      <c r="R29" s="258"/>
      <c r="S29" s="258"/>
      <c r="T29" s="258"/>
      <c r="U29" s="258">
        <v>383.33</v>
      </c>
      <c r="V29" s="258"/>
      <c r="W29" s="265"/>
      <c r="X29" s="258"/>
      <c r="Y29" s="258"/>
      <c r="Z29" s="258"/>
      <c r="AA29" s="258"/>
      <c r="AB29" s="258"/>
      <c r="AC29" s="258"/>
      <c r="AD29" s="270"/>
      <c r="AE29" s="258"/>
      <c r="AF29" s="258"/>
      <c r="AG29" s="270">
        <f t="shared" si="4"/>
        <v>3301.11</v>
      </c>
      <c r="AH29" s="270"/>
      <c r="AI29" s="278"/>
      <c r="AJ29" s="284">
        <v>1000</v>
      </c>
      <c r="AK29" s="280"/>
      <c r="AL29" s="280"/>
      <c r="AM29" s="281"/>
      <c r="AN29" s="258"/>
      <c r="AO29" s="299">
        <v>1000</v>
      </c>
      <c r="AP29" s="299"/>
      <c r="AQ29" s="299"/>
      <c r="AR29" s="299">
        <f t="shared" si="5"/>
        <v>3843.9061</v>
      </c>
      <c r="AS29" s="300"/>
      <c r="AT29" s="300"/>
      <c r="AU29" s="299" t="e">
        <f t="shared" si="10"/>
        <v>#REF!</v>
      </c>
      <c r="AV29" s="299">
        <f t="shared" si="28"/>
        <v>192195.305</v>
      </c>
      <c r="AW29" s="299" t="e">
        <f>AU29+AR29+AO29+AJ29+AG29</f>
        <v>#REF!</v>
      </c>
      <c r="AX29" s="299"/>
      <c r="AY29" s="299"/>
      <c r="AZ29" s="299" t="e">
        <f t="shared" si="7"/>
        <v>#REF!</v>
      </c>
      <c r="BA29" s="305" t="e">
        <f>SUM(#REF!)</f>
        <v>#REF!</v>
      </c>
      <c r="BB29" s="320" t="e">
        <f>1%*#REF!</f>
        <v>#REF!</v>
      </c>
      <c r="BC29" s="321" t="e">
        <f t="shared" si="1"/>
        <v>#REF!</v>
      </c>
      <c r="BD29" s="322" t="e">
        <f t="shared" si="2"/>
        <v>#REF!</v>
      </c>
      <c r="BE29" s="323"/>
      <c r="BF29" s="324"/>
      <c r="BG29" s="325"/>
      <c r="BH29" s="326"/>
      <c r="BI29" s="326"/>
      <c r="BJ29" s="334"/>
      <c r="BK29" s="335"/>
    </row>
    <row r="30" s="245" customFormat="1" ht="172.5" customHeight="1" spans="1:63">
      <c r="A30" s="255">
        <v>28</v>
      </c>
      <c r="B30" s="70" t="s">
        <v>211</v>
      </c>
      <c r="C30" s="129" t="s">
        <v>216</v>
      </c>
      <c r="D30" s="129" t="s">
        <v>555</v>
      </c>
      <c r="E30" s="256" t="s">
        <v>135</v>
      </c>
      <c r="F30" s="1469" t="s">
        <v>214</v>
      </c>
      <c r="G30" s="257">
        <v>1796468</v>
      </c>
      <c r="H30" s="258">
        <f t="shared" si="24"/>
        <v>149705.666666667</v>
      </c>
      <c r="I30" s="258">
        <f t="shared" si="9"/>
        <v>17465.6611111111</v>
      </c>
      <c r="J30" s="258">
        <v>5000</v>
      </c>
      <c r="K30" s="258"/>
      <c r="L30" s="258"/>
      <c r="M30" s="258">
        <v>2500</v>
      </c>
      <c r="N30" s="258"/>
      <c r="O30" s="258"/>
      <c r="P30" s="258"/>
      <c r="Q30" s="258"/>
      <c r="R30" s="258"/>
      <c r="S30" s="258"/>
      <c r="T30" s="258"/>
      <c r="U30" s="258">
        <v>383.33</v>
      </c>
      <c r="V30" s="258"/>
      <c r="W30" s="265"/>
      <c r="X30" s="258"/>
      <c r="Y30" s="258"/>
      <c r="Z30" s="258"/>
      <c r="AA30" s="258"/>
      <c r="AB30" s="258"/>
      <c r="AC30" s="258"/>
      <c r="AD30" s="270"/>
      <c r="AE30" s="258"/>
      <c r="AF30" s="258"/>
      <c r="AG30" s="270">
        <f t="shared" si="4"/>
        <v>2994.11333333333</v>
      </c>
      <c r="AH30" s="270"/>
      <c r="AI30" s="278"/>
      <c r="AJ30" s="280"/>
      <c r="AK30" s="280"/>
      <c r="AL30" s="280"/>
      <c r="AM30" s="281"/>
      <c r="AN30" s="258">
        <v>7500</v>
      </c>
      <c r="AO30" s="299">
        <v>1000</v>
      </c>
      <c r="AP30" s="299"/>
      <c r="AQ30" s="299"/>
      <c r="AR30" s="299">
        <f t="shared" si="5"/>
        <v>3501.09315555556</v>
      </c>
      <c r="AS30" s="300"/>
      <c r="AT30" s="300"/>
      <c r="AU30" s="299" t="e">
        <f>AU101</f>
        <v>#REF!</v>
      </c>
      <c r="AV30" s="299">
        <f t="shared" ref="AV30" si="29">V30+U30+N30+M30+K30+J30+I30+H30</f>
        <v>175054.657777778</v>
      </c>
      <c r="AW30" s="299" t="e">
        <f t="shared" si="6"/>
        <v>#REF!</v>
      </c>
      <c r="AX30" s="299"/>
      <c r="AY30" s="299"/>
      <c r="AZ30" s="299" t="e">
        <f t="shared" si="7"/>
        <v>#REF!</v>
      </c>
      <c r="BA30" s="305" t="e">
        <f>SUM(#REF!)</f>
        <v>#REF!</v>
      </c>
      <c r="BB30" s="320" t="e">
        <f>1%*#REF!</f>
        <v>#REF!</v>
      </c>
      <c r="BC30" s="321" t="e">
        <f t="shared" si="1"/>
        <v>#REF!</v>
      </c>
      <c r="BD30" s="322" t="e">
        <f t="shared" si="2"/>
        <v>#REF!</v>
      </c>
      <c r="BE30" s="323"/>
      <c r="BF30" s="324"/>
      <c r="BG30" s="325"/>
      <c r="BH30" s="326"/>
      <c r="BI30" s="326"/>
      <c r="BJ30" s="334"/>
      <c r="BK30" s="335"/>
    </row>
    <row r="31" s="245" customFormat="1" ht="184" customHeight="1" spans="1:63">
      <c r="A31" s="255">
        <v>29</v>
      </c>
      <c r="B31" s="70" t="s">
        <v>215</v>
      </c>
      <c r="C31" s="129" t="s">
        <v>216</v>
      </c>
      <c r="D31" s="129" t="s">
        <v>555</v>
      </c>
      <c r="E31" s="256" t="s">
        <v>113</v>
      </c>
      <c r="F31" s="256">
        <v>1018108205</v>
      </c>
      <c r="G31" s="257">
        <v>1796468</v>
      </c>
      <c r="H31" s="258">
        <f t="shared" si="24"/>
        <v>149705.666666667</v>
      </c>
      <c r="I31" s="258">
        <f t="shared" si="9"/>
        <v>17465.6611111111</v>
      </c>
      <c r="J31" s="258">
        <v>5000</v>
      </c>
      <c r="K31" s="258"/>
      <c r="L31" s="258"/>
      <c r="M31" s="258">
        <v>2500</v>
      </c>
      <c r="N31" s="258"/>
      <c r="O31" s="258"/>
      <c r="P31" s="258"/>
      <c r="Q31" s="258"/>
      <c r="R31" s="258"/>
      <c r="S31" s="258"/>
      <c r="T31" s="258"/>
      <c r="U31" s="258">
        <v>383.33</v>
      </c>
      <c r="V31" s="258"/>
      <c r="W31" s="265"/>
      <c r="X31" s="258"/>
      <c r="Y31" s="258"/>
      <c r="Z31" s="258"/>
      <c r="AA31" s="258"/>
      <c r="AB31" s="258"/>
      <c r="AC31" s="258"/>
      <c r="AD31" s="270"/>
      <c r="AE31" s="258"/>
      <c r="AF31" s="258"/>
      <c r="AG31" s="270">
        <f t="shared" si="4"/>
        <v>2994.11333333333</v>
      </c>
      <c r="AH31" s="270"/>
      <c r="AI31" s="278"/>
      <c r="AJ31" s="279">
        <v>1000</v>
      </c>
      <c r="AK31" s="280"/>
      <c r="AL31" s="280"/>
      <c r="AM31" s="281"/>
      <c r="AN31" s="258"/>
      <c r="AO31" s="299">
        <v>1000</v>
      </c>
      <c r="AP31" s="299"/>
      <c r="AQ31" s="299"/>
      <c r="AR31" s="299">
        <f t="shared" si="5"/>
        <v>3501.09315555556</v>
      </c>
      <c r="AS31" s="300"/>
      <c r="AT31" s="300"/>
      <c r="AU31" s="299" t="e">
        <f>AU30</f>
        <v>#REF!</v>
      </c>
      <c r="AV31" s="299">
        <f t="shared" ref="AV31:AV33" si="30">W31+V31+U31+N31+M31+K31+J31+I31+H31</f>
        <v>175054.657777778</v>
      </c>
      <c r="AW31" s="299" t="e">
        <f>AU31+AR31+AO31+AQ31+AN31+AM31+AK31+AJ31+AI31+AH31+AG31+AF31</f>
        <v>#REF!</v>
      </c>
      <c r="AX31" s="299"/>
      <c r="AY31" s="299"/>
      <c r="AZ31" s="299" t="e">
        <f t="shared" si="7"/>
        <v>#REF!</v>
      </c>
      <c r="BA31" s="305" t="e">
        <f>SUM(#REF!)</f>
        <v>#REF!</v>
      </c>
      <c r="BB31" s="320" t="e">
        <f>1%*#REF!</f>
        <v>#REF!</v>
      </c>
      <c r="BC31" s="321" t="e">
        <f t="shared" si="1"/>
        <v>#REF!</v>
      </c>
      <c r="BD31" s="322" t="e">
        <f t="shared" si="2"/>
        <v>#REF!</v>
      </c>
      <c r="BE31" s="323"/>
      <c r="BF31" s="324"/>
      <c r="BG31" s="325"/>
      <c r="BH31" s="326"/>
      <c r="BI31" s="326"/>
      <c r="BJ31" s="334"/>
      <c r="BK31" s="335"/>
    </row>
    <row r="32" s="245" customFormat="1" ht="172.5" customHeight="1" spans="1:63">
      <c r="A32" s="255">
        <v>30</v>
      </c>
      <c r="B32" s="70" t="s">
        <v>217</v>
      </c>
      <c r="C32" s="129" t="s">
        <v>204</v>
      </c>
      <c r="D32" s="129" t="s">
        <v>465</v>
      </c>
      <c r="E32" s="256" t="s">
        <v>135</v>
      </c>
      <c r="F32" s="1469" t="s">
        <v>219</v>
      </c>
      <c r="G32" s="257">
        <v>1980666</v>
      </c>
      <c r="H32" s="258">
        <f t="shared" si="24"/>
        <v>165055.5</v>
      </c>
      <c r="I32" s="258">
        <f t="shared" si="9"/>
        <v>19256.475</v>
      </c>
      <c r="J32" s="258">
        <v>5000</v>
      </c>
      <c r="K32" s="258"/>
      <c r="L32" s="258"/>
      <c r="M32" s="258">
        <v>2500</v>
      </c>
      <c r="N32" s="258"/>
      <c r="O32" s="258"/>
      <c r="P32" s="258"/>
      <c r="Q32" s="258"/>
      <c r="R32" s="258"/>
      <c r="S32" s="258"/>
      <c r="T32" s="258"/>
      <c r="U32" s="258">
        <v>383.33</v>
      </c>
      <c r="V32" s="258"/>
      <c r="W32" s="265"/>
      <c r="X32" s="258"/>
      <c r="Y32" s="258"/>
      <c r="Z32" s="258"/>
      <c r="AA32" s="258"/>
      <c r="AB32" s="258"/>
      <c r="AC32" s="258"/>
      <c r="AD32" s="270"/>
      <c r="AE32" s="258"/>
      <c r="AF32" s="258">
        <v>3750</v>
      </c>
      <c r="AG32" s="270">
        <f t="shared" si="4"/>
        <v>3301.11</v>
      </c>
      <c r="AH32" s="270"/>
      <c r="AI32" s="278"/>
      <c r="AJ32" s="279">
        <v>1000</v>
      </c>
      <c r="AK32" s="280"/>
      <c r="AL32" s="280"/>
      <c r="AM32" s="281">
        <v>20000</v>
      </c>
      <c r="AN32" s="258"/>
      <c r="AO32" s="299">
        <v>1000</v>
      </c>
      <c r="AP32" s="299">
        <v>1000</v>
      </c>
      <c r="AQ32" s="299"/>
      <c r="AR32" s="299">
        <f t="shared" si="5"/>
        <v>3843.9061</v>
      </c>
      <c r="AS32" s="300"/>
      <c r="AT32" s="300"/>
      <c r="AU32" s="299" t="e">
        <f>AU31</f>
        <v>#REF!</v>
      </c>
      <c r="AV32" s="299">
        <f t="shared" si="30"/>
        <v>192195.305</v>
      </c>
      <c r="AW32" s="299" t="e">
        <f>AU32+AR32+AQ32+AO32+AN32+AM32+AK32+AI32+AH32+AG32+AF32+AE32+AD32+AJ32+AJ32</f>
        <v>#REF!</v>
      </c>
      <c r="AX32" s="299"/>
      <c r="AY32" s="299"/>
      <c r="AZ32" s="299" t="e">
        <f t="shared" si="7"/>
        <v>#REF!</v>
      </c>
      <c r="BA32" s="305" t="e">
        <f>SUM(#REF!)</f>
        <v>#REF!</v>
      </c>
      <c r="BB32" s="320" t="e">
        <f>1%*#REF!</f>
        <v>#REF!</v>
      </c>
      <c r="BC32" s="321" t="e">
        <f t="shared" si="1"/>
        <v>#REF!</v>
      </c>
      <c r="BD32" s="322" t="e">
        <f t="shared" si="2"/>
        <v>#REF!</v>
      </c>
      <c r="BE32" s="323"/>
      <c r="BF32" s="324"/>
      <c r="BG32" s="325"/>
      <c r="BH32" s="326"/>
      <c r="BI32" s="326"/>
      <c r="BJ32" s="334"/>
      <c r="BK32" s="335"/>
    </row>
    <row r="33" s="245" customFormat="1" ht="177" customHeight="1" spans="1:63">
      <c r="A33" s="255">
        <v>31</v>
      </c>
      <c r="B33" s="70" t="s">
        <v>220</v>
      </c>
      <c r="C33" s="129" t="s">
        <v>221</v>
      </c>
      <c r="D33" s="129" t="s">
        <v>495</v>
      </c>
      <c r="E33" s="256" t="s">
        <v>113</v>
      </c>
      <c r="F33" s="256">
        <v>2108025545</v>
      </c>
      <c r="G33" s="257">
        <v>1746118</v>
      </c>
      <c r="H33" s="258">
        <f t="shared" si="24"/>
        <v>145509.833333333</v>
      </c>
      <c r="I33" s="258">
        <f t="shared" si="9"/>
        <v>16976.1472222222</v>
      </c>
      <c r="J33" s="258">
        <v>5000</v>
      </c>
      <c r="K33" s="258"/>
      <c r="L33" s="258"/>
      <c r="M33" s="258">
        <v>2500</v>
      </c>
      <c r="N33" s="258"/>
      <c r="O33" s="258"/>
      <c r="P33" s="258"/>
      <c r="Q33" s="258"/>
      <c r="R33" s="258"/>
      <c r="S33" s="258"/>
      <c r="T33" s="258"/>
      <c r="U33" s="258">
        <v>383.33</v>
      </c>
      <c r="V33" s="258"/>
      <c r="W33" s="265"/>
      <c r="X33" s="258"/>
      <c r="Y33" s="258"/>
      <c r="Z33" s="258"/>
      <c r="AA33" s="258"/>
      <c r="AB33" s="258"/>
      <c r="AC33" s="258"/>
      <c r="AD33" s="270"/>
      <c r="AE33" s="258"/>
      <c r="AF33" s="258"/>
      <c r="AG33" s="270">
        <f t="shared" si="4"/>
        <v>2910.19666666667</v>
      </c>
      <c r="AH33" s="270"/>
      <c r="AI33" s="278"/>
      <c r="AJ33" s="280"/>
      <c r="AK33" s="280"/>
      <c r="AL33" s="280"/>
      <c r="AM33" s="281"/>
      <c r="AN33" s="258"/>
      <c r="AO33" s="299">
        <v>1000</v>
      </c>
      <c r="AP33" s="299"/>
      <c r="AQ33" s="299"/>
      <c r="AR33" s="299">
        <f t="shared" si="5"/>
        <v>3407.38621111111</v>
      </c>
      <c r="AS33" s="300"/>
      <c r="AT33" s="300"/>
      <c r="AU33" s="299" t="e">
        <f>AU32</f>
        <v>#REF!</v>
      </c>
      <c r="AV33" s="299">
        <f t="shared" si="30"/>
        <v>170369.310555556</v>
      </c>
      <c r="AW33" s="299" t="e">
        <f t="shared" ref="AW33" si="31">AU33+AR33+AQ33+AO33+AN33+AM33+AK33+AI33+AH33+AG33+AF33+AE33+AD33</f>
        <v>#REF!</v>
      </c>
      <c r="AX33" s="299"/>
      <c r="AY33" s="299"/>
      <c r="AZ33" s="299" t="e">
        <f t="shared" si="7"/>
        <v>#REF!</v>
      </c>
      <c r="BA33" s="305" t="e">
        <f>SUM(#REF!)</f>
        <v>#REF!</v>
      </c>
      <c r="BB33" s="320" t="e">
        <f>1%*#REF!</f>
        <v>#REF!</v>
      </c>
      <c r="BC33" s="321" t="e">
        <f t="shared" si="1"/>
        <v>#REF!</v>
      </c>
      <c r="BD33" s="322" t="e">
        <f t="shared" si="2"/>
        <v>#REF!</v>
      </c>
      <c r="BE33" s="323"/>
      <c r="BF33" s="324"/>
      <c r="BG33" s="325"/>
      <c r="BH33" s="326"/>
      <c r="BI33" s="326"/>
      <c r="BJ33" s="334"/>
      <c r="BK33" s="335"/>
    </row>
    <row r="34" s="245" customFormat="1" ht="172.5" customHeight="1" spans="1:63">
      <c r="A34" s="255">
        <v>32</v>
      </c>
      <c r="B34" s="70" t="s">
        <v>222</v>
      </c>
      <c r="C34" s="129" t="s">
        <v>143</v>
      </c>
      <c r="D34" s="129" t="s">
        <v>338</v>
      </c>
      <c r="E34" s="256" t="s">
        <v>93</v>
      </c>
      <c r="F34" s="256">
        <v>3051864825</v>
      </c>
      <c r="G34" s="257">
        <v>3930454</v>
      </c>
      <c r="H34" s="258">
        <f t="shared" si="24"/>
        <v>327537.833333333</v>
      </c>
      <c r="I34" s="258">
        <f t="shared" si="9"/>
        <v>38212.7472222222</v>
      </c>
      <c r="J34" s="258">
        <v>5000</v>
      </c>
      <c r="K34" s="258">
        <v>20833.33</v>
      </c>
      <c r="L34" s="258"/>
      <c r="M34" s="258">
        <v>2500</v>
      </c>
      <c r="N34" s="258"/>
      <c r="O34" s="258"/>
      <c r="P34" s="258"/>
      <c r="Q34" s="258"/>
      <c r="R34" s="258"/>
      <c r="S34" s="258"/>
      <c r="T34" s="258"/>
      <c r="U34" s="258">
        <v>383.33</v>
      </c>
      <c r="V34" s="258"/>
      <c r="W34" s="265"/>
      <c r="X34" s="258"/>
      <c r="Y34" s="258"/>
      <c r="Z34" s="258"/>
      <c r="AA34" s="258"/>
      <c r="AB34" s="258"/>
      <c r="AC34" s="258"/>
      <c r="AD34" s="270"/>
      <c r="AE34" s="258"/>
      <c r="AF34" s="258">
        <v>1750</v>
      </c>
      <c r="AG34" s="270">
        <f t="shared" si="4"/>
        <v>6550.75666666667</v>
      </c>
      <c r="AH34" s="270"/>
      <c r="AI34" s="278"/>
      <c r="AJ34" s="279">
        <v>1000</v>
      </c>
      <c r="AK34" s="279"/>
      <c r="AL34" s="279"/>
      <c r="AM34" s="279">
        <v>75000</v>
      </c>
      <c r="AN34" s="258">
        <v>8333.33</v>
      </c>
      <c r="AO34" s="299">
        <v>2000</v>
      </c>
      <c r="AP34" s="299"/>
      <c r="AQ34" s="299"/>
      <c r="AR34" s="299">
        <f t="shared" si="5"/>
        <v>7889.34481111111</v>
      </c>
      <c r="AS34" s="300"/>
      <c r="AT34" s="300"/>
      <c r="AU34" s="299">
        <v>52160.29</v>
      </c>
      <c r="AV34" s="299">
        <f t="shared" ref="AV34" si="32">V34+U34+N34+M34+K34+J34+I34+H34</f>
        <v>394467.240555556</v>
      </c>
      <c r="AW34" s="299">
        <f>AU34+AR34+AQ34+AO34+AM34+AN34+AK34+AJ34+AI34+AH34+AG34+AF34</f>
        <v>154683.721477778</v>
      </c>
      <c r="AX34" s="299"/>
      <c r="AY34" s="299"/>
      <c r="AZ34" s="299">
        <f t="shared" si="7"/>
        <v>239783.519077778</v>
      </c>
      <c r="BA34" s="305" t="e">
        <f>SUM(#REF!)</f>
        <v>#REF!</v>
      </c>
      <c r="BB34" s="320" t="e">
        <f>1%*#REF!</f>
        <v>#REF!</v>
      </c>
      <c r="BC34" s="321" t="e">
        <f t="shared" si="1"/>
        <v>#REF!</v>
      </c>
      <c r="BD34" s="322" t="e">
        <f t="shared" si="2"/>
        <v>#REF!</v>
      </c>
      <c r="BE34" s="323"/>
      <c r="BF34" s="324"/>
      <c r="BG34" s="325"/>
      <c r="BH34" s="326"/>
      <c r="BI34" s="326"/>
      <c r="BJ34" s="334"/>
      <c r="BK34" s="335"/>
    </row>
    <row r="35" s="245" customFormat="1" ht="172.5" customHeight="1" spans="1:63">
      <c r="A35" s="255">
        <v>33</v>
      </c>
      <c r="B35" s="70" t="s">
        <v>224</v>
      </c>
      <c r="C35" s="129" t="s">
        <v>138</v>
      </c>
      <c r="D35" s="129" t="s">
        <v>263</v>
      </c>
      <c r="E35" s="256" t="s">
        <v>165</v>
      </c>
      <c r="F35" s="256">
        <v>1005415103</v>
      </c>
      <c r="G35" s="257">
        <v>4479454</v>
      </c>
      <c r="H35" s="258">
        <f t="shared" si="24"/>
        <v>373287.833333333</v>
      </c>
      <c r="I35" s="258">
        <f t="shared" si="9"/>
        <v>43550.2472222222</v>
      </c>
      <c r="J35" s="258">
        <v>5000</v>
      </c>
      <c r="K35" s="258">
        <v>20833.33</v>
      </c>
      <c r="L35" s="258"/>
      <c r="M35" s="258">
        <v>2500</v>
      </c>
      <c r="N35" s="258"/>
      <c r="O35" s="258"/>
      <c r="P35" s="258"/>
      <c r="Q35" s="258"/>
      <c r="R35" s="258"/>
      <c r="S35" s="258"/>
      <c r="T35" s="258"/>
      <c r="U35" s="258">
        <v>383.33</v>
      </c>
      <c r="V35" s="258"/>
      <c r="W35" s="265"/>
      <c r="X35" s="258"/>
      <c r="Y35" s="258"/>
      <c r="Z35" s="258"/>
      <c r="AA35" s="258"/>
      <c r="AB35" s="258"/>
      <c r="AC35" s="258"/>
      <c r="AD35" s="270"/>
      <c r="AE35" s="258"/>
      <c r="AF35" s="258"/>
      <c r="AG35" s="270">
        <f t="shared" si="4"/>
        <v>7465.75666666667</v>
      </c>
      <c r="AH35" s="270"/>
      <c r="AI35" s="278"/>
      <c r="AJ35" s="280"/>
      <c r="AK35" s="280"/>
      <c r="AL35" s="291">
        <v>1000</v>
      </c>
      <c r="AM35" s="281">
        <v>88750</v>
      </c>
      <c r="AN35" s="258">
        <v>25000</v>
      </c>
      <c r="AO35" s="299">
        <v>2500</v>
      </c>
      <c r="AP35" s="299"/>
      <c r="AQ35" s="299"/>
      <c r="AR35" s="299">
        <f t="shared" si="5"/>
        <v>8911.09481111111</v>
      </c>
      <c r="AS35" s="300"/>
      <c r="AT35" s="300"/>
      <c r="AU35" s="299" t="e">
        <f t="shared" si="10"/>
        <v>#REF!</v>
      </c>
      <c r="AV35" s="299">
        <f t="shared" ref="AV35:AV46" si="33">W35+V35+U35+N35+M35+K35+J35+I35+H35</f>
        <v>445554.740555556</v>
      </c>
      <c r="AW35" s="299" t="e">
        <f t="shared" si="6"/>
        <v>#REF!</v>
      </c>
      <c r="AX35" s="299"/>
      <c r="AY35" s="299"/>
      <c r="AZ35" s="299" t="e">
        <f t="shared" si="7"/>
        <v>#REF!</v>
      </c>
      <c r="BA35" s="305" t="e">
        <f>SUM(#REF!)</f>
        <v>#REF!</v>
      </c>
      <c r="BB35" s="320" t="e">
        <f>1%*#REF!</f>
        <v>#REF!</v>
      </c>
      <c r="BC35" s="321" t="e">
        <f t="shared" si="1"/>
        <v>#REF!</v>
      </c>
      <c r="BD35" s="322" t="e">
        <f t="shared" si="2"/>
        <v>#REF!</v>
      </c>
      <c r="BE35" s="323"/>
      <c r="BF35" s="324"/>
      <c r="BG35" s="325"/>
      <c r="BH35" s="326"/>
      <c r="BI35" s="326"/>
      <c r="BJ35" s="334"/>
      <c r="BK35" s="335"/>
    </row>
    <row r="36" s="245" customFormat="1" ht="172.5" customHeight="1" spans="1:63">
      <c r="A36" s="255">
        <v>34</v>
      </c>
      <c r="B36" s="70" t="s">
        <v>234</v>
      </c>
      <c r="C36" s="129" t="s">
        <v>111</v>
      </c>
      <c r="D36" s="129" t="s">
        <v>235</v>
      </c>
      <c r="E36" s="256" t="s">
        <v>113</v>
      </c>
      <c r="F36" s="140">
        <v>1005008228</v>
      </c>
      <c r="G36" s="257">
        <v>4479455</v>
      </c>
      <c r="H36" s="258">
        <f t="shared" si="24"/>
        <v>373287.916666667</v>
      </c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65"/>
      <c r="X36" s="258"/>
      <c r="Y36" s="258"/>
      <c r="Z36" s="258"/>
      <c r="AA36" s="258"/>
      <c r="AB36" s="258"/>
      <c r="AC36" s="258"/>
      <c r="AD36" s="270"/>
      <c r="AE36" s="258"/>
      <c r="AF36" s="258"/>
      <c r="AG36" s="270">
        <f t="shared" si="4"/>
        <v>7465.75833333333</v>
      </c>
      <c r="AH36" s="270"/>
      <c r="AI36" s="283">
        <v>2000</v>
      </c>
      <c r="AJ36" s="284"/>
      <c r="AK36" s="280"/>
      <c r="AL36" s="291"/>
      <c r="AM36" s="281"/>
      <c r="AN36" s="258"/>
      <c r="AO36" s="299">
        <v>3500</v>
      </c>
      <c r="AP36" s="299"/>
      <c r="AQ36" s="299"/>
      <c r="AR36" s="299">
        <f t="shared" si="5"/>
        <v>7465.75833333333</v>
      </c>
      <c r="AS36" s="300"/>
      <c r="AT36" s="300"/>
      <c r="AU36" s="299" t="e">
        <f t="shared" si="10"/>
        <v>#REF!</v>
      </c>
      <c r="AV36" s="299">
        <f t="shared" si="33"/>
        <v>373287.916666667</v>
      </c>
      <c r="AW36" s="299" t="e">
        <f t="shared" si="6"/>
        <v>#REF!</v>
      </c>
      <c r="AX36" s="299"/>
      <c r="AY36" s="299"/>
      <c r="AZ36" s="299" t="e">
        <f t="shared" si="7"/>
        <v>#REF!</v>
      </c>
      <c r="BA36" s="305" t="e">
        <f>SUM(#REF!)</f>
        <v>#REF!</v>
      </c>
      <c r="BB36" s="320" t="e">
        <f>1%*#REF!</f>
        <v>#REF!</v>
      </c>
      <c r="BC36" s="321" t="e">
        <f t="shared" si="1"/>
        <v>#REF!</v>
      </c>
      <c r="BD36" s="322" t="e">
        <f t="shared" si="2"/>
        <v>#REF!</v>
      </c>
      <c r="BE36" s="323"/>
      <c r="BF36" s="324"/>
      <c r="BG36" s="325"/>
      <c r="BH36" s="326"/>
      <c r="BI36" s="326"/>
      <c r="BJ36" s="334"/>
      <c r="BK36" s="335"/>
    </row>
    <row r="37" s="245" customFormat="1" ht="172.5" customHeight="1" spans="1:63">
      <c r="A37" s="255">
        <v>35</v>
      </c>
      <c r="B37" s="70" t="s">
        <v>2019</v>
      </c>
      <c r="C37" s="129" t="s">
        <v>255</v>
      </c>
      <c r="D37" s="129" t="s">
        <v>291</v>
      </c>
      <c r="E37" s="256" t="s">
        <v>127</v>
      </c>
      <c r="F37" s="1469" t="s">
        <v>2020</v>
      </c>
      <c r="G37" s="257">
        <f>H37*12</f>
        <v>1553152.56</v>
      </c>
      <c r="H37" s="258">
        <v>129429.38</v>
      </c>
      <c r="I37" s="258"/>
      <c r="J37" s="258"/>
      <c r="K37" s="258"/>
      <c r="L37" s="258"/>
      <c r="M37" s="258">
        <v>2500</v>
      </c>
      <c r="N37" s="258"/>
      <c r="O37" s="258"/>
      <c r="P37" s="258"/>
      <c r="Q37" s="258"/>
      <c r="R37" s="258"/>
      <c r="S37" s="258"/>
      <c r="T37" s="258"/>
      <c r="U37" s="258">
        <v>383.33</v>
      </c>
      <c r="V37" s="258"/>
      <c r="W37" s="265"/>
      <c r="X37" s="258"/>
      <c r="Y37" s="258"/>
      <c r="Z37" s="258"/>
      <c r="AA37" s="258"/>
      <c r="AB37" s="258"/>
      <c r="AC37" s="258"/>
      <c r="AD37" s="270"/>
      <c r="AE37" s="258"/>
      <c r="AF37" s="258"/>
      <c r="AG37" s="270">
        <f t="shared" si="4"/>
        <v>2588.5876</v>
      </c>
      <c r="AH37" s="270"/>
      <c r="AI37" s="282">
        <v>1000</v>
      </c>
      <c r="AJ37" s="279"/>
      <c r="AK37" s="279"/>
      <c r="AL37" s="279"/>
      <c r="AM37" s="281"/>
      <c r="AN37" s="258"/>
      <c r="AO37" s="299">
        <v>2000</v>
      </c>
      <c r="AP37" s="299"/>
      <c r="AQ37" s="299"/>
      <c r="AR37" s="299">
        <f t="shared" si="5"/>
        <v>2646.2542</v>
      </c>
      <c r="AS37" s="300"/>
      <c r="AT37" s="300"/>
      <c r="AU37" s="299" t="e">
        <f t="shared" si="10"/>
        <v>#REF!</v>
      </c>
      <c r="AV37" s="299">
        <f t="shared" si="33"/>
        <v>132312.71</v>
      </c>
      <c r="AW37" s="299" t="e">
        <f t="shared" si="6"/>
        <v>#REF!</v>
      </c>
      <c r="AX37" s="299"/>
      <c r="AY37" s="299"/>
      <c r="AZ37" s="299" t="e">
        <f t="shared" si="7"/>
        <v>#REF!</v>
      </c>
      <c r="BA37" s="305" t="e">
        <f>SUM(#REF!)</f>
        <v>#REF!</v>
      </c>
      <c r="BB37" s="320" t="e">
        <f>1%*#REF!</f>
        <v>#REF!</v>
      </c>
      <c r="BC37" s="321" t="e">
        <f t="shared" si="1"/>
        <v>#REF!</v>
      </c>
      <c r="BD37" s="322" t="e">
        <f t="shared" si="2"/>
        <v>#REF!</v>
      </c>
      <c r="BE37" s="323"/>
      <c r="BF37" s="324"/>
      <c r="BG37" s="325"/>
      <c r="BH37" s="326"/>
      <c r="BI37" s="326"/>
      <c r="BJ37" s="334"/>
      <c r="BK37" s="335"/>
    </row>
    <row r="38" s="245" customFormat="1" ht="172.5" customHeight="1" spans="1:63">
      <c r="A38" s="255">
        <v>36</v>
      </c>
      <c r="B38" s="70" t="s">
        <v>2021</v>
      </c>
      <c r="C38" s="129" t="s">
        <v>255</v>
      </c>
      <c r="D38" s="129" t="s">
        <v>291</v>
      </c>
      <c r="E38" s="256" t="s">
        <v>93</v>
      </c>
      <c r="F38" s="256">
        <v>3053689736</v>
      </c>
      <c r="G38" s="257">
        <f>H38*12</f>
        <v>4975123.44</v>
      </c>
      <c r="H38" s="258">
        <v>414593.62</v>
      </c>
      <c r="I38" s="258"/>
      <c r="J38" s="258"/>
      <c r="K38" s="258"/>
      <c r="L38" s="258"/>
      <c r="M38" s="258">
        <v>2500</v>
      </c>
      <c r="N38" s="258"/>
      <c r="O38" s="258"/>
      <c r="P38" s="258"/>
      <c r="Q38" s="258"/>
      <c r="R38" s="258"/>
      <c r="S38" s="258"/>
      <c r="T38" s="258"/>
      <c r="U38" s="258">
        <v>383.33</v>
      </c>
      <c r="V38" s="258"/>
      <c r="W38" s="265"/>
      <c r="X38" s="258"/>
      <c r="Y38" s="258"/>
      <c r="Z38" s="258"/>
      <c r="AA38" s="258"/>
      <c r="AB38" s="258"/>
      <c r="AC38" s="258"/>
      <c r="AD38" s="270"/>
      <c r="AE38" s="258"/>
      <c r="AF38" s="258">
        <v>750</v>
      </c>
      <c r="AG38" s="270">
        <f t="shared" si="4"/>
        <v>8291.8724</v>
      </c>
      <c r="AH38" s="270"/>
      <c r="AI38" s="282">
        <f>1000*2</f>
        <v>2000</v>
      </c>
      <c r="AJ38" s="279"/>
      <c r="AK38" s="279"/>
      <c r="AL38" s="279"/>
      <c r="AM38" s="281"/>
      <c r="AN38" s="258"/>
      <c r="AO38" s="299">
        <v>4000</v>
      </c>
      <c r="AP38" s="299"/>
      <c r="AQ38" s="299"/>
      <c r="AR38" s="299">
        <f t="shared" si="5"/>
        <v>8349.539</v>
      </c>
      <c r="AS38" s="300"/>
      <c r="AT38" s="300"/>
      <c r="AU38" s="299" t="e">
        <f t="shared" si="10"/>
        <v>#REF!</v>
      </c>
      <c r="AV38" s="299">
        <f t="shared" si="33"/>
        <v>417476.95</v>
      </c>
      <c r="AW38" s="299" t="e">
        <f t="shared" si="6"/>
        <v>#REF!</v>
      </c>
      <c r="AX38" s="299"/>
      <c r="AY38" s="299"/>
      <c r="AZ38" s="299" t="e">
        <f t="shared" si="7"/>
        <v>#REF!</v>
      </c>
      <c r="BA38" s="305" t="e">
        <f>SUM(#REF!)</f>
        <v>#REF!</v>
      </c>
      <c r="BB38" s="320" t="e">
        <f>1%*#REF!</f>
        <v>#REF!</v>
      </c>
      <c r="BC38" s="321" t="e">
        <f t="shared" si="1"/>
        <v>#REF!</v>
      </c>
      <c r="BD38" s="322" t="e">
        <f t="shared" si="2"/>
        <v>#REF!</v>
      </c>
      <c r="BE38" s="323"/>
      <c r="BF38" s="324"/>
      <c r="BG38" s="325"/>
      <c r="BH38" s="326"/>
      <c r="BI38" s="326"/>
      <c r="BJ38" s="334"/>
      <c r="BK38" s="335"/>
    </row>
    <row r="39" s="245" customFormat="1" ht="172.5" customHeight="1" spans="1:63">
      <c r="A39" s="255">
        <v>37</v>
      </c>
      <c r="B39" s="70" t="s">
        <v>2022</v>
      </c>
      <c r="C39" s="129" t="s">
        <v>242</v>
      </c>
      <c r="D39" s="129" t="s">
        <v>394</v>
      </c>
      <c r="E39" s="1469" t="s">
        <v>127</v>
      </c>
      <c r="F39" s="1469" t="s">
        <v>2023</v>
      </c>
      <c r="G39" s="257">
        <f>H39*12</f>
        <v>3553648.92</v>
      </c>
      <c r="H39" s="258">
        <v>296137.41</v>
      </c>
      <c r="I39" s="258"/>
      <c r="J39" s="258"/>
      <c r="K39" s="258"/>
      <c r="L39" s="258"/>
      <c r="M39" s="258">
        <v>2500</v>
      </c>
      <c r="N39" s="258"/>
      <c r="O39" s="258"/>
      <c r="P39" s="258"/>
      <c r="Q39" s="258"/>
      <c r="R39" s="258"/>
      <c r="S39" s="258"/>
      <c r="T39" s="258"/>
      <c r="U39" s="258">
        <v>383.33</v>
      </c>
      <c r="V39" s="258"/>
      <c r="W39" s="265"/>
      <c r="X39" s="258"/>
      <c r="Y39" s="258"/>
      <c r="Z39" s="258"/>
      <c r="AA39" s="258"/>
      <c r="AB39" s="258"/>
      <c r="AC39" s="258"/>
      <c r="AD39" s="270"/>
      <c r="AE39" s="258"/>
      <c r="AF39" s="258"/>
      <c r="AG39" s="270">
        <f t="shared" si="4"/>
        <v>5922.7482</v>
      </c>
      <c r="AH39" s="270"/>
      <c r="AI39" s="282">
        <f>1000*2</f>
        <v>2000</v>
      </c>
      <c r="AJ39" s="279"/>
      <c r="AK39" s="279"/>
      <c r="AL39" s="279"/>
      <c r="AM39" s="281"/>
      <c r="AN39" s="258"/>
      <c r="AO39" s="299">
        <v>4000</v>
      </c>
      <c r="AP39" s="299">
        <v>4000</v>
      </c>
      <c r="AQ39" s="299"/>
      <c r="AR39" s="299">
        <f t="shared" si="5"/>
        <v>5980.4148</v>
      </c>
      <c r="AS39" s="300"/>
      <c r="AT39" s="300"/>
      <c r="AU39" s="299" t="e">
        <f t="shared" si="10"/>
        <v>#REF!</v>
      </c>
      <c r="AV39" s="299">
        <f t="shared" si="33"/>
        <v>299020.74</v>
      </c>
      <c r="AW39" s="299" t="e">
        <f t="shared" ref="AW39:AW46" si="34">AU39+AR39+AQ39+AO39+AN39+AM39+AK39+AI39+AH39+AG39+AF39+AE39+AD39</f>
        <v>#REF!</v>
      </c>
      <c r="AX39" s="299"/>
      <c r="AY39" s="299"/>
      <c r="AZ39" s="299" t="e">
        <f t="shared" si="7"/>
        <v>#REF!</v>
      </c>
      <c r="BA39" s="305" t="e">
        <f>SUM(#REF!)</f>
        <v>#REF!</v>
      </c>
      <c r="BB39" s="320" t="e">
        <f>1%*#REF!</f>
        <v>#REF!</v>
      </c>
      <c r="BC39" s="321" t="e">
        <f t="shared" si="1"/>
        <v>#REF!</v>
      </c>
      <c r="BD39" s="322" t="e">
        <f t="shared" si="2"/>
        <v>#REF!</v>
      </c>
      <c r="BE39" s="323"/>
      <c r="BF39" s="324"/>
      <c r="BG39" s="325"/>
      <c r="BH39" s="326"/>
      <c r="BI39" s="326"/>
      <c r="BJ39" s="334"/>
      <c r="BK39" s="335"/>
    </row>
    <row r="40" s="245" customFormat="1" ht="183" customHeight="1" spans="1:63">
      <c r="A40" s="255">
        <v>38</v>
      </c>
      <c r="B40" s="70" t="s">
        <v>237</v>
      </c>
      <c r="C40" s="129" t="s">
        <v>242</v>
      </c>
      <c r="D40" s="129" t="s">
        <v>291</v>
      </c>
      <c r="E40" s="256" t="s">
        <v>127</v>
      </c>
      <c r="F40" s="1469" t="s">
        <v>239</v>
      </c>
      <c r="G40" s="257">
        <f>H40*12</f>
        <v>4269364.56</v>
      </c>
      <c r="H40" s="258">
        <v>355780.38</v>
      </c>
      <c r="I40" s="258"/>
      <c r="J40" s="258"/>
      <c r="K40" s="258"/>
      <c r="L40" s="258"/>
      <c r="M40" s="258">
        <v>2500</v>
      </c>
      <c r="N40" s="258"/>
      <c r="O40" s="258"/>
      <c r="P40" s="258"/>
      <c r="Q40" s="258"/>
      <c r="R40" s="258"/>
      <c r="S40" s="258"/>
      <c r="T40" s="258"/>
      <c r="U40" s="258">
        <v>383.33</v>
      </c>
      <c r="V40" s="258"/>
      <c r="W40" s="265"/>
      <c r="X40" s="258"/>
      <c r="Y40" s="258"/>
      <c r="Z40" s="258"/>
      <c r="AA40" s="258"/>
      <c r="AB40" s="258"/>
      <c r="AC40" s="258"/>
      <c r="AD40" s="270"/>
      <c r="AE40" s="258"/>
      <c r="AF40" s="258"/>
      <c r="AG40" s="270">
        <f t="shared" si="4"/>
        <v>7115.6076</v>
      </c>
      <c r="AH40" s="270"/>
      <c r="AI40" s="282">
        <f>1000*2</f>
        <v>2000</v>
      </c>
      <c r="AJ40" s="279"/>
      <c r="AK40" s="279"/>
      <c r="AL40" s="279"/>
      <c r="AM40" s="281"/>
      <c r="AN40" s="258"/>
      <c r="AO40" s="299">
        <v>4000</v>
      </c>
      <c r="AP40" s="299"/>
      <c r="AQ40" s="299"/>
      <c r="AR40" s="299">
        <f t="shared" si="5"/>
        <v>7173.2742</v>
      </c>
      <c r="AS40" s="300"/>
      <c r="AT40" s="300"/>
      <c r="AU40" s="299" t="e">
        <f t="shared" si="10"/>
        <v>#REF!</v>
      </c>
      <c r="AV40" s="299">
        <f t="shared" si="33"/>
        <v>358663.71</v>
      </c>
      <c r="AW40" s="299" t="e">
        <f t="shared" si="34"/>
        <v>#REF!</v>
      </c>
      <c r="AX40" s="299"/>
      <c r="AY40" s="299"/>
      <c r="AZ40" s="299" t="e">
        <f t="shared" si="7"/>
        <v>#REF!</v>
      </c>
      <c r="BA40" s="305" t="e">
        <f>SUM(#REF!)</f>
        <v>#REF!</v>
      </c>
      <c r="BB40" s="320" t="e">
        <f>1%*#REF!</f>
        <v>#REF!</v>
      </c>
      <c r="BC40" s="321" t="e">
        <f t="shared" si="1"/>
        <v>#REF!</v>
      </c>
      <c r="BD40" s="322" t="e">
        <f t="shared" si="2"/>
        <v>#REF!</v>
      </c>
      <c r="BE40" s="323"/>
      <c r="BF40" s="324"/>
      <c r="BG40" s="325"/>
      <c r="BH40" s="326"/>
      <c r="BI40" s="326"/>
      <c r="BJ40" s="334"/>
      <c r="BK40" s="335"/>
    </row>
    <row r="41" s="245" customFormat="1" ht="172.5" customHeight="1" spans="1:63">
      <c r="A41" s="255">
        <v>39</v>
      </c>
      <c r="B41" s="70" t="s">
        <v>2024</v>
      </c>
      <c r="C41" s="129" t="s">
        <v>255</v>
      </c>
      <c r="D41" s="129" t="s">
        <v>333</v>
      </c>
      <c r="E41" s="256" t="s">
        <v>113</v>
      </c>
      <c r="F41" s="256">
        <v>1012602172</v>
      </c>
      <c r="G41" s="257">
        <f>285275.37/2*12</f>
        <v>1711652.22</v>
      </c>
      <c r="H41" s="258">
        <v>285275.37</v>
      </c>
      <c r="I41" s="258"/>
      <c r="J41" s="258"/>
      <c r="K41" s="258"/>
      <c r="L41" s="258"/>
      <c r="M41" s="258">
        <v>5000</v>
      </c>
      <c r="N41" s="258"/>
      <c r="O41" s="258"/>
      <c r="P41" s="258"/>
      <c r="Q41" s="258"/>
      <c r="R41" s="258"/>
      <c r="S41" s="258"/>
      <c r="T41" s="258"/>
      <c r="U41" s="258">
        <f t="shared" ref="U41:U46" si="35">383.33*2</f>
        <v>766.66</v>
      </c>
      <c r="V41" s="258"/>
      <c r="W41" s="265"/>
      <c r="X41" s="258"/>
      <c r="Y41" s="258"/>
      <c r="Z41" s="258"/>
      <c r="AA41" s="258"/>
      <c r="AB41" s="258"/>
      <c r="AC41" s="258"/>
      <c r="AD41" s="270"/>
      <c r="AE41" s="258"/>
      <c r="AF41" s="258"/>
      <c r="AG41" s="270">
        <f t="shared" si="4"/>
        <v>5705.5074</v>
      </c>
      <c r="AH41" s="270"/>
      <c r="AI41" s="282">
        <f>1000*2</f>
        <v>2000</v>
      </c>
      <c r="AJ41" s="279"/>
      <c r="AK41" s="279"/>
      <c r="AL41" s="279"/>
      <c r="AM41" s="281"/>
      <c r="AN41" s="258"/>
      <c r="AO41" s="299">
        <v>4000</v>
      </c>
      <c r="AP41" s="299"/>
      <c r="AQ41" s="299"/>
      <c r="AR41" s="299">
        <f t="shared" si="5"/>
        <v>5820.8406</v>
      </c>
      <c r="AS41" s="300"/>
      <c r="AT41" s="300"/>
      <c r="AU41" s="299" t="e">
        <f t="shared" si="10"/>
        <v>#REF!</v>
      </c>
      <c r="AV41" s="299">
        <f t="shared" si="33"/>
        <v>291042.03</v>
      </c>
      <c r="AW41" s="299" t="e">
        <f t="shared" si="34"/>
        <v>#REF!</v>
      </c>
      <c r="AX41" s="299"/>
      <c r="AY41" s="299"/>
      <c r="AZ41" s="299" t="e">
        <f t="shared" si="7"/>
        <v>#REF!</v>
      </c>
      <c r="BA41" s="305" t="e">
        <f>SUM(#REF!)</f>
        <v>#REF!</v>
      </c>
      <c r="BB41" s="320" t="e">
        <f>1%*#REF!</f>
        <v>#REF!</v>
      </c>
      <c r="BC41" s="321" t="e">
        <f t="shared" si="1"/>
        <v>#REF!</v>
      </c>
      <c r="BD41" s="322" t="e">
        <f t="shared" si="2"/>
        <v>#REF!</v>
      </c>
      <c r="BE41" s="323"/>
      <c r="BF41" s="324"/>
      <c r="BG41" s="325"/>
      <c r="BH41" s="326"/>
      <c r="BI41" s="326"/>
      <c r="BJ41" s="334"/>
      <c r="BK41" s="335"/>
    </row>
    <row r="42" s="245" customFormat="1" ht="172.5" customHeight="1" spans="1:63">
      <c r="A42" s="255">
        <v>40</v>
      </c>
      <c r="B42" s="70" t="s">
        <v>226</v>
      </c>
      <c r="C42" s="129" t="s">
        <v>255</v>
      </c>
      <c r="D42" s="129" t="s">
        <v>338</v>
      </c>
      <c r="E42" s="256" t="s">
        <v>97</v>
      </c>
      <c r="F42" s="1469" t="s">
        <v>229</v>
      </c>
      <c r="G42" s="257">
        <f>H42*12/2</f>
        <v>2485971.3</v>
      </c>
      <c r="H42" s="258">
        <v>414328.55</v>
      </c>
      <c r="I42" s="258"/>
      <c r="J42" s="258"/>
      <c r="K42" s="258"/>
      <c r="L42" s="258"/>
      <c r="M42" s="258">
        <v>5000</v>
      </c>
      <c r="N42" s="258"/>
      <c r="O42" s="258"/>
      <c r="P42" s="258"/>
      <c r="Q42" s="258"/>
      <c r="R42" s="258"/>
      <c r="S42" s="258"/>
      <c r="T42" s="258"/>
      <c r="U42" s="258">
        <f t="shared" si="35"/>
        <v>766.66</v>
      </c>
      <c r="V42" s="258"/>
      <c r="W42" s="265"/>
      <c r="X42" s="258"/>
      <c r="Y42" s="258"/>
      <c r="Z42" s="258"/>
      <c r="AA42" s="258"/>
      <c r="AB42" s="258"/>
      <c r="AC42" s="258"/>
      <c r="AD42" s="270"/>
      <c r="AE42" s="258"/>
      <c r="AF42" s="258"/>
      <c r="AG42" s="270">
        <f t="shared" si="4"/>
        <v>8286.571</v>
      </c>
      <c r="AH42" s="270"/>
      <c r="AI42" s="282"/>
      <c r="AJ42" s="279"/>
      <c r="AK42" s="279"/>
      <c r="AL42" s="279"/>
      <c r="AM42" s="281"/>
      <c r="AN42" s="258"/>
      <c r="AO42" s="299">
        <v>4000</v>
      </c>
      <c r="AP42" s="299"/>
      <c r="AQ42" s="299"/>
      <c r="AR42" s="299">
        <f t="shared" si="5"/>
        <v>8401.9042</v>
      </c>
      <c r="AS42" s="300"/>
      <c r="AT42" s="300"/>
      <c r="AU42" s="299" t="e">
        <f t="shared" si="10"/>
        <v>#REF!</v>
      </c>
      <c r="AV42" s="299">
        <f t="shared" si="33"/>
        <v>420095.21</v>
      </c>
      <c r="AW42" s="299" t="e">
        <f t="shared" si="34"/>
        <v>#REF!</v>
      </c>
      <c r="AX42" s="299"/>
      <c r="AY42" s="299"/>
      <c r="AZ42" s="299" t="e">
        <f t="shared" si="7"/>
        <v>#REF!</v>
      </c>
      <c r="BA42" s="305" t="e">
        <f>SUM(#REF!)</f>
        <v>#REF!</v>
      </c>
      <c r="BB42" s="320" t="e">
        <f>1%*#REF!</f>
        <v>#REF!</v>
      </c>
      <c r="BC42" s="321" t="e">
        <f t="shared" si="1"/>
        <v>#REF!</v>
      </c>
      <c r="BD42" s="322" t="e">
        <f t="shared" si="2"/>
        <v>#REF!</v>
      </c>
      <c r="BE42" s="323"/>
      <c r="BF42" s="324"/>
      <c r="BG42" s="325"/>
      <c r="BH42" s="326"/>
      <c r="BI42" s="326"/>
      <c r="BJ42" s="334"/>
      <c r="BK42" s="335"/>
    </row>
    <row r="43" s="245" customFormat="1" ht="172.5" customHeight="1" spans="1:63">
      <c r="A43" s="255">
        <v>41</v>
      </c>
      <c r="B43" s="70" t="s">
        <v>2025</v>
      </c>
      <c r="C43" s="129" t="s">
        <v>242</v>
      </c>
      <c r="D43" s="129" t="s">
        <v>243</v>
      </c>
      <c r="E43" s="256" t="s">
        <v>422</v>
      </c>
      <c r="F43" s="256">
        <v>1760341894</v>
      </c>
      <c r="G43" s="257">
        <f>H43*12/2</f>
        <v>2235153</v>
      </c>
      <c r="H43" s="258">
        <v>372525.5</v>
      </c>
      <c r="I43" s="258"/>
      <c r="J43" s="258"/>
      <c r="K43" s="258"/>
      <c r="L43" s="258"/>
      <c r="M43" s="258">
        <v>5000</v>
      </c>
      <c r="N43" s="258"/>
      <c r="O43" s="258"/>
      <c r="P43" s="258"/>
      <c r="Q43" s="258"/>
      <c r="R43" s="258"/>
      <c r="S43" s="258"/>
      <c r="T43" s="258"/>
      <c r="U43" s="258">
        <f t="shared" si="35"/>
        <v>766.66</v>
      </c>
      <c r="V43" s="258"/>
      <c r="W43" s="265"/>
      <c r="X43" s="258"/>
      <c r="Y43" s="258"/>
      <c r="Z43" s="258"/>
      <c r="AA43" s="258"/>
      <c r="AB43" s="258"/>
      <c r="AC43" s="258"/>
      <c r="AD43" s="270"/>
      <c r="AE43" s="258"/>
      <c r="AF43" s="258"/>
      <c r="AG43" s="270">
        <f t="shared" si="4"/>
        <v>7450.51</v>
      </c>
      <c r="AH43" s="270"/>
      <c r="AI43" s="282"/>
      <c r="AJ43" s="279"/>
      <c r="AK43" s="279"/>
      <c r="AL43" s="279"/>
      <c r="AM43" s="281"/>
      <c r="AN43" s="258"/>
      <c r="AO43" s="299">
        <v>4000</v>
      </c>
      <c r="AP43" s="299">
        <v>7000</v>
      </c>
      <c r="AQ43" s="299"/>
      <c r="AR43" s="299">
        <f t="shared" si="5"/>
        <v>7565.8432</v>
      </c>
      <c r="AS43" s="300"/>
      <c r="AT43" s="300"/>
      <c r="AU43" s="299" t="e">
        <f t="shared" si="10"/>
        <v>#REF!</v>
      </c>
      <c r="AV43" s="299">
        <f t="shared" si="33"/>
        <v>378292.16</v>
      </c>
      <c r="AW43" s="299" t="e">
        <f t="shared" si="34"/>
        <v>#REF!</v>
      </c>
      <c r="AX43" s="299"/>
      <c r="AY43" s="299"/>
      <c r="AZ43" s="299" t="e">
        <f t="shared" si="7"/>
        <v>#REF!</v>
      </c>
      <c r="BA43" s="305" t="e">
        <f>SUM(#REF!)</f>
        <v>#REF!</v>
      </c>
      <c r="BB43" s="320" t="e">
        <f>1%*#REF!</f>
        <v>#REF!</v>
      </c>
      <c r="BC43" s="321" t="e">
        <f t="shared" si="1"/>
        <v>#REF!</v>
      </c>
      <c r="BD43" s="322" t="e">
        <f t="shared" si="2"/>
        <v>#REF!</v>
      </c>
      <c r="BE43" s="323"/>
      <c r="BF43" s="324"/>
      <c r="BG43" s="325"/>
      <c r="BH43" s="326"/>
      <c r="BI43" s="326"/>
      <c r="BJ43" s="334"/>
      <c r="BK43" s="335"/>
    </row>
    <row r="44" s="245" customFormat="1" ht="172.5" customHeight="1" spans="1:63">
      <c r="A44" s="255">
        <v>42</v>
      </c>
      <c r="B44" s="70" t="s">
        <v>240</v>
      </c>
      <c r="C44" s="129" t="s">
        <v>242</v>
      </c>
      <c r="D44" s="129" t="s">
        <v>243</v>
      </c>
      <c r="E44" s="128" t="s">
        <v>122</v>
      </c>
      <c r="F44" s="256">
        <v>9200480279</v>
      </c>
      <c r="G44" s="257">
        <f>H44*12/2</f>
        <v>2235153</v>
      </c>
      <c r="H44" s="258">
        <v>372525.5</v>
      </c>
      <c r="I44" s="258"/>
      <c r="J44" s="258"/>
      <c r="K44" s="258"/>
      <c r="L44" s="258"/>
      <c r="M44" s="258">
        <v>5000</v>
      </c>
      <c r="N44" s="258"/>
      <c r="O44" s="258"/>
      <c r="P44" s="258"/>
      <c r="Q44" s="258"/>
      <c r="R44" s="258"/>
      <c r="S44" s="258"/>
      <c r="T44" s="258"/>
      <c r="U44" s="258">
        <f t="shared" si="35"/>
        <v>766.66</v>
      </c>
      <c r="V44" s="258"/>
      <c r="W44" s="265"/>
      <c r="X44" s="258"/>
      <c r="Y44" s="258"/>
      <c r="Z44" s="258"/>
      <c r="AA44" s="258"/>
      <c r="AB44" s="258"/>
      <c r="AC44" s="258"/>
      <c r="AD44" s="270"/>
      <c r="AE44" s="258"/>
      <c r="AF44" s="258"/>
      <c r="AG44" s="270">
        <f t="shared" si="4"/>
        <v>7450.51</v>
      </c>
      <c r="AH44" s="270"/>
      <c r="AI44" s="282"/>
      <c r="AJ44" s="279"/>
      <c r="AK44" s="279"/>
      <c r="AL44" s="279"/>
      <c r="AM44" s="281"/>
      <c r="AN44" s="258"/>
      <c r="AO44" s="299">
        <v>4000</v>
      </c>
      <c r="AP44" s="299"/>
      <c r="AQ44" s="299"/>
      <c r="AR44" s="299">
        <f t="shared" si="5"/>
        <v>7565.8432</v>
      </c>
      <c r="AS44" s="300"/>
      <c r="AT44" s="300"/>
      <c r="AU44" s="299" t="e">
        <f t="shared" si="10"/>
        <v>#REF!</v>
      </c>
      <c r="AV44" s="299">
        <f t="shared" si="33"/>
        <v>378292.16</v>
      </c>
      <c r="AW44" s="299" t="e">
        <f t="shared" si="34"/>
        <v>#REF!</v>
      </c>
      <c r="AX44" s="299"/>
      <c r="AY44" s="299"/>
      <c r="AZ44" s="299" t="e">
        <f t="shared" si="7"/>
        <v>#REF!</v>
      </c>
      <c r="BA44" s="305" t="e">
        <f>SUM(#REF!)</f>
        <v>#REF!</v>
      </c>
      <c r="BB44" s="320" t="e">
        <f>1%*#REF!</f>
        <v>#REF!</v>
      </c>
      <c r="BC44" s="321" t="e">
        <f t="shared" si="1"/>
        <v>#REF!</v>
      </c>
      <c r="BD44" s="322" t="e">
        <f t="shared" si="2"/>
        <v>#REF!</v>
      </c>
      <c r="BE44" s="323"/>
      <c r="BF44" s="324"/>
      <c r="BG44" s="325"/>
      <c r="BH44" s="326"/>
      <c r="BI44" s="326"/>
      <c r="BJ44" s="334"/>
      <c r="BK44" s="335"/>
    </row>
    <row r="45" s="245" customFormat="1" ht="177" customHeight="1" spans="1:63">
      <c r="A45" s="255">
        <v>43</v>
      </c>
      <c r="B45" s="70" t="s">
        <v>2026</v>
      </c>
      <c r="C45" s="129" t="s">
        <v>242</v>
      </c>
      <c r="D45" s="129" t="s">
        <v>394</v>
      </c>
      <c r="E45" s="256" t="s">
        <v>145</v>
      </c>
      <c r="F45" s="1469" t="s">
        <v>2027</v>
      </c>
      <c r="G45" s="257">
        <f>H45*12/2</f>
        <v>1776824.52</v>
      </c>
      <c r="H45" s="258">
        <v>296137.42</v>
      </c>
      <c r="I45" s="258"/>
      <c r="J45" s="258"/>
      <c r="K45" s="258"/>
      <c r="L45" s="258"/>
      <c r="M45" s="258">
        <v>5000</v>
      </c>
      <c r="N45" s="258"/>
      <c r="O45" s="258"/>
      <c r="P45" s="258"/>
      <c r="Q45" s="258"/>
      <c r="R45" s="258"/>
      <c r="S45" s="258"/>
      <c r="T45" s="258"/>
      <c r="U45" s="258">
        <f t="shared" si="35"/>
        <v>766.66</v>
      </c>
      <c r="V45" s="258"/>
      <c r="W45" s="265"/>
      <c r="X45" s="258"/>
      <c r="Y45" s="258"/>
      <c r="Z45" s="258"/>
      <c r="AA45" s="258"/>
      <c r="AB45" s="258"/>
      <c r="AC45" s="258"/>
      <c r="AD45" s="270"/>
      <c r="AE45" s="258"/>
      <c r="AF45" s="258"/>
      <c r="AG45" s="270">
        <f t="shared" si="4"/>
        <v>5922.7484</v>
      </c>
      <c r="AH45" s="270"/>
      <c r="AI45" s="282">
        <v>2000</v>
      </c>
      <c r="AJ45" s="279"/>
      <c r="AK45" s="279"/>
      <c r="AL45" s="279"/>
      <c r="AM45" s="281"/>
      <c r="AN45" s="258"/>
      <c r="AO45" s="299">
        <v>4000</v>
      </c>
      <c r="AP45" s="299"/>
      <c r="AQ45" s="299"/>
      <c r="AR45" s="299">
        <f t="shared" si="5"/>
        <v>6038.0816</v>
      </c>
      <c r="AS45" s="300"/>
      <c r="AT45" s="300"/>
      <c r="AU45" s="299" t="e">
        <f t="shared" si="10"/>
        <v>#REF!</v>
      </c>
      <c r="AV45" s="299">
        <f t="shared" si="33"/>
        <v>301904.08</v>
      </c>
      <c r="AW45" s="299" t="e">
        <f t="shared" si="34"/>
        <v>#REF!</v>
      </c>
      <c r="AX45" s="299"/>
      <c r="AY45" s="299"/>
      <c r="AZ45" s="299" t="e">
        <f t="shared" si="7"/>
        <v>#REF!</v>
      </c>
      <c r="BA45" s="305" t="e">
        <f>SUM(#REF!)</f>
        <v>#REF!</v>
      </c>
      <c r="BB45" s="320" t="e">
        <f>1%*#REF!</f>
        <v>#REF!</v>
      </c>
      <c r="BC45" s="321" t="e">
        <f t="shared" si="1"/>
        <v>#REF!</v>
      </c>
      <c r="BD45" s="322" t="e">
        <f t="shared" si="2"/>
        <v>#REF!</v>
      </c>
      <c r="BE45" s="323"/>
      <c r="BF45" s="324"/>
      <c r="BG45" s="325"/>
      <c r="BH45" s="326"/>
      <c r="BI45" s="326"/>
      <c r="BJ45" s="334"/>
      <c r="BK45" s="335"/>
    </row>
    <row r="46" s="245" customFormat="1" ht="172.5" customHeight="1" spans="1:63">
      <c r="A46" s="255">
        <v>44</v>
      </c>
      <c r="B46" s="70" t="s">
        <v>244</v>
      </c>
      <c r="C46" s="129" t="s">
        <v>242</v>
      </c>
      <c r="D46" s="129" t="s">
        <v>276</v>
      </c>
      <c r="E46" s="256" t="s">
        <v>127</v>
      </c>
      <c r="F46" s="1469" t="s">
        <v>247</v>
      </c>
      <c r="G46" s="257">
        <f>H46*12/2</f>
        <v>2272826.88</v>
      </c>
      <c r="H46" s="258">
        <v>378804.48</v>
      </c>
      <c r="I46" s="258"/>
      <c r="J46" s="258"/>
      <c r="K46" s="258"/>
      <c r="L46" s="258"/>
      <c r="M46" s="258">
        <v>5000</v>
      </c>
      <c r="N46" s="258"/>
      <c r="O46" s="258"/>
      <c r="P46" s="258"/>
      <c r="Q46" s="258"/>
      <c r="R46" s="258"/>
      <c r="S46" s="258"/>
      <c r="T46" s="258"/>
      <c r="U46" s="258">
        <f t="shared" si="35"/>
        <v>766.66</v>
      </c>
      <c r="V46" s="258"/>
      <c r="W46" s="265"/>
      <c r="X46" s="258"/>
      <c r="Y46" s="258"/>
      <c r="Z46" s="258"/>
      <c r="AA46" s="258"/>
      <c r="AB46" s="258"/>
      <c r="AC46" s="258"/>
      <c r="AD46" s="270"/>
      <c r="AE46" s="258"/>
      <c r="AF46" s="258"/>
      <c r="AG46" s="270">
        <f t="shared" si="4"/>
        <v>7576.0896</v>
      </c>
      <c r="AH46" s="270"/>
      <c r="AI46" s="282">
        <v>2000</v>
      </c>
      <c r="AJ46" s="279"/>
      <c r="AK46" s="279"/>
      <c r="AL46" s="279"/>
      <c r="AM46" s="281"/>
      <c r="AN46" s="258"/>
      <c r="AO46" s="299">
        <v>4000</v>
      </c>
      <c r="AP46" s="299"/>
      <c r="AQ46" s="299"/>
      <c r="AR46" s="299">
        <f t="shared" si="5"/>
        <v>7691.4228</v>
      </c>
      <c r="AS46" s="300"/>
      <c r="AT46" s="300"/>
      <c r="AU46" s="299" t="e">
        <f t="shared" si="10"/>
        <v>#REF!</v>
      </c>
      <c r="AV46" s="299">
        <f t="shared" si="33"/>
        <v>384571.14</v>
      </c>
      <c r="AW46" s="299" t="e">
        <f t="shared" si="34"/>
        <v>#REF!</v>
      </c>
      <c r="AX46" s="299"/>
      <c r="AY46" s="299"/>
      <c r="AZ46" s="299" t="e">
        <f t="shared" si="7"/>
        <v>#REF!</v>
      </c>
      <c r="BA46" s="305" t="e">
        <f>SUM(#REF!)</f>
        <v>#REF!</v>
      </c>
      <c r="BB46" s="320" t="e">
        <f>1%*#REF!</f>
        <v>#REF!</v>
      </c>
      <c r="BC46" s="321" t="e">
        <f t="shared" si="1"/>
        <v>#REF!</v>
      </c>
      <c r="BD46" s="322" t="e">
        <f t="shared" si="2"/>
        <v>#REF!</v>
      </c>
      <c r="BE46" s="323"/>
      <c r="BF46" s="324"/>
      <c r="BG46" s="325"/>
      <c r="BH46" s="326"/>
      <c r="BI46" s="326"/>
      <c r="BJ46" s="334"/>
      <c r="BK46" s="335"/>
    </row>
    <row r="47" s="245" customFormat="1" ht="197" customHeight="1" spans="1:63">
      <c r="A47" s="255">
        <v>45</v>
      </c>
      <c r="B47" s="70" t="s">
        <v>248</v>
      </c>
      <c r="C47" s="129" t="s">
        <v>250</v>
      </c>
      <c r="D47" s="129" t="s">
        <v>2028</v>
      </c>
      <c r="E47" s="256" t="s">
        <v>127</v>
      </c>
      <c r="F47" s="1469" t="s">
        <v>252</v>
      </c>
      <c r="G47" s="257">
        <v>6310662</v>
      </c>
      <c r="H47" s="258">
        <f>G47/12</f>
        <v>525888.5</v>
      </c>
      <c r="I47" s="258">
        <f>H47*0.35/3</f>
        <v>61353.6583333333</v>
      </c>
      <c r="J47" s="258">
        <v>6666.67</v>
      </c>
      <c r="K47" s="258">
        <v>41667</v>
      </c>
      <c r="L47" s="258"/>
      <c r="M47" s="258">
        <v>2500</v>
      </c>
      <c r="N47" s="258"/>
      <c r="O47" s="258"/>
      <c r="P47" s="258"/>
      <c r="Q47" s="258"/>
      <c r="R47" s="258"/>
      <c r="S47" s="258"/>
      <c r="T47" s="258"/>
      <c r="U47" s="258">
        <v>383.33</v>
      </c>
      <c r="V47" s="258"/>
      <c r="W47" s="265"/>
      <c r="X47" s="258"/>
      <c r="Y47" s="258"/>
      <c r="Z47" s="258"/>
      <c r="AA47" s="258"/>
      <c r="AB47" s="258"/>
      <c r="AC47" s="258"/>
      <c r="AD47" s="270"/>
      <c r="AE47" s="258"/>
      <c r="AF47" s="258"/>
      <c r="AG47" s="270">
        <f t="shared" si="4"/>
        <v>10517.77</v>
      </c>
      <c r="AH47" s="270"/>
      <c r="AI47" s="278"/>
      <c r="AJ47" s="280"/>
      <c r="AK47" s="280"/>
      <c r="AL47" s="280"/>
      <c r="AM47" s="281"/>
      <c r="AN47" s="258">
        <v>10000</v>
      </c>
      <c r="AO47" s="299">
        <v>3500</v>
      </c>
      <c r="AP47" s="299"/>
      <c r="AQ47" s="299"/>
      <c r="AR47" s="299">
        <f t="shared" si="5"/>
        <v>12769.1831666667</v>
      </c>
      <c r="AS47" s="300"/>
      <c r="AT47" s="300"/>
      <c r="AU47" s="299" t="e">
        <f t="shared" si="10"/>
        <v>#REF!</v>
      </c>
      <c r="AV47" s="299">
        <f t="shared" ref="AV47:AV50" si="36">V47+U47+N47+M47+K47+J47+I47+H47</f>
        <v>638459.158333333</v>
      </c>
      <c r="AW47" s="299" t="e">
        <f t="shared" si="6"/>
        <v>#REF!</v>
      </c>
      <c r="AX47" s="299"/>
      <c r="AY47" s="299"/>
      <c r="AZ47" s="299" t="e">
        <f t="shared" si="7"/>
        <v>#REF!</v>
      </c>
      <c r="BA47" s="305" t="e">
        <f>SUM(#REF!)</f>
        <v>#REF!</v>
      </c>
      <c r="BB47" s="320" t="e">
        <f>1%*#REF!</f>
        <v>#REF!</v>
      </c>
      <c r="BC47" s="321" t="e">
        <f t="shared" si="1"/>
        <v>#REF!</v>
      </c>
      <c r="BD47" s="322" t="e">
        <f t="shared" si="2"/>
        <v>#REF!</v>
      </c>
      <c r="BE47" s="323"/>
      <c r="BF47" s="324"/>
      <c r="BG47" s="325"/>
      <c r="BH47" s="326"/>
      <c r="BI47" s="326"/>
      <c r="BJ47" s="334"/>
      <c r="BK47" s="335"/>
    </row>
    <row r="48" s="245" customFormat="1" ht="183" customHeight="1" spans="1:63">
      <c r="A48" s="255">
        <v>46</v>
      </c>
      <c r="B48" s="70" t="s">
        <v>253</v>
      </c>
      <c r="C48" s="129" t="s">
        <v>2029</v>
      </c>
      <c r="D48" s="129" t="s">
        <v>243</v>
      </c>
      <c r="E48" s="256" t="s">
        <v>93</v>
      </c>
      <c r="F48" s="256">
        <v>2019013002</v>
      </c>
      <c r="G48" s="257">
        <v>4935269</v>
      </c>
      <c r="H48" s="258">
        <f>G48/12</f>
        <v>411272.416666667</v>
      </c>
      <c r="I48" s="258">
        <f>H48*0.35/3</f>
        <v>47981.7819444444</v>
      </c>
      <c r="J48" s="258">
        <v>6666.67</v>
      </c>
      <c r="K48" s="258"/>
      <c r="L48" s="258"/>
      <c r="M48" s="258">
        <v>2500</v>
      </c>
      <c r="N48" s="258"/>
      <c r="O48" s="258"/>
      <c r="P48" s="258"/>
      <c r="Q48" s="258"/>
      <c r="R48" s="258"/>
      <c r="S48" s="258"/>
      <c r="T48" s="258"/>
      <c r="U48" s="258">
        <v>383.33</v>
      </c>
      <c r="V48" s="258"/>
      <c r="W48" s="265"/>
      <c r="X48" s="258"/>
      <c r="Y48" s="258"/>
      <c r="Z48" s="258"/>
      <c r="AA48" s="258"/>
      <c r="AB48" s="258"/>
      <c r="AC48" s="258"/>
      <c r="AD48" s="270"/>
      <c r="AE48" s="258"/>
      <c r="AF48" s="258"/>
      <c r="AG48" s="270">
        <f t="shared" si="4"/>
        <v>8225.44833333333</v>
      </c>
      <c r="AH48" s="292"/>
      <c r="AI48" s="293"/>
      <c r="AJ48" s="294">
        <v>1000</v>
      </c>
      <c r="AK48" s="280"/>
      <c r="AL48" s="280"/>
      <c r="AM48" s="281"/>
      <c r="AN48" s="258"/>
      <c r="AO48" s="299">
        <v>3500</v>
      </c>
      <c r="AP48" s="299"/>
      <c r="AQ48" s="299"/>
      <c r="AR48" s="299">
        <f t="shared" si="5"/>
        <v>9376.08397222222</v>
      </c>
      <c r="AS48" s="300"/>
      <c r="AT48" s="300"/>
      <c r="AU48" s="299" t="e">
        <f t="shared" si="10"/>
        <v>#REF!</v>
      </c>
      <c r="AV48" s="299">
        <f t="shared" si="36"/>
        <v>468804.198611111</v>
      </c>
      <c r="AW48" s="299" t="e">
        <f t="shared" si="6"/>
        <v>#REF!</v>
      </c>
      <c r="AX48" s="299"/>
      <c r="AY48" s="299"/>
      <c r="AZ48" s="299" t="e">
        <f t="shared" si="7"/>
        <v>#REF!</v>
      </c>
      <c r="BA48" s="305" t="e">
        <f>SUM(#REF!)</f>
        <v>#REF!</v>
      </c>
      <c r="BB48" s="320" t="e">
        <f>1%*#REF!</f>
        <v>#REF!</v>
      </c>
      <c r="BC48" s="321" t="e">
        <f t="shared" si="1"/>
        <v>#REF!</v>
      </c>
      <c r="BD48" s="322" t="e">
        <f t="shared" si="2"/>
        <v>#REF!</v>
      </c>
      <c r="BE48" s="323"/>
      <c r="BF48" s="324"/>
      <c r="BG48" s="325"/>
      <c r="BH48" s="326"/>
      <c r="BI48" s="326"/>
      <c r="BJ48" s="334"/>
      <c r="BK48" s="335"/>
    </row>
    <row r="49" s="245" customFormat="1" ht="172.5" customHeight="1" spans="1:63">
      <c r="A49" s="255">
        <v>47</v>
      </c>
      <c r="B49" s="70" t="s">
        <v>2030</v>
      </c>
      <c r="C49" s="129" t="s">
        <v>105</v>
      </c>
      <c r="D49" s="129" t="s">
        <v>2031</v>
      </c>
      <c r="E49" s="256" t="s">
        <v>113</v>
      </c>
      <c r="F49" s="266">
        <v>2088596893</v>
      </c>
      <c r="G49" s="257">
        <f>H49*12</f>
        <v>5235065.88</v>
      </c>
      <c r="H49" s="258">
        <v>436255.49</v>
      </c>
      <c r="I49" s="258"/>
      <c r="J49" s="258"/>
      <c r="K49" s="258"/>
      <c r="L49" s="258"/>
      <c r="M49" s="258">
        <v>5000</v>
      </c>
      <c r="N49" s="258"/>
      <c r="O49" s="258"/>
      <c r="P49" s="258"/>
      <c r="Q49" s="258"/>
      <c r="R49" s="258"/>
      <c r="S49" s="258"/>
      <c r="T49" s="258"/>
      <c r="U49" s="258">
        <f>383.33*2</f>
        <v>766.66</v>
      </c>
      <c r="V49" s="258"/>
      <c r="W49" s="265"/>
      <c r="X49" s="258"/>
      <c r="Y49" s="258"/>
      <c r="Z49" s="258"/>
      <c r="AA49" s="258"/>
      <c r="AB49" s="258"/>
      <c r="AC49" s="258"/>
      <c r="AD49" s="270"/>
      <c r="AE49" s="258"/>
      <c r="AF49" s="258"/>
      <c r="AG49" s="270">
        <f t="shared" si="4"/>
        <v>8725.1098</v>
      </c>
      <c r="AH49" s="295"/>
      <c r="AI49" s="296">
        <v>2000</v>
      </c>
      <c r="AJ49" s="294"/>
      <c r="AK49" s="280"/>
      <c r="AL49" s="280"/>
      <c r="AM49" s="281"/>
      <c r="AN49" s="258"/>
      <c r="AO49" s="299">
        <v>3500</v>
      </c>
      <c r="AP49" s="299"/>
      <c r="AQ49" s="299"/>
      <c r="AR49" s="299">
        <f t="shared" si="5"/>
        <v>8840.443</v>
      </c>
      <c r="AS49" s="300"/>
      <c r="AT49" s="300"/>
      <c r="AU49" s="299" t="e">
        <f t="shared" si="10"/>
        <v>#REF!</v>
      </c>
      <c r="AV49" s="299">
        <f t="shared" si="36"/>
        <v>442022.15</v>
      </c>
      <c r="AW49" s="299" t="e">
        <f>AU49+AR49+AQ49+AO49+AN49+AM49+AK49+AI49+AH49+AG49+AF49+AE49+AD49+AJ49</f>
        <v>#REF!</v>
      </c>
      <c r="AX49" s="299"/>
      <c r="AY49" s="299"/>
      <c r="AZ49" s="299" t="e">
        <f t="shared" si="7"/>
        <v>#REF!</v>
      </c>
      <c r="BA49" s="305" t="e">
        <f>SUM(#REF!)</f>
        <v>#REF!</v>
      </c>
      <c r="BB49" s="320" t="e">
        <f>1%*#REF!</f>
        <v>#REF!</v>
      </c>
      <c r="BC49" s="321" t="e">
        <f t="shared" si="1"/>
        <v>#REF!</v>
      </c>
      <c r="BD49" s="322" t="e">
        <f t="shared" si="2"/>
        <v>#REF!</v>
      </c>
      <c r="BE49" s="323"/>
      <c r="BF49" s="324"/>
      <c r="BG49" s="325"/>
      <c r="BH49" s="326"/>
      <c r="BI49" s="326"/>
      <c r="BJ49" s="334"/>
      <c r="BK49" s="335"/>
    </row>
    <row r="50" s="245" customFormat="1" ht="172.5" customHeight="1" spans="1:63">
      <c r="A50" s="255">
        <v>48</v>
      </c>
      <c r="B50" s="70" t="s">
        <v>2032</v>
      </c>
      <c r="C50" s="129" t="s">
        <v>105</v>
      </c>
      <c r="D50" s="129" t="s">
        <v>2031</v>
      </c>
      <c r="E50" s="256" t="s">
        <v>313</v>
      </c>
      <c r="F50" s="1472" t="s">
        <v>2033</v>
      </c>
      <c r="G50" s="257">
        <f>H50*12</f>
        <v>5235065.88</v>
      </c>
      <c r="H50" s="258">
        <v>436255.49</v>
      </c>
      <c r="I50" s="258"/>
      <c r="J50" s="258"/>
      <c r="K50" s="258"/>
      <c r="L50" s="258"/>
      <c r="M50" s="258">
        <v>5000</v>
      </c>
      <c r="N50" s="258"/>
      <c r="O50" s="258"/>
      <c r="P50" s="258"/>
      <c r="Q50" s="258"/>
      <c r="R50" s="258"/>
      <c r="S50" s="258"/>
      <c r="T50" s="258"/>
      <c r="U50" s="258">
        <f>383.33*2</f>
        <v>766.66</v>
      </c>
      <c r="V50" s="258"/>
      <c r="W50" s="265"/>
      <c r="X50" s="258"/>
      <c r="Y50" s="258"/>
      <c r="Z50" s="258"/>
      <c r="AA50" s="258"/>
      <c r="AB50" s="258"/>
      <c r="AC50" s="258"/>
      <c r="AD50" s="270"/>
      <c r="AE50" s="258"/>
      <c r="AF50" s="258"/>
      <c r="AG50" s="270">
        <f t="shared" si="4"/>
        <v>8725.1098</v>
      </c>
      <c r="AH50" s="295"/>
      <c r="AI50" s="296">
        <v>2000</v>
      </c>
      <c r="AJ50" s="294"/>
      <c r="AK50" s="280"/>
      <c r="AL50" s="280"/>
      <c r="AM50" s="281"/>
      <c r="AN50" s="258"/>
      <c r="AO50" s="299">
        <v>3500</v>
      </c>
      <c r="AP50" s="299"/>
      <c r="AQ50" s="299"/>
      <c r="AR50" s="299">
        <f t="shared" si="5"/>
        <v>8840.443</v>
      </c>
      <c r="AS50" s="300"/>
      <c r="AT50" s="300"/>
      <c r="AU50" s="299" t="e">
        <f t="shared" si="10"/>
        <v>#REF!</v>
      </c>
      <c r="AV50" s="299">
        <f t="shared" si="36"/>
        <v>442022.15</v>
      </c>
      <c r="AW50" s="299" t="e">
        <f>AU50+AR50+AQ50+AO50+AN50+AM50+AK50+AI50+AH50+AG50+AF50+AE50+AD50+AJ50</f>
        <v>#REF!</v>
      </c>
      <c r="AX50" s="299"/>
      <c r="AY50" s="299"/>
      <c r="AZ50" s="299" t="e">
        <f t="shared" ref="AZ50" si="37">AV50-AW50</f>
        <v>#REF!</v>
      </c>
      <c r="BA50" s="305" t="e">
        <f>SUM(#REF!)</f>
        <v>#REF!</v>
      </c>
      <c r="BB50" s="320" t="e">
        <f>1%*#REF!</f>
        <v>#REF!</v>
      </c>
      <c r="BC50" s="321" t="e">
        <f t="shared" si="1"/>
        <v>#REF!</v>
      </c>
      <c r="BD50" s="322" t="e">
        <f t="shared" si="2"/>
        <v>#REF!</v>
      </c>
      <c r="BE50" s="323"/>
      <c r="BF50" s="324"/>
      <c r="BG50" s="325"/>
      <c r="BH50" s="326"/>
      <c r="BI50" s="326"/>
      <c r="BJ50" s="334"/>
      <c r="BK50" s="335"/>
    </row>
    <row r="51" s="245" customFormat="1" ht="172.5" customHeight="1" spans="1:63">
      <c r="A51" s="255">
        <v>49</v>
      </c>
      <c r="B51" s="70" t="s">
        <v>256</v>
      </c>
      <c r="C51" s="129" t="s">
        <v>143</v>
      </c>
      <c r="D51" s="129" t="s">
        <v>243</v>
      </c>
      <c r="E51" s="256" t="s">
        <v>259</v>
      </c>
      <c r="F51" s="256">
        <v>4021365312</v>
      </c>
      <c r="G51" s="257">
        <v>4935269</v>
      </c>
      <c r="H51" s="258">
        <f t="shared" ref="H51:H63" si="38">G51/12</f>
        <v>411272.416666667</v>
      </c>
      <c r="I51" s="258">
        <f>H51*0.35/3</f>
        <v>47981.7819444444</v>
      </c>
      <c r="J51" s="258">
        <v>6666.67</v>
      </c>
      <c r="K51" s="258">
        <f>K47</f>
        <v>41667</v>
      </c>
      <c r="L51" s="258"/>
      <c r="M51" s="258">
        <v>2500</v>
      </c>
      <c r="N51" s="258"/>
      <c r="O51" s="258"/>
      <c r="P51" s="258"/>
      <c r="Q51" s="258"/>
      <c r="R51" s="258"/>
      <c r="S51" s="258"/>
      <c r="T51" s="258"/>
      <c r="U51" s="258">
        <v>383.33</v>
      </c>
      <c r="V51" s="258"/>
      <c r="W51" s="265"/>
      <c r="X51" s="258"/>
      <c r="Y51" s="258"/>
      <c r="Z51" s="258"/>
      <c r="AA51" s="258"/>
      <c r="AB51" s="258"/>
      <c r="AC51" s="258"/>
      <c r="AD51" s="270"/>
      <c r="AE51" s="258"/>
      <c r="AF51" s="258"/>
      <c r="AG51" s="270">
        <f t="shared" si="4"/>
        <v>8225.44833333333</v>
      </c>
      <c r="AH51" s="297"/>
      <c r="AI51" s="298"/>
      <c r="AJ51" s="279">
        <v>2000</v>
      </c>
      <c r="AK51" s="279"/>
      <c r="AL51" s="279"/>
      <c r="AM51" s="281">
        <v>50000</v>
      </c>
      <c r="AN51" s="258"/>
      <c r="AO51" s="299">
        <v>2000</v>
      </c>
      <c r="AP51" s="299"/>
      <c r="AQ51" s="299"/>
      <c r="AR51" s="299">
        <f t="shared" si="5"/>
        <v>10209.4239722222</v>
      </c>
      <c r="AS51" s="300"/>
      <c r="AT51" s="300"/>
      <c r="AU51" s="299">
        <f>'[11]SOFT COPY'!$AN$46</f>
        <v>0</v>
      </c>
      <c r="AV51" s="299">
        <f t="shared" ref="AV51" si="39">W51+V51+U51+N51+M51+K51+J51+I51+H51</f>
        <v>510471.198611111</v>
      </c>
      <c r="AW51" s="299">
        <f>AU51+AR51+AQ51+AO51+AN51+AM51+AK51+AI51+AH51+AG51+AF51+AE51+AD51+AJ51</f>
        <v>72434.8723055556</v>
      </c>
      <c r="AX51" s="299"/>
      <c r="AY51" s="299"/>
      <c r="AZ51" s="299">
        <f t="shared" si="7"/>
        <v>438036.326305556</v>
      </c>
      <c r="BA51" s="305" t="e">
        <f>SUM(#REF!)</f>
        <v>#REF!</v>
      </c>
      <c r="BB51" s="320" t="e">
        <f>1%*#REF!</f>
        <v>#REF!</v>
      </c>
      <c r="BC51" s="321" t="e">
        <f t="shared" si="1"/>
        <v>#REF!</v>
      </c>
      <c r="BD51" s="322" t="e">
        <f t="shared" si="2"/>
        <v>#REF!</v>
      </c>
      <c r="BE51" s="323"/>
      <c r="BF51" s="324"/>
      <c r="BG51" s="325"/>
      <c r="BH51" s="326"/>
      <c r="BI51" s="326"/>
      <c r="BJ51" s="334"/>
      <c r="BK51" s="335"/>
    </row>
    <row r="52" s="245" customFormat="1" ht="172.5" customHeight="1" spans="1:63">
      <c r="A52" s="255">
        <v>50</v>
      </c>
      <c r="B52" s="70" t="s">
        <v>260</v>
      </c>
      <c r="C52" s="129" t="s">
        <v>120</v>
      </c>
      <c r="D52" s="129" t="s">
        <v>287</v>
      </c>
      <c r="E52" s="256" t="s">
        <v>93</v>
      </c>
      <c r="F52" s="256">
        <v>2003315491</v>
      </c>
      <c r="G52" s="257">
        <v>4181658</v>
      </c>
      <c r="H52" s="258">
        <f t="shared" si="38"/>
        <v>348471.5</v>
      </c>
      <c r="I52" s="258">
        <f t="shared" ref="I52:I83" si="40">H52*0.35/3</f>
        <v>40655.0083333333</v>
      </c>
      <c r="J52" s="258">
        <v>5000</v>
      </c>
      <c r="K52" s="258">
        <v>20833.33</v>
      </c>
      <c r="L52" s="258"/>
      <c r="M52" s="258">
        <v>2500</v>
      </c>
      <c r="N52" s="258"/>
      <c r="O52" s="258"/>
      <c r="P52" s="258"/>
      <c r="Q52" s="258"/>
      <c r="R52" s="258"/>
      <c r="S52" s="258"/>
      <c r="T52" s="258"/>
      <c r="U52" s="258">
        <v>383.33</v>
      </c>
      <c r="V52" s="258"/>
      <c r="W52" s="265"/>
      <c r="X52" s="258"/>
      <c r="Y52" s="258"/>
      <c r="Z52" s="258"/>
      <c r="AA52" s="258"/>
      <c r="AB52" s="258"/>
      <c r="AC52" s="258"/>
      <c r="AD52" s="270">
        <v>25000</v>
      </c>
      <c r="AE52" s="258"/>
      <c r="AF52" s="258">
        <v>250</v>
      </c>
      <c r="AG52" s="270">
        <f t="shared" si="4"/>
        <v>6969.43</v>
      </c>
      <c r="AH52" s="270"/>
      <c r="AI52" s="282">
        <v>1000</v>
      </c>
      <c r="AJ52" s="279"/>
      <c r="AK52" s="279"/>
      <c r="AL52" s="279"/>
      <c r="AM52" s="281">
        <v>110209</v>
      </c>
      <c r="AN52" s="258">
        <v>10000</v>
      </c>
      <c r="AO52" s="299">
        <v>2000</v>
      </c>
      <c r="AP52" s="299"/>
      <c r="AQ52" s="299"/>
      <c r="AR52" s="299">
        <f t="shared" si="5"/>
        <v>8356.86336666667</v>
      </c>
      <c r="AS52" s="300"/>
      <c r="AT52" s="300"/>
      <c r="AU52" s="299" t="e">
        <f t="shared" ref="AU52:AU115" si="41">BD52</f>
        <v>#REF!</v>
      </c>
      <c r="AV52" s="299">
        <f t="shared" ref="AV52:AV53" si="42">V52+U52+N52+M52+K52+J52+I52+H52</f>
        <v>417843.168333333</v>
      </c>
      <c r="AW52" s="299" t="e">
        <f t="shared" si="6"/>
        <v>#REF!</v>
      </c>
      <c r="AX52" s="299"/>
      <c r="AY52" s="299"/>
      <c r="AZ52" s="299" t="e">
        <f t="shared" si="7"/>
        <v>#REF!</v>
      </c>
      <c r="BA52" s="305" t="e">
        <f>SUM(#REF!)</f>
        <v>#REF!</v>
      </c>
      <c r="BB52" s="320" t="e">
        <f>1%*#REF!</f>
        <v>#REF!</v>
      </c>
      <c r="BC52" s="321" t="e">
        <f t="shared" si="1"/>
        <v>#REF!</v>
      </c>
      <c r="BD52" s="322" t="e">
        <f t="shared" si="2"/>
        <v>#REF!</v>
      </c>
      <c r="BE52" s="323"/>
      <c r="BF52" s="324"/>
      <c r="BG52" s="325"/>
      <c r="BH52" s="326"/>
      <c r="BI52" s="326"/>
      <c r="BJ52" s="334"/>
      <c r="BK52" s="335"/>
    </row>
    <row r="53" s="245" customFormat="1" ht="172.5" customHeight="1" spans="1:63">
      <c r="A53" s="255">
        <v>51</v>
      </c>
      <c r="B53" s="70" t="s">
        <v>261</v>
      </c>
      <c r="C53" s="129" t="s">
        <v>2034</v>
      </c>
      <c r="D53" s="129" t="s">
        <v>225</v>
      </c>
      <c r="E53" s="256" t="s">
        <v>113</v>
      </c>
      <c r="F53" s="256">
        <v>2031755814</v>
      </c>
      <c r="G53" s="257">
        <v>4783091</v>
      </c>
      <c r="H53" s="258">
        <f t="shared" si="38"/>
        <v>398590.916666667</v>
      </c>
      <c r="I53" s="258">
        <f t="shared" si="40"/>
        <v>46502.2736111111</v>
      </c>
      <c r="J53" s="258">
        <v>5000</v>
      </c>
      <c r="K53" s="258"/>
      <c r="L53" s="258"/>
      <c r="M53" s="258">
        <v>2500</v>
      </c>
      <c r="N53" s="258"/>
      <c r="O53" s="258"/>
      <c r="P53" s="258"/>
      <c r="Q53" s="258"/>
      <c r="R53" s="258"/>
      <c r="S53" s="258"/>
      <c r="T53" s="258"/>
      <c r="U53" s="258">
        <v>383.33</v>
      </c>
      <c r="V53" s="258"/>
      <c r="W53" s="265"/>
      <c r="X53" s="258"/>
      <c r="Y53" s="258"/>
      <c r="Z53" s="258"/>
      <c r="AA53" s="258"/>
      <c r="AB53" s="258"/>
      <c r="AC53" s="258"/>
      <c r="AD53" s="270"/>
      <c r="AE53" s="258"/>
      <c r="AF53" s="258"/>
      <c r="AG53" s="270">
        <f t="shared" si="4"/>
        <v>7971.81833333333</v>
      </c>
      <c r="AH53" s="270"/>
      <c r="AI53" s="282"/>
      <c r="AJ53" s="279">
        <v>1000</v>
      </c>
      <c r="AK53" s="279"/>
      <c r="AL53" s="279"/>
      <c r="AM53" s="281"/>
      <c r="AN53" s="258"/>
      <c r="AO53" s="299">
        <v>2500</v>
      </c>
      <c r="AP53" s="299"/>
      <c r="AQ53" s="299"/>
      <c r="AR53" s="299">
        <f t="shared" si="5"/>
        <v>9059.53040555556</v>
      </c>
      <c r="AS53" s="300"/>
      <c r="AT53" s="300"/>
      <c r="AU53" s="299" t="e">
        <f t="shared" si="41"/>
        <v>#REF!</v>
      </c>
      <c r="AV53" s="299">
        <f t="shared" si="42"/>
        <v>452976.520277778</v>
      </c>
      <c r="AW53" s="299" t="e">
        <f t="shared" si="6"/>
        <v>#REF!</v>
      </c>
      <c r="AX53" s="299"/>
      <c r="AY53" s="299"/>
      <c r="AZ53" s="299" t="e">
        <f t="shared" si="7"/>
        <v>#REF!</v>
      </c>
      <c r="BA53" s="305" t="e">
        <f>SUM(#REF!)</f>
        <v>#REF!</v>
      </c>
      <c r="BB53" s="320" t="e">
        <f>1%*#REF!</f>
        <v>#REF!</v>
      </c>
      <c r="BC53" s="321" t="e">
        <f t="shared" si="1"/>
        <v>#REF!</v>
      </c>
      <c r="BD53" s="322" t="e">
        <f t="shared" si="2"/>
        <v>#REF!</v>
      </c>
      <c r="BE53" s="323"/>
      <c r="BF53" s="324"/>
      <c r="BG53" s="325"/>
      <c r="BH53" s="326"/>
      <c r="BI53" s="326"/>
      <c r="BJ53" s="334"/>
      <c r="BK53" s="335"/>
    </row>
    <row r="54" s="245" customFormat="1" ht="189" customHeight="1" spans="1:63">
      <c r="A54" s="255">
        <v>52</v>
      </c>
      <c r="B54" s="70" t="s">
        <v>262</v>
      </c>
      <c r="C54" s="129" t="s">
        <v>143</v>
      </c>
      <c r="D54" s="129" t="s">
        <v>338</v>
      </c>
      <c r="E54" s="256" t="s">
        <v>127</v>
      </c>
      <c r="F54" s="1469" t="s">
        <v>264</v>
      </c>
      <c r="G54" s="257">
        <v>3950454</v>
      </c>
      <c r="H54" s="258">
        <f t="shared" si="38"/>
        <v>329204.5</v>
      </c>
      <c r="I54" s="258">
        <f t="shared" si="40"/>
        <v>38407.1916666667</v>
      </c>
      <c r="J54" s="258">
        <v>5000</v>
      </c>
      <c r="K54" s="258">
        <v>20833.33</v>
      </c>
      <c r="L54" s="258"/>
      <c r="M54" s="258">
        <v>2500</v>
      </c>
      <c r="N54" s="258"/>
      <c r="O54" s="258"/>
      <c r="P54" s="258"/>
      <c r="Q54" s="258"/>
      <c r="R54" s="258"/>
      <c r="S54" s="258"/>
      <c r="T54" s="258"/>
      <c r="U54" s="258">
        <v>383.33</v>
      </c>
      <c r="V54" s="258"/>
      <c r="W54" s="265"/>
      <c r="X54" s="258"/>
      <c r="Y54" s="258"/>
      <c r="Z54" s="258"/>
      <c r="AA54" s="258"/>
      <c r="AB54" s="258"/>
      <c r="AC54" s="258"/>
      <c r="AD54" s="270"/>
      <c r="AE54" s="258"/>
      <c r="AF54" s="258">
        <v>5000</v>
      </c>
      <c r="AG54" s="270">
        <f t="shared" si="4"/>
        <v>6584.09</v>
      </c>
      <c r="AH54" s="270"/>
      <c r="AI54" s="278"/>
      <c r="AJ54" s="280"/>
      <c r="AK54" s="280"/>
      <c r="AL54" s="284">
        <v>1000</v>
      </c>
      <c r="AM54" s="281">
        <v>83750</v>
      </c>
      <c r="AN54" s="258">
        <v>7500</v>
      </c>
      <c r="AO54" s="299">
        <v>2000</v>
      </c>
      <c r="AP54" s="299"/>
      <c r="AQ54" s="299"/>
      <c r="AR54" s="299">
        <f t="shared" si="5"/>
        <v>7926.56703333333</v>
      </c>
      <c r="AS54" s="300"/>
      <c r="AT54" s="300"/>
      <c r="AU54" s="299" t="e">
        <f t="shared" si="41"/>
        <v>#REF!</v>
      </c>
      <c r="AV54" s="299">
        <f t="shared" ref="AV54:AV55" si="43">W54+V54+U54+N54+M54+K54+J54+I54+H54</f>
        <v>396328.351666667</v>
      </c>
      <c r="AW54" s="299" t="e">
        <f>AU54+AR54+AQ54+AO54+AN54+AM54+AK54+AI54+AH54+AG54+AF54+AE54+AD54+AL54</f>
        <v>#REF!</v>
      </c>
      <c r="AX54" s="299"/>
      <c r="AY54" s="299"/>
      <c r="AZ54" s="299" t="e">
        <f t="shared" si="7"/>
        <v>#REF!</v>
      </c>
      <c r="BA54" s="305" t="e">
        <f>SUM(#REF!)</f>
        <v>#REF!</v>
      </c>
      <c r="BB54" s="320" t="e">
        <f>1%*#REF!</f>
        <v>#REF!</v>
      </c>
      <c r="BC54" s="321" t="e">
        <f t="shared" si="1"/>
        <v>#REF!</v>
      </c>
      <c r="BD54" s="322" t="e">
        <f t="shared" si="2"/>
        <v>#REF!</v>
      </c>
      <c r="BE54" s="323"/>
      <c r="BF54" s="324"/>
      <c r="BG54" s="325"/>
      <c r="BH54" s="326"/>
      <c r="BI54" s="326"/>
      <c r="BJ54" s="334"/>
      <c r="BK54" s="335"/>
    </row>
    <row r="55" s="245" customFormat="1" ht="181" customHeight="1" spans="1:63">
      <c r="A55" s="255">
        <v>53</v>
      </c>
      <c r="B55" s="70" t="s">
        <v>265</v>
      </c>
      <c r="C55" s="129" t="s">
        <v>143</v>
      </c>
      <c r="D55" s="129" t="s">
        <v>144</v>
      </c>
      <c r="E55" s="256" t="s">
        <v>113</v>
      </c>
      <c r="F55" s="256">
        <v>2008477330</v>
      </c>
      <c r="G55" s="257">
        <v>4432861</v>
      </c>
      <c r="H55" s="258">
        <f t="shared" si="38"/>
        <v>369405.083333333</v>
      </c>
      <c r="I55" s="258">
        <f t="shared" si="40"/>
        <v>43097.2597222222</v>
      </c>
      <c r="J55" s="258">
        <v>5000</v>
      </c>
      <c r="K55" s="258">
        <f>K54</f>
        <v>20833.33</v>
      </c>
      <c r="L55" s="258"/>
      <c r="M55" s="258">
        <v>2500</v>
      </c>
      <c r="N55" s="258"/>
      <c r="O55" s="258"/>
      <c r="P55" s="258"/>
      <c r="Q55" s="258"/>
      <c r="R55" s="258"/>
      <c r="S55" s="258"/>
      <c r="T55" s="258"/>
      <c r="U55" s="258">
        <v>383.33</v>
      </c>
      <c r="V55" s="258">
        <v>30000</v>
      </c>
      <c r="W55" s="265"/>
      <c r="X55" s="258"/>
      <c r="Y55" s="258"/>
      <c r="Z55" s="258"/>
      <c r="AA55" s="258"/>
      <c r="AB55" s="258"/>
      <c r="AC55" s="258"/>
      <c r="AD55" s="270"/>
      <c r="AE55" s="258"/>
      <c r="AF55" s="258">
        <v>250</v>
      </c>
      <c r="AG55" s="270">
        <f t="shared" si="4"/>
        <v>7388.10166666667</v>
      </c>
      <c r="AH55" s="270"/>
      <c r="AI55" s="278"/>
      <c r="AJ55" s="280"/>
      <c r="AK55" s="279"/>
      <c r="AL55" s="279">
        <v>1000</v>
      </c>
      <c r="AM55" s="281">
        <f>30000+35000</f>
        <v>65000</v>
      </c>
      <c r="AN55" s="258"/>
      <c r="AO55" s="299">
        <v>2000</v>
      </c>
      <c r="AP55" s="299"/>
      <c r="AQ55" s="299"/>
      <c r="AR55" s="299">
        <f t="shared" si="5"/>
        <v>9424.38006111111</v>
      </c>
      <c r="AS55" s="300"/>
      <c r="AT55" s="300"/>
      <c r="AU55" s="299" t="e">
        <f t="shared" si="41"/>
        <v>#REF!</v>
      </c>
      <c r="AV55" s="299">
        <f t="shared" si="43"/>
        <v>471219.003055556</v>
      </c>
      <c r="AW55" s="299" t="e">
        <f>AU55+AR55+AQ55+AO55+AN55+AM55+AK55+AI55+AH55+AG55+AF55+AE55+AD55+AL55</f>
        <v>#REF!</v>
      </c>
      <c r="AX55" s="299"/>
      <c r="AY55" s="299"/>
      <c r="AZ55" s="299" t="e">
        <f t="shared" si="7"/>
        <v>#REF!</v>
      </c>
      <c r="BA55" s="305" t="e">
        <f>SUM(#REF!)</f>
        <v>#REF!</v>
      </c>
      <c r="BB55" s="320" t="e">
        <f>1%*#REF!</f>
        <v>#REF!</v>
      </c>
      <c r="BC55" s="321" t="e">
        <f t="shared" si="1"/>
        <v>#REF!</v>
      </c>
      <c r="BD55" s="322" t="e">
        <f t="shared" si="2"/>
        <v>#REF!</v>
      </c>
      <c r="BE55" s="323"/>
      <c r="BF55" s="324"/>
      <c r="BG55" s="325"/>
      <c r="BH55" s="326"/>
      <c r="BI55" s="326"/>
      <c r="BJ55" s="334"/>
      <c r="BK55" s="335"/>
    </row>
    <row r="56" s="245" customFormat="1" ht="172.5" customHeight="1" spans="1:63">
      <c r="A56" s="255">
        <v>54</v>
      </c>
      <c r="B56" s="70" t="s">
        <v>268</v>
      </c>
      <c r="C56" s="129" t="s">
        <v>130</v>
      </c>
      <c r="D56" s="129" t="s">
        <v>272</v>
      </c>
      <c r="E56" s="256" t="s">
        <v>127</v>
      </c>
      <c r="F56" s="1469" t="s">
        <v>270</v>
      </c>
      <c r="G56" s="257">
        <v>2254203</v>
      </c>
      <c r="H56" s="258">
        <f>H59</f>
        <v>216707.166666667</v>
      </c>
      <c r="I56" s="258">
        <f t="shared" si="40"/>
        <v>25282.5027777778</v>
      </c>
      <c r="J56" s="258">
        <v>5000</v>
      </c>
      <c r="K56" s="258">
        <f>K55</f>
        <v>20833.33</v>
      </c>
      <c r="L56" s="258"/>
      <c r="M56" s="258">
        <v>2500</v>
      </c>
      <c r="N56" s="258"/>
      <c r="O56" s="258"/>
      <c r="P56" s="258"/>
      <c r="Q56" s="258"/>
      <c r="R56" s="258"/>
      <c r="S56" s="258"/>
      <c r="T56" s="258"/>
      <c r="U56" s="258">
        <v>383.33</v>
      </c>
      <c r="V56" s="258"/>
      <c r="W56" s="265"/>
      <c r="X56" s="258"/>
      <c r="Y56" s="258"/>
      <c r="Z56" s="258"/>
      <c r="AA56" s="258"/>
      <c r="AB56" s="258"/>
      <c r="AC56" s="258"/>
      <c r="AD56" s="270"/>
      <c r="AE56" s="258"/>
      <c r="AF56" s="258">
        <v>500</v>
      </c>
      <c r="AG56" s="270">
        <f t="shared" si="4"/>
        <v>4334.14333333333</v>
      </c>
      <c r="AH56" s="270"/>
      <c r="AI56" s="278"/>
      <c r="AJ56" s="279">
        <v>1000</v>
      </c>
      <c r="AK56" s="280"/>
      <c r="AL56" s="280"/>
      <c r="AM56" s="281"/>
      <c r="AN56" s="258"/>
      <c r="AO56" s="299">
        <v>1500</v>
      </c>
      <c r="AP56" s="299"/>
      <c r="AQ56" s="299"/>
      <c r="AR56" s="299">
        <f t="shared" si="5"/>
        <v>5414.12658888889</v>
      </c>
      <c r="AS56" s="300"/>
      <c r="AT56" s="300"/>
      <c r="AU56" s="299" t="e">
        <f t="shared" si="41"/>
        <v>#REF!</v>
      </c>
      <c r="AV56" s="299">
        <f t="shared" ref="AV56" si="44">V56+U56+N56+M56+K56+J56+I56+H56</f>
        <v>270706.329444444</v>
      </c>
      <c r="AW56" s="299" t="e">
        <f>AU56+AR56+AQ56+AO56+AN56+AM56+AK56+AI56+AH56+AG56+AF56+AE56+AD56+AJ56</f>
        <v>#REF!</v>
      </c>
      <c r="AX56" s="299"/>
      <c r="AY56" s="299"/>
      <c r="AZ56" s="299" t="e">
        <f t="shared" si="7"/>
        <v>#REF!</v>
      </c>
      <c r="BA56" s="305" t="e">
        <f>SUM(#REF!)</f>
        <v>#REF!</v>
      </c>
      <c r="BB56" s="320" t="e">
        <f>1%*#REF!</f>
        <v>#REF!</v>
      </c>
      <c r="BC56" s="321" t="e">
        <f t="shared" si="1"/>
        <v>#REF!</v>
      </c>
      <c r="BD56" s="322" t="e">
        <f t="shared" si="2"/>
        <v>#REF!</v>
      </c>
      <c r="BE56" s="323"/>
      <c r="BF56" s="324"/>
      <c r="BG56" s="325"/>
      <c r="BH56" s="326"/>
      <c r="BI56" s="326"/>
      <c r="BJ56" s="334"/>
      <c r="BK56" s="335"/>
    </row>
    <row r="57" s="245" customFormat="1" ht="172.5" customHeight="1" spans="1:63">
      <c r="A57" s="255">
        <v>55</v>
      </c>
      <c r="B57" s="70" t="s">
        <v>2035</v>
      </c>
      <c r="C57" s="129" t="s">
        <v>130</v>
      </c>
      <c r="D57" s="129" t="s">
        <v>272</v>
      </c>
      <c r="E57" s="256" t="s">
        <v>127</v>
      </c>
      <c r="F57" s="1469" t="s">
        <v>2036</v>
      </c>
      <c r="G57" s="257">
        <f>H57*12</f>
        <v>2600486.04</v>
      </c>
      <c r="H57" s="258">
        <v>216707.17</v>
      </c>
      <c r="I57" s="258">
        <f t="shared" si="40"/>
        <v>25282.5031666667</v>
      </c>
      <c r="J57" s="258">
        <v>5000</v>
      </c>
      <c r="K57" s="258"/>
      <c r="L57" s="258"/>
      <c r="M57" s="258">
        <v>2500</v>
      </c>
      <c r="N57" s="258"/>
      <c r="O57" s="258"/>
      <c r="P57" s="258"/>
      <c r="Q57" s="258"/>
      <c r="R57" s="258"/>
      <c r="S57" s="258"/>
      <c r="T57" s="258"/>
      <c r="U57" s="258">
        <v>383.33</v>
      </c>
      <c r="V57" s="258"/>
      <c r="W57" s="265"/>
      <c r="X57" s="258"/>
      <c r="Y57" s="258"/>
      <c r="Z57" s="258"/>
      <c r="AA57" s="258"/>
      <c r="AB57" s="258"/>
      <c r="AC57" s="258"/>
      <c r="AD57" s="270"/>
      <c r="AE57" s="258"/>
      <c r="AF57" s="258">
        <v>2250</v>
      </c>
      <c r="AG57" s="270">
        <f t="shared" si="4"/>
        <v>4334.1434</v>
      </c>
      <c r="AH57" s="270"/>
      <c r="AI57" s="278"/>
      <c r="AJ57" s="280"/>
      <c r="AK57" s="280"/>
      <c r="AL57" s="284">
        <v>1000</v>
      </c>
      <c r="AM57" s="281">
        <v>10000</v>
      </c>
      <c r="AN57" s="258"/>
      <c r="AO57" s="299">
        <v>1500</v>
      </c>
      <c r="AP57" s="299"/>
      <c r="AQ57" s="299"/>
      <c r="AR57" s="299">
        <f t="shared" si="5"/>
        <v>4997.46006333333</v>
      </c>
      <c r="AS57" s="300"/>
      <c r="AT57" s="300"/>
      <c r="AU57" s="299" t="e">
        <f t="shared" si="41"/>
        <v>#REF!</v>
      </c>
      <c r="AV57" s="299">
        <f t="shared" ref="AV57:AV58" si="45">W57+V57+U57+N57+M57+K57+J57+I57+H57</f>
        <v>249873.003166667</v>
      </c>
      <c r="AW57" s="299" t="e">
        <f t="shared" si="6"/>
        <v>#REF!</v>
      </c>
      <c r="AX57" s="299"/>
      <c r="AY57" s="299"/>
      <c r="AZ57" s="299" t="e">
        <f t="shared" si="7"/>
        <v>#REF!</v>
      </c>
      <c r="BA57" s="305" t="e">
        <f>SUM(#REF!)</f>
        <v>#REF!</v>
      </c>
      <c r="BB57" s="320" t="e">
        <f>1%*#REF!</f>
        <v>#REF!</v>
      </c>
      <c r="BC57" s="321" t="e">
        <f t="shared" si="1"/>
        <v>#REF!</v>
      </c>
      <c r="BD57" s="322" t="e">
        <f t="shared" si="2"/>
        <v>#REF!</v>
      </c>
      <c r="BE57" s="323"/>
      <c r="BF57" s="324"/>
      <c r="BG57" s="325"/>
      <c r="BH57" s="326"/>
      <c r="BI57" s="326"/>
      <c r="BJ57" s="334"/>
      <c r="BK57" s="335"/>
    </row>
    <row r="58" s="245" customFormat="1" ht="184" customHeight="1" spans="1:63">
      <c r="A58" s="255">
        <v>56</v>
      </c>
      <c r="B58" s="70" t="s">
        <v>271</v>
      </c>
      <c r="C58" s="129" t="s">
        <v>130</v>
      </c>
      <c r="D58" s="129" t="s">
        <v>272</v>
      </c>
      <c r="E58" s="256" t="s">
        <v>145</v>
      </c>
      <c r="F58" s="1469" t="s">
        <v>273</v>
      </c>
      <c r="G58" s="257">
        <f>H58*12</f>
        <v>2600486.04</v>
      </c>
      <c r="H58" s="258">
        <v>216707.17</v>
      </c>
      <c r="I58" s="258">
        <f t="shared" si="40"/>
        <v>25282.5031666667</v>
      </c>
      <c r="J58" s="258">
        <v>5000</v>
      </c>
      <c r="K58" s="258"/>
      <c r="L58" s="258"/>
      <c r="M58" s="258">
        <v>2500</v>
      </c>
      <c r="N58" s="258"/>
      <c r="O58" s="258"/>
      <c r="P58" s="258"/>
      <c r="Q58" s="258"/>
      <c r="R58" s="258"/>
      <c r="S58" s="258"/>
      <c r="T58" s="258"/>
      <c r="U58" s="258">
        <v>383.33</v>
      </c>
      <c r="V58" s="258"/>
      <c r="W58" s="265"/>
      <c r="X58" s="258"/>
      <c r="Y58" s="258"/>
      <c r="Z58" s="258"/>
      <c r="AA58" s="258"/>
      <c r="AB58" s="258"/>
      <c r="AC58" s="258"/>
      <c r="AD58" s="270"/>
      <c r="AE58" s="258"/>
      <c r="AF58" s="258"/>
      <c r="AG58" s="270">
        <f t="shared" si="4"/>
        <v>4334.1434</v>
      </c>
      <c r="AH58" s="270"/>
      <c r="AI58" s="278"/>
      <c r="AJ58" s="280"/>
      <c r="AK58" s="280"/>
      <c r="AL58" s="284">
        <v>1000</v>
      </c>
      <c r="AM58" s="281">
        <f>44709+10700</f>
        <v>55409</v>
      </c>
      <c r="AN58" s="258">
        <v>7500</v>
      </c>
      <c r="AO58" s="299">
        <v>1500</v>
      </c>
      <c r="AP58" s="299"/>
      <c r="AQ58" s="299"/>
      <c r="AR58" s="299">
        <f t="shared" si="5"/>
        <v>4997.46006333333</v>
      </c>
      <c r="AS58" s="300"/>
      <c r="AT58" s="300"/>
      <c r="AU58" s="299" t="e">
        <f t="shared" si="41"/>
        <v>#REF!</v>
      </c>
      <c r="AV58" s="299">
        <f t="shared" si="45"/>
        <v>249873.003166667</v>
      </c>
      <c r="AW58" s="299" t="e">
        <f>AU58+AR58+AQ58+AO58+AN58+AM58+AK58+AI58+AH58+AG58+AF58+AE58+AD58+AL58</f>
        <v>#REF!</v>
      </c>
      <c r="AX58" s="299"/>
      <c r="AY58" s="299"/>
      <c r="AZ58" s="299" t="e">
        <f t="shared" si="7"/>
        <v>#REF!</v>
      </c>
      <c r="BA58" s="305" t="e">
        <f>SUM(#REF!)</f>
        <v>#REF!</v>
      </c>
      <c r="BB58" s="320" t="e">
        <f>1%*#REF!</f>
        <v>#REF!</v>
      </c>
      <c r="BC58" s="321" t="e">
        <f t="shared" si="1"/>
        <v>#REF!</v>
      </c>
      <c r="BD58" s="322" t="e">
        <f t="shared" si="2"/>
        <v>#REF!</v>
      </c>
      <c r="BE58" s="323"/>
      <c r="BF58" s="324"/>
      <c r="BG58" s="325"/>
      <c r="BH58" s="326"/>
      <c r="BI58" s="326"/>
      <c r="BJ58" s="334"/>
      <c r="BK58" s="335"/>
    </row>
    <row r="59" s="245" customFormat="1" ht="172.5" customHeight="1" spans="1:63">
      <c r="A59" s="255">
        <v>57</v>
      </c>
      <c r="B59" s="70" t="s">
        <v>274</v>
      </c>
      <c r="C59" s="129" t="s">
        <v>130</v>
      </c>
      <c r="D59" s="129" t="s">
        <v>272</v>
      </c>
      <c r="E59" s="256" t="s">
        <v>127</v>
      </c>
      <c r="F59" s="1469" t="s">
        <v>277</v>
      </c>
      <c r="G59" s="257">
        <f>G78</f>
        <v>2600486</v>
      </c>
      <c r="H59" s="258">
        <f t="shared" si="38"/>
        <v>216707.166666667</v>
      </c>
      <c r="I59" s="258">
        <f t="shared" si="40"/>
        <v>25282.5027777778</v>
      </c>
      <c r="J59" s="258">
        <v>5000</v>
      </c>
      <c r="K59" s="258"/>
      <c r="L59" s="258"/>
      <c r="M59" s="258">
        <v>2500</v>
      </c>
      <c r="N59" s="258"/>
      <c r="O59" s="258"/>
      <c r="P59" s="258"/>
      <c r="Q59" s="258"/>
      <c r="R59" s="258"/>
      <c r="S59" s="258"/>
      <c r="T59" s="258"/>
      <c r="U59" s="258">
        <v>383.33</v>
      </c>
      <c r="V59" s="258"/>
      <c r="W59" s="265"/>
      <c r="X59" s="258"/>
      <c r="Y59" s="258"/>
      <c r="Z59" s="258"/>
      <c r="AA59" s="258"/>
      <c r="AB59" s="258"/>
      <c r="AC59" s="258"/>
      <c r="AD59" s="270"/>
      <c r="AE59" s="258"/>
      <c r="AF59" s="258">
        <v>4000</v>
      </c>
      <c r="AG59" s="270">
        <f t="shared" si="4"/>
        <v>4334.14333333333</v>
      </c>
      <c r="AH59" s="270"/>
      <c r="AI59" s="278"/>
      <c r="AJ59" s="280"/>
      <c r="AK59" s="280"/>
      <c r="AL59" s="284">
        <v>1000</v>
      </c>
      <c r="AM59" s="281">
        <v>85625</v>
      </c>
      <c r="AN59" s="258">
        <v>10000</v>
      </c>
      <c r="AO59" s="299">
        <v>1500</v>
      </c>
      <c r="AP59" s="299"/>
      <c r="AQ59" s="299"/>
      <c r="AR59" s="299">
        <f t="shared" si="5"/>
        <v>4997.45998888889</v>
      </c>
      <c r="AS59" s="300"/>
      <c r="AT59" s="300"/>
      <c r="AU59" s="299" t="e">
        <f t="shared" si="41"/>
        <v>#REF!</v>
      </c>
      <c r="AV59" s="299">
        <f t="shared" ref="AV59" si="46">V59+U59+N59+M59+K59+J59+I59+H59</f>
        <v>249872.999444444</v>
      </c>
      <c r="AW59" s="299" t="e">
        <f>AU59+AR59+AQ59+AO59+AN59+AM59+AK59+AI59+AH59+AG59+AF59+AE59+AD59+AL59</f>
        <v>#REF!</v>
      </c>
      <c r="AX59" s="299"/>
      <c r="AY59" s="299"/>
      <c r="AZ59" s="299" t="e">
        <f t="shared" si="7"/>
        <v>#REF!</v>
      </c>
      <c r="BA59" s="305" t="e">
        <f>SUM(#REF!)</f>
        <v>#REF!</v>
      </c>
      <c r="BB59" s="320" t="e">
        <f>1%*#REF!</f>
        <v>#REF!</v>
      </c>
      <c r="BC59" s="321" t="e">
        <f t="shared" si="1"/>
        <v>#REF!</v>
      </c>
      <c r="BD59" s="322" t="e">
        <f t="shared" si="2"/>
        <v>#REF!</v>
      </c>
      <c r="BE59" s="323"/>
      <c r="BF59" s="324"/>
      <c r="BG59" s="325"/>
      <c r="BH59" s="326"/>
      <c r="BI59" s="326"/>
      <c r="BJ59" s="334"/>
      <c r="BK59" s="335"/>
    </row>
    <row r="60" s="245" customFormat="1" ht="172.5" customHeight="1" spans="1:63">
      <c r="A60" s="255">
        <v>58</v>
      </c>
      <c r="B60" s="70" t="s">
        <v>278</v>
      </c>
      <c r="C60" s="129" t="s">
        <v>221</v>
      </c>
      <c r="D60" s="129" t="s">
        <v>430</v>
      </c>
      <c r="E60" s="256" t="s">
        <v>127</v>
      </c>
      <c r="F60" s="1469" t="s">
        <v>281</v>
      </c>
      <c r="G60" s="257">
        <v>2048214</v>
      </c>
      <c r="H60" s="258">
        <f t="shared" si="38"/>
        <v>170684.5</v>
      </c>
      <c r="I60" s="258">
        <f t="shared" si="40"/>
        <v>19913.1916666667</v>
      </c>
      <c r="J60" s="258">
        <v>5000</v>
      </c>
      <c r="K60" s="258"/>
      <c r="L60" s="258"/>
      <c r="M60" s="258">
        <v>2500</v>
      </c>
      <c r="N60" s="258"/>
      <c r="O60" s="258"/>
      <c r="P60" s="258"/>
      <c r="Q60" s="258"/>
      <c r="R60" s="258"/>
      <c r="S60" s="258"/>
      <c r="T60" s="258"/>
      <c r="U60" s="258">
        <v>383.33</v>
      </c>
      <c r="V60" s="258"/>
      <c r="W60" s="265"/>
      <c r="X60" s="258"/>
      <c r="Y60" s="258"/>
      <c r="Z60" s="258"/>
      <c r="AA60" s="258"/>
      <c r="AB60" s="258"/>
      <c r="AC60" s="258"/>
      <c r="AD60" s="270"/>
      <c r="AE60" s="258"/>
      <c r="AF60" s="258">
        <v>4500</v>
      </c>
      <c r="AG60" s="270">
        <f t="shared" si="4"/>
        <v>3413.69</v>
      </c>
      <c r="AH60" s="270"/>
      <c r="AI60" s="278"/>
      <c r="AJ60" s="280"/>
      <c r="AK60" s="280"/>
      <c r="AL60" s="280"/>
      <c r="AM60" s="281">
        <f>10000+22750</f>
        <v>32750</v>
      </c>
      <c r="AN60" s="258"/>
      <c r="AO60" s="299">
        <v>1000</v>
      </c>
      <c r="AP60" s="299"/>
      <c r="AQ60" s="299"/>
      <c r="AR60" s="299">
        <f t="shared" si="5"/>
        <v>3969.62043333333</v>
      </c>
      <c r="AS60" s="300"/>
      <c r="AT60" s="300"/>
      <c r="AU60" s="299" t="e">
        <f t="shared" si="41"/>
        <v>#REF!</v>
      </c>
      <c r="AV60" s="299">
        <f t="shared" ref="AV60:AV61" si="47">W60+V60+U60+N60+M60+K60+J60+I60+H60</f>
        <v>198481.021666667</v>
      </c>
      <c r="AW60" s="299" t="e">
        <f t="shared" si="6"/>
        <v>#REF!</v>
      </c>
      <c r="AX60" s="299"/>
      <c r="AY60" s="299"/>
      <c r="AZ60" s="299" t="e">
        <f t="shared" si="7"/>
        <v>#REF!</v>
      </c>
      <c r="BA60" s="305" t="e">
        <f>SUM(#REF!)</f>
        <v>#REF!</v>
      </c>
      <c r="BB60" s="320" t="e">
        <f>1%*#REF!</f>
        <v>#REF!</v>
      </c>
      <c r="BC60" s="321" t="e">
        <f t="shared" si="1"/>
        <v>#REF!</v>
      </c>
      <c r="BD60" s="322" t="e">
        <f t="shared" si="2"/>
        <v>#REF!</v>
      </c>
      <c r="BE60" s="323"/>
      <c r="BF60" s="324"/>
      <c r="BG60" s="325"/>
      <c r="BH60" s="326"/>
      <c r="BI60" s="326"/>
      <c r="BJ60" s="334"/>
      <c r="BK60" s="335"/>
    </row>
    <row r="61" s="245" customFormat="1" ht="172.5" customHeight="1" spans="1:63">
      <c r="A61" s="255">
        <v>59</v>
      </c>
      <c r="B61" s="70" t="s">
        <v>282</v>
      </c>
      <c r="C61" s="129" t="s">
        <v>130</v>
      </c>
      <c r="D61" s="129" t="s">
        <v>272</v>
      </c>
      <c r="E61" s="256" t="s">
        <v>97</v>
      </c>
      <c r="F61" s="1469" t="s">
        <v>2037</v>
      </c>
      <c r="G61" s="257">
        <f>G59</f>
        <v>2600486</v>
      </c>
      <c r="H61" s="258">
        <f t="shared" si="38"/>
        <v>216707.166666667</v>
      </c>
      <c r="I61" s="258">
        <f t="shared" si="40"/>
        <v>25282.5027777778</v>
      </c>
      <c r="J61" s="258">
        <v>5000</v>
      </c>
      <c r="K61" s="258"/>
      <c r="L61" s="258"/>
      <c r="M61" s="258">
        <v>2500</v>
      </c>
      <c r="N61" s="258"/>
      <c r="O61" s="258"/>
      <c r="P61" s="258"/>
      <c r="Q61" s="258"/>
      <c r="R61" s="258"/>
      <c r="S61" s="258"/>
      <c r="T61" s="258"/>
      <c r="U61" s="258">
        <v>383.33</v>
      </c>
      <c r="V61" s="258"/>
      <c r="W61" s="265"/>
      <c r="X61" s="258"/>
      <c r="Y61" s="258"/>
      <c r="Z61" s="258"/>
      <c r="AA61" s="258"/>
      <c r="AB61" s="258"/>
      <c r="AC61" s="258"/>
      <c r="AD61" s="270"/>
      <c r="AE61" s="258"/>
      <c r="AF61" s="258">
        <v>3010</v>
      </c>
      <c r="AG61" s="270">
        <f t="shared" si="4"/>
        <v>4334.14333333333</v>
      </c>
      <c r="AH61" s="270">
        <f>10000</f>
        <v>10000</v>
      </c>
      <c r="AI61" s="278"/>
      <c r="AJ61" s="280"/>
      <c r="AK61" s="280"/>
      <c r="AL61" s="284">
        <v>1000</v>
      </c>
      <c r="AM61" s="281">
        <f>12500+26250+109375</f>
        <v>148125</v>
      </c>
      <c r="AN61" s="258">
        <v>7500</v>
      </c>
      <c r="AO61" s="299">
        <v>1500</v>
      </c>
      <c r="AP61" s="299"/>
      <c r="AQ61" s="299"/>
      <c r="AR61" s="299">
        <f t="shared" si="5"/>
        <v>4997.45998888889</v>
      </c>
      <c r="AS61" s="300"/>
      <c r="AT61" s="300"/>
      <c r="AU61" s="299" t="e">
        <f t="shared" si="41"/>
        <v>#REF!</v>
      </c>
      <c r="AV61" s="299">
        <f t="shared" si="47"/>
        <v>249872.999444444</v>
      </c>
      <c r="AW61" s="299" t="e">
        <f>AU61+AR61+AQ61+AO61+AN61+AM61+AK61+AI61+AH61+AG61+AF61+AE61+AD61+AL61</f>
        <v>#REF!</v>
      </c>
      <c r="AX61" s="299"/>
      <c r="AY61" s="299"/>
      <c r="AZ61" s="299" t="e">
        <f t="shared" si="7"/>
        <v>#REF!</v>
      </c>
      <c r="BA61" s="305" t="e">
        <f>SUM(#REF!)</f>
        <v>#REF!</v>
      </c>
      <c r="BB61" s="320" t="e">
        <f>1%*#REF!</f>
        <v>#REF!</v>
      </c>
      <c r="BC61" s="321" t="e">
        <f t="shared" si="1"/>
        <v>#REF!</v>
      </c>
      <c r="BD61" s="322" t="e">
        <f t="shared" si="2"/>
        <v>#REF!</v>
      </c>
      <c r="BE61" s="323"/>
      <c r="BF61" s="324"/>
      <c r="BG61" s="325"/>
      <c r="BH61" s="326"/>
      <c r="BI61" s="326"/>
      <c r="BJ61" s="334"/>
      <c r="BK61" s="335"/>
    </row>
    <row r="62" s="245" customFormat="1" ht="180" customHeight="1" spans="1:63">
      <c r="A62" s="255">
        <v>60</v>
      </c>
      <c r="B62" s="70" t="s">
        <v>285</v>
      </c>
      <c r="C62" s="129" t="s">
        <v>155</v>
      </c>
      <c r="D62" s="129" t="s">
        <v>2038</v>
      </c>
      <c r="E62" s="256" t="s">
        <v>135</v>
      </c>
      <c r="F62" s="1469" t="s">
        <v>288</v>
      </c>
      <c r="G62" s="257">
        <v>3125980</v>
      </c>
      <c r="H62" s="258">
        <f t="shared" si="38"/>
        <v>260498.333333333</v>
      </c>
      <c r="I62" s="258">
        <f t="shared" si="40"/>
        <v>30391.4722222222</v>
      </c>
      <c r="J62" s="258">
        <v>5000</v>
      </c>
      <c r="K62" s="258"/>
      <c r="L62" s="258"/>
      <c r="M62" s="258">
        <v>2500</v>
      </c>
      <c r="N62" s="258"/>
      <c r="O62" s="258"/>
      <c r="P62" s="258"/>
      <c r="Q62" s="258"/>
      <c r="R62" s="258"/>
      <c r="S62" s="258"/>
      <c r="T62" s="258"/>
      <c r="U62" s="258">
        <v>383.33</v>
      </c>
      <c r="V62" s="258"/>
      <c r="W62" s="265"/>
      <c r="X62" s="258"/>
      <c r="Y62" s="258"/>
      <c r="Z62" s="258"/>
      <c r="AA62" s="258"/>
      <c r="AB62" s="258"/>
      <c r="AC62" s="258"/>
      <c r="AD62" s="270"/>
      <c r="AE62" s="258"/>
      <c r="AF62" s="258">
        <v>750</v>
      </c>
      <c r="AG62" s="270">
        <f t="shared" si="4"/>
        <v>5209.96666666667</v>
      </c>
      <c r="AH62" s="270"/>
      <c r="AI62" s="278"/>
      <c r="AJ62" s="278"/>
      <c r="AK62" s="278"/>
      <c r="AL62" s="284">
        <v>1000</v>
      </c>
      <c r="AM62" s="281">
        <v>56250</v>
      </c>
      <c r="AN62" s="258">
        <v>15000</v>
      </c>
      <c r="AO62" s="299">
        <v>1500</v>
      </c>
      <c r="AP62" s="299"/>
      <c r="AQ62" s="299"/>
      <c r="AR62" s="299">
        <f t="shared" si="5"/>
        <v>5975.46271111111</v>
      </c>
      <c r="AS62" s="300"/>
      <c r="AT62" s="300"/>
      <c r="AU62" s="299" t="e">
        <f t="shared" si="41"/>
        <v>#REF!</v>
      </c>
      <c r="AV62" s="299">
        <f>V62+U62+N62+M62+K62+J62+I62+H62</f>
        <v>298773.135555556</v>
      </c>
      <c r="AW62" s="299" t="e">
        <f>AU62+AR62+AO62+AN62+AM62+AL62</f>
        <v>#REF!</v>
      </c>
      <c r="AX62" s="299"/>
      <c r="AY62" s="299"/>
      <c r="AZ62" s="299" t="e">
        <f t="shared" si="7"/>
        <v>#REF!</v>
      </c>
      <c r="BA62" s="305" t="e">
        <f>SUM(#REF!)</f>
        <v>#REF!</v>
      </c>
      <c r="BB62" s="320" t="e">
        <f>1%*#REF!</f>
        <v>#REF!</v>
      </c>
      <c r="BC62" s="321" t="e">
        <f t="shared" si="1"/>
        <v>#REF!</v>
      </c>
      <c r="BD62" s="322" t="e">
        <f t="shared" si="2"/>
        <v>#REF!</v>
      </c>
      <c r="BE62" s="323"/>
      <c r="BF62" s="324"/>
      <c r="BG62" s="325"/>
      <c r="BH62" s="326"/>
      <c r="BI62" s="326"/>
      <c r="BJ62" s="334"/>
      <c r="BK62" s="335"/>
    </row>
    <row r="63" s="245" customFormat="1" ht="184" customHeight="1" spans="1:63">
      <c r="A63" s="255">
        <v>61</v>
      </c>
      <c r="B63" s="70" t="s">
        <v>289</v>
      </c>
      <c r="C63" s="129" t="s">
        <v>130</v>
      </c>
      <c r="D63" s="129" t="s">
        <v>272</v>
      </c>
      <c r="E63" s="256" t="s">
        <v>113</v>
      </c>
      <c r="F63" s="256">
        <v>2022811512</v>
      </c>
      <c r="G63" s="257">
        <v>2600486</v>
      </c>
      <c r="H63" s="258">
        <f t="shared" si="38"/>
        <v>216707.166666667</v>
      </c>
      <c r="I63" s="258">
        <f t="shared" si="40"/>
        <v>25282.5027777778</v>
      </c>
      <c r="J63" s="258">
        <v>5000</v>
      </c>
      <c r="K63" s="258"/>
      <c r="L63" s="258"/>
      <c r="M63" s="258">
        <v>2500</v>
      </c>
      <c r="N63" s="258"/>
      <c r="O63" s="258"/>
      <c r="P63" s="258"/>
      <c r="Q63" s="258"/>
      <c r="R63" s="258"/>
      <c r="S63" s="258"/>
      <c r="T63" s="258"/>
      <c r="U63" s="258">
        <v>383.33</v>
      </c>
      <c r="V63" s="258"/>
      <c r="W63" s="265"/>
      <c r="X63" s="258"/>
      <c r="Y63" s="258"/>
      <c r="Z63" s="258"/>
      <c r="AA63" s="258"/>
      <c r="AB63" s="258"/>
      <c r="AC63" s="258"/>
      <c r="AD63" s="270"/>
      <c r="AE63" s="258"/>
      <c r="AF63" s="258"/>
      <c r="AG63" s="270">
        <f t="shared" si="4"/>
        <v>4334.14333333333</v>
      </c>
      <c r="AH63" s="270"/>
      <c r="AI63" s="285">
        <v>1000</v>
      </c>
      <c r="AJ63" s="286"/>
      <c r="AK63" s="286"/>
      <c r="AL63" s="286"/>
      <c r="AM63" s="281"/>
      <c r="AN63" s="258"/>
      <c r="AO63" s="299">
        <v>1500</v>
      </c>
      <c r="AP63" s="299"/>
      <c r="AQ63" s="299"/>
      <c r="AR63" s="299">
        <f t="shared" si="5"/>
        <v>4997.45998888889</v>
      </c>
      <c r="AS63" s="300"/>
      <c r="AT63" s="300"/>
      <c r="AU63" s="299" t="e">
        <f t="shared" si="41"/>
        <v>#REF!</v>
      </c>
      <c r="AV63" s="299">
        <f t="shared" ref="AV63:AV64" si="48">W63+V63+U63+N63+M63+K63+J63+I63+H63</f>
        <v>249872.999444444</v>
      </c>
      <c r="AW63" s="299" t="e">
        <f t="shared" si="6"/>
        <v>#REF!</v>
      </c>
      <c r="AX63" s="299"/>
      <c r="AY63" s="299"/>
      <c r="AZ63" s="299" t="e">
        <f t="shared" si="7"/>
        <v>#REF!</v>
      </c>
      <c r="BA63" s="305" t="e">
        <f>SUM(#REF!)</f>
        <v>#REF!</v>
      </c>
      <c r="BB63" s="320" t="e">
        <f>1%*#REF!</f>
        <v>#REF!</v>
      </c>
      <c r="BC63" s="321" t="e">
        <f t="shared" si="1"/>
        <v>#REF!</v>
      </c>
      <c r="BD63" s="322" t="e">
        <f t="shared" si="2"/>
        <v>#REF!</v>
      </c>
      <c r="BE63" s="323"/>
      <c r="BF63" s="324"/>
      <c r="BG63" s="325"/>
      <c r="BH63" s="326"/>
      <c r="BI63" s="326"/>
      <c r="BJ63" s="334"/>
      <c r="BK63" s="335"/>
    </row>
    <row r="64" s="245" customFormat="1" ht="172.5" customHeight="1" spans="1:63">
      <c r="A64" s="255">
        <v>62</v>
      </c>
      <c r="B64" s="70" t="s">
        <v>290</v>
      </c>
      <c r="C64" s="129" t="s">
        <v>130</v>
      </c>
      <c r="D64" s="129" t="s">
        <v>272</v>
      </c>
      <c r="E64" s="256" t="s">
        <v>145</v>
      </c>
      <c r="F64" s="1469" t="s">
        <v>292</v>
      </c>
      <c r="G64" s="257">
        <v>2254203</v>
      </c>
      <c r="H64" s="258">
        <v>216707.17</v>
      </c>
      <c r="I64" s="258">
        <f t="shared" si="40"/>
        <v>25282.5031666667</v>
      </c>
      <c r="J64" s="258">
        <v>5000</v>
      </c>
      <c r="K64" s="258"/>
      <c r="L64" s="258"/>
      <c r="M64" s="258">
        <v>2500</v>
      </c>
      <c r="N64" s="258"/>
      <c r="O64" s="258"/>
      <c r="P64" s="258"/>
      <c r="Q64" s="258"/>
      <c r="R64" s="258"/>
      <c r="S64" s="258"/>
      <c r="T64" s="258"/>
      <c r="U64" s="258">
        <v>383.33</v>
      </c>
      <c r="V64" s="258"/>
      <c r="W64" s="265"/>
      <c r="X64" s="258"/>
      <c r="Y64" s="258"/>
      <c r="Z64" s="258"/>
      <c r="AA64" s="258"/>
      <c r="AB64" s="258"/>
      <c r="AC64" s="258"/>
      <c r="AD64" s="270"/>
      <c r="AE64" s="258"/>
      <c r="AF64" s="258"/>
      <c r="AG64" s="270">
        <f t="shared" si="4"/>
        <v>4334.1434</v>
      </c>
      <c r="AH64" s="270"/>
      <c r="AI64" s="278"/>
      <c r="AJ64" s="280"/>
      <c r="AK64" s="345"/>
      <c r="AL64" s="284">
        <v>1000</v>
      </c>
      <c r="AM64" s="281"/>
      <c r="AN64" s="258">
        <v>7500</v>
      </c>
      <c r="AO64" s="299">
        <v>1500</v>
      </c>
      <c r="AP64" s="299"/>
      <c r="AQ64" s="299"/>
      <c r="AR64" s="299">
        <f t="shared" si="5"/>
        <v>4997.46006333333</v>
      </c>
      <c r="AS64" s="300"/>
      <c r="AT64" s="300"/>
      <c r="AU64" s="299" t="e">
        <f t="shared" si="41"/>
        <v>#REF!</v>
      </c>
      <c r="AV64" s="299">
        <f t="shared" si="48"/>
        <v>249873.003166667</v>
      </c>
      <c r="AW64" s="299" t="e">
        <f>AU64+AR64+AQ64+AO64+AN64+AM64+AK64+AI64+AH64+AG64+AF64+AE64+AD64+AL64</f>
        <v>#REF!</v>
      </c>
      <c r="AX64" s="299"/>
      <c r="AY64" s="299"/>
      <c r="AZ64" s="299" t="e">
        <f t="shared" si="7"/>
        <v>#REF!</v>
      </c>
      <c r="BA64" s="305" t="e">
        <f>SUM(#REF!)</f>
        <v>#REF!</v>
      </c>
      <c r="BB64" s="320" t="e">
        <f>1%*#REF!</f>
        <v>#REF!</v>
      </c>
      <c r="BC64" s="321" t="e">
        <f t="shared" si="1"/>
        <v>#REF!</v>
      </c>
      <c r="BD64" s="322" t="e">
        <f t="shared" si="2"/>
        <v>#REF!</v>
      </c>
      <c r="BE64" s="323"/>
      <c r="BF64" s="324"/>
      <c r="BG64" s="325"/>
      <c r="BH64" s="326"/>
      <c r="BI64" s="326"/>
      <c r="BJ64" s="334"/>
      <c r="BK64" s="335"/>
    </row>
    <row r="65" s="245" customFormat="1" ht="182" customHeight="1" spans="1:63">
      <c r="A65" s="255">
        <v>63</v>
      </c>
      <c r="B65" s="70" t="s">
        <v>293</v>
      </c>
      <c r="C65" s="129" t="s">
        <v>204</v>
      </c>
      <c r="D65" s="129" t="s">
        <v>208</v>
      </c>
      <c r="E65" s="256" t="s">
        <v>135</v>
      </c>
      <c r="F65" s="1469" t="s">
        <v>295</v>
      </c>
      <c r="G65" s="257">
        <v>2035373</v>
      </c>
      <c r="H65" s="258">
        <f t="shared" ref="H65:H82" si="49">G65/12</f>
        <v>169614.416666667</v>
      </c>
      <c r="I65" s="258">
        <f t="shared" si="40"/>
        <v>19788.3486111111</v>
      </c>
      <c r="J65" s="258">
        <v>5000</v>
      </c>
      <c r="K65" s="258"/>
      <c r="L65" s="258"/>
      <c r="M65" s="258">
        <v>2500</v>
      </c>
      <c r="N65" s="258">
        <v>3125.67</v>
      </c>
      <c r="O65" s="258"/>
      <c r="P65" s="258"/>
      <c r="Q65" s="258"/>
      <c r="R65" s="258"/>
      <c r="S65" s="258"/>
      <c r="T65" s="258"/>
      <c r="U65" s="258">
        <v>383.33</v>
      </c>
      <c r="V65" s="258"/>
      <c r="W65" s="265"/>
      <c r="X65" s="258"/>
      <c r="Y65" s="258"/>
      <c r="Z65" s="258"/>
      <c r="AA65" s="258"/>
      <c r="AB65" s="258"/>
      <c r="AC65" s="258"/>
      <c r="AD65" s="270"/>
      <c r="AE65" s="258"/>
      <c r="AF65" s="258">
        <v>750</v>
      </c>
      <c r="AG65" s="270">
        <f t="shared" si="4"/>
        <v>3392.28833333333</v>
      </c>
      <c r="AH65" s="270"/>
      <c r="AI65" s="278"/>
      <c r="AJ65" s="280"/>
      <c r="AK65" s="280"/>
      <c r="AL65" s="284">
        <v>1000</v>
      </c>
      <c r="AM65" s="281">
        <f>88292+26250</f>
        <v>114542</v>
      </c>
      <c r="AN65" s="258"/>
      <c r="AO65" s="299">
        <v>1500</v>
      </c>
      <c r="AP65" s="299"/>
      <c r="AQ65" s="299"/>
      <c r="AR65" s="299">
        <f t="shared" si="5"/>
        <v>4008.23530555556</v>
      </c>
      <c r="AS65" s="300"/>
      <c r="AT65" s="300"/>
      <c r="AU65" s="299" t="e">
        <f t="shared" si="41"/>
        <v>#REF!</v>
      </c>
      <c r="AV65" s="299">
        <f t="shared" ref="AV65" si="50">V65+U65+N65+M65+K65+J65+I65+H65</f>
        <v>200411.765277778</v>
      </c>
      <c r="AW65" s="299" t="e">
        <f>AU65+AR65+AQ65+AO65+AN65+AM65+AK65+AI65+AH65+AG65+AF65+AE65+AD65+AL65</f>
        <v>#REF!</v>
      </c>
      <c r="AX65" s="299"/>
      <c r="AY65" s="299"/>
      <c r="AZ65" s="299" t="e">
        <f t="shared" si="7"/>
        <v>#REF!</v>
      </c>
      <c r="BA65" s="305" t="e">
        <f>SUM(#REF!)</f>
        <v>#REF!</v>
      </c>
      <c r="BB65" s="320" t="e">
        <f>1%*#REF!</f>
        <v>#REF!</v>
      </c>
      <c r="BC65" s="321" t="e">
        <f t="shared" si="1"/>
        <v>#REF!</v>
      </c>
      <c r="BD65" s="322" t="e">
        <f t="shared" si="2"/>
        <v>#REF!</v>
      </c>
      <c r="BE65" s="323"/>
      <c r="BF65" s="324"/>
      <c r="BG65" s="325"/>
      <c r="BH65" s="326"/>
      <c r="BI65" s="326"/>
      <c r="BJ65" s="334"/>
      <c r="BK65" s="335"/>
    </row>
    <row r="66" s="245" customFormat="1" ht="174" customHeight="1" spans="1:63">
      <c r="A66" s="255">
        <v>64</v>
      </c>
      <c r="B66" s="70" t="s">
        <v>296</v>
      </c>
      <c r="C66" s="129" t="s">
        <v>204</v>
      </c>
      <c r="D66" s="129" t="s">
        <v>2039</v>
      </c>
      <c r="E66" s="256" t="s">
        <v>127</v>
      </c>
      <c r="F66" s="1469" t="s">
        <v>298</v>
      </c>
      <c r="G66" s="257">
        <v>2254203</v>
      </c>
      <c r="H66" s="258">
        <f t="shared" si="49"/>
        <v>187850.25</v>
      </c>
      <c r="I66" s="258">
        <f t="shared" si="40"/>
        <v>21915.8625</v>
      </c>
      <c r="J66" s="258">
        <v>5000</v>
      </c>
      <c r="K66" s="258"/>
      <c r="L66" s="258"/>
      <c r="M66" s="258">
        <v>2500</v>
      </c>
      <c r="N66" s="258"/>
      <c r="O66" s="258"/>
      <c r="P66" s="258"/>
      <c r="Q66" s="258"/>
      <c r="R66" s="258"/>
      <c r="S66" s="258"/>
      <c r="T66" s="258"/>
      <c r="U66" s="258">
        <v>383.33</v>
      </c>
      <c r="V66" s="258"/>
      <c r="W66" s="265"/>
      <c r="X66" s="258"/>
      <c r="Y66" s="258"/>
      <c r="Z66" s="258"/>
      <c r="AA66" s="258"/>
      <c r="AB66" s="258"/>
      <c r="AC66" s="258"/>
      <c r="AD66" s="270"/>
      <c r="AE66" s="258"/>
      <c r="AF66" s="258">
        <v>1500</v>
      </c>
      <c r="AG66" s="270">
        <f t="shared" si="4"/>
        <v>3757.005</v>
      </c>
      <c r="AH66" s="270"/>
      <c r="AI66" s="282">
        <v>1000</v>
      </c>
      <c r="AJ66" s="279"/>
      <c r="AK66" s="279"/>
      <c r="AL66" s="279"/>
      <c r="AM66" s="281"/>
      <c r="AN66" s="258"/>
      <c r="AO66" s="299">
        <v>1500</v>
      </c>
      <c r="AP66" s="299"/>
      <c r="AQ66" s="299"/>
      <c r="AR66" s="299">
        <f t="shared" si="5"/>
        <v>4352.98885</v>
      </c>
      <c r="AS66" s="300"/>
      <c r="AT66" s="300"/>
      <c r="AU66" s="299" t="e">
        <f t="shared" si="41"/>
        <v>#REF!</v>
      </c>
      <c r="AV66" s="299">
        <f t="shared" ref="AV66:AV67" si="51">W66+V66+U66+N66+M66+K66+J66+I66+H66</f>
        <v>217649.4425</v>
      </c>
      <c r="AW66" s="299" t="e">
        <f t="shared" si="6"/>
        <v>#REF!</v>
      </c>
      <c r="AX66" s="299"/>
      <c r="AY66" s="299"/>
      <c r="AZ66" s="299" t="e">
        <f t="shared" si="7"/>
        <v>#REF!</v>
      </c>
      <c r="BA66" s="305" t="e">
        <f>SUM(#REF!)</f>
        <v>#REF!</v>
      </c>
      <c r="BB66" s="320" t="e">
        <f>1%*#REF!</f>
        <v>#REF!</v>
      </c>
      <c r="BC66" s="321" t="e">
        <f t="shared" si="1"/>
        <v>#REF!</v>
      </c>
      <c r="BD66" s="322" t="e">
        <f t="shared" si="2"/>
        <v>#REF!</v>
      </c>
      <c r="BE66" s="323"/>
      <c r="BF66" s="324"/>
      <c r="BG66" s="325"/>
      <c r="BH66" s="326"/>
      <c r="BI66" s="326"/>
      <c r="BJ66" s="334"/>
      <c r="BK66" s="335"/>
    </row>
    <row r="67" s="245" customFormat="1" ht="172.5" customHeight="1" spans="1:63">
      <c r="A67" s="255">
        <v>65</v>
      </c>
      <c r="B67" s="70" t="s">
        <v>299</v>
      </c>
      <c r="C67" s="129" t="s">
        <v>204</v>
      </c>
      <c r="D67" s="129" t="s">
        <v>2040</v>
      </c>
      <c r="E67" s="256" t="s">
        <v>93</v>
      </c>
      <c r="F67" s="256">
        <v>3050764643</v>
      </c>
      <c r="G67" s="257">
        <v>2199106</v>
      </c>
      <c r="H67" s="258">
        <f t="shared" si="49"/>
        <v>183258.833333333</v>
      </c>
      <c r="I67" s="258">
        <f t="shared" si="40"/>
        <v>21380.1972222222</v>
      </c>
      <c r="J67" s="258">
        <v>5000</v>
      </c>
      <c r="K67" s="258"/>
      <c r="L67" s="258"/>
      <c r="M67" s="258">
        <v>2500</v>
      </c>
      <c r="N67" s="258"/>
      <c r="O67" s="258"/>
      <c r="P67" s="258"/>
      <c r="Q67" s="258"/>
      <c r="R67" s="258"/>
      <c r="S67" s="258"/>
      <c r="T67" s="258"/>
      <c r="U67" s="258">
        <v>383.33</v>
      </c>
      <c r="V67" s="258"/>
      <c r="W67" s="258"/>
      <c r="X67" s="258"/>
      <c r="Y67" s="258"/>
      <c r="Z67" s="258"/>
      <c r="AA67" s="258"/>
      <c r="AB67" s="258"/>
      <c r="AC67" s="258"/>
      <c r="AD67" s="270"/>
      <c r="AE67" s="258"/>
      <c r="AF67" s="258">
        <v>2500</v>
      </c>
      <c r="AG67" s="270">
        <f t="shared" si="4"/>
        <v>3665.17666666667</v>
      </c>
      <c r="AH67" s="270"/>
      <c r="AI67" s="278"/>
      <c r="AJ67" s="279">
        <v>1000</v>
      </c>
      <c r="AK67" s="280"/>
      <c r="AL67" s="280"/>
      <c r="AM67" s="281"/>
      <c r="AN67" s="258"/>
      <c r="AO67" s="299">
        <v>1500</v>
      </c>
      <c r="AP67" s="299"/>
      <c r="AQ67" s="299"/>
      <c r="AR67" s="299">
        <f t="shared" si="5"/>
        <v>4250.44721111111</v>
      </c>
      <c r="AS67" s="300"/>
      <c r="AT67" s="300"/>
      <c r="AU67" s="299" t="e">
        <f t="shared" si="41"/>
        <v>#REF!</v>
      </c>
      <c r="AV67" s="299">
        <f t="shared" si="51"/>
        <v>212522.360555556</v>
      </c>
      <c r="AW67" s="299" t="e">
        <f>AU67+AR67+AQ67+AO67+AN67+AM67+AK67+AI67+AH67+AG67+AF67+AE67+AD67+AO67</f>
        <v>#REF!</v>
      </c>
      <c r="AX67" s="299"/>
      <c r="AY67" s="299"/>
      <c r="AZ67" s="299" t="e">
        <f t="shared" si="7"/>
        <v>#REF!</v>
      </c>
      <c r="BA67" s="305" t="e">
        <f>SUM(#REF!)</f>
        <v>#REF!</v>
      </c>
      <c r="BB67" s="320" t="e">
        <f>1%*#REF!</f>
        <v>#REF!</v>
      </c>
      <c r="BC67" s="321" t="e">
        <f t="shared" ref="BC67:BC130" si="52">MAX(BA67:BB67)</f>
        <v>#REF!</v>
      </c>
      <c r="BD67" s="322" t="e">
        <f t="shared" ref="BD67:BD130" si="53">+BC67/12</f>
        <v>#REF!</v>
      </c>
      <c r="BE67" s="323"/>
      <c r="BF67" s="324"/>
      <c r="BG67" s="325"/>
      <c r="BH67" s="326"/>
      <c r="BI67" s="326"/>
      <c r="BJ67" s="334"/>
      <c r="BK67" s="335"/>
    </row>
    <row r="68" s="245" customFormat="1" ht="181" customHeight="1" spans="1:63">
      <c r="A68" s="255">
        <v>66</v>
      </c>
      <c r="B68" s="70" t="s">
        <v>300</v>
      </c>
      <c r="C68" s="129" t="s">
        <v>130</v>
      </c>
      <c r="D68" s="129" t="s">
        <v>2038</v>
      </c>
      <c r="E68" s="256" t="s">
        <v>127</v>
      </c>
      <c r="F68" s="1469" t="s">
        <v>301</v>
      </c>
      <c r="G68" s="257">
        <v>3125980</v>
      </c>
      <c r="H68" s="258">
        <f t="shared" si="49"/>
        <v>260498.333333333</v>
      </c>
      <c r="I68" s="258">
        <f t="shared" si="40"/>
        <v>30391.4722222222</v>
      </c>
      <c r="J68" s="258">
        <v>5000</v>
      </c>
      <c r="K68" s="258"/>
      <c r="L68" s="258"/>
      <c r="M68" s="258">
        <v>2500</v>
      </c>
      <c r="N68" s="258"/>
      <c r="O68" s="258"/>
      <c r="P68" s="258"/>
      <c r="Q68" s="258"/>
      <c r="R68" s="258"/>
      <c r="S68" s="258"/>
      <c r="T68" s="258"/>
      <c r="U68" s="258">
        <v>383.33</v>
      </c>
      <c r="V68" s="258"/>
      <c r="W68" s="265"/>
      <c r="X68" s="258"/>
      <c r="Y68" s="258"/>
      <c r="Z68" s="258"/>
      <c r="AA68" s="258"/>
      <c r="AB68" s="258"/>
      <c r="AC68" s="258"/>
      <c r="AD68" s="270"/>
      <c r="AE68" s="258"/>
      <c r="AF68" s="258"/>
      <c r="AG68" s="270">
        <f t="shared" si="4"/>
        <v>5209.96666666667</v>
      </c>
      <c r="AH68" s="270">
        <v>100000</v>
      </c>
      <c r="AI68" s="278"/>
      <c r="AJ68" s="279">
        <v>1000</v>
      </c>
      <c r="AK68" s="280"/>
      <c r="AL68" s="280"/>
      <c r="AM68" s="281">
        <v>20000</v>
      </c>
      <c r="AN68" s="258">
        <v>25000</v>
      </c>
      <c r="AO68" s="299">
        <v>1500</v>
      </c>
      <c r="AP68" s="299"/>
      <c r="AQ68" s="299"/>
      <c r="AR68" s="299">
        <f t="shared" si="5"/>
        <v>5975.46271111111</v>
      </c>
      <c r="AS68" s="300"/>
      <c r="AT68" s="300"/>
      <c r="AU68" s="299" t="e">
        <f t="shared" si="41"/>
        <v>#REF!</v>
      </c>
      <c r="AV68" s="299">
        <f t="shared" ref="AV68" si="54">V68+U68+N68+M68+K68+J68+I68+H68</f>
        <v>298773.135555556</v>
      </c>
      <c r="AW68" s="299" t="e">
        <f>AU68+AR68+AQ68+AO68+AN68+AM68+AK68+AJ68+AI68+AH68+AG68+AF68</f>
        <v>#REF!</v>
      </c>
      <c r="AX68" s="299"/>
      <c r="AY68" s="299"/>
      <c r="AZ68" s="299" t="e">
        <f t="shared" si="7"/>
        <v>#REF!</v>
      </c>
      <c r="BA68" s="305" t="e">
        <f>SUM(#REF!)</f>
        <v>#REF!</v>
      </c>
      <c r="BB68" s="320" t="e">
        <f>1%*#REF!</f>
        <v>#REF!</v>
      </c>
      <c r="BC68" s="321" t="e">
        <f t="shared" si="52"/>
        <v>#REF!</v>
      </c>
      <c r="BD68" s="322" t="e">
        <f t="shared" si="53"/>
        <v>#REF!</v>
      </c>
      <c r="BE68" s="323"/>
      <c r="BF68" s="324"/>
      <c r="BG68" s="325"/>
      <c r="BH68" s="326"/>
      <c r="BI68" s="326"/>
      <c r="BJ68" s="334"/>
      <c r="BK68" s="335"/>
    </row>
    <row r="69" s="245" customFormat="1" ht="181" customHeight="1" spans="1:63">
      <c r="A69" s="255">
        <v>67</v>
      </c>
      <c r="B69" s="70" t="s">
        <v>310</v>
      </c>
      <c r="C69" s="129" t="s">
        <v>130</v>
      </c>
      <c r="D69" s="129" t="s">
        <v>294</v>
      </c>
      <c r="E69" s="256" t="s">
        <v>127</v>
      </c>
      <c r="F69" s="1469" t="s">
        <v>311</v>
      </c>
      <c r="G69" s="257">
        <v>2425322</v>
      </c>
      <c r="H69" s="258">
        <f t="shared" si="49"/>
        <v>202110.166666667</v>
      </c>
      <c r="I69" s="258">
        <f t="shared" si="40"/>
        <v>23579.5194444444</v>
      </c>
      <c r="J69" s="258">
        <v>5000</v>
      </c>
      <c r="K69" s="258"/>
      <c r="L69" s="258"/>
      <c r="M69" s="258">
        <v>2500</v>
      </c>
      <c r="N69" s="258"/>
      <c r="O69" s="258"/>
      <c r="P69" s="258"/>
      <c r="Q69" s="258"/>
      <c r="R69" s="258"/>
      <c r="S69" s="258"/>
      <c r="T69" s="258"/>
      <c r="U69" s="258">
        <v>383.33</v>
      </c>
      <c r="V69" s="258"/>
      <c r="W69" s="265"/>
      <c r="X69" s="258"/>
      <c r="Y69" s="258"/>
      <c r="Z69" s="258"/>
      <c r="AA69" s="258"/>
      <c r="AB69" s="258"/>
      <c r="AC69" s="258"/>
      <c r="AD69" s="270"/>
      <c r="AE69" s="258"/>
      <c r="AF69" s="258"/>
      <c r="AG69" s="270">
        <f t="shared" si="4"/>
        <v>4042.20333333333</v>
      </c>
      <c r="AH69" s="270"/>
      <c r="AI69" s="278"/>
      <c r="AJ69" s="280"/>
      <c r="AK69" s="280"/>
      <c r="AL69" s="280"/>
      <c r="AM69" s="281">
        <f>41500+10500</f>
        <v>52000</v>
      </c>
      <c r="AN69" s="258">
        <v>15000</v>
      </c>
      <c r="AO69" s="299">
        <v>1500</v>
      </c>
      <c r="AP69" s="299"/>
      <c r="AQ69" s="299"/>
      <c r="AR69" s="299">
        <f t="shared" si="5"/>
        <v>4671.46032222222</v>
      </c>
      <c r="AS69" s="300"/>
      <c r="AT69" s="300"/>
      <c r="AU69" s="299" t="e">
        <f t="shared" si="41"/>
        <v>#REF!</v>
      </c>
      <c r="AV69" s="299">
        <f t="shared" ref="AV69:AV70" si="55">W69+V69+U69+N69+M69+K69+J69+I69+H69</f>
        <v>233573.016111111</v>
      </c>
      <c r="AW69" s="299" t="e">
        <f t="shared" si="6"/>
        <v>#REF!</v>
      </c>
      <c r="AX69" s="299"/>
      <c r="AY69" s="299"/>
      <c r="AZ69" s="299" t="e">
        <f t="shared" si="7"/>
        <v>#REF!</v>
      </c>
      <c r="BA69" s="305" t="e">
        <f>SUM(#REF!)</f>
        <v>#REF!</v>
      </c>
      <c r="BB69" s="320" t="e">
        <f>1%*#REF!</f>
        <v>#REF!</v>
      </c>
      <c r="BC69" s="321" t="e">
        <f t="shared" si="52"/>
        <v>#REF!</v>
      </c>
      <c r="BD69" s="322" t="e">
        <f t="shared" si="53"/>
        <v>#REF!</v>
      </c>
      <c r="BE69" s="323"/>
      <c r="BF69" s="324"/>
      <c r="BG69" s="325"/>
      <c r="BH69" s="326"/>
      <c r="BI69" s="326"/>
      <c r="BJ69" s="334"/>
      <c r="BK69" s="335"/>
    </row>
    <row r="70" s="245" customFormat="1" ht="172.5" customHeight="1" spans="1:63">
      <c r="A70" s="255">
        <v>68</v>
      </c>
      <c r="B70" s="70" t="s">
        <v>314</v>
      </c>
      <c r="C70" s="129" t="s">
        <v>204</v>
      </c>
      <c r="D70" s="129" t="s">
        <v>2039</v>
      </c>
      <c r="E70" s="256" t="s">
        <v>2041</v>
      </c>
      <c r="F70" s="256">
        <v>1909306179</v>
      </c>
      <c r="G70" s="257">
        <v>2254203</v>
      </c>
      <c r="H70" s="258">
        <f t="shared" si="49"/>
        <v>187850.25</v>
      </c>
      <c r="I70" s="258">
        <f t="shared" si="40"/>
        <v>21915.8625</v>
      </c>
      <c r="J70" s="258">
        <v>5000</v>
      </c>
      <c r="K70" s="258"/>
      <c r="L70" s="258"/>
      <c r="M70" s="258">
        <v>2500</v>
      </c>
      <c r="N70" s="258"/>
      <c r="O70" s="258"/>
      <c r="P70" s="258"/>
      <c r="Q70" s="258"/>
      <c r="R70" s="258"/>
      <c r="S70" s="258"/>
      <c r="T70" s="258"/>
      <c r="U70" s="258">
        <v>383.33</v>
      </c>
      <c r="V70" s="258"/>
      <c r="W70" s="265"/>
      <c r="X70" s="258"/>
      <c r="Y70" s="258"/>
      <c r="Z70" s="258"/>
      <c r="AA70" s="258"/>
      <c r="AB70" s="258"/>
      <c r="AC70" s="258"/>
      <c r="AD70" s="270"/>
      <c r="AE70" s="258"/>
      <c r="AF70" s="258">
        <v>3250</v>
      </c>
      <c r="AG70" s="270">
        <f t="shared" si="4"/>
        <v>3757.005</v>
      </c>
      <c r="AH70" s="270"/>
      <c r="AI70" s="282">
        <v>1000</v>
      </c>
      <c r="AJ70" s="279"/>
      <c r="AK70" s="279"/>
      <c r="AL70" s="279"/>
      <c r="AM70" s="281"/>
      <c r="AN70" s="258"/>
      <c r="AO70" s="299">
        <v>1500</v>
      </c>
      <c r="AP70" s="299"/>
      <c r="AQ70" s="299"/>
      <c r="AR70" s="299">
        <f t="shared" si="5"/>
        <v>4352.98885</v>
      </c>
      <c r="AS70" s="300"/>
      <c r="AT70" s="300"/>
      <c r="AU70" s="299" t="e">
        <f t="shared" si="41"/>
        <v>#REF!</v>
      </c>
      <c r="AV70" s="299">
        <f t="shared" si="55"/>
        <v>217649.4425</v>
      </c>
      <c r="AW70" s="299" t="e">
        <f t="shared" si="6"/>
        <v>#REF!</v>
      </c>
      <c r="AX70" s="299"/>
      <c r="AY70" s="299"/>
      <c r="AZ70" s="299" t="e">
        <f t="shared" si="7"/>
        <v>#REF!</v>
      </c>
      <c r="BA70" s="305" t="e">
        <f>SUM(#REF!)</f>
        <v>#REF!</v>
      </c>
      <c r="BB70" s="320" t="e">
        <f>1%*#REF!</f>
        <v>#REF!</v>
      </c>
      <c r="BC70" s="321" t="e">
        <f t="shared" si="52"/>
        <v>#REF!</v>
      </c>
      <c r="BD70" s="322" t="e">
        <f t="shared" si="53"/>
        <v>#REF!</v>
      </c>
      <c r="BE70" s="323"/>
      <c r="BF70" s="324"/>
      <c r="BG70" s="325"/>
      <c r="BH70" s="326"/>
      <c r="BI70" s="326"/>
      <c r="BJ70" s="334"/>
      <c r="BK70" s="335"/>
    </row>
    <row r="71" s="245" customFormat="1" ht="172.5" customHeight="1" spans="1:63">
      <c r="A71" s="255">
        <v>69</v>
      </c>
      <c r="B71" s="70" t="s">
        <v>316</v>
      </c>
      <c r="C71" s="129" t="s">
        <v>130</v>
      </c>
      <c r="D71" s="129" t="s">
        <v>272</v>
      </c>
      <c r="E71" s="256" t="s">
        <v>135</v>
      </c>
      <c r="F71" s="1469" t="s">
        <v>2042</v>
      </c>
      <c r="G71" s="257">
        <f>H71*12</f>
        <v>2600486</v>
      </c>
      <c r="H71" s="258">
        <f>H72</f>
        <v>216707.166666667</v>
      </c>
      <c r="I71" s="258">
        <f t="shared" si="40"/>
        <v>25282.5027777778</v>
      </c>
      <c r="J71" s="258">
        <v>5000</v>
      </c>
      <c r="K71" s="258"/>
      <c r="L71" s="258"/>
      <c r="M71" s="258">
        <v>2500</v>
      </c>
      <c r="N71" s="258"/>
      <c r="O71" s="258"/>
      <c r="P71" s="258"/>
      <c r="Q71" s="258"/>
      <c r="R71" s="258"/>
      <c r="S71" s="258"/>
      <c r="T71" s="258"/>
      <c r="U71" s="258">
        <v>383.33</v>
      </c>
      <c r="V71" s="258"/>
      <c r="W71" s="265"/>
      <c r="X71" s="258"/>
      <c r="Y71" s="258"/>
      <c r="Z71" s="258"/>
      <c r="AA71" s="258"/>
      <c r="AB71" s="258"/>
      <c r="AC71" s="258"/>
      <c r="AD71" s="270"/>
      <c r="AE71" s="258"/>
      <c r="AF71" s="258"/>
      <c r="AG71" s="270">
        <f t="shared" si="4"/>
        <v>4334.14333333333</v>
      </c>
      <c r="AH71" s="270"/>
      <c r="AI71" s="278"/>
      <c r="AJ71" s="280"/>
      <c r="AK71" s="280"/>
      <c r="AL71" s="284">
        <v>1000</v>
      </c>
      <c r="AM71" s="281">
        <v>5000</v>
      </c>
      <c r="AN71" s="258">
        <v>15000</v>
      </c>
      <c r="AO71" s="299">
        <v>1500</v>
      </c>
      <c r="AP71" s="299"/>
      <c r="AQ71" s="299"/>
      <c r="AR71" s="299">
        <f t="shared" si="5"/>
        <v>4997.45998888889</v>
      </c>
      <c r="AS71" s="300"/>
      <c r="AT71" s="300"/>
      <c r="AU71" s="299" t="e">
        <f t="shared" si="41"/>
        <v>#REF!</v>
      </c>
      <c r="AV71" s="299">
        <f t="shared" ref="AV71" si="56">V71+U71+N71+M71+K71+J71+I71+H71</f>
        <v>249872.999444444</v>
      </c>
      <c r="AW71" s="299" t="e">
        <f>AU71+AR71+AQ71+AO71+AN71+AM71+AK71+AI71+AH71+AG71+AF71+AE71+AD71+AL71</f>
        <v>#REF!</v>
      </c>
      <c r="AX71" s="299"/>
      <c r="AY71" s="299"/>
      <c r="AZ71" s="299" t="e">
        <f t="shared" si="7"/>
        <v>#REF!</v>
      </c>
      <c r="BA71" s="305" t="e">
        <f>SUM(#REF!)</f>
        <v>#REF!</v>
      </c>
      <c r="BB71" s="320" t="e">
        <f>1%*#REF!</f>
        <v>#REF!</v>
      </c>
      <c r="BC71" s="321" t="e">
        <f t="shared" si="52"/>
        <v>#REF!</v>
      </c>
      <c r="BD71" s="322" t="e">
        <f t="shared" si="53"/>
        <v>#REF!</v>
      </c>
      <c r="BE71" s="323"/>
      <c r="BF71" s="324"/>
      <c r="BG71" s="325"/>
      <c r="BH71" s="326"/>
      <c r="BI71" s="326"/>
      <c r="BJ71" s="334"/>
      <c r="BK71" s="335"/>
    </row>
    <row r="72" s="245" customFormat="1" ht="172.5" customHeight="1" spans="1:63">
      <c r="A72" s="255">
        <v>70</v>
      </c>
      <c r="B72" s="70" t="s">
        <v>318</v>
      </c>
      <c r="C72" s="129" t="s">
        <v>130</v>
      </c>
      <c r="D72" s="129" t="s">
        <v>272</v>
      </c>
      <c r="E72" s="256" t="s">
        <v>127</v>
      </c>
      <c r="F72" s="1469" t="s">
        <v>319</v>
      </c>
      <c r="G72" s="257">
        <v>2600486</v>
      </c>
      <c r="H72" s="258">
        <f t="shared" si="49"/>
        <v>216707.166666667</v>
      </c>
      <c r="I72" s="258">
        <f t="shared" si="40"/>
        <v>25282.5027777778</v>
      </c>
      <c r="J72" s="258">
        <v>5000</v>
      </c>
      <c r="K72" s="258"/>
      <c r="L72" s="258"/>
      <c r="M72" s="258">
        <v>2500</v>
      </c>
      <c r="N72" s="258"/>
      <c r="O72" s="258"/>
      <c r="P72" s="258"/>
      <c r="Q72" s="258"/>
      <c r="R72" s="258"/>
      <c r="S72" s="258"/>
      <c r="T72" s="258"/>
      <c r="U72" s="258">
        <v>383.33</v>
      </c>
      <c r="V72" s="258"/>
      <c r="W72" s="265"/>
      <c r="X72" s="258"/>
      <c r="Y72" s="258"/>
      <c r="Z72" s="258"/>
      <c r="AA72" s="258"/>
      <c r="AB72" s="258"/>
      <c r="AC72" s="258"/>
      <c r="AD72" s="270"/>
      <c r="AE72" s="258"/>
      <c r="AF72" s="258">
        <v>4750</v>
      </c>
      <c r="AG72" s="270">
        <f t="shared" si="4"/>
        <v>4334.14333333333</v>
      </c>
      <c r="AH72" s="270"/>
      <c r="AI72" s="282">
        <v>1000</v>
      </c>
      <c r="AJ72" s="279"/>
      <c r="AK72" s="279"/>
      <c r="AL72" s="279"/>
      <c r="AM72" s="281"/>
      <c r="AN72" s="258"/>
      <c r="AO72" s="299">
        <v>1500</v>
      </c>
      <c r="AP72" s="299"/>
      <c r="AQ72" s="299"/>
      <c r="AR72" s="299">
        <f t="shared" si="5"/>
        <v>4997.45998888889</v>
      </c>
      <c r="AS72" s="300"/>
      <c r="AT72" s="300"/>
      <c r="AU72" s="299" t="e">
        <f t="shared" si="41"/>
        <v>#REF!</v>
      </c>
      <c r="AV72" s="299">
        <f t="shared" ref="AV72:AV73" si="57">W72+V72+U72+N72+M72+K72+J72+I72+H72</f>
        <v>249872.999444444</v>
      </c>
      <c r="AW72" s="299" t="e">
        <f t="shared" si="6"/>
        <v>#REF!</v>
      </c>
      <c r="AX72" s="299"/>
      <c r="AY72" s="299"/>
      <c r="AZ72" s="299" t="e">
        <f t="shared" si="7"/>
        <v>#REF!</v>
      </c>
      <c r="BA72" s="305" t="e">
        <f>SUM(#REF!)</f>
        <v>#REF!</v>
      </c>
      <c r="BB72" s="320" t="e">
        <f>1%*#REF!</f>
        <v>#REF!</v>
      </c>
      <c r="BC72" s="321" t="e">
        <f t="shared" si="52"/>
        <v>#REF!</v>
      </c>
      <c r="BD72" s="322" t="e">
        <f t="shared" si="53"/>
        <v>#REF!</v>
      </c>
      <c r="BE72" s="323"/>
      <c r="BF72" s="324"/>
      <c r="BG72" s="325"/>
      <c r="BH72" s="326"/>
      <c r="BI72" s="326"/>
      <c r="BJ72" s="334"/>
      <c r="BK72" s="335"/>
    </row>
    <row r="73" s="245" customFormat="1" ht="172.5" customHeight="1" spans="1:63">
      <c r="A73" s="255">
        <v>71</v>
      </c>
      <c r="B73" s="70" t="s">
        <v>320</v>
      </c>
      <c r="C73" s="129" t="s">
        <v>204</v>
      </c>
      <c r="D73" s="129" t="s">
        <v>2039</v>
      </c>
      <c r="E73" s="256" t="s">
        <v>93</v>
      </c>
      <c r="F73" s="256">
        <v>3053511556</v>
      </c>
      <c r="G73" s="257">
        <v>2254203</v>
      </c>
      <c r="H73" s="258">
        <f t="shared" si="49"/>
        <v>187850.25</v>
      </c>
      <c r="I73" s="258">
        <f t="shared" si="40"/>
        <v>21915.8625</v>
      </c>
      <c r="J73" s="258">
        <v>5000</v>
      </c>
      <c r="K73" s="258"/>
      <c r="L73" s="258"/>
      <c r="M73" s="258">
        <v>2500</v>
      </c>
      <c r="N73" s="258"/>
      <c r="O73" s="258"/>
      <c r="P73" s="258"/>
      <c r="Q73" s="258"/>
      <c r="R73" s="258"/>
      <c r="S73" s="258"/>
      <c r="T73" s="258"/>
      <c r="U73" s="258">
        <v>383.33</v>
      </c>
      <c r="V73" s="258"/>
      <c r="W73" s="265"/>
      <c r="X73" s="258"/>
      <c r="Y73" s="258"/>
      <c r="Z73" s="258"/>
      <c r="AA73" s="258"/>
      <c r="AB73" s="258"/>
      <c r="AC73" s="258"/>
      <c r="AD73" s="270"/>
      <c r="AE73" s="258"/>
      <c r="AF73" s="258">
        <f>500+750</f>
        <v>1250</v>
      </c>
      <c r="AG73" s="270">
        <f t="shared" si="4"/>
        <v>3757.005</v>
      </c>
      <c r="AH73" s="270">
        <f>5000</f>
        <v>5000</v>
      </c>
      <c r="AI73" s="278"/>
      <c r="AJ73" s="280"/>
      <c r="AK73" s="280"/>
      <c r="AL73" s="280"/>
      <c r="AM73" s="281">
        <f>36250+10500</f>
        <v>46750</v>
      </c>
      <c r="AN73" s="258">
        <v>15000</v>
      </c>
      <c r="AO73" s="299">
        <v>1500</v>
      </c>
      <c r="AP73" s="299"/>
      <c r="AQ73" s="299"/>
      <c r="AR73" s="299">
        <f t="shared" si="5"/>
        <v>4352.98885</v>
      </c>
      <c r="AS73" s="300"/>
      <c r="AT73" s="300"/>
      <c r="AU73" s="299" t="e">
        <f t="shared" si="41"/>
        <v>#REF!</v>
      </c>
      <c r="AV73" s="299">
        <f t="shared" si="57"/>
        <v>217649.4425</v>
      </c>
      <c r="AW73" s="299" t="e">
        <f t="shared" si="6"/>
        <v>#REF!</v>
      </c>
      <c r="AX73" s="299"/>
      <c r="AY73" s="299"/>
      <c r="AZ73" s="299" t="e">
        <f t="shared" si="7"/>
        <v>#REF!</v>
      </c>
      <c r="BA73" s="305" t="e">
        <f>SUM(#REF!)</f>
        <v>#REF!</v>
      </c>
      <c r="BB73" s="320" t="e">
        <f>1%*#REF!</f>
        <v>#REF!</v>
      </c>
      <c r="BC73" s="321" t="e">
        <f t="shared" si="52"/>
        <v>#REF!</v>
      </c>
      <c r="BD73" s="322" t="e">
        <f t="shared" si="53"/>
        <v>#REF!</v>
      </c>
      <c r="BE73" s="323"/>
      <c r="BF73" s="324"/>
      <c r="BG73" s="325"/>
      <c r="BH73" s="326"/>
      <c r="BI73" s="326"/>
      <c r="BJ73" s="334"/>
      <c r="BK73" s="335"/>
    </row>
    <row r="74" s="245" customFormat="1" ht="172.5" customHeight="1" spans="1:63">
      <c r="A74" s="255">
        <v>72</v>
      </c>
      <c r="B74" s="70" t="s">
        <v>321</v>
      </c>
      <c r="C74" s="129" t="s">
        <v>204</v>
      </c>
      <c r="D74" s="129" t="s">
        <v>2039</v>
      </c>
      <c r="E74" s="256" t="s">
        <v>127</v>
      </c>
      <c r="F74" s="1469" t="s">
        <v>322</v>
      </c>
      <c r="G74" s="257">
        <f t="shared" ref="G74" si="58">G73</f>
        <v>2254203</v>
      </c>
      <c r="H74" s="258">
        <f t="shared" si="49"/>
        <v>187850.25</v>
      </c>
      <c r="I74" s="258">
        <f t="shared" si="40"/>
        <v>21915.8625</v>
      </c>
      <c r="J74" s="258">
        <v>5000</v>
      </c>
      <c r="K74" s="258"/>
      <c r="L74" s="258"/>
      <c r="M74" s="258">
        <v>2500</v>
      </c>
      <c r="N74" s="258"/>
      <c r="O74" s="258"/>
      <c r="P74" s="258"/>
      <c r="Q74" s="258"/>
      <c r="R74" s="258"/>
      <c r="S74" s="258"/>
      <c r="T74" s="258"/>
      <c r="U74" s="258">
        <v>383.33</v>
      </c>
      <c r="V74" s="258"/>
      <c r="W74" s="265"/>
      <c r="X74" s="258"/>
      <c r="Y74" s="258"/>
      <c r="Z74" s="258"/>
      <c r="AA74" s="258"/>
      <c r="AB74" s="258"/>
      <c r="AC74" s="258"/>
      <c r="AD74" s="270"/>
      <c r="AE74" s="258"/>
      <c r="AF74" s="258"/>
      <c r="AG74" s="270">
        <f t="shared" si="4"/>
        <v>3757.005</v>
      </c>
      <c r="AH74" s="270"/>
      <c r="AI74" s="282">
        <v>1000</v>
      </c>
      <c r="AJ74" s="279"/>
      <c r="AK74" s="279"/>
      <c r="AL74" s="279"/>
      <c r="AM74" s="281"/>
      <c r="AN74" s="258">
        <v>10000</v>
      </c>
      <c r="AO74" s="299">
        <v>1500</v>
      </c>
      <c r="AP74" s="299"/>
      <c r="AQ74" s="299"/>
      <c r="AR74" s="299">
        <f t="shared" si="5"/>
        <v>4352.98885</v>
      </c>
      <c r="AS74" s="300"/>
      <c r="AT74" s="300"/>
      <c r="AU74" s="299" t="e">
        <f t="shared" si="41"/>
        <v>#REF!</v>
      </c>
      <c r="AV74" s="299">
        <f t="shared" ref="AV74" si="59">V74+U74+N74+M74+K74+J74+I74+H74</f>
        <v>217649.4425</v>
      </c>
      <c r="AW74" s="299" t="e">
        <f t="shared" si="6"/>
        <v>#REF!</v>
      </c>
      <c r="AX74" s="299"/>
      <c r="AY74" s="299"/>
      <c r="AZ74" s="299" t="e">
        <f t="shared" si="7"/>
        <v>#REF!</v>
      </c>
      <c r="BA74" s="305" t="e">
        <f>SUM(#REF!)</f>
        <v>#REF!</v>
      </c>
      <c r="BB74" s="320" t="e">
        <f>1%*#REF!</f>
        <v>#REF!</v>
      </c>
      <c r="BC74" s="321" t="e">
        <f t="shared" si="52"/>
        <v>#REF!</v>
      </c>
      <c r="BD74" s="322" t="e">
        <f t="shared" si="53"/>
        <v>#REF!</v>
      </c>
      <c r="BE74" s="323"/>
      <c r="BF74" s="324"/>
      <c r="BG74" s="325"/>
      <c r="BH74" s="326"/>
      <c r="BI74" s="326"/>
      <c r="BJ74" s="334"/>
      <c r="BK74" s="335"/>
    </row>
    <row r="75" s="245" customFormat="1" ht="172.5" customHeight="1" spans="1:63">
      <c r="A75" s="255">
        <v>73</v>
      </c>
      <c r="B75" s="70" t="s">
        <v>323</v>
      </c>
      <c r="C75" s="129" t="s">
        <v>130</v>
      </c>
      <c r="D75" s="129" t="s">
        <v>272</v>
      </c>
      <c r="E75" s="256" t="s">
        <v>93</v>
      </c>
      <c r="F75" s="256">
        <v>3068164624</v>
      </c>
      <c r="G75" s="257">
        <v>2600486</v>
      </c>
      <c r="H75" s="258">
        <f t="shared" si="49"/>
        <v>216707.166666667</v>
      </c>
      <c r="I75" s="258">
        <f t="shared" si="40"/>
        <v>25282.5027777778</v>
      </c>
      <c r="J75" s="258">
        <v>5000</v>
      </c>
      <c r="K75" s="258"/>
      <c r="L75" s="258"/>
      <c r="M75" s="258">
        <v>2500</v>
      </c>
      <c r="N75" s="258"/>
      <c r="O75" s="258"/>
      <c r="P75" s="258"/>
      <c r="Q75" s="258"/>
      <c r="R75" s="258"/>
      <c r="S75" s="258"/>
      <c r="T75" s="258"/>
      <c r="U75" s="258">
        <v>383.33</v>
      </c>
      <c r="V75" s="258"/>
      <c r="W75" s="265"/>
      <c r="X75" s="258"/>
      <c r="Y75" s="258"/>
      <c r="Z75" s="258"/>
      <c r="AA75" s="258"/>
      <c r="AB75" s="258"/>
      <c r="AC75" s="258"/>
      <c r="AD75" s="270"/>
      <c r="AE75" s="258"/>
      <c r="AF75" s="258"/>
      <c r="AG75" s="270">
        <f t="shared" si="4"/>
        <v>4334.14333333333</v>
      </c>
      <c r="AH75" s="270"/>
      <c r="AI75" s="278"/>
      <c r="AJ75" s="279">
        <v>1000</v>
      </c>
      <c r="AK75" s="280"/>
      <c r="AL75" s="280"/>
      <c r="AM75" s="281">
        <f>41875+17500</f>
        <v>59375</v>
      </c>
      <c r="AN75" s="258"/>
      <c r="AO75" s="299">
        <v>1500</v>
      </c>
      <c r="AP75" s="299"/>
      <c r="AQ75" s="299"/>
      <c r="AR75" s="299">
        <f t="shared" si="5"/>
        <v>4997.45998888889</v>
      </c>
      <c r="AS75" s="300"/>
      <c r="AT75" s="300"/>
      <c r="AU75" s="299" t="e">
        <f t="shared" si="41"/>
        <v>#REF!</v>
      </c>
      <c r="AV75" s="299">
        <f t="shared" ref="AV75:AV76" si="60">W75+V75+U75+N75+M75+K75+J75+I75+H75</f>
        <v>249872.999444444</v>
      </c>
      <c r="AW75" s="299" t="e">
        <f>AU75+AR75+AQ75+AO75+AN75+AM75+AK75+AJ75+AI75+AH75+AG75</f>
        <v>#REF!</v>
      </c>
      <c r="AX75" s="299"/>
      <c r="AY75" s="299"/>
      <c r="AZ75" s="299" t="e">
        <f t="shared" si="7"/>
        <v>#REF!</v>
      </c>
      <c r="BA75" s="305" t="e">
        <f>SUM(#REF!)</f>
        <v>#REF!</v>
      </c>
      <c r="BB75" s="320" t="e">
        <f>1%*#REF!</f>
        <v>#REF!</v>
      </c>
      <c r="BC75" s="321" t="e">
        <f t="shared" si="52"/>
        <v>#REF!</v>
      </c>
      <c r="BD75" s="322" t="e">
        <f t="shared" si="53"/>
        <v>#REF!</v>
      </c>
      <c r="BE75" s="323"/>
      <c r="BF75" s="324"/>
      <c r="BG75" s="325"/>
      <c r="BH75" s="326"/>
      <c r="BI75" s="326"/>
      <c r="BJ75" s="334"/>
      <c r="BK75" s="335"/>
    </row>
    <row r="76" s="245" customFormat="1" ht="172.5" customHeight="1" spans="1:63">
      <c r="A76" s="255">
        <v>74</v>
      </c>
      <c r="B76" s="70" t="s">
        <v>324</v>
      </c>
      <c r="C76" s="129" t="s">
        <v>155</v>
      </c>
      <c r="D76" s="129" t="s">
        <v>269</v>
      </c>
      <c r="E76" s="256" t="s">
        <v>113</v>
      </c>
      <c r="F76" s="1469" t="s">
        <v>2043</v>
      </c>
      <c r="G76" s="257">
        <v>2775651</v>
      </c>
      <c r="H76" s="258">
        <f t="shared" si="49"/>
        <v>231304.25</v>
      </c>
      <c r="I76" s="258">
        <f t="shared" si="40"/>
        <v>26985.4958333333</v>
      </c>
      <c r="J76" s="258">
        <v>5000</v>
      </c>
      <c r="K76" s="258"/>
      <c r="L76" s="258"/>
      <c r="M76" s="258">
        <v>2500</v>
      </c>
      <c r="N76" s="258"/>
      <c r="O76" s="258"/>
      <c r="P76" s="258"/>
      <c r="Q76" s="258"/>
      <c r="R76" s="258"/>
      <c r="S76" s="258"/>
      <c r="T76" s="258"/>
      <c r="U76" s="258">
        <v>383.33</v>
      </c>
      <c r="V76" s="258"/>
      <c r="W76" s="265"/>
      <c r="X76" s="258"/>
      <c r="Y76" s="258"/>
      <c r="Z76" s="258"/>
      <c r="AA76" s="258"/>
      <c r="AB76" s="258"/>
      <c r="AC76" s="258"/>
      <c r="AD76" s="270"/>
      <c r="AE76" s="258"/>
      <c r="AF76" s="258">
        <v>2500</v>
      </c>
      <c r="AG76" s="270">
        <f t="shared" si="4"/>
        <v>4626.085</v>
      </c>
      <c r="AH76" s="270">
        <f>20000</f>
        <v>20000</v>
      </c>
      <c r="AI76" s="278"/>
      <c r="AJ76" s="279">
        <v>1000</v>
      </c>
      <c r="AK76" s="280"/>
      <c r="AL76" s="280"/>
      <c r="AM76" s="281"/>
      <c r="AN76" s="258"/>
      <c r="AO76" s="299">
        <v>1500</v>
      </c>
      <c r="AP76" s="299"/>
      <c r="AQ76" s="299"/>
      <c r="AR76" s="299">
        <f t="shared" si="5"/>
        <v>5323.46151666667</v>
      </c>
      <c r="AS76" s="300"/>
      <c r="AT76" s="300"/>
      <c r="AU76" s="299" t="e">
        <f t="shared" si="41"/>
        <v>#REF!</v>
      </c>
      <c r="AV76" s="299">
        <f t="shared" si="60"/>
        <v>266173.075833333</v>
      </c>
      <c r="AW76" s="299" t="e">
        <f>AU76+AR76+AQ76+AO76+AN76+AM76+AK76+AJ76+AI76+AH76+AG76+AF76</f>
        <v>#REF!</v>
      </c>
      <c r="AX76" s="299"/>
      <c r="AY76" s="299"/>
      <c r="AZ76" s="299" t="e">
        <f t="shared" ref="AZ76:AZ139" si="61">AV76-AW76</f>
        <v>#REF!</v>
      </c>
      <c r="BA76" s="305" t="e">
        <f>SUM(#REF!)</f>
        <v>#REF!</v>
      </c>
      <c r="BB76" s="320" t="e">
        <f>1%*#REF!</f>
        <v>#REF!</v>
      </c>
      <c r="BC76" s="321" t="e">
        <f t="shared" si="52"/>
        <v>#REF!</v>
      </c>
      <c r="BD76" s="322" t="e">
        <f t="shared" si="53"/>
        <v>#REF!</v>
      </c>
      <c r="BE76" s="323"/>
      <c r="BF76" s="324"/>
      <c r="BG76" s="325"/>
      <c r="BH76" s="326"/>
      <c r="BI76" s="326"/>
      <c r="BJ76" s="334"/>
      <c r="BK76" s="335"/>
    </row>
    <row r="77" s="245" customFormat="1" ht="176" customHeight="1" spans="1:63">
      <c r="A77" s="255">
        <v>75</v>
      </c>
      <c r="B77" s="70" t="s">
        <v>326</v>
      </c>
      <c r="C77" s="129" t="s">
        <v>130</v>
      </c>
      <c r="D77" s="129" t="s">
        <v>2038</v>
      </c>
      <c r="E77" s="256" t="s">
        <v>165</v>
      </c>
      <c r="F77" s="256">
        <v>2048397326</v>
      </c>
      <c r="G77" s="257">
        <v>3125980</v>
      </c>
      <c r="H77" s="258">
        <f t="shared" si="49"/>
        <v>260498.333333333</v>
      </c>
      <c r="I77" s="258">
        <f t="shared" si="40"/>
        <v>30391.4722222222</v>
      </c>
      <c r="J77" s="258">
        <v>5000</v>
      </c>
      <c r="K77" s="258"/>
      <c r="L77" s="258"/>
      <c r="M77" s="258">
        <v>2500</v>
      </c>
      <c r="N77" s="258"/>
      <c r="O77" s="258"/>
      <c r="P77" s="258"/>
      <c r="Q77" s="258"/>
      <c r="R77" s="258"/>
      <c r="S77" s="258"/>
      <c r="T77" s="258"/>
      <c r="U77" s="258">
        <v>383.33</v>
      </c>
      <c r="V77" s="258"/>
      <c r="W77" s="265"/>
      <c r="X77" s="258"/>
      <c r="Y77" s="258"/>
      <c r="Z77" s="258"/>
      <c r="AA77" s="258"/>
      <c r="AB77" s="258"/>
      <c r="AC77" s="258"/>
      <c r="AD77" s="270"/>
      <c r="AE77" s="258"/>
      <c r="AF77" s="258"/>
      <c r="AG77" s="270">
        <f t="shared" si="4"/>
        <v>5209.96666666667</v>
      </c>
      <c r="AH77" s="270">
        <f>10000</f>
        <v>10000</v>
      </c>
      <c r="AI77" s="278"/>
      <c r="AJ77" s="279">
        <v>1000</v>
      </c>
      <c r="AK77" s="278"/>
      <c r="AL77" s="278"/>
      <c r="AM77" s="258">
        <v>79538.3</v>
      </c>
      <c r="AN77" s="258">
        <v>10000</v>
      </c>
      <c r="AO77" s="299">
        <v>1500</v>
      </c>
      <c r="AP77" s="299"/>
      <c r="AQ77" s="299"/>
      <c r="AR77" s="299">
        <f t="shared" si="5"/>
        <v>5975.46271111111</v>
      </c>
      <c r="AS77" s="300"/>
      <c r="AT77" s="300"/>
      <c r="AU77" s="299" t="e">
        <f t="shared" si="41"/>
        <v>#REF!</v>
      </c>
      <c r="AV77" s="299">
        <f t="shared" ref="AV77" si="62">V77+U77+N77+M77+K77+J77+I77+H77</f>
        <v>298773.135555556</v>
      </c>
      <c r="AW77" s="299" t="e">
        <f>AU77+AR77+AO77+AN77+AM77+AJ77+AI77+AH77+AG77</f>
        <v>#REF!</v>
      </c>
      <c r="AX77" s="299"/>
      <c r="AY77" s="299"/>
      <c r="AZ77" s="299" t="e">
        <f t="shared" si="61"/>
        <v>#REF!</v>
      </c>
      <c r="BA77" s="305" t="e">
        <f>SUM(#REF!)</f>
        <v>#REF!</v>
      </c>
      <c r="BB77" s="320" t="e">
        <f>1%*#REF!</f>
        <v>#REF!</v>
      </c>
      <c r="BC77" s="321" t="e">
        <f t="shared" si="52"/>
        <v>#REF!</v>
      </c>
      <c r="BD77" s="322" t="e">
        <f t="shared" si="53"/>
        <v>#REF!</v>
      </c>
      <c r="BE77" s="323"/>
      <c r="BF77" s="324"/>
      <c r="BG77" s="325"/>
      <c r="BH77" s="326"/>
      <c r="BI77" s="326"/>
      <c r="BJ77" s="334"/>
      <c r="BK77" s="335"/>
    </row>
    <row r="78" s="245" customFormat="1" ht="186" customHeight="1" spans="1:63">
      <c r="A78" s="255">
        <v>76</v>
      </c>
      <c r="B78" s="70" t="s">
        <v>327</v>
      </c>
      <c r="C78" s="129" t="s">
        <v>130</v>
      </c>
      <c r="D78" s="129" t="s">
        <v>272</v>
      </c>
      <c r="E78" s="256" t="s">
        <v>135</v>
      </c>
      <c r="F78" s="1469" t="s">
        <v>328</v>
      </c>
      <c r="G78" s="257">
        <v>2600486</v>
      </c>
      <c r="H78" s="258">
        <f t="shared" si="49"/>
        <v>216707.166666667</v>
      </c>
      <c r="I78" s="258">
        <f t="shared" si="40"/>
        <v>25282.5027777778</v>
      </c>
      <c r="J78" s="258">
        <v>5000</v>
      </c>
      <c r="K78" s="258"/>
      <c r="L78" s="258"/>
      <c r="M78" s="258">
        <v>2500</v>
      </c>
      <c r="N78" s="258"/>
      <c r="O78" s="258"/>
      <c r="P78" s="258"/>
      <c r="Q78" s="258"/>
      <c r="R78" s="258"/>
      <c r="S78" s="258"/>
      <c r="T78" s="258"/>
      <c r="U78" s="258">
        <v>383.33</v>
      </c>
      <c r="V78" s="258"/>
      <c r="W78" s="265"/>
      <c r="X78" s="258"/>
      <c r="Y78" s="258"/>
      <c r="Z78" s="258"/>
      <c r="AA78" s="258"/>
      <c r="AB78" s="258"/>
      <c r="AC78" s="258"/>
      <c r="AD78" s="270"/>
      <c r="AE78" s="258"/>
      <c r="AF78" s="258">
        <v>1000</v>
      </c>
      <c r="AG78" s="270">
        <f>H78*0.02</f>
        <v>4334.14333333333</v>
      </c>
      <c r="AH78" s="270">
        <f>5000</f>
        <v>5000</v>
      </c>
      <c r="AI78" s="278"/>
      <c r="AJ78" s="280"/>
      <c r="AK78" s="346">
        <v>20000</v>
      </c>
      <c r="AL78" s="346"/>
      <c r="AM78" s="281">
        <v>10000</v>
      </c>
      <c r="AN78" s="281">
        <v>7500</v>
      </c>
      <c r="AO78" s="299">
        <v>1500</v>
      </c>
      <c r="AP78" s="299"/>
      <c r="AQ78" s="299"/>
      <c r="AR78" s="299">
        <f t="shared" si="5"/>
        <v>4997.45998888889</v>
      </c>
      <c r="AS78" s="300"/>
      <c r="AT78" s="300"/>
      <c r="AU78" s="299" t="e">
        <f t="shared" si="41"/>
        <v>#REF!</v>
      </c>
      <c r="AV78" s="299">
        <f t="shared" ref="AV78:AV80" si="63">W78+V78+U78+N78+M78+K78+J78+I78+H78</f>
        <v>249872.999444444</v>
      </c>
      <c r="AW78" s="299" t="e">
        <f t="shared" ref="AW78:AW135" si="64">AU78+AR78+AQ78+AO78+AN78+AM78+AK78+AI78+AH78+AG78+AF78+AE78+AD78</f>
        <v>#REF!</v>
      </c>
      <c r="AX78" s="299"/>
      <c r="AY78" s="299"/>
      <c r="AZ78" s="299" t="e">
        <f t="shared" si="61"/>
        <v>#REF!</v>
      </c>
      <c r="BA78" s="305" t="e">
        <f>SUM(#REF!)</f>
        <v>#REF!</v>
      </c>
      <c r="BB78" s="320" t="e">
        <f>1%*#REF!</f>
        <v>#REF!</v>
      </c>
      <c r="BC78" s="321" t="e">
        <f t="shared" si="52"/>
        <v>#REF!</v>
      </c>
      <c r="BD78" s="322" t="e">
        <f t="shared" si="53"/>
        <v>#REF!</v>
      </c>
      <c r="BE78" s="323"/>
      <c r="BF78" s="324"/>
      <c r="BG78" s="325"/>
      <c r="BH78" s="326"/>
      <c r="BI78" s="326"/>
      <c r="BJ78" s="334"/>
      <c r="BK78" s="335"/>
    </row>
    <row r="79" s="245" customFormat="1" ht="172.5" customHeight="1" spans="1:63">
      <c r="A79" s="255">
        <v>77</v>
      </c>
      <c r="B79" s="70" t="s">
        <v>330</v>
      </c>
      <c r="C79" s="129" t="s">
        <v>138</v>
      </c>
      <c r="D79" s="129" t="s">
        <v>225</v>
      </c>
      <c r="E79" s="256" t="s">
        <v>135</v>
      </c>
      <c r="F79" s="1469" t="s">
        <v>331</v>
      </c>
      <c r="G79" s="257">
        <v>4783091</v>
      </c>
      <c r="H79" s="258">
        <f t="shared" si="49"/>
        <v>398590.916666667</v>
      </c>
      <c r="I79" s="258">
        <f t="shared" si="40"/>
        <v>46502.2736111111</v>
      </c>
      <c r="J79" s="258">
        <v>6666.67</v>
      </c>
      <c r="K79" s="258">
        <v>41667</v>
      </c>
      <c r="L79" s="258"/>
      <c r="M79" s="258">
        <v>2500</v>
      </c>
      <c r="N79" s="258"/>
      <c r="O79" s="258"/>
      <c r="P79" s="258"/>
      <c r="Q79" s="258"/>
      <c r="R79" s="258"/>
      <c r="S79" s="258"/>
      <c r="T79" s="258"/>
      <c r="U79" s="258">
        <v>383.33</v>
      </c>
      <c r="V79" s="258"/>
      <c r="W79" s="265"/>
      <c r="X79" s="258"/>
      <c r="Y79" s="258"/>
      <c r="Z79" s="258"/>
      <c r="AA79" s="258"/>
      <c r="AB79" s="258"/>
      <c r="AC79" s="258"/>
      <c r="AD79" s="270"/>
      <c r="AE79" s="258"/>
      <c r="AF79" s="258"/>
      <c r="AG79" s="270">
        <f t="shared" si="4"/>
        <v>7971.81833333333</v>
      </c>
      <c r="AH79" s="270">
        <f>30000</f>
        <v>30000</v>
      </c>
      <c r="AI79" s="278"/>
      <c r="AJ79" s="279">
        <v>1000</v>
      </c>
      <c r="AK79" s="280"/>
      <c r="AL79" s="280"/>
      <c r="AM79" s="281">
        <f>80000+140000</f>
        <v>220000</v>
      </c>
      <c r="AN79" s="258">
        <v>25000</v>
      </c>
      <c r="AO79" s="299">
        <v>2500</v>
      </c>
      <c r="AP79" s="299"/>
      <c r="AQ79" s="299"/>
      <c r="AR79" s="299">
        <f t="shared" si="5"/>
        <v>9926.20380555556</v>
      </c>
      <c r="AS79" s="300"/>
      <c r="AT79" s="300"/>
      <c r="AU79" s="299" t="e">
        <f t="shared" si="41"/>
        <v>#REF!</v>
      </c>
      <c r="AV79" s="299">
        <f t="shared" si="63"/>
        <v>496310.190277778</v>
      </c>
      <c r="AW79" s="299" t="e">
        <f>AU79+AR79+AQ79+AO79+AN79+AM79+AK79+AI79+AH79+AG79+AF79+AE79+AD79+AJ79</f>
        <v>#REF!</v>
      </c>
      <c r="AX79" s="299"/>
      <c r="AY79" s="299"/>
      <c r="AZ79" s="299" t="e">
        <f t="shared" si="61"/>
        <v>#REF!</v>
      </c>
      <c r="BA79" s="305" t="e">
        <f>SUM(#REF!)</f>
        <v>#REF!</v>
      </c>
      <c r="BB79" s="320" t="e">
        <f>1%*#REF!</f>
        <v>#REF!</v>
      </c>
      <c r="BC79" s="321" t="e">
        <f t="shared" si="52"/>
        <v>#REF!</v>
      </c>
      <c r="BD79" s="322" t="e">
        <f t="shared" si="53"/>
        <v>#REF!</v>
      </c>
      <c r="BE79" s="323"/>
      <c r="BF79" s="324"/>
      <c r="BG79" s="325"/>
      <c r="BH79" s="326"/>
      <c r="BI79" s="326"/>
      <c r="BJ79" s="334"/>
      <c r="BK79" s="335"/>
    </row>
    <row r="80" s="245" customFormat="1" ht="187" customHeight="1" spans="1:63">
      <c r="A80" s="255">
        <v>78</v>
      </c>
      <c r="B80" s="70" t="s">
        <v>332</v>
      </c>
      <c r="C80" s="129" t="s">
        <v>2044</v>
      </c>
      <c r="D80" s="129" t="s">
        <v>333</v>
      </c>
      <c r="E80" s="256" t="s">
        <v>259</v>
      </c>
      <c r="F80" s="256">
        <v>6230686439</v>
      </c>
      <c r="G80" s="257">
        <v>3804852</v>
      </c>
      <c r="H80" s="258">
        <f t="shared" si="49"/>
        <v>317071</v>
      </c>
      <c r="I80" s="258">
        <f t="shared" si="40"/>
        <v>36991.6166666667</v>
      </c>
      <c r="J80" s="258">
        <v>6666.67</v>
      </c>
      <c r="K80" s="258"/>
      <c r="L80" s="258"/>
      <c r="M80" s="258">
        <v>2500</v>
      </c>
      <c r="N80" s="258"/>
      <c r="O80" s="258"/>
      <c r="P80" s="258"/>
      <c r="Q80" s="258"/>
      <c r="R80" s="258"/>
      <c r="S80" s="258"/>
      <c r="T80" s="258"/>
      <c r="U80" s="258">
        <v>383.33</v>
      </c>
      <c r="V80" s="258"/>
      <c r="W80" s="265"/>
      <c r="X80" s="258"/>
      <c r="Y80" s="258"/>
      <c r="Z80" s="258"/>
      <c r="AA80" s="258"/>
      <c r="AB80" s="258"/>
      <c r="AC80" s="258"/>
      <c r="AD80" s="270"/>
      <c r="AE80" s="258"/>
      <c r="AF80" s="258"/>
      <c r="AG80" s="270">
        <f t="shared" si="4"/>
        <v>6341.42</v>
      </c>
      <c r="AH80" s="270"/>
      <c r="AI80" s="278"/>
      <c r="AJ80" s="280"/>
      <c r="AK80" s="280"/>
      <c r="AL80" s="280"/>
      <c r="AM80" s="281"/>
      <c r="AN80" s="258"/>
      <c r="AO80" s="299">
        <v>2000</v>
      </c>
      <c r="AP80" s="299"/>
      <c r="AQ80" s="299"/>
      <c r="AR80" s="299">
        <f t="shared" si="5"/>
        <v>7272.25233333333</v>
      </c>
      <c r="AS80" s="300"/>
      <c r="AT80" s="300"/>
      <c r="AU80" s="299" t="e">
        <f t="shared" si="41"/>
        <v>#REF!</v>
      </c>
      <c r="AV80" s="299">
        <f t="shared" si="63"/>
        <v>363612.616666667</v>
      </c>
      <c r="AW80" s="299" t="e">
        <f t="shared" ref="AW80" si="65">AU80+AR80+AQ80+AO80+AN80+AM80+AK80+AI80+AH80+AG80+AF80+AE80+AD80</f>
        <v>#REF!</v>
      </c>
      <c r="AX80" s="299"/>
      <c r="AY80" s="299"/>
      <c r="AZ80" s="299" t="e">
        <f t="shared" si="61"/>
        <v>#REF!</v>
      </c>
      <c r="BA80" s="305" t="e">
        <f>SUM(#REF!)</f>
        <v>#REF!</v>
      </c>
      <c r="BB80" s="320" t="e">
        <f>1%*#REF!</f>
        <v>#REF!</v>
      </c>
      <c r="BC80" s="321" t="e">
        <f t="shared" si="52"/>
        <v>#REF!</v>
      </c>
      <c r="BD80" s="322" t="e">
        <f t="shared" si="53"/>
        <v>#REF!</v>
      </c>
      <c r="BE80" s="323"/>
      <c r="BF80" s="324"/>
      <c r="BG80" s="325"/>
      <c r="BH80" s="326"/>
      <c r="BI80" s="326"/>
      <c r="BJ80" s="334"/>
      <c r="BK80" s="335"/>
    </row>
    <row r="81" s="245" customFormat="1" ht="172.5" customHeight="1" spans="1:63">
      <c r="A81" s="255">
        <v>79</v>
      </c>
      <c r="B81" s="70" t="s">
        <v>334</v>
      </c>
      <c r="C81" s="129" t="s">
        <v>2045</v>
      </c>
      <c r="D81" s="129" t="s">
        <v>246</v>
      </c>
      <c r="E81" s="256" t="s">
        <v>135</v>
      </c>
      <c r="F81" s="1469" t="s">
        <v>336</v>
      </c>
      <c r="G81" s="257">
        <v>4327636</v>
      </c>
      <c r="H81" s="258">
        <f t="shared" si="49"/>
        <v>360636.333333333</v>
      </c>
      <c r="I81" s="258">
        <f t="shared" si="40"/>
        <v>42074.2388888889</v>
      </c>
      <c r="J81" s="258">
        <v>6666.67</v>
      </c>
      <c r="K81" s="258">
        <v>41667</v>
      </c>
      <c r="L81" s="258"/>
      <c r="M81" s="258">
        <v>2500</v>
      </c>
      <c r="N81" s="258"/>
      <c r="O81" s="258"/>
      <c r="P81" s="258"/>
      <c r="Q81" s="258"/>
      <c r="R81" s="258"/>
      <c r="S81" s="258"/>
      <c r="T81" s="258"/>
      <c r="U81" s="258">
        <v>383.33</v>
      </c>
      <c r="V81" s="258"/>
      <c r="W81" s="265"/>
      <c r="X81" s="258"/>
      <c r="Y81" s="258"/>
      <c r="Z81" s="258"/>
      <c r="AA81" s="258"/>
      <c r="AB81" s="258"/>
      <c r="AC81" s="258"/>
      <c r="AD81" s="270"/>
      <c r="AE81" s="258"/>
      <c r="AF81" s="258"/>
      <c r="AG81" s="270">
        <f t="shared" si="4"/>
        <v>7212.72666666667</v>
      </c>
      <c r="AH81" s="270"/>
      <c r="AI81" s="278"/>
      <c r="AJ81" s="280"/>
      <c r="AK81" s="280"/>
      <c r="AL81" s="284">
        <v>1000</v>
      </c>
      <c r="AM81" s="281"/>
      <c r="AN81" s="258">
        <v>15000</v>
      </c>
      <c r="AO81" s="299">
        <v>2500</v>
      </c>
      <c r="AP81" s="299"/>
      <c r="AQ81" s="299"/>
      <c r="AR81" s="299">
        <f t="shared" si="5"/>
        <v>9078.55144444445</v>
      </c>
      <c r="AS81" s="300"/>
      <c r="AT81" s="300"/>
      <c r="AU81" s="299" t="e">
        <f t="shared" si="41"/>
        <v>#REF!</v>
      </c>
      <c r="AV81" s="299">
        <f t="shared" ref="AV81" si="66">V81+U81+N81+M81+K81+J81+I81+H81</f>
        <v>453927.572222222</v>
      </c>
      <c r="AW81" s="299" t="e">
        <f>AU81+AR81+AQ81+AO81+AN81+AM81+AK81+AI81+AH81+AG81+AF81+AE81+AD81+AL81</f>
        <v>#REF!</v>
      </c>
      <c r="AX81" s="299"/>
      <c r="AY81" s="299"/>
      <c r="AZ81" s="299" t="e">
        <f t="shared" si="61"/>
        <v>#REF!</v>
      </c>
      <c r="BA81" s="305" t="e">
        <f>SUM(#REF!)</f>
        <v>#REF!</v>
      </c>
      <c r="BB81" s="320" t="e">
        <f>1%*#REF!</f>
        <v>#REF!</v>
      </c>
      <c r="BC81" s="321" t="e">
        <f t="shared" si="52"/>
        <v>#REF!</v>
      </c>
      <c r="BD81" s="322" t="e">
        <f t="shared" si="53"/>
        <v>#REF!</v>
      </c>
      <c r="BE81" s="323"/>
      <c r="BF81" s="324"/>
      <c r="BG81" s="325"/>
      <c r="BH81" s="326"/>
      <c r="BI81" s="326"/>
      <c r="BJ81" s="334"/>
      <c r="BK81" s="335"/>
    </row>
    <row r="82" s="245" customFormat="1" ht="172.5" customHeight="1" spans="1:63">
      <c r="A82" s="255">
        <v>80</v>
      </c>
      <c r="B82" s="70" t="s">
        <v>337</v>
      </c>
      <c r="C82" s="129" t="s">
        <v>143</v>
      </c>
      <c r="D82" s="129" t="s">
        <v>276</v>
      </c>
      <c r="E82" s="256" t="s">
        <v>93</v>
      </c>
      <c r="F82" s="256">
        <v>2022988252</v>
      </c>
      <c r="G82" s="257">
        <v>3679250</v>
      </c>
      <c r="H82" s="258">
        <f t="shared" si="49"/>
        <v>306604.166666667</v>
      </c>
      <c r="I82" s="258">
        <f t="shared" si="40"/>
        <v>35770.4861111111</v>
      </c>
      <c r="J82" s="258">
        <f>6666.67</f>
        <v>6666.67</v>
      </c>
      <c r="K82" s="258">
        <v>20833.33</v>
      </c>
      <c r="L82" s="258"/>
      <c r="M82" s="258">
        <f>2500</f>
        <v>2500</v>
      </c>
      <c r="N82" s="258"/>
      <c r="O82" s="258"/>
      <c r="P82" s="258"/>
      <c r="Q82" s="258"/>
      <c r="R82" s="258"/>
      <c r="S82" s="258"/>
      <c r="T82" s="258"/>
      <c r="U82" s="258">
        <f>383.33</f>
        <v>383.33</v>
      </c>
      <c r="V82" s="258"/>
      <c r="W82" s="265"/>
      <c r="X82" s="258"/>
      <c r="Y82" s="258"/>
      <c r="Z82" s="258"/>
      <c r="AA82" s="258"/>
      <c r="AB82" s="258"/>
      <c r="AC82" s="258"/>
      <c r="AD82" s="270"/>
      <c r="AE82" s="258"/>
      <c r="AF82" s="258"/>
      <c r="AG82" s="270">
        <f t="shared" ref="AG82:AG145" si="67">H82*0.02</f>
        <v>6132.08333333333</v>
      </c>
      <c r="AH82" s="270"/>
      <c r="AI82" s="282">
        <v>1000</v>
      </c>
      <c r="AJ82" s="279"/>
      <c r="AK82" s="279"/>
      <c r="AL82" s="279"/>
      <c r="AM82" s="281">
        <v>20000</v>
      </c>
      <c r="AN82" s="258">
        <v>8333.33</v>
      </c>
      <c r="AO82" s="299">
        <v>2000</v>
      </c>
      <c r="AP82" s="299"/>
      <c r="AQ82" s="299"/>
      <c r="AR82" s="299">
        <f t="shared" ref="AR82:AR145" si="68">AV82*0.02</f>
        <v>7455.15965555556</v>
      </c>
      <c r="AS82" s="300"/>
      <c r="AT82" s="300"/>
      <c r="AU82" s="299" t="e">
        <f t="shared" si="41"/>
        <v>#REF!</v>
      </c>
      <c r="AV82" s="299">
        <f t="shared" ref="AV82:AV84" si="69">W82+V82+U82+N82+M82+K82+J82+I82+H82</f>
        <v>372757.982777778</v>
      </c>
      <c r="AW82" s="299" t="e">
        <f t="shared" si="64"/>
        <v>#REF!</v>
      </c>
      <c r="AX82" s="299"/>
      <c r="AY82" s="299"/>
      <c r="AZ82" s="299" t="e">
        <f t="shared" si="61"/>
        <v>#REF!</v>
      </c>
      <c r="BA82" s="305" t="e">
        <f>SUM(#REF!)</f>
        <v>#REF!</v>
      </c>
      <c r="BB82" s="320" t="e">
        <f>1%*#REF!</f>
        <v>#REF!</v>
      </c>
      <c r="BC82" s="321" t="e">
        <f t="shared" si="52"/>
        <v>#REF!</v>
      </c>
      <c r="BD82" s="322" t="e">
        <f t="shared" si="53"/>
        <v>#REF!</v>
      </c>
      <c r="BE82" s="323"/>
      <c r="BF82" s="324"/>
      <c r="BG82" s="325"/>
      <c r="BH82" s="326"/>
      <c r="BI82" s="326"/>
      <c r="BJ82" s="334"/>
      <c r="BK82" s="335"/>
    </row>
    <row r="83" s="245" customFormat="1" ht="172.5" customHeight="1" spans="1:63">
      <c r="A83" s="255">
        <v>81</v>
      </c>
      <c r="B83" s="70" t="s">
        <v>2046</v>
      </c>
      <c r="C83" s="129" t="s">
        <v>2047</v>
      </c>
      <c r="D83" s="129" t="s">
        <v>223</v>
      </c>
      <c r="E83" s="256" t="s">
        <v>127</v>
      </c>
      <c r="F83" s="1469" t="s">
        <v>2048</v>
      </c>
      <c r="G83" s="257">
        <f>H83*12</f>
        <v>4631271.96</v>
      </c>
      <c r="H83" s="258">
        <v>385939.33</v>
      </c>
      <c r="I83" s="258">
        <f t="shared" si="40"/>
        <v>45026.2551666667</v>
      </c>
      <c r="J83" s="258">
        <f>6666.67</f>
        <v>6666.67</v>
      </c>
      <c r="K83" s="258">
        <v>20833.33</v>
      </c>
      <c r="L83" s="258"/>
      <c r="M83" s="258">
        <v>2500</v>
      </c>
      <c r="N83" s="258"/>
      <c r="O83" s="258"/>
      <c r="P83" s="258"/>
      <c r="Q83" s="258"/>
      <c r="R83" s="258"/>
      <c r="S83" s="258"/>
      <c r="T83" s="258"/>
      <c r="U83" s="258">
        <f>U82</f>
        <v>383.33</v>
      </c>
      <c r="V83" s="258"/>
      <c r="W83" s="265"/>
      <c r="X83" s="258"/>
      <c r="Y83" s="258"/>
      <c r="Z83" s="258"/>
      <c r="AA83" s="258"/>
      <c r="AB83" s="258"/>
      <c r="AC83" s="258"/>
      <c r="AD83" s="270"/>
      <c r="AE83" s="258"/>
      <c r="AF83" s="258"/>
      <c r="AG83" s="270">
        <f t="shared" si="67"/>
        <v>7718.7866</v>
      </c>
      <c r="AH83" s="270"/>
      <c r="AI83" s="278"/>
      <c r="AJ83" s="280"/>
      <c r="AK83" s="280"/>
      <c r="AL83" s="280"/>
      <c r="AM83" s="281"/>
      <c r="AN83" s="258"/>
      <c r="AO83" s="299">
        <v>2500</v>
      </c>
      <c r="AP83" s="299"/>
      <c r="AQ83" s="299"/>
      <c r="AR83" s="299">
        <f t="shared" si="68"/>
        <v>9226.97830333333</v>
      </c>
      <c r="AS83" s="300"/>
      <c r="AT83" s="300"/>
      <c r="AU83" s="299" t="e">
        <f t="shared" si="41"/>
        <v>#REF!</v>
      </c>
      <c r="AV83" s="299">
        <f t="shared" si="69"/>
        <v>461348.915166667</v>
      </c>
      <c r="AW83" s="299" t="e">
        <f t="shared" si="64"/>
        <v>#REF!</v>
      </c>
      <c r="AX83" s="299"/>
      <c r="AY83" s="299"/>
      <c r="AZ83" s="299" t="e">
        <f t="shared" si="61"/>
        <v>#REF!</v>
      </c>
      <c r="BA83" s="305" t="e">
        <f>SUM(#REF!)</f>
        <v>#REF!</v>
      </c>
      <c r="BB83" s="320" t="e">
        <f>1%*#REF!</f>
        <v>#REF!</v>
      </c>
      <c r="BC83" s="321" t="e">
        <f t="shared" si="52"/>
        <v>#REF!</v>
      </c>
      <c r="BD83" s="322" t="e">
        <f t="shared" si="53"/>
        <v>#REF!</v>
      </c>
      <c r="BE83" s="323"/>
      <c r="BF83" s="324"/>
      <c r="BG83" s="325"/>
      <c r="BH83" s="326"/>
      <c r="BI83" s="326"/>
      <c r="BJ83" s="334"/>
      <c r="BK83" s="335"/>
    </row>
    <row r="84" s="245" customFormat="1" ht="175" customHeight="1" spans="1:63">
      <c r="A84" s="255">
        <v>82</v>
      </c>
      <c r="B84" s="70" t="s">
        <v>339</v>
      </c>
      <c r="C84" s="129" t="s">
        <v>340</v>
      </c>
      <c r="D84" s="129" t="s">
        <v>251</v>
      </c>
      <c r="E84" s="256" t="s">
        <v>135</v>
      </c>
      <c r="F84" s="1469" t="s">
        <v>341</v>
      </c>
      <c r="G84" s="257">
        <f ca="1">H84*12</f>
        <v>6664224</v>
      </c>
      <c r="H84" s="258">
        <f ca="1">H3</f>
        <v>555352</v>
      </c>
      <c r="I84" s="258">
        <f ca="1" t="shared" ref="I84:I101" si="70">H84*0.35/3</f>
        <v>64791.0666666667</v>
      </c>
      <c r="J84" s="258">
        <f>J3</f>
        <v>8333.33</v>
      </c>
      <c r="K84" s="258">
        <v>41667</v>
      </c>
      <c r="L84" s="258"/>
      <c r="M84" s="258">
        <v>2500</v>
      </c>
      <c r="N84" s="258"/>
      <c r="O84" s="258"/>
      <c r="P84" s="258"/>
      <c r="Q84" s="258"/>
      <c r="R84" s="258"/>
      <c r="S84" s="258"/>
      <c r="T84" s="258"/>
      <c r="U84" s="258">
        <v>383.33</v>
      </c>
      <c r="V84" s="258"/>
      <c r="W84" s="265"/>
      <c r="X84" s="258"/>
      <c r="Y84" s="258"/>
      <c r="Z84" s="258"/>
      <c r="AA84" s="258"/>
      <c r="AB84" s="258"/>
      <c r="AC84" s="258"/>
      <c r="AD84" s="270"/>
      <c r="AE84" s="258"/>
      <c r="AF84" s="258"/>
      <c r="AG84" s="270">
        <f ca="1" t="shared" si="67"/>
        <v>11107.04</v>
      </c>
      <c r="AH84" s="270"/>
      <c r="AI84" s="282">
        <v>1000</v>
      </c>
      <c r="AJ84" s="279"/>
      <c r="AK84" s="279"/>
      <c r="AL84" s="279"/>
      <c r="AM84" s="281">
        <f>218333+17500</f>
        <v>235833</v>
      </c>
      <c r="AN84" s="258">
        <v>25000</v>
      </c>
      <c r="AO84" s="299">
        <v>3500</v>
      </c>
      <c r="AP84" s="299"/>
      <c r="AQ84" s="299"/>
      <c r="AR84" s="299">
        <f ca="1" t="shared" si="68"/>
        <v>13460.5345333333</v>
      </c>
      <c r="AS84" s="300"/>
      <c r="AT84" s="300"/>
      <c r="AU84" s="299" t="e">
        <f t="shared" si="41"/>
        <v>#REF!</v>
      </c>
      <c r="AV84" s="299">
        <f ca="1" t="shared" si="69"/>
        <v>673026.726666667</v>
      </c>
      <c r="AW84" s="299">
        <f ca="1" t="shared" si="64"/>
        <v>397788.37272</v>
      </c>
      <c r="AX84" s="299"/>
      <c r="AY84" s="299"/>
      <c r="AZ84" s="299">
        <f ca="1" t="shared" si="61"/>
        <v>275238.353946667</v>
      </c>
      <c r="BA84" s="305" t="e">
        <f>SUM(#REF!)</f>
        <v>#REF!</v>
      </c>
      <c r="BB84" s="320" t="e">
        <f>1%*#REF!</f>
        <v>#REF!</v>
      </c>
      <c r="BC84" s="321" t="e">
        <f t="shared" si="52"/>
        <v>#REF!</v>
      </c>
      <c r="BD84" s="322" t="e">
        <f t="shared" si="53"/>
        <v>#REF!</v>
      </c>
      <c r="BE84" s="323"/>
      <c r="BF84" s="324"/>
      <c r="BG84" s="325"/>
      <c r="BH84" s="326"/>
      <c r="BI84" s="326"/>
      <c r="BJ84" s="334"/>
      <c r="BK84" s="335"/>
    </row>
    <row r="85" s="245" customFormat="1" ht="172.5" customHeight="1" spans="1:63">
      <c r="A85" s="255">
        <v>83</v>
      </c>
      <c r="B85" s="70" t="s">
        <v>345</v>
      </c>
      <c r="C85" s="129" t="s">
        <v>138</v>
      </c>
      <c r="D85" s="129" t="s">
        <v>223</v>
      </c>
      <c r="E85" s="256" t="s">
        <v>127</v>
      </c>
      <c r="F85" s="1469" t="s">
        <v>348</v>
      </c>
      <c r="G85" s="257">
        <v>4631272</v>
      </c>
      <c r="H85" s="258">
        <f t="shared" ref="H85:H91" si="71">G85/12</f>
        <v>385939.333333333</v>
      </c>
      <c r="I85" s="258">
        <f t="shared" si="70"/>
        <v>45026.2555555556</v>
      </c>
      <c r="J85" s="258">
        <v>6666.67</v>
      </c>
      <c r="K85" s="258">
        <f>K56</f>
        <v>20833.33</v>
      </c>
      <c r="L85" s="258"/>
      <c r="M85" s="258">
        <v>2500</v>
      </c>
      <c r="N85" s="258"/>
      <c r="O85" s="258"/>
      <c r="P85" s="258"/>
      <c r="Q85" s="258"/>
      <c r="R85" s="258"/>
      <c r="S85" s="258"/>
      <c r="T85" s="258"/>
      <c r="U85" s="258">
        <v>383.33</v>
      </c>
      <c r="V85" s="258"/>
      <c r="W85" s="265"/>
      <c r="X85" s="258"/>
      <c r="Y85" s="258"/>
      <c r="Z85" s="258"/>
      <c r="AA85" s="258"/>
      <c r="AB85" s="258"/>
      <c r="AC85" s="258"/>
      <c r="AD85" s="270"/>
      <c r="AE85" s="258"/>
      <c r="AF85" s="258"/>
      <c r="AG85" s="270">
        <f t="shared" si="67"/>
        <v>7718.78666666667</v>
      </c>
      <c r="AH85" s="270"/>
      <c r="AI85" s="278"/>
      <c r="AJ85" s="280"/>
      <c r="AK85" s="280"/>
      <c r="AL85" s="284">
        <v>1000</v>
      </c>
      <c r="AM85" s="281">
        <f>25000+26250+22292</f>
        <v>73542</v>
      </c>
      <c r="AN85" s="258">
        <v>25000</v>
      </c>
      <c r="AO85" s="299">
        <v>2500</v>
      </c>
      <c r="AP85" s="299"/>
      <c r="AQ85" s="299"/>
      <c r="AR85" s="299">
        <f t="shared" si="68"/>
        <v>9226.97837777778</v>
      </c>
      <c r="AS85" s="300"/>
      <c r="AT85" s="300"/>
      <c r="AU85" s="299" t="e">
        <f t="shared" si="41"/>
        <v>#REF!</v>
      </c>
      <c r="AV85" s="299">
        <f t="shared" ref="AV85" si="72">V85+U85+N85+M85+K85+J85+I85+H85</f>
        <v>461348.918888889</v>
      </c>
      <c r="AW85" s="299" t="e">
        <f>AU85+AR85+AO85+AM85+AN85+AL85+AG85</f>
        <v>#REF!</v>
      </c>
      <c r="AX85" s="299"/>
      <c r="AY85" s="299"/>
      <c r="AZ85" s="299" t="e">
        <f t="shared" si="61"/>
        <v>#REF!</v>
      </c>
      <c r="BA85" s="305" t="e">
        <f>SUM(#REF!)</f>
        <v>#REF!</v>
      </c>
      <c r="BB85" s="320" t="e">
        <f>1%*#REF!</f>
        <v>#REF!</v>
      </c>
      <c r="BC85" s="321" t="e">
        <f t="shared" si="52"/>
        <v>#REF!</v>
      </c>
      <c r="BD85" s="322" t="e">
        <f t="shared" si="53"/>
        <v>#REF!</v>
      </c>
      <c r="BE85" s="323"/>
      <c r="BF85" s="324"/>
      <c r="BG85" s="325"/>
      <c r="BH85" s="326"/>
      <c r="BI85" s="326"/>
      <c r="BJ85" s="334"/>
      <c r="BK85" s="335"/>
    </row>
    <row r="86" s="245" customFormat="1" ht="172.5" customHeight="1" spans="1:63">
      <c r="A86" s="255">
        <v>84</v>
      </c>
      <c r="B86" s="70" t="s">
        <v>349</v>
      </c>
      <c r="C86" s="129" t="s">
        <v>130</v>
      </c>
      <c r="D86" s="129" t="s">
        <v>272</v>
      </c>
      <c r="E86" s="256" t="s">
        <v>135</v>
      </c>
      <c r="F86" s="1469" t="s">
        <v>350</v>
      </c>
      <c r="G86" s="257">
        <f>H86*12</f>
        <v>2600486</v>
      </c>
      <c r="H86" s="258">
        <f>H61</f>
        <v>216707.166666667</v>
      </c>
      <c r="I86" s="258">
        <f t="shared" si="70"/>
        <v>25282.5027777778</v>
      </c>
      <c r="J86" s="258">
        <v>5000</v>
      </c>
      <c r="K86" s="258"/>
      <c r="L86" s="258"/>
      <c r="M86" s="258">
        <v>2500</v>
      </c>
      <c r="N86" s="258"/>
      <c r="O86" s="258"/>
      <c r="P86" s="258"/>
      <c r="Q86" s="258"/>
      <c r="R86" s="258"/>
      <c r="S86" s="258"/>
      <c r="T86" s="258"/>
      <c r="U86" s="258">
        <v>383.33</v>
      </c>
      <c r="V86" s="258"/>
      <c r="W86" s="265"/>
      <c r="X86" s="258"/>
      <c r="Y86" s="258"/>
      <c r="Z86" s="258"/>
      <c r="AA86" s="258"/>
      <c r="AB86" s="258"/>
      <c r="AC86" s="258"/>
      <c r="AD86" s="270"/>
      <c r="AE86" s="258"/>
      <c r="AF86" s="258">
        <v>4750</v>
      </c>
      <c r="AG86" s="270">
        <f t="shared" si="67"/>
        <v>4334.14333333333</v>
      </c>
      <c r="AH86" s="270"/>
      <c r="AI86" s="278"/>
      <c r="AJ86" s="279">
        <v>1000</v>
      </c>
      <c r="AK86" s="280"/>
      <c r="AL86" s="280"/>
      <c r="AM86" s="281"/>
      <c r="AN86" s="258"/>
      <c r="AO86" s="299">
        <v>1500</v>
      </c>
      <c r="AP86" s="299"/>
      <c r="AQ86" s="299"/>
      <c r="AR86" s="299">
        <f t="shared" si="68"/>
        <v>4997.45998888889</v>
      </c>
      <c r="AS86" s="300"/>
      <c r="AT86" s="300"/>
      <c r="AU86" s="299" t="e">
        <f t="shared" si="41"/>
        <v>#REF!</v>
      </c>
      <c r="AV86" s="299">
        <f t="shared" ref="AV86:AV87" si="73">W86+V86+U86+N86+M86+K86+J86+I86+H86</f>
        <v>249872.999444444</v>
      </c>
      <c r="AW86" s="299" t="e">
        <f>AU86+AR86+AQ86+AO86+AN86+AM86+AK86+AI86+AH86+AG86+AF86+AE86+AD86+AJ86</f>
        <v>#REF!</v>
      </c>
      <c r="AX86" s="299"/>
      <c r="AY86" s="299"/>
      <c r="AZ86" s="299" t="e">
        <f t="shared" si="61"/>
        <v>#REF!</v>
      </c>
      <c r="BA86" s="305" t="e">
        <f>SUM(#REF!)</f>
        <v>#REF!</v>
      </c>
      <c r="BB86" s="320" t="e">
        <f>1%*#REF!</f>
        <v>#REF!</v>
      </c>
      <c r="BC86" s="321" t="e">
        <f t="shared" si="52"/>
        <v>#REF!</v>
      </c>
      <c r="BD86" s="322" t="e">
        <f t="shared" si="53"/>
        <v>#REF!</v>
      </c>
      <c r="BE86" s="323"/>
      <c r="BF86" s="324"/>
      <c r="BG86" s="325"/>
      <c r="BH86" s="326"/>
      <c r="BI86" s="326"/>
      <c r="BJ86" s="334"/>
      <c r="BK86" s="335"/>
    </row>
    <row r="87" s="245" customFormat="1" ht="177" customHeight="1" spans="1:63">
      <c r="A87" s="255">
        <v>85</v>
      </c>
      <c r="B87" s="70" t="s">
        <v>351</v>
      </c>
      <c r="C87" s="129" t="s">
        <v>352</v>
      </c>
      <c r="D87" s="129" t="s">
        <v>353</v>
      </c>
      <c r="E87" s="256" t="s">
        <v>354</v>
      </c>
      <c r="F87" s="256">
        <v>6016293250</v>
      </c>
      <c r="G87" s="257">
        <v>1691938</v>
      </c>
      <c r="H87" s="258">
        <f t="shared" si="71"/>
        <v>140994.833333333</v>
      </c>
      <c r="I87" s="258">
        <f t="shared" si="70"/>
        <v>16449.3972222222</v>
      </c>
      <c r="J87" s="258">
        <v>5000</v>
      </c>
      <c r="K87" s="258"/>
      <c r="L87" s="258"/>
      <c r="M87" s="258">
        <v>2500</v>
      </c>
      <c r="N87" s="258"/>
      <c r="O87" s="258"/>
      <c r="P87" s="258"/>
      <c r="Q87" s="258"/>
      <c r="R87" s="258"/>
      <c r="S87" s="258"/>
      <c r="T87" s="258"/>
      <c r="U87" s="258">
        <v>383.33</v>
      </c>
      <c r="V87" s="258"/>
      <c r="W87" s="265"/>
      <c r="X87" s="258"/>
      <c r="Y87" s="258"/>
      <c r="Z87" s="258"/>
      <c r="AA87" s="258"/>
      <c r="AB87" s="258"/>
      <c r="AC87" s="258"/>
      <c r="AD87" s="270"/>
      <c r="AE87" s="258"/>
      <c r="AF87" s="258">
        <v>500</v>
      </c>
      <c r="AG87" s="270">
        <f t="shared" si="67"/>
        <v>2819.89666666667</v>
      </c>
      <c r="AH87" s="270"/>
      <c r="AI87" s="278"/>
      <c r="AJ87" s="280"/>
      <c r="AK87" s="280"/>
      <c r="AL87" s="280"/>
      <c r="AM87" s="281">
        <v>10000</v>
      </c>
      <c r="AN87" s="258">
        <v>10000</v>
      </c>
      <c r="AO87" s="299">
        <v>1000</v>
      </c>
      <c r="AP87" s="299"/>
      <c r="AQ87" s="299"/>
      <c r="AR87" s="299">
        <f t="shared" si="68"/>
        <v>3306.55121111111</v>
      </c>
      <c r="AS87" s="300"/>
      <c r="AT87" s="300"/>
      <c r="AU87" s="299" t="e">
        <f t="shared" si="41"/>
        <v>#REF!</v>
      </c>
      <c r="AV87" s="299">
        <f t="shared" si="73"/>
        <v>165327.560555556</v>
      </c>
      <c r="AW87" s="299" t="e">
        <f t="shared" si="64"/>
        <v>#REF!</v>
      </c>
      <c r="AX87" s="299"/>
      <c r="AY87" s="299"/>
      <c r="AZ87" s="299" t="e">
        <f t="shared" si="61"/>
        <v>#REF!</v>
      </c>
      <c r="BA87" s="305" t="e">
        <f>SUM(#REF!)</f>
        <v>#REF!</v>
      </c>
      <c r="BB87" s="320" t="e">
        <f>1%*#REF!</f>
        <v>#REF!</v>
      </c>
      <c r="BC87" s="321" t="e">
        <f t="shared" si="52"/>
        <v>#REF!</v>
      </c>
      <c r="BD87" s="322" t="e">
        <f t="shared" si="53"/>
        <v>#REF!</v>
      </c>
      <c r="BE87" s="323"/>
      <c r="BF87" s="324"/>
      <c r="BG87" s="325"/>
      <c r="BH87" s="326"/>
      <c r="BI87" s="326"/>
      <c r="BJ87" s="334"/>
      <c r="BK87" s="335"/>
    </row>
    <row r="88" s="245" customFormat="1" ht="172.5" customHeight="1" spans="1:63">
      <c r="A88" s="255">
        <v>86</v>
      </c>
      <c r="B88" s="70" t="s">
        <v>355</v>
      </c>
      <c r="C88" s="129" t="s">
        <v>130</v>
      </c>
      <c r="D88" s="129" t="s">
        <v>272</v>
      </c>
      <c r="E88" s="256" t="s">
        <v>135</v>
      </c>
      <c r="F88" s="1469" t="s">
        <v>356</v>
      </c>
      <c r="G88" s="257">
        <v>2600486</v>
      </c>
      <c r="H88" s="258">
        <f t="shared" si="71"/>
        <v>216707.166666667</v>
      </c>
      <c r="I88" s="258">
        <f t="shared" si="70"/>
        <v>25282.5027777778</v>
      </c>
      <c r="J88" s="258">
        <v>5000</v>
      </c>
      <c r="K88" s="258"/>
      <c r="L88" s="258"/>
      <c r="M88" s="258">
        <v>2500</v>
      </c>
      <c r="N88" s="258"/>
      <c r="O88" s="258"/>
      <c r="P88" s="258"/>
      <c r="Q88" s="258"/>
      <c r="R88" s="258"/>
      <c r="S88" s="258"/>
      <c r="T88" s="258"/>
      <c r="U88" s="258">
        <v>383.33</v>
      </c>
      <c r="V88" s="258"/>
      <c r="W88" s="265"/>
      <c r="X88" s="258"/>
      <c r="Y88" s="258"/>
      <c r="Z88" s="258"/>
      <c r="AA88" s="258"/>
      <c r="AB88" s="258"/>
      <c r="AC88" s="258"/>
      <c r="AD88" s="270"/>
      <c r="AE88" s="258"/>
      <c r="AF88" s="258">
        <v>250</v>
      </c>
      <c r="AG88" s="270">
        <f t="shared" si="67"/>
        <v>4334.14333333333</v>
      </c>
      <c r="AH88" s="270">
        <f>20000</f>
        <v>20000</v>
      </c>
      <c r="AI88" s="278"/>
      <c r="AJ88" s="280"/>
      <c r="AK88" s="280"/>
      <c r="AL88" s="284">
        <v>1000</v>
      </c>
      <c r="AM88" s="281">
        <v>83135.75</v>
      </c>
      <c r="AN88" s="258">
        <v>7500</v>
      </c>
      <c r="AO88" s="299">
        <v>1500</v>
      </c>
      <c r="AP88" s="299"/>
      <c r="AQ88" s="299"/>
      <c r="AR88" s="299">
        <f t="shared" si="68"/>
        <v>4997.45998888889</v>
      </c>
      <c r="AS88" s="300"/>
      <c r="AT88" s="300"/>
      <c r="AU88" s="299" t="e">
        <f t="shared" si="41"/>
        <v>#REF!</v>
      </c>
      <c r="AV88" s="299">
        <f t="shared" ref="AV88" si="74">V88+U88+N88+M88+K88+J88+I88+H88</f>
        <v>249872.999444444</v>
      </c>
      <c r="AW88" s="299" t="e">
        <f t="shared" si="64"/>
        <v>#REF!</v>
      </c>
      <c r="AX88" s="299"/>
      <c r="AY88" s="299"/>
      <c r="AZ88" s="299" t="e">
        <f t="shared" si="61"/>
        <v>#REF!</v>
      </c>
      <c r="BA88" s="305" t="e">
        <f>SUM(#REF!)</f>
        <v>#REF!</v>
      </c>
      <c r="BB88" s="320" t="e">
        <f>1%*#REF!</f>
        <v>#REF!</v>
      </c>
      <c r="BC88" s="321" t="e">
        <f t="shared" si="52"/>
        <v>#REF!</v>
      </c>
      <c r="BD88" s="322" t="e">
        <f t="shared" si="53"/>
        <v>#REF!</v>
      </c>
      <c r="BE88" s="323"/>
      <c r="BF88" s="324"/>
      <c r="BG88" s="325"/>
      <c r="BH88" s="326"/>
      <c r="BI88" s="326"/>
      <c r="BJ88" s="334"/>
      <c r="BK88" s="335"/>
    </row>
    <row r="89" s="245" customFormat="1" ht="172.5" customHeight="1" spans="1:63">
      <c r="A89" s="255">
        <v>87</v>
      </c>
      <c r="B89" s="70" t="s">
        <v>357</v>
      </c>
      <c r="C89" s="129" t="s">
        <v>204</v>
      </c>
      <c r="D89" s="129" t="s">
        <v>2039</v>
      </c>
      <c r="E89" s="256" t="s">
        <v>127</v>
      </c>
      <c r="F89" s="1469" t="s">
        <v>358</v>
      </c>
      <c r="G89" s="257">
        <v>2254203</v>
      </c>
      <c r="H89" s="258">
        <f t="shared" si="71"/>
        <v>187850.25</v>
      </c>
      <c r="I89" s="258">
        <f t="shared" si="70"/>
        <v>21915.8625</v>
      </c>
      <c r="J89" s="258">
        <v>5000</v>
      </c>
      <c r="K89" s="258">
        <v>20833.33</v>
      </c>
      <c r="L89" s="258"/>
      <c r="M89" s="258">
        <v>2500</v>
      </c>
      <c r="N89" s="258"/>
      <c r="O89" s="258"/>
      <c r="P89" s="258"/>
      <c r="Q89" s="258"/>
      <c r="R89" s="258"/>
      <c r="S89" s="258"/>
      <c r="T89" s="258"/>
      <c r="U89" s="258">
        <v>383.33</v>
      </c>
      <c r="V89" s="258"/>
      <c r="W89" s="265"/>
      <c r="X89" s="258"/>
      <c r="Y89" s="258"/>
      <c r="Z89" s="258"/>
      <c r="AA89" s="258"/>
      <c r="AB89" s="258"/>
      <c r="AC89" s="258"/>
      <c r="AD89" s="270"/>
      <c r="AE89" s="258"/>
      <c r="AF89" s="258"/>
      <c r="AG89" s="270">
        <f t="shared" si="67"/>
        <v>3757.005</v>
      </c>
      <c r="AH89" s="270"/>
      <c r="AI89" s="282">
        <v>1000</v>
      </c>
      <c r="AJ89" s="279"/>
      <c r="AK89" s="279"/>
      <c r="AL89" s="279"/>
      <c r="AM89" s="281">
        <f>10000+17500</f>
        <v>27500</v>
      </c>
      <c r="AN89" s="258"/>
      <c r="AO89" s="299">
        <v>1500</v>
      </c>
      <c r="AP89" s="299"/>
      <c r="AQ89" s="299"/>
      <c r="AR89" s="299">
        <f t="shared" si="68"/>
        <v>4769.65545</v>
      </c>
      <c r="AS89" s="300"/>
      <c r="AT89" s="300"/>
      <c r="AU89" s="299" t="e">
        <f t="shared" si="41"/>
        <v>#REF!</v>
      </c>
      <c r="AV89" s="299">
        <f t="shared" ref="AV89:AV90" si="75">W89+V89+U89+N89+M89+K89+J89+I89+H89</f>
        <v>238482.7725</v>
      </c>
      <c r="AW89" s="299" t="e">
        <f t="shared" si="64"/>
        <v>#REF!</v>
      </c>
      <c r="AX89" s="299"/>
      <c r="AY89" s="299"/>
      <c r="AZ89" s="299" t="e">
        <f t="shared" si="61"/>
        <v>#REF!</v>
      </c>
      <c r="BA89" s="305" t="e">
        <f>SUM(#REF!)</f>
        <v>#REF!</v>
      </c>
      <c r="BB89" s="320" t="e">
        <f>1%*#REF!</f>
        <v>#REF!</v>
      </c>
      <c r="BC89" s="321" t="e">
        <f t="shared" si="52"/>
        <v>#REF!</v>
      </c>
      <c r="BD89" s="322" t="e">
        <f t="shared" si="53"/>
        <v>#REF!</v>
      </c>
      <c r="BE89" s="323"/>
      <c r="BF89" s="324"/>
      <c r="BG89" s="325"/>
      <c r="BH89" s="326"/>
      <c r="BI89" s="326"/>
      <c r="BJ89" s="334"/>
      <c r="BK89" s="335"/>
    </row>
    <row r="90" s="245" customFormat="1" ht="192" customHeight="1" spans="1:63">
      <c r="A90" s="255">
        <v>88</v>
      </c>
      <c r="B90" s="70" t="s">
        <v>359</v>
      </c>
      <c r="C90" s="129" t="s">
        <v>204</v>
      </c>
      <c r="D90" s="129" t="s">
        <v>360</v>
      </c>
      <c r="E90" s="256" t="s">
        <v>361</v>
      </c>
      <c r="F90" s="256">
        <v>2008091891</v>
      </c>
      <c r="G90" s="257">
        <v>2308911</v>
      </c>
      <c r="H90" s="258">
        <f t="shared" si="71"/>
        <v>192409.25</v>
      </c>
      <c r="I90" s="258">
        <f t="shared" si="70"/>
        <v>22447.7458333333</v>
      </c>
      <c r="J90" s="258">
        <v>5000</v>
      </c>
      <c r="K90" s="258"/>
      <c r="L90" s="258"/>
      <c r="M90" s="258">
        <v>2500</v>
      </c>
      <c r="N90" s="258"/>
      <c r="O90" s="258"/>
      <c r="P90" s="258"/>
      <c r="Q90" s="258"/>
      <c r="R90" s="258"/>
      <c r="S90" s="258"/>
      <c r="T90" s="258"/>
      <c r="U90" s="258">
        <v>383.33</v>
      </c>
      <c r="V90" s="258"/>
      <c r="W90" s="265"/>
      <c r="X90" s="258"/>
      <c r="Y90" s="258"/>
      <c r="Z90" s="258"/>
      <c r="AA90" s="258"/>
      <c r="AB90" s="258"/>
      <c r="AC90" s="258"/>
      <c r="AD90" s="270"/>
      <c r="AE90" s="258"/>
      <c r="AF90" s="258">
        <v>250</v>
      </c>
      <c r="AG90" s="270">
        <f t="shared" si="67"/>
        <v>3848.185</v>
      </c>
      <c r="AH90" s="270"/>
      <c r="AI90" s="278"/>
      <c r="AJ90" s="280"/>
      <c r="AK90" s="280"/>
      <c r="AL90" s="284">
        <v>1000</v>
      </c>
      <c r="AM90" s="281">
        <v>30000</v>
      </c>
      <c r="AN90" s="258"/>
      <c r="AO90" s="299">
        <v>1500</v>
      </c>
      <c r="AP90" s="299"/>
      <c r="AQ90" s="299"/>
      <c r="AR90" s="299">
        <f t="shared" si="68"/>
        <v>4454.80651666667</v>
      </c>
      <c r="AS90" s="300"/>
      <c r="AT90" s="300"/>
      <c r="AU90" s="299" t="e">
        <f t="shared" si="41"/>
        <v>#REF!</v>
      </c>
      <c r="AV90" s="299">
        <f t="shared" si="75"/>
        <v>222740.325833333</v>
      </c>
      <c r="AW90" s="299" t="e">
        <f>AU90+AR90+AO90+AM90+AL90+AG90+AF90</f>
        <v>#REF!</v>
      </c>
      <c r="AX90" s="299"/>
      <c r="AY90" s="299"/>
      <c r="AZ90" s="299" t="e">
        <f t="shared" si="61"/>
        <v>#REF!</v>
      </c>
      <c r="BA90" s="305" t="e">
        <f>SUM(#REF!)</f>
        <v>#REF!</v>
      </c>
      <c r="BB90" s="320" t="e">
        <f>1%*#REF!</f>
        <v>#REF!</v>
      </c>
      <c r="BC90" s="321" t="e">
        <f t="shared" si="52"/>
        <v>#REF!</v>
      </c>
      <c r="BD90" s="322" t="e">
        <f t="shared" si="53"/>
        <v>#REF!</v>
      </c>
      <c r="BE90" s="323"/>
      <c r="BF90" s="324"/>
      <c r="BG90" s="325"/>
      <c r="BH90" s="326"/>
      <c r="BI90" s="326"/>
      <c r="BJ90" s="334"/>
      <c r="BK90" s="335"/>
    </row>
    <row r="91" s="245" customFormat="1" ht="172.5" customHeight="1" spans="1:63">
      <c r="A91" s="255">
        <v>89</v>
      </c>
      <c r="B91" s="70" t="s">
        <v>2049</v>
      </c>
      <c r="C91" s="129" t="s">
        <v>204</v>
      </c>
      <c r="D91" s="129" t="s">
        <v>208</v>
      </c>
      <c r="E91" s="128" t="s">
        <v>122</v>
      </c>
      <c r="F91" s="1469" t="s">
        <v>838</v>
      </c>
      <c r="G91" s="257">
        <v>2035173</v>
      </c>
      <c r="H91" s="258">
        <f t="shared" si="71"/>
        <v>169597.75</v>
      </c>
      <c r="I91" s="258">
        <f t="shared" si="70"/>
        <v>19786.4041666667</v>
      </c>
      <c r="J91" s="258">
        <v>5000</v>
      </c>
      <c r="K91" s="258"/>
      <c r="L91" s="258"/>
      <c r="M91" s="258">
        <v>2500</v>
      </c>
      <c r="N91" s="258"/>
      <c r="O91" s="258"/>
      <c r="P91" s="258"/>
      <c r="Q91" s="258"/>
      <c r="R91" s="258"/>
      <c r="S91" s="258"/>
      <c r="T91" s="258"/>
      <c r="U91" s="258">
        <v>383.33</v>
      </c>
      <c r="V91" s="258"/>
      <c r="W91" s="265"/>
      <c r="X91" s="258"/>
      <c r="Y91" s="258"/>
      <c r="Z91" s="258"/>
      <c r="AA91" s="258"/>
      <c r="AB91" s="258"/>
      <c r="AC91" s="258"/>
      <c r="AD91" s="270"/>
      <c r="AE91" s="258"/>
      <c r="AF91" s="258"/>
      <c r="AG91" s="270">
        <f t="shared" si="67"/>
        <v>3391.955</v>
      </c>
      <c r="AH91" s="270"/>
      <c r="AI91" s="278"/>
      <c r="AJ91" s="280"/>
      <c r="AK91" s="280"/>
      <c r="AL91" s="280"/>
      <c r="AM91" s="281"/>
      <c r="AN91" s="258"/>
      <c r="AO91" s="299">
        <v>1500</v>
      </c>
      <c r="AP91" s="299"/>
      <c r="AQ91" s="299"/>
      <c r="AR91" s="299">
        <f t="shared" si="68"/>
        <v>3945.34968333333</v>
      </c>
      <c r="AS91" s="300"/>
      <c r="AT91" s="300"/>
      <c r="AU91" s="299" t="e">
        <f t="shared" si="41"/>
        <v>#REF!</v>
      </c>
      <c r="AV91" s="299">
        <f t="shared" ref="AV91" si="76">V91+U91+N91+M91+K91+J91+I91+H91</f>
        <v>197267.484166667</v>
      </c>
      <c r="AW91" s="299" t="e">
        <f t="shared" si="64"/>
        <v>#REF!</v>
      </c>
      <c r="AX91" s="299"/>
      <c r="AY91" s="299"/>
      <c r="AZ91" s="299" t="e">
        <f t="shared" si="61"/>
        <v>#REF!</v>
      </c>
      <c r="BA91" s="305" t="e">
        <f>SUM(#REF!)</f>
        <v>#REF!</v>
      </c>
      <c r="BB91" s="320" t="e">
        <f>1%*#REF!</f>
        <v>#REF!</v>
      </c>
      <c r="BC91" s="321" t="e">
        <f t="shared" si="52"/>
        <v>#REF!</v>
      </c>
      <c r="BD91" s="322" t="e">
        <f t="shared" si="53"/>
        <v>#REF!</v>
      </c>
      <c r="BE91" s="323"/>
      <c r="BF91" s="324"/>
      <c r="BG91" s="325"/>
      <c r="BH91" s="326"/>
      <c r="BI91" s="326"/>
      <c r="BJ91" s="334"/>
      <c r="BK91" s="335"/>
    </row>
    <row r="92" s="245" customFormat="1" ht="179" customHeight="1" spans="1:63">
      <c r="A92" s="255">
        <v>90</v>
      </c>
      <c r="B92" s="70" t="s">
        <v>2050</v>
      </c>
      <c r="C92" s="129" t="s">
        <v>363</v>
      </c>
      <c r="D92" s="129" t="s">
        <v>465</v>
      </c>
      <c r="E92" s="128" t="s">
        <v>313</v>
      </c>
      <c r="F92" s="256">
        <v>2908285016</v>
      </c>
      <c r="G92" s="257">
        <f>H92*12</f>
        <v>990345</v>
      </c>
      <c r="H92" s="258">
        <f>165057.5/2</f>
        <v>82528.75</v>
      </c>
      <c r="I92" s="258"/>
      <c r="J92" s="258"/>
      <c r="K92" s="258"/>
      <c r="L92" s="258"/>
      <c r="M92" s="258">
        <v>2500</v>
      </c>
      <c r="N92" s="258"/>
      <c r="O92" s="258"/>
      <c r="P92" s="258"/>
      <c r="Q92" s="258"/>
      <c r="R92" s="258"/>
      <c r="S92" s="258"/>
      <c r="T92" s="258"/>
      <c r="U92" s="258"/>
      <c r="V92" s="258"/>
      <c r="W92" s="265"/>
      <c r="X92" s="258"/>
      <c r="Y92" s="258"/>
      <c r="Z92" s="258"/>
      <c r="AA92" s="258"/>
      <c r="AB92" s="258"/>
      <c r="AC92" s="258"/>
      <c r="AD92" s="270"/>
      <c r="AE92" s="258"/>
      <c r="AF92" s="258"/>
      <c r="AG92" s="270">
        <f t="shared" si="67"/>
        <v>1650.575</v>
      </c>
      <c r="AH92" s="270"/>
      <c r="AI92" s="278"/>
      <c r="AJ92" s="279">
        <v>1000</v>
      </c>
      <c r="AK92" s="280"/>
      <c r="AL92" s="280"/>
      <c r="AM92" s="281"/>
      <c r="AN92" s="258"/>
      <c r="AO92" s="299">
        <v>500</v>
      </c>
      <c r="AP92" s="299"/>
      <c r="AQ92" s="299"/>
      <c r="AR92" s="299">
        <f t="shared" si="68"/>
        <v>1700.575</v>
      </c>
      <c r="AS92" s="300"/>
      <c r="AT92" s="300"/>
      <c r="AU92" s="299" t="e">
        <f t="shared" si="41"/>
        <v>#REF!</v>
      </c>
      <c r="AV92" s="299">
        <f t="shared" ref="AV92:AV94" si="77">W92+V92+U92+N92+M92+K92+J92+I92+H92</f>
        <v>85028.75</v>
      </c>
      <c r="AW92" s="299" t="e">
        <f>AU92+AR92+AQ92+AO92+AN92+AM92+AK92+AI92+AH92+AG92+AF92+AE92+AD92+AJ92</f>
        <v>#REF!</v>
      </c>
      <c r="AX92" s="299"/>
      <c r="AY92" s="299"/>
      <c r="AZ92" s="299" t="e">
        <f t="shared" si="61"/>
        <v>#REF!</v>
      </c>
      <c r="BA92" s="305" t="e">
        <f>SUM(#REF!)</f>
        <v>#REF!</v>
      </c>
      <c r="BB92" s="320" t="e">
        <f>1%*#REF!</f>
        <v>#REF!</v>
      </c>
      <c r="BC92" s="321" t="e">
        <f t="shared" si="52"/>
        <v>#REF!</v>
      </c>
      <c r="BD92" s="322" t="e">
        <f t="shared" si="53"/>
        <v>#REF!</v>
      </c>
      <c r="BE92" s="323"/>
      <c r="BF92" s="324"/>
      <c r="BG92" s="325"/>
      <c r="BH92" s="326"/>
      <c r="BI92" s="326"/>
      <c r="BJ92" s="334"/>
      <c r="BK92" s="335"/>
    </row>
    <row r="93" s="245" customFormat="1" ht="179" customHeight="1" spans="1:63">
      <c r="A93" s="255">
        <v>91</v>
      </c>
      <c r="B93" s="70" t="s">
        <v>362</v>
      </c>
      <c r="C93" s="129" t="s">
        <v>363</v>
      </c>
      <c r="D93" s="129" t="s">
        <v>1681</v>
      </c>
      <c r="E93" s="128"/>
      <c r="F93" s="256"/>
      <c r="G93" s="257">
        <f>H93*12</f>
        <v>1017689.04</v>
      </c>
      <c r="H93" s="258">
        <v>84807.42</v>
      </c>
      <c r="I93" s="258"/>
      <c r="J93" s="258"/>
      <c r="K93" s="258"/>
      <c r="L93" s="258"/>
      <c r="M93" s="258">
        <v>2500</v>
      </c>
      <c r="N93" s="258"/>
      <c r="O93" s="258"/>
      <c r="P93" s="258"/>
      <c r="Q93" s="258"/>
      <c r="R93" s="258"/>
      <c r="S93" s="258"/>
      <c r="T93" s="258"/>
      <c r="U93" s="258"/>
      <c r="V93" s="258"/>
      <c r="W93" s="265"/>
      <c r="X93" s="258"/>
      <c r="Y93" s="258"/>
      <c r="Z93" s="258"/>
      <c r="AA93" s="258"/>
      <c r="AB93" s="258"/>
      <c r="AC93" s="258"/>
      <c r="AD93" s="270"/>
      <c r="AE93" s="258"/>
      <c r="AF93" s="258"/>
      <c r="AG93" s="270">
        <f t="shared" si="67"/>
        <v>1696.1484</v>
      </c>
      <c r="AH93" s="270"/>
      <c r="AI93" s="278"/>
      <c r="AJ93" s="279"/>
      <c r="AK93" s="280"/>
      <c r="AL93" s="280"/>
      <c r="AM93" s="281"/>
      <c r="AN93" s="258"/>
      <c r="AO93" s="299">
        <v>500</v>
      </c>
      <c r="AP93" s="299"/>
      <c r="AQ93" s="299"/>
      <c r="AR93" s="299">
        <f t="shared" si="68"/>
        <v>1746.1484</v>
      </c>
      <c r="AS93" s="300"/>
      <c r="AT93" s="300"/>
      <c r="AU93" s="299" t="e">
        <f t="shared" si="41"/>
        <v>#REF!</v>
      </c>
      <c r="AV93" s="299">
        <f t="shared" si="77"/>
        <v>87307.42</v>
      </c>
      <c r="AW93" s="299" t="e">
        <f>AU93+AR93+AQ93+AO93+AN93+AM93+AK93+AI93+AH93+AG93+AF93+AE93+AD93+AJ93</f>
        <v>#REF!</v>
      </c>
      <c r="AX93" s="299"/>
      <c r="AY93" s="299"/>
      <c r="AZ93" s="299" t="e">
        <f t="shared" si="61"/>
        <v>#REF!</v>
      </c>
      <c r="BA93" s="305" t="e">
        <f>SUM(#REF!)</f>
        <v>#REF!</v>
      </c>
      <c r="BB93" s="320" t="e">
        <f>1%*#REF!</f>
        <v>#REF!</v>
      </c>
      <c r="BC93" s="321" t="e">
        <f t="shared" si="52"/>
        <v>#REF!</v>
      </c>
      <c r="BD93" s="322" t="e">
        <f t="shared" si="53"/>
        <v>#REF!</v>
      </c>
      <c r="BE93" s="323"/>
      <c r="BF93" s="324"/>
      <c r="BG93" s="325"/>
      <c r="BH93" s="326"/>
      <c r="BI93" s="326"/>
      <c r="BJ93" s="334"/>
      <c r="BK93" s="335"/>
    </row>
    <row r="94" s="247" customFormat="1" ht="172.5" customHeight="1" spans="1:63">
      <c r="A94" s="255">
        <v>92</v>
      </c>
      <c r="B94" s="70" t="s">
        <v>365</v>
      </c>
      <c r="C94" s="129" t="s">
        <v>130</v>
      </c>
      <c r="D94" s="129" t="s">
        <v>272</v>
      </c>
      <c r="E94" s="256" t="s">
        <v>135</v>
      </c>
      <c r="F94" s="1469" t="s">
        <v>366</v>
      </c>
      <c r="G94" s="257">
        <v>2199196</v>
      </c>
      <c r="H94" s="258">
        <f>H88</f>
        <v>216707.166666667</v>
      </c>
      <c r="I94" s="258">
        <f t="shared" si="70"/>
        <v>25282.5027777778</v>
      </c>
      <c r="J94" s="258">
        <v>5000</v>
      </c>
      <c r="K94" s="258"/>
      <c r="L94" s="258"/>
      <c r="M94" s="258">
        <v>2500</v>
      </c>
      <c r="N94" s="258"/>
      <c r="O94" s="258"/>
      <c r="P94" s="258"/>
      <c r="Q94" s="258"/>
      <c r="R94" s="258"/>
      <c r="S94" s="258"/>
      <c r="T94" s="258"/>
      <c r="U94" s="258">
        <v>383.33</v>
      </c>
      <c r="V94" s="258"/>
      <c r="W94" s="265"/>
      <c r="X94" s="258"/>
      <c r="Y94" s="258"/>
      <c r="Z94" s="258"/>
      <c r="AA94" s="258"/>
      <c r="AB94" s="258"/>
      <c r="AC94" s="258"/>
      <c r="AD94" s="270"/>
      <c r="AE94" s="258"/>
      <c r="AF94" s="258">
        <v>1500</v>
      </c>
      <c r="AG94" s="270">
        <f t="shared" si="67"/>
        <v>4334.14333333333</v>
      </c>
      <c r="AH94" s="270"/>
      <c r="AI94" s="282">
        <v>1000</v>
      </c>
      <c r="AJ94" s="279"/>
      <c r="AK94" s="279"/>
      <c r="AL94" s="279"/>
      <c r="AM94" s="281"/>
      <c r="AN94" s="258">
        <v>7500</v>
      </c>
      <c r="AO94" s="299">
        <v>1500</v>
      </c>
      <c r="AP94" s="299"/>
      <c r="AQ94" s="299"/>
      <c r="AR94" s="299">
        <f t="shared" si="68"/>
        <v>4997.45998888889</v>
      </c>
      <c r="AS94" s="300"/>
      <c r="AT94" s="300"/>
      <c r="AU94" s="299" t="e">
        <f t="shared" si="41"/>
        <v>#REF!</v>
      </c>
      <c r="AV94" s="299">
        <f t="shared" si="77"/>
        <v>249872.999444444</v>
      </c>
      <c r="AW94" s="299" t="e">
        <f t="shared" si="64"/>
        <v>#REF!</v>
      </c>
      <c r="AX94" s="299"/>
      <c r="AY94" s="299"/>
      <c r="AZ94" s="299" t="e">
        <f t="shared" si="61"/>
        <v>#REF!</v>
      </c>
      <c r="BA94" s="305" t="e">
        <f>SUM(#REF!)</f>
        <v>#REF!</v>
      </c>
      <c r="BB94" s="320" t="e">
        <f>1%*#REF!</f>
        <v>#REF!</v>
      </c>
      <c r="BC94" s="321" t="e">
        <f t="shared" si="52"/>
        <v>#REF!</v>
      </c>
      <c r="BD94" s="322" t="e">
        <f t="shared" si="53"/>
        <v>#REF!</v>
      </c>
      <c r="BE94" s="323"/>
      <c r="BF94" s="324"/>
      <c r="BG94" s="325"/>
      <c r="BH94" s="326"/>
      <c r="BI94" s="326"/>
      <c r="BJ94" s="357"/>
      <c r="BK94" s="358"/>
    </row>
    <row r="95" s="245" customFormat="1" ht="172.5" customHeight="1" spans="1:63">
      <c r="A95" s="255">
        <v>93</v>
      </c>
      <c r="B95" s="70" t="s">
        <v>2051</v>
      </c>
      <c r="C95" s="129" t="s">
        <v>204</v>
      </c>
      <c r="D95" s="129" t="s">
        <v>205</v>
      </c>
      <c r="E95" s="256" t="s">
        <v>113</v>
      </c>
      <c r="F95" s="256">
        <v>2216620496</v>
      </c>
      <c r="G95" s="257">
        <v>2090081</v>
      </c>
      <c r="H95" s="258">
        <f t="shared" ref="H95:H101" si="78">G95/12</f>
        <v>174173.416666667</v>
      </c>
      <c r="I95" s="258">
        <f t="shared" si="70"/>
        <v>20320.2319444444</v>
      </c>
      <c r="J95" s="258">
        <v>5000</v>
      </c>
      <c r="K95" s="258">
        <f>K89*3</f>
        <v>62499.99</v>
      </c>
      <c r="L95" s="258"/>
      <c r="M95" s="258">
        <v>2500</v>
      </c>
      <c r="N95" s="258"/>
      <c r="O95" s="258"/>
      <c r="P95" s="258"/>
      <c r="Q95" s="258"/>
      <c r="R95" s="258"/>
      <c r="S95" s="258"/>
      <c r="T95" s="258"/>
      <c r="U95" s="258">
        <v>383.33</v>
      </c>
      <c r="V95" s="258"/>
      <c r="W95" s="265"/>
      <c r="X95" s="258"/>
      <c r="Y95" s="258"/>
      <c r="Z95" s="258"/>
      <c r="AA95" s="258"/>
      <c r="AB95" s="258"/>
      <c r="AC95" s="258"/>
      <c r="AD95" s="270"/>
      <c r="AE95" s="258"/>
      <c r="AF95" s="258"/>
      <c r="AG95" s="270">
        <f t="shared" si="67"/>
        <v>3483.46833333333</v>
      </c>
      <c r="AH95" s="270"/>
      <c r="AI95" s="278"/>
      <c r="AJ95" s="280"/>
      <c r="AK95" s="280"/>
      <c r="AL95" s="284">
        <v>1000</v>
      </c>
      <c r="AM95" s="281">
        <f>36250+26250</f>
        <v>62500</v>
      </c>
      <c r="AN95" s="258"/>
      <c r="AO95" s="299">
        <v>1500</v>
      </c>
      <c r="AP95" s="299"/>
      <c r="AQ95" s="299"/>
      <c r="AR95" s="299">
        <f t="shared" si="68"/>
        <v>5297.53937222222</v>
      </c>
      <c r="AS95" s="300"/>
      <c r="AT95" s="300"/>
      <c r="AU95" s="299" t="e">
        <f t="shared" si="41"/>
        <v>#REF!</v>
      </c>
      <c r="AV95" s="299">
        <f t="shared" ref="AV95" si="79">V95+U95+N95+M95+K95+J95+I95+H95</f>
        <v>264876.968611111</v>
      </c>
      <c r="AW95" s="299" t="e">
        <f>AU95+AR95+AQ95+AO95+AN95+AM95+AK95+AI95+AH95+AG95+AF95+AE95+AD95+AL95</f>
        <v>#REF!</v>
      </c>
      <c r="AX95" s="299"/>
      <c r="AY95" s="299"/>
      <c r="AZ95" s="299" t="e">
        <f t="shared" si="61"/>
        <v>#REF!</v>
      </c>
      <c r="BA95" s="305" t="e">
        <f>SUM(#REF!)</f>
        <v>#REF!</v>
      </c>
      <c r="BB95" s="320" t="e">
        <f>1%*#REF!</f>
        <v>#REF!</v>
      </c>
      <c r="BC95" s="321" t="e">
        <f t="shared" si="52"/>
        <v>#REF!</v>
      </c>
      <c r="BD95" s="322" t="e">
        <f t="shared" si="53"/>
        <v>#REF!</v>
      </c>
      <c r="BE95" s="323"/>
      <c r="BF95" s="324"/>
      <c r="BG95" s="325"/>
      <c r="BH95" s="326"/>
      <c r="BI95" s="326"/>
      <c r="BJ95" s="334"/>
      <c r="BK95" s="335"/>
    </row>
    <row r="96" s="245" customFormat="1" ht="172.5" customHeight="1" spans="1:63">
      <c r="A96" s="255">
        <v>94</v>
      </c>
      <c r="B96" s="70" t="s">
        <v>369</v>
      </c>
      <c r="C96" s="129" t="s">
        <v>204</v>
      </c>
      <c r="D96" s="129" t="s">
        <v>360</v>
      </c>
      <c r="E96" s="256" t="s">
        <v>135</v>
      </c>
      <c r="F96" s="1469" t="s">
        <v>370</v>
      </c>
      <c r="G96" s="257">
        <v>2308911</v>
      </c>
      <c r="H96" s="258">
        <f t="shared" si="78"/>
        <v>192409.25</v>
      </c>
      <c r="I96" s="258">
        <f t="shared" si="70"/>
        <v>22447.7458333333</v>
      </c>
      <c r="J96" s="258">
        <v>5000</v>
      </c>
      <c r="K96" s="258"/>
      <c r="L96" s="258"/>
      <c r="M96" s="258">
        <v>2500</v>
      </c>
      <c r="N96" s="258"/>
      <c r="O96" s="258"/>
      <c r="P96" s="258"/>
      <c r="Q96" s="258"/>
      <c r="R96" s="258"/>
      <c r="S96" s="258"/>
      <c r="T96" s="258"/>
      <c r="U96" s="258">
        <v>383.33</v>
      </c>
      <c r="V96" s="258"/>
      <c r="W96" s="265"/>
      <c r="X96" s="258"/>
      <c r="Y96" s="258"/>
      <c r="Z96" s="258"/>
      <c r="AA96" s="258"/>
      <c r="AB96" s="258"/>
      <c r="AC96" s="258"/>
      <c r="AD96" s="270"/>
      <c r="AE96" s="258"/>
      <c r="AF96" s="258">
        <v>1250</v>
      </c>
      <c r="AG96" s="270">
        <f t="shared" si="67"/>
        <v>3848.185</v>
      </c>
      <c r="AH96" s="270"/>
      <c r="AI96" s="282">
        <v>1000</v>
      </c>
      <c r="AJ96" s="279"/>
      <c r="AK96" s="279"/>
      <c r="AL96" s="279"/>
      <c r="AM96" s="281"/>
      <c r="AN96" s="258"/>
      <c r="AO96" s="299">
        <v>1500</v>
      </c>
      <c r="AP96" s="299"/>
      <c r="AQ96" s="299"/>
      <c r="AR96" s="299">
        <f t="shared" si="68"/>
        <v>4454.80651666667</v>
      </c>
      <c r="AS96" s="300"/>
      <c r="AT96" s="300"/>
      <c r="AU96" s="299" t="e">
        <f t="shared" si="41"/>
        <v>#REF!</v>
      </c>
      <c r="AV96" s="299">
        <f t="shared" ref="AV96:AV97" si="80">W96+V96+U96+N96+M96+K96+J96+I96+H96</f>
        <v>222740.325833333</v>
      </c>
      <c r="AW96" s="299" t="e">
        <f t="shared" si="64"/>
        <v>#REF!</v>
      </c>
      <c r="AX96" s="299"/>
      <c r="AY96" s="299"/>
      <c r="AZ96" s="299" t="e">
        <f t="shared" si="61"/>
        <v>#REF!</v>
      </c>
      <c r="BA96" s="305" t="e">
        <f>SUM(#REF!)</f>
        <v>#REF!</v>
      </c>
      <c r="BB96" s="320" t="e">
        <f>1%*#REF!</f>
        <v>#REF!</v>
      </c>
      <c r="BC96" s="321" t="e">
        <f t="shared" si="52"/>
        <v>#REF!</v>
      </c>
      <c r="BD96" s="322" t="e">
        <f t="shared" si="53"/>
        <v>#REF!</v>
      </c>
      <c r="BE96" s="323"/>
      <c r="BF96" s="324"/>
      <c r="BG96" s="325"/>
      <c r="BH96" s="326"/>
      <c r="BI96" s="326"/>
      <c r="BJ96" s="334"/>
      <c r="BK96" s="335"/>
    </row>
    <row r="97" s="245" customFormat="1" ht="175" customHeight="1" spans="1:63">
      <c r="A97" s="255">
        <v>95</v>
      </c>
      <c r="B97" s="70" t="s">
        <v>2052</v>
      </c>
      <c r="C97" s="129" t="s">
        <v>221</v>
      </c>
      <c r="D97" s="129" t="s">
        <v>430</v>
      </c>
      <c r="E97" s="256" t="s">
        <v>165</v>
      </c>
      <c r="F97" s="256">
        <v>2000726706</v>
      </c>
      <c r="G97" s="257">
        <v>2048214</v>
      </c>
      <c r="H97" s="258">
        <f t="shared" si="78"/>
        <v>170684.5</v>
      </c>
      <c r="I97" s="258">
        <f t="shared" si="70"/>
        <v>19913.1916666667</v>
      </c>
      <c r="J97" s="258">
        <v>5000</v>
      </c>
      <c r="K97" s="258"/>
      <c r="L97" s="258"/>
      <c r="M97" s="258">
        <v>2500</v>
      </c>
      <c r="N97" s="258"/>
      <c r="O97" s="258"/>
      <c r="P97" s="258"/>
      <c r="Q97" s="258"/>
      <c r="R97" s="258"/>
      <c r="S97" s="258"/>
      <c r="T97" s="258"/>
      <c r="U97" s="258">
        <v>383.33</v>
      </c>
      <c r="V97" s="258"/>
      <c r="W97" s="265"/>
      <c r="X97" s="258"/>
      <c r="Y97" s="258"/>
      <c r="Z97" s="258"/>
      <c r="AA97" s="258"/>
      <c r="AB97" s="258"/>
      <c r="AC97" s="258"/>
      <c r="AD97" s="270"/>
      <c r="AE97" s="258"/>
      <c r="AF97" s="258"/>
      <c r="AG97" s="270">
        <f t="shared" si="67"/>
        <v>3413.69</v>
      </c>
      <c r="AH97" s="270"/>
      <c r="AI97" s="282"/>
      <c r="AJ97" s="280"/>
      <c r="AK97" s="280"/>
      <c r="AL97" s="280"/>
      <c r="AM97" s="281"/>
      <c r="AN97" s="258">
        <v>10000</v>
      </c>
      <c r="AO97" s="299">
        <v>1000</v>
      </c>
      <c r="AP97" s="299"/>
      <c r="AQ97" s="299"/>
      <c r="AR97" s="299">
        <f t="shared" si="68"/>
        <v>3969.62043333333</v>
      </c>
      <c r="AS97" s="300"/>
      <c r="AT97" s="300"/>
      <c r="AU97" s="299" t="e">
        <f t="shared" si="41"/>
        <v>#REF!</v>
      </c>
      <c r="AV97" s="299">
        <f t="shared" si="80"/>
        <v>198481.021666667</v>
      </c>
      <c r="AW97" s="299" t="e">
        <f t="shared" si="64"/>
        <v>#REF!</v>
      </c>
      <c r="AX97" s="299"/>
      <c r="AY97" s="299"/>
      <c r="AZ97" s="299" t="e">
        <f t="shared" si="61"/>
        <v>#REF!</v>
      </c>
      <c r="BA97" s="305" t="e">
        <f>SUM(#REF!)</f>
        <v>#REF!</v>
      </c>
      <c r="BB97" s="320" t="e">
        <f>1%*#REF!</f>
        <v>#REF!</v>
      </c>
      <c r="BC97" s="321" t="e">
        <f t="shared" si="52"/>
        <v>#REF!</v>
      </c>
      <c r="BD97" s="322" t="e">
        <f t="shared" si="53"/>
        <v>#REF!</v>
      </c>
      <c r="BE97" s="323"/>
      <c r="BF97" s="324"/>
      <c r="BG97" s="325"/>
      <c r="BH97" s="326"/>
      <c r="BI97" s="326"/>
      <c r="BJ97" s="334"/>
      <c r="BK97" s="335"/>
    </row>
    <row r="98" s="245" customFormat="1" ht="172.5" customHeight="1" spans="1:63">
      <c r="A98" s="255">
        <v>96</v>
      </c>
      <c r="B98" s="70" t="s">
        <v>371</v>
      </c>
      <c r="C98" s="129" t="s">
        <v>138</v>
      </c>
      <c r="D98" s="129" t="s">
        <v>263</v>
      </c>
      <c r="E98" s="256" t="s">
        <v>165</v>
      </c>
      <c r="F98" s="256">
        <v>2005960363</v>
      </c>
      <c r="G98" s="257">
        <v>4479454</v>
      </c>
      <c r="H98" s="258">
        <f t="shared" si="78"/>
        <v>373287.833333333</v>
      </c>
      <c r="I98" s="258">
        <f t="shared" si="70"/>
        <v>43550.2472222222</v>
      </c>
      <c r="J98" s="258">
        <v>6666.67</v>
      </c>
      <c r="K98" s="258">
        <v>20833.33</v>
      </c>
      <c r="L98" s="258"/>
      <c r="M98" s="258">
        <v>2500</v>
      </c>
      <c r="N98" s="258"/>
      <c r="O98" s="258"/>
      <c r="P98" s="258"/>
      <c r="Q98" s="258"/>
      <c r="R98" s="258"/>
      <c r="S98" s="258"/>
      <c r="T98" s="258"/>
      <c r="U98" s="258">
        <v>383.33</v>
      </c>
      <c r="V98" s="258"/>
      <c r="W98" s="265"/>
      <c r="X98" s="258"/>
      <c r="Y98" s="258"/>
      <c r="Z98" s="258"/>
      <c r="AA98" s="258"/>
      <c r="AB98" s="258"/>
      <c r="AC98" s="258"/>
      <c r="AD98" s="270"/>
      <c r="AE98" s="258"/>
      <c r="AF98" s="258"/>
      <c r="AG98" s="270">
        <f t="shared" si="67"/>
        <v>7465.75666666667</v>
      </c>
      <c r="AH98" s="270">
        <f>5000</f>
        <v>5000</v>
      </c>
      <c r="AI98" s="278"/>
      <c r="AJ98" s="280"/>
      <c r="AK98" s="280"/>
      <c r="AL98" s="280"/>
      <c r="AM98" s="281">
        <f>109458.44+21000</f>
        <v>130458.44</v>
      </c>
      <c r="AN98" s="258">
        <v>10000</v>
      </c>
      <c r="AO98" s="299">
        <v>2500</v>
      </c>
      <c r="AP98" s="299"/>
      <c r="AQ98" s="299"/>
      <c r="AR98" s="299">
        <f t="shared" si="68"/>
        <v>8944.42821111111</v>
      </c>
      <c r="AS98" s="300"/>
      <c r="AT98" s="300"/>
      <c r="AU98" s="299" t="e">
        <f t="shared" si="41"/>
        <v>#REF!</v>
      </c>
      <c r="AV98" s="299">
        <f t="shared" ref="AV98" si="81">V98+U98+N98+M98+K98+J98+I98+H98</f>
        <v>447221.410555556</v>
      </c>
      <c r="AW98" s="299" t="e">
        <f t="shared" si="64"/>
        <v>#REF!</v>
      </c>
      <c r="AX98" s="299"/>
      <c r="AY98" s="299"/>
      <c r="AZ98" s="299" t="e">
        <f t="shared" si="61"/>
        <v>#REF!</v>
      </c>
      <c r="BA98" s="305" t="e">
        <f>SUM(#REF!)</f>
        <v>#REF!</v>
      </c>
      <c r="BB98" s="320" t="e">
        <f>1%*#REF!</f>
        <v>#REF!</v>
      </c>
      <c r="BC98" s="321" t="e">
        <f t="shared" si="52"/>
        <v>#REF!</v>
      </c>
      <c r="BD98" s="322" t="e">
        <f t="shared" si="53"/>
        <v>#REF!</v>
      </c>
      <c r="BE98" s="323"/>
      <c r="BF98" s="324"/>
      <c r="BG98" s="325"/>
      <c r="BH98" s="326"/>
      <c r="BI98" s="326"/>
      <c r="BJ98" s="334"/>
      <c r="BK98" s="335"/>
    </row>
    <row r="99" s="245" customFormat="1" ht="172.5" customHeight="1" spans="1:63">
      <c r="A99" s="255">
        <v>97</v>
      </c>
      <c r="B99" s="70" t="s">
        <v>2053</v>
      </c>
      <c r="C99" s="129" t="s">
        <v>204</v>
      </c>
      <c r="D99" s="129" t="s">
        <v>2039</v>
      </c>
      <c r="E99" s="256" t="s">
        <v>422</v>
      </c>
      <c r="F99" s="256">
        <v>1760353888</v>
      </c>
      <c r="G99" s="257">
        <f>G89</f>
        <v>2254203</v>
      </c>
      <c r="H99" s="258">
        <f t="shared" si="78"/>
        <v>187850.25</v>
      </c>
      <c r="I99" s="258">
        <f t="shared" si="70"/>
        <v>21915.8625</v>
      </c>
      <c r="J99" s="258">
        <v>5000</v>
      </c>
      <c r="K99" s="258"/>
      <c r="L99" s="258"/>
      <c r="M99" s="258">
        <v>2500</v>
      </c>
      <c r="N99" s="258"/>
      <c r="O99" s="258"/>
      <c r="P99" s="258"/>
      <c r="Q99" s="258"/>
      <c r="R99" s="258"/>
      <c r="S99" s="258"/>
      <c r="T99" s="258"/>
      <c r="U99" s="258">
        <v>383.33</v>
      </c>
      <c r="V99" s="258"/>
      <c r="W99" s="265"/>
      <c r="X99" s="258"/>
      <c r="Y99" s="258"/>
      <c r="Z99" s="258"/>
      <c r="AA99" s="258"/>
      <c r="AB99" s="258"/>
      <c r="AC99" s="258"/>
      <c r="AD99" s="270"/>
      <c r="AE99" s="258"/>
      <c r="AF99" s="258"/>
      <c r="AG99" s="270">
        <f t="shared" si="67"/>
        <v>3757.005</v>
      </c>
      <c r="AH99" s="270"/>
      <c r="AI99" s="278"/>
      <c r="AJ99" s="280"/>
      <c r="AK99" s="280"/>
      <c r="AL99" s="284">
        <v>1000</v>
      </c>
      <c r="AM99" s="281"/>
      <c r="AN99" s="258"/>
      <c r="AO99" s="299">
        <v>1500</v>
      </c>
      <c r="AP99" s="299"/>
      <c r="AQ99" s="299">
        <v>1250</v>
      </c>
      <c r="AR99" s="299">
        <f t="shared" si="68"/>
        <v>4352.98885</v>
      </c>
      <c r="AS99" s="300"/>
      <c r="AT99" s="300"/>
      <c r="AU99" s="299" t="e">
        <f t="shared" si="41"/>
        <v>#REF!</v>
      </c>
      <c r="AV99" s="299">
        <f t="shared" ref="AV99" si="82">W99+V99+U99+N99+M99+K99+J99+I99+H99</f>
        <v>217649.4425</v>
      </c>
      <c r="AW99" s="299" t="e">
        <f>AU99+AR99+AQ99+AO99+AN99+AM99+AK99+AI99+AH99+AG99+AF99+AE99+AD99+AL99</f>
        <v>#REF!</v>
      </c>
      <c r="AX99" s="299"/>
      <c r="AY99" s="299"/>
      <c r="AZ99" s="299" t="e">
        <f t="shared" si="61"/>
        <v>#REF!</v>
      </c>
      <c r="BA99" s="305" t="e">
        <f>SUM(#REF!)</f>
        <v>#REF!</v>
      </c>
      <c r="BB99" s="320" t="e">
        <f>1%*#REF!</f>
        <v>#REF!</v>
      </c>
      <c r="BC99" s="321" t="e">
        <f t="shared" si="52"/>
        <v>#REF!</v>
      </c>
      <c r="BD99" s="322" t="e">
        <f t="shared" si="53"/>
        <v>#REF!</v>
      </c>
      <c r="BE99" s="323"/>
      <c r="BF99" s="324"/>
      <c r="BG99" s="325"/>
      <c r="BH99" s="326"/>
      <c r="BI99" s="326"/>
      <c r="BJ99" s="334"/>
      <c r="BK99" s="335"/>
    </row>
    <row r="100" s="245" customFormat="1" ht="172.5" customHeight="1" spans="1:63">
      <c r="A100" s="255">
        <v>98</v>
      </c>
      <c r="B100" s="70" t="s">
        <v>373</v>
      </c>
      <c r="C100" s="129" t="s">
        <v>204</v>
      </c>
      <c r="D100" s="129" t="s">
        <v>205</v>
      </c>
      <c r="E100" s="256" t="s">
        <v>135</v>
      </c>
      <c r="F100" s="1469" t="s">
        <v>374</v>
      </c>
      <c r="G100" s="257">
        <v>2090081</v>
      </c>
      <c r="H100" s="258">
        <f t="shared" si="78"/>
        <v>174173.416666667</v>
      </c>
      <c r="I100" s="258">
        <f t="shared" si="70"/>
        <v>20320.2319444444</v>
      </c>
      <c r="J100" s="258">
        <v>5000</v>
      </c>
      <c r="K100" s="258"/>
      <c r="L100" s="258"/>
      <c r="M100" s="258">
        <v>2500</v>
      </c>
      <c r="N100" s="258"/>
      <c r="O100" s="258"/>
      <c r="P100" s="258"/>
      <c r="Q100" s="258"/>
      <c r="R100" s="258"/>
      <c r="S100" s="258"/>
      <c r="T100" s="258"/>
      <c r="U100" s="258">
        <v>383.33</v>
      </c>
      <c r="V100" s="258"/>
      <c r="W100" s="265"/>
      <c r="X100" s="258"/>
      <c r="Y100" s="258"/>
      <c r="Z100" s="258"/>
      <c r="AA100" s="258"/>
      <c r="AB100" s="258"/>
      <c r="AC100" s="258"/>
      <c r="AD100" s="270"/>
      <c r="AE100" s="258"/>
      <c r="AF100" s="258">
        <v>1750</v>
      </c>
      <c r="AG100" s="270">
        <f t="shared" si="67"/>
        <v>3483.46833333333</v>
      </c>
      <c r="AH100" s="270">
        <f>10000</f>
        <v>10000</v>
      </c>
      <c r="AI100" s="278"/>
      <c r="AJ100" s="280"/>
      <c r="AK100" s="280"/>
      <c r="AL100" s="284">
        <v>1000</v>
      </c>
      <c r="AM100" s="281">
        <v>35000</v>
      </c>
      <c r="AN100" s="258"/>
      <c r="AO100" s="299">
        <v>1500</v>
      </c>
      <c r="AP100" s="299"/>
      <c r="AQ100" s="299"/>
      <c r="AR100" s="299">
        <f t="shared" si="68"/>
        <v>4047.53957222222</v>
      </c>
      <c r="AS100" s="300"/>
      <c r="AT100" s="300"/>
      <c r="AU100" s="299" t="e">
        <f t="shared" si="41"/>
        <v>#REF!</v>
      </c>
      <c r="AV100" s="299">
        <f t="shared" ref="AV100" si="83">V100+U100+N100+M100+K100+J100+I100+H100</f>
        <v>202376.978611111</v>
      </c>
      <c r="AW100" s="299" t="e">
        <f>AU100+AR100+AQ100+AO100+AN100+AM100+AK100+AI100+AH100+AG100+AF100+AE100+AD100+AL100</f>
        <v>#REF!</v>
      </c>
      <c r="AX100" s="299"/>
      <c r="AY100" s="299"/>
      <c r="AZ100" s="299" t="e">
        <f t="shared" si="61"/>
        <v>#REF!</v>
      </c>
      <c r="BA100" s="305" t="e">
        <f>SUM(#REF!)</f>
        <v>#REF!</v>
      </c>
      <c r="BB100" s="320" t="e">
        <f>1%*#REF!</f>
        <v>#REF!</v>
      </c>
      <c r="BC100" s="321" t="e">
        <f t="shared" si="52"/>
        <v>#REF!</v>
      </c>
      <c r="BD100" s="322" t="e">
        <f t="shared" si="53"/>
        <v>#REF!</v>
      </c>
      <c r="BE100" s="323"/>
      <c r="BF100" s="324"/>
      <c r="BG100" s="325"/>
      <c r="BH100" s="326"/>
      <c r="BI100" s="326"/>
      <c r="BJ100" s="334"/>
      <c r="BK100" s="335"/>
    </row>
    <row r="101" s="245" customFormat="1" ht="180" customHeight="1" spans="1:63">
      <c r="A101" s="255">
        <v>99</v>
      </c>
      <c r="B101" s="70" t="s">
        <v>375</v>
      </c>
      <c r="C101" s="129" t="s">
        <v>221</v>
      </c>
      <c r="D101" s="129" t="s">
        <v>555</v>
      </c>
      <c r="E101" s="128" t="s">
        <v>122</v>
      </c>
      <c r="F101" s="1469" t="s">
        <v>377</v>
      </c>
      <c r="G101" s="257">
        <v>1796468</v>
      </c>
      <c r="H101" s="258">
        <f t="shared" si="78"/>
        <v>149705.666666667</v>
      </c>
      <c r="I101" s="258">
        <f t="shared" si="70"/>
        <v>17465.6611111111</v>
      </c>
      <c r="J101" s="258">
        <v>5000</v>
      </c>
      <c r="K101" s="258"/>
      <c r="L101" s="258"/>
      <c r="M101" s="258">
        <v>2500</v>
      </c>
      <c r="N101" s="258"/>
      <c r="O101" s="258"/>
      <c r="P101" s="258"/>
      <c r="Q101" s="258"/>
      <c r="R101" s="258"/>
      <c r="S101" s="258"/>
      <c r="T101" s="258"/>
      <c r="U101" s="258">
        <v>383.33</v>
      </c>
      <c r="V101" s="258"/>
      <c r="W101" s="265"/>
      <c r="X101" s="258"/>
      <c r="Y101" s="258"/>
      <c r="Z101" s="258"/>
      <c r="AA101" s="258"/>
      <c r="AB101" s="258"/>
      <c r="AC101" s="258"/>
      <c r="AD101" s="270"/>
      <c r="AE101" s="258"/>
      <c r="AF101" s="258">
        <v>3000</v>
      </c>
      <c r="AG101" s="270">
        <f t="shared" si="67"/>
        <v>2994.11333333333</v>
      </c>
      <c r="AH101" s="270">
        <v>20000</v>
      </c>
      <c r="AI101" s="282">
        <v>1000</v>
      </c>
      <c r="AJ101" s="279"/>
      <c r="AK101" s="279"/>
      <c r="AL101" s="279"/>
      <c r="AM101" s="281">
        <f>10000+14000</f>
        <v>24000</v>
      </c>
      <c r="AN101" s="258"/>
      <c r="AO101" s="299">
        <v>1000</v>
      </c>
      <c r="AP101" s="299"/>
      <c r="AQ101" s="299"/>
      <c r="AR101" s="299">
        <f t="shared" si="68"/>
        <v>3501.09315555556</v>
      </c>
      <c r="AS101" s="300"/>
      <c r="AT101" s="300"/>
      <c r="AU101" s="299" t="e">
        <f t="shared" si="41"/>
        <v>#REF!</v>
      </c>
      <c r="AV101" s="299">
        <f t="shared" ref="AV101" si="84">W101+V101+U101+N101+M101+K101+J101+I101+H101</f>
        <v>175054.657777778</v>
      </c>
      <c r="AW101" s="299" t="e">
        <f t="shared" si="64"/>
        <v>#REF!</v>
      </c>
      <c r="AX101" s="299"/>
      <c r="AY101" s="299"/>
      <c r="AZ101" s="299" t="e">
        <f t="shared" si="61"/>
        <v>#REF!</v>
      </c>
      <c r="BA101" s="305" t="e">
        <f>SUM(#REF!)</f>
        <v>#REF!</v>
      </c>
      <c r="BB101" s="320" t="e">
        <f>1%*#REF!</f>
        <v>#REF!</v>
      </c>
      <c r="BC101" s="321" t="e">
        <f t="shared" si="52"/>
        <v>#REF!</v>
      </c>
      <c r="BD101" s="322" t="e">
        <f t="shared" si="53"/>
        <v>#REF!</v>
      </c>
      <c r="BE101" s="323"/>
      <c r="BF101" s="324"/>
      <c r="BG101" s="325"/>
      <c r="BH101" s="326"/>
      <c r="BI101" s="326"/>
      <c r="BJ101" s="334"/>
      <c r="BK101" s="335"/>
    </row>
    <row r="102" s="245" customFormat="1" ht="172.5" customHeight="1" spans="1:63">
      <c r="A102" s="255">
        <v>100</v>
      </c>
      <c r="B102" s="70" t="s">
        <v>378</v>
      </c>
      <c r="C102" s="129" t="s">
        <v>2054</v>
      </c>
      <c r="D102" s="129" t="s">
        <v>308</v>
      </c>
      <c r="E102" s="256" t="s">
        <v>165</v>
      </c>
      <c r="F102" s="256">
        <v>1005655901</v>
      </c>
      <c r="G102" s="257">
        <f>H102*12</f>
        <v>1925865</v>
      </c>
      <c r="H102" s="258">
        <v>160488.75</v>
      </c>
      <c r="I102" s="258"/>
      <c r="J102" s="258"/>
      <c r="K102" s="258"/>
      <c r="L102" s="258"/>
      <c r="M102" s="258">
        <v>2500</v>
      </c>
      <c r="N102" s="258"/>
      <c r="O102" s="258">
        <v>48146.63</v>
      </c>
      <c r="P102" s="258">
        <v>72219.94</v>
      </c>
      <c r="Q102" s="258">
        <v>40122.19</v>
      </c>
      <c r="R102" s="258">
        <v>16048.88</v>
      </c>
      <c r="S102" s="258">
        <v>24073.31</v>
      </c>
      <c r="T102" s="258">
        <v>32097.75</v>
      </c>
      <c r="U102" s="258">
        <v>383.33</v>
      </c>
      <c r="V102" s="258">
        <v>62500</v>
      </c>
      <c r="W102" s="265">
        <v>128000</v>
      </c>
      <c r="X102" s="258"/>
      <c r="Y102" s="258">
        <v>62500</v>
      </c>
      <c r="Z102" s="258"/>
      <c r="AA102" s="258"/>
      <c r="AB102" s="258"/>
      <c r="AC102" s="258"/>
      <c r="AD102" s="270"/>
      <c r="AE102" s="258"/>
      <c r="AF102" s="258"/>
      <c r="AG102" s="270">
        <f t="shared" si="67"/>
        <v>3209.775</v>
      </c>
      <c r="AH102" s="270"/>
      <c r="AI102" s="278"/>
      <c r="AJ102" s="279">
        <v>1000</v>
      </c>
      <c r="AK102" s="280"/>
      <c r="AL102" s="280"/>
      <c r="AM102" s="281">
        <v>102500</v>
      </c>
      <c r="AN102" s="258"/>
      <c r="AO102" s="299">
        <v>3500</v>
      </c>
      <c r="AP102" s="299"/>
      <c r="AQ102" s="299"/>
      <c r="AR102" s="299">
        <f t="shared" si="68"/>
        <v>11731.6156</v>
      </c>
      <c r="AS102" s="300"/>
      <c r="AT102" s="300"/>
      <c r="AU102" s="299" t="e">
        <f t="shared" si="41"/>
        <v>#REF!</v>
      </c>
      <c r="AV102" s="299">
        <f>W102+V102+U102+N102+M102+K102+J102+I102+H102+T102+S102+R102+Q102+P102+O102</f>
        <v>586580.78</v>
      </c>
      <c r="AW102" s="299" t="e">
        <f>AU102+AR102+AQ102+AO102+AN102+AM102+AK102+AJ102+AI102+AH102+AG102</f>
        <v>#REF!</v>
      </c>
      <c r="AX102" s="299"/>
      <c r="AY102" s="299"/>
      <c r="AZ102" s="299" t="e">
        <f t="shared" si="61"/>
        <v>#REF!</v>
      </c>
      <c r="BA102" s="305" t="e">
        <f>SUM(#REF!)</f>
        <v>#REF!</v>
      </c>
      <c r="BB102" s="320" t="e">
        <f>1%*#REF!</f>
        <v>#REF!</v>
      </c>
      <c r="BC102" s="321" t="e">
        <f t="shared" si="52"/>
        <v>#REF!</v>
      </c>
      <c r="BD102" s="322" t="e">
        <f t="shared" si="53"/>
        <v>#REF!</v>
      </c>
      <c r="BE102" s="323"/>
      <c r="BF102" s="324"/>
      <c r="BG102" s="325"/>
      <c r="BH102" s="326"/>
      <c r="BI102" s="326"/>
      <c r="BJ102" s="334"/>
      <c r="BK102" s="335"/>
    </row>
    <row r="103" s="245" customFormat="1" ht="172.5" customHeight="1" spans="1:63">
      <c r="A103" s="255">
        <v>101</v>
      </c>
      <c r="B103" s="70" t="s">
        <v>2055</v>
      </c>
      <c r="C103" s="129" t="s">
        <v>2056</v>
      </c>
      <c r="D103" s="129" t="s">
        <v>2057</v>
      </c>
      <c r="E103" s="256" t="s">
        <v>101</v>
      </c>
      <c r="F103" s="1469" t="s">
        <v>2058</v>
      </c>
      <c r="G103" s="257">
        <v>5957106</v>
      </c>
      <c r="H103" s="258">
        <f>G103/12</f>
        <v>496425.5</v>
      </c>
      <c r="I103" s="258">
        <f t="shared" ref="I103" si="85">H103*0.35/3</f>
        <v>57916.3083333333</v>
      </c>
      <c r="J103" s="258">
        <v>6666.66</v>
      </c>
      <c r="K103" s="258"/>
      <c r="L103" s="258"/>
      <c r="M103" s="258">
        <v>2500</v>
      </c>
      <c r="N103" s="258"/>
      <c r="O103" s="258"/>
      <c r="P103" s="258"/>
      <c r="Q103" s="258"/>
      <c r="R103" s="258"/>
      <c r="S103" s="258"/>
      <c r="T103" s="258"/>
      <c r="U103" s="258">
        <v>383.33</v>
      </c>
      <c r="V103" s="258"/>
      <c r="W103" s="265"/>
      <c r="X103" s="258"/>
      <c r="Y103" s="258">
        <v>62500</v>
      </c>
      <c r="Z103" s="258"/>
      <c r="AA103" s="258"/>
      <c r="AB103" s="258"/>
      <c r="AC103" s="258"/>
      <c r="AD103" s="270"/>
      <c r="AE103" s="258"/>
      <c r="AF103" s="258"/>
      <c r="AG103" s="270">
        <f t="shared" si="67"/>
        <v>9928.51</v>
      </c>
      <c r="AH103" s="270"/>
      <c r="AI103" s="278"/>
      <c r="AJ103" s="279">
        <v>1000</v>
      </c>
      <c r="AK103" s="280"/>
      <c r="AL103" s="280"/>
      <c r="AM103" s="281"/>
      <c r="AN103" s="258"/>
      <c r="AO103" s="299">
        <v>3500</v>
      </c>
      <c r="AP103" s="299"/>
      <c r="AQ103" s="299"/>
      <c r="AR103" s="299">
        <f t="shared" si="68"/>
        <v>11277.8359666667</v>
      </c>
      <c r="AS103" s="300"/>
      <c r="AT103" s="300"/>
      <c r="AU103" s="299" t="e">
        <f t="shared" si="41"/>
        <v>#REF!</v>
      </c>
      <c r="AV103" s="299">
        <f>W103+V103+U103+N103+M103+K103+J103+I103+H103+T103+S103+R103+Q103+P103+O103</f>
        <v>563891.798333333</v>
      </c>
      <c r="AW103" s="299" t="e">
        <f>AU103+AR103+AQ103+AO103+AN103+AM103+AK103+AJ103+AI103+AH103+AG103</f>
        <v>#REF!</v>
      </c>
      <c r="AX103" s="299"/>
      <c r="AY103" s="299"/>
      <c r="AZ103" s="299" t="e">
        <f t="shared" si="61"/>
        <v>#REF!</v>
      </c>
      <c r="BA103" s="305" t="e">
        <f>SUM(#REF!)</f>
        <v>#REF!</v>
      </c>
      <c r="BB103" s="320" t="e">
        <f>1%*#REF!</f>
        <v>#REF!</v>
      </c>
      <c r="BC103" s="321" t="e">
        <f t="shared" si="52"/>
        <v>#REF!</v>
      </c>
      <c r="BD103" s="322" t="e">
        <f t="shared" si="53"/>
        <v>#REF!</v>
      </c>
      <c r="BE103" s="323"/>
      <c r="BF103" s="324"/>
      <c r="BG103" s="325"/>
      <c r="BH103" s="326"/>
      <c r="BI103" s="326"/>
      <c r="BJ103" s="334"/>
      <c r="BK103" s="335"/>
    </row>
    <row r="104" s="245" customFormat="1" ht="172.5" customHeight="1" spans="1:63">
      <c r="A104" s="255">
        <v>102</v>
      </c>
      <c r="B104" s="70" t="s">
        <v>2059</v>
      </c>
      <c r="C104" s="129" t="s">
        <v>2056</v>
      </c>
      <c r="D104" s="129" t="s">
        <v>2057</v>
      </c>
      <c r="E104" s="256" t="s">
        <v>113</v>
      </c>
      <c r="F104" s="256">
        <v>2090470273</v>
      </c>
      <c r="G104" s="257">
        <v>5957106</v>
      </c>
      <c r="H104" s="258">
        <f>G104/12</f>
        <v>496425.5</v>
      </c>
      <c r="I104" s="258">
        <f>I103</f>
        <v>57916.3083333333</v>
      </c>
      <c r="J104" s="258">
        <v>6666.66</v>
      </c>
      <c r="K104" s="258">
        <f>K115</f>
        <v>20833.33</v>
      </c>
      <c r="L104" s="258"/>
      <c r="M104" s="258">
        <v>2500</v>
      </c>
      <c r="N104" s="258"/>
      <c r="O104" s="258"/>
      <c r="P104" s="258"/>
      <c r="Q104" s="258"/>
      <c r="R104" s="258"/>
      <c r="S104" s="258"/>
      <c r="T104" s="258"/>
      <c r="U104" s="258">
        <v>383.33</v>
      </c>
      <c r="V104" s="258"/>
      <c r="W104" s="265"/>
      <c r="X104" s="258"/>
      <c r="Y104" s="258">
        <v>62500</v>
      </c>
      <c r="Z104" s="258"/>
      <c r="AA104" s="258"/>
      <c r="AB104" s="258"/>
      <c r="AC104" s="258"/>
      <c r="AD104" s="270"/>
      <c r="AE104" s="258"/>
      <c r="AF104" s="258"/>
      <c r="AG104" s="270">
        <f t="shared" si="67"/>
        <v>9928.51</v>
      </c>
      <c r="AH104" s="270"/>
      <c r="AI104" s="278"/>
      <c r="AJ104" s="279">
        <v>1000</v>
      </c>
      <c r="AK104" s="280"/>
      <c r="AL104" s="280"/>
      <c r="AM104" s="281"/>
      <c r="AN104" s="258"/>
      <c r="AO104" s="299">
        <v>3500</v>
      </c>
      <c r="AP104" s="299"/>
      <c r="AQ104" s="299"/>
      <c r="AR104" s="299">
        <f t="shared" si="68"/>
        <v>11694.5025666667</v>
      </c>
      <c r="AS104" s="300"/>
      <c r="AT104" s="300"/>
      <c r="AU104" s="299" t="e">
        <f t="shared" si="41"/>
        <v>#REF!</v>
      </c>
      <c r="AV104" s="299">
        <f t="shared" ref="AV104" si="86">W104+V104+U104+N104+M104+K104+J104+I104+H104</f>
        <v>584725.128333333</v>
      </c>
      <c r="AW104" s="299" t="e">
        <f>AU104+AR104+AQ104+AO104+AN104+AM104+AK104+AJ104+AI104+AH104+AG104</f>
        <v>#REF!</v>
      </c>
      <c r="AX104" s="299"/>
      <c r="AY104" s="299"/>
      <c r="AZ104" s="299" t="e">
        <f t="shared" si="61"/>
        <v>#REF!</v>
      </c>
      <c r="BA104" s="305" t="e">
        <f>SUM(#REF!)</f>
        <v>#REF!</v>
      </c>
      <c r="BB104" s="320" t="e">
        <f>1%*#REF!</f>
        <v>#REF!</v>
      </c>
      <c r="BC104" s="321" t="e">
        <f t="shared" si="52"/>
        <v>#REF!</v>
      </c>
      <c r="BD104" s="322" t="e">
        <f>BD103</f>
        <v>#REF!</v>
      </c>
      <c r="BE104" s="323"/>
      <c r="BF104" s="324"/>
      <c r="BG104" s="325"/>
      <c r="BH104" s="326"/>
      <c r="BI104" s="326"/>
      <c r="BJ104" s="334"/>
      <c r="BK104" s="335"/>
    </row>
    <row r="105" s="245" customFormat="1" ht="172.5" customHeight="1" spans="1:63">
      <c r="A105" s="255">
        <v>103</v>
      </c>
      <c r="B105" s="70" t="s">
        <v>382</v>
      </c>
      <c r="C105" s="129" t="s">
        <v>204</v>
      </c>
      <c r="D105" s="129" t="s">
        <v>205</v>
      </c>
      <c r="E105" s="256" t="s">
        <v>93</v>
      </c>
      <c r="F105" s="256">
        <v>3088351059</v>
      </c>
      <c r="G105" s="257">
        <f>G100</f>
        <v>2090081</v>
      </c>
      <c r="H105" s="258">
        <f>H100</f>
        <v>174173.416666667</v>
      </c>
      <c r="I105" s="258">
        <f t="shared" ref="I105:I164" si="87">H105*0.35/3</f>
        <v>20320.2319444444</v>
      </c>
      <c r="J105" s="258">
        <v>5000</v>
      </c>
      <c r="K105" s="258"/>
      <c r="L105" s="258"/>
      <c r="M105" s="258">
        <v>2500</v>
      </c>
      <c r="N105" s="258"/>
      <c r="O105" s="258"/>
      <c r="P105" s="258"/>
      <c r="Q105" s="258"/>
      <c r="R105" s="258"/>
      <c r="S105" s="258"/>
      <c r="T105" s="258"/>
      <c r="U105" s="258">
        <v>383.33</v>
      </c>
      <c r="V105" s="258"/>
      <c r="W105" s="265"/>
      <c r="X105" s="258"/>
      <c r="Y105" s="258"/>
      <c r="Z105" s="258"/>
      <c r="AA105" s="258"/>
      <c r="AB105" s="258"/>
      <c r="AC105" s="258"/>
      <c r="AD105" s="270"/>
      <c r="AE105" s="258"/>
      <c r="AF105" s="258">
        <v>2250</v>
      </c>
      <c r="AG105" s="270">
        <f t="shared" si="67"/>
        <v>3483.46833333333</v>
      </c>
      <c r="AH105" s="270">
        <f>10000</f>
        <v>10000</v>
      </c>
      <c r="AI105" s="285">
        <v>1000</v>
      </c>
      <c r="AJ105" s="286"/>
      <c r="AK105" s="286"/>
      <c r="AL105" s="286"/>
      <c r="AM105" s="281">
        <v>20000</v>
      </c>
      <c r="AN105" s="258"/>
      <c r="AO105" s="299">
        <v>1500</v>
      </c>
      <c r="AP105" s="299"/>
      <c r="AQ105" s="299"/>
      <c r="AR105" s="299">
        <f t="shared" si="68"/>
        <v>4047.53957222222</v>
      </c>
      <c r="AS105" s="300"/>
      <c r="AT105" s="300"/>
      <c r="AU105" s="299" t="e">
        <f t="shared" si="41"/>
        <v>#REF!</v>
      </c>
      <c r="AV105" s="299">
        <f t="shared" ref="AV105" si="88">V105+U105+N105+M105+K105+J105+I105+H105</f>
        <v>202376.978611111</v>
      </c>
      <c r="AW105" s="299" t="e">
        <f t="shared" si="64"/>
        <v>#REF!</v>
      </c>
      <c r="AX105" s="299"/>
      <c r="AY105" s="299"/>
      <c r="AZ105" s="299" t="e">
        <f t="shared" si="61"/>
        <v>#REF!</v>
      </c>
      <c r="BA105" s="305" t="e">
        <f>SUM(#REF!)</f>
        <v>#REF!</v>
      </c>
      <c r="BB105" s="320" t="e">
        <f>1%*#REF!</f>
        <v>#REF!</v>
      </c>
      <c r="BC105" s="321" t="e">
        <f t="shared" si="52"/>
        <v>#REF!</v>
      </c>
      <c r="BD105" s="322" t="e">
        <f t="shared" si="53"/>
        <v>#REF!</v>
      </c>
      <c r="BE105" s="323"/>
      <c r="BF105" s="324"/>
      <c r="BG105" s="325"/>
      <c r="BH105" s="326"/>
      <c r="BI105" s="326"/>
      <c r="BJ105" s="334"/>
      <c r="BK105" s="335"/>
    </row>
    <row r="106" s="245" customFormat="1" ht="172.5" customHeight="1" spans="1:63">
      <c r="A106" s="255">
        <v>104</v>
      </c>
      <c r="B106" s="70" t="s">
        <v>383</v>
      </c>
      <c r="C106" s="129" t="s">
        <v>221</v>
      </c>
      <c r="D106" s="129" t="s">
        <v>2060</v>
      </c>
      <c r="E106" s="256" t="s">
        <v>97</v>
      </c>
      <c r="F106" s="1469" t="s">
        <v>2061</v>
      </c>
      <c r="G106" s="257">
        <v>1796468</v>
      </c>
      <c r="H106" s="258">
        <f>G106/12</f>
        <v>149705.666666667</v>
      </c>
      <c r="I106" s="258">
        <f t="shared" si="87"/>
        <v>17465.6611111111</v>
      </c>
      <c r="J106" s="258">
        <v>5000</v>
      </c>
      <c r="K106" s="258"/>
      <c r="L106" s="258"/>
      <c r="M106" s="258">
        <v>2500</v>
      </c>
      <c r="N106" s="258"/>
      <c r="O106" s="258"/>
      <c r="P106" s="258"/>
      <c r="Q106" s="258"/>
      <c r="R106" s="258"/>
      <c r="S106" s="258"/>
      <c r="T106" s="258"/>
      <c r="U106" s="258">
        <v>383.33</v>
      </c>
      <c r="V106" s="258"/>
      <c r="W106" s="265"/>
      <c r="X106" s="258"/>
      <c r="Y106" s="258"/>
      <c r="Z106" s="258"/>
      <c r="AA106" s="258"/>
      <c r="AB106" s="258"/>
      <c r="AC106" s="258"/>
      <c r="AD106" s="270"/>
      <c r="AE106" s="258"/>
      <c r="AF106" s="258">
        <v>1500</v>
      </c>
      <c r="AG106" s="270">
        <f t="shared" si="67"/>
        <v>2994.11333333333</v>
      </c>
      <c r="AH106" s="270"/>
      <c r="AI106" s="278"/>
      <c r="AJ106" s="280"/>
      <c r="AK106" s="280"/>
      <c r="AL106" s="284">
        <v>1000</v>
      </c>
      <c r="AM106" s="281">
        <v>20000</v>
      </c>
      <c r="AN106" s="258"/>
      <c r="AO106" s="299">
        <v>1000</v>
      </c>
      <c r="AP106" s="299"/>
      <c r="AQ106" s="299"/>
      <c r="AR106" s="299">
        <f t="shared" si="68"/>
        <v>3501.09315555556</v>
      </c>
      <c r="AS106" s="300"/>
      <c r="AT106" s="300"/>
      <c r="AU106" s="299" t="e">
        <f t="shared" si="41"/>
        <v>#REF!</v>
      </c>
      <c r="AV106" s="299">
        <f t="shared" ref="AV106:AV108" si="89">W106+V106+U106+N106+M106+K106+J106+I106+H106</f>
        <v>175054.657777778</v>
      </c>
      <c r="AW106" s="299" t="e">
        <f>AU106+AR106+AQ106+AO106+AN106+AM106+AK106+AI106+AH106+AG106+AF106+AE106+AD106+AL106</f>
        <v>#REF!</v>
      </c>
      <c r="AX106" s="299"/>
      <c r="AY106" s="299"/>
      <c r="AZ106" s="299" t="e">
        <f t="shared" si="61"/>
        <v>#REF!</v>
      </c>
      <c r="BA106" s="305" t="e">
        <f>SUM(#REF!)</f>
        <v>#REF!</v>
      </c>
      <c r="BB106" s="320" t="e">
        <f>1%*#REF!</f>
        <v>#REF!</v>
      </c>
      <c r="BC106" s="321" t="e">
        <f t="shared" si="52"/>
        <v>#REF!</v>
      </c>
      <c r="BD106" s="322" t="e">
        <f t="shared" si="53"/>
        <v>#REF!</v>
      </c>
      <c r="BE106" s="323"/>
      <c r="BF106" s="324"/>
      <c r="BG106" s="325"/>
      <c r="BH106" s="326"/>
      <c r="BI106" s="326"/>
      <c r="BJ106" s="334"/>
      <c r="BK106" s="335"/>
    </row>
    <row r="107" s="245" customFormat="1" ht="172.5" customHeight="1" spans="1:63">
      <c r="A107" s="255">
        <v>105</v>
      </c>
      <c r="B107" s="70" t="s">
        <v>386</v>
      </c>
      <c r="C107" s="129" t="s">
        <v>221</v>
      </c>
      <c r="D107" s="129" t="s">
        <v>2060</v>
      </c>
      <c r="E107" s="256" t="s">
        <v>93</v>
      </c>
      <c r="F107" s="256">
        <v>3061891561</v>
      </c>
      <c r="G107" s="257">
        <v>1796468</v>
      </c>
      <c r="H107" s="258">
        <f>G107/12</f>
        <v>149705.666666667</v>
      </c>
      <c r="I107" s="258">
        <f t="shared" si="87"/>
        <v>17465.6611111111</v>
      </c>
      <c r="J107" s="258">
        <v>5000</v>
      </c>
      <c r="K107" s="258"/>
      <c r="L107" s="258"/>
      <c r="M107" s="258">
        <v>2500</v>
      </c>
      <c r="N107" s="258"/>
      <c r="O107" s="258"/>
      <c r="P107" s="258"/>
      <c r="Q107" s="258"/>
      <c r="R107" s="258"/>
      <c r="S107" s="258"/>
      <c r="T107" s="258"/>
      <c r="U107" s="258">
        <v>383.33</v>
      </c>
      <c r="V107" s="258"/>
      <c r="W107" s="265"/>
      <c r="X107" s="258"/>
      <c r="Y107" s="258"/>
      <c r="Z107" s="258"/>
      <c r="AA107" s="258"/>
      <c r="AB107" s="258"/>
      <c r="AC107" s="258"/>
      <c r="AD107" s="270"/>
      <c r="AE107" s="258"/>
      <c r="AF107" s="258">
        <v>250</v>
      </c>
      <c r="AG107" s="270">
        <f t="shared" si="67"/>
        <v>2994.11333333333</v>
      </c>
      <c r="AH107" s="270"/>
      <c r="AI107" s="278"/>
      <c r="AJ107" s="279">
        <v>1000</v>
      </c>
      <c r="AK107" s="280"/>
      <c r="AL107" s="280"/>
      <c r="AM107" s="281"/>
      <c r="AN107" s="258"/>
      <c r="AO107" s="299">
        <v>1000</v>
      </c>
      <c r="AP107" s="299"/>
      <c r="AQ107" s="299"/>
      <c r="AR107" s="299">
        <f t="shared" si="68"/>
        <v>3501.09315555556</v>
      </c>
      <c r="AS107" s="300"/>
      <c r="AT107" s="300"/>
      <c r="AU107" s="299" t="e">
        <f t="shared" si="41"/>
        <v>#REF!</v>
      </c>
      <c r="AV107" s="299">
        <f t="shared" si="89"/>
        <v>175054.657777778</v>
      </c>
      <c r="AW107" s="299" t="e">
        <f>AU107+AR107+AQ107+AO107+AM107+AK107+AJ107+AI107+AH107+AG107+AF107</f>
        <v>#REF!</v>
      </c>
      <c r="AX107" s="299"/>
      <c r="AY107" s="299"/>
      <c r="AZ107" s="299" t="e">
        <f t="shared" si="61"/>
        <v>#REF!</v>
      </c>
      <c r="BA107" s="305" t="e">
        <f>SUM(#REF!)</f>
        <v>#REF!</v>
      </c>
      <c r="BB107" s="320" t="e">
        <f>1%*#REF!</f>
        <v>#REF!</v>
      </c>
      <c r="BC107" s="321" t="e">
        <f t="shared" si="52"/>
        <v>#REF!</v>
      </c>
      <c r="BD107" s="322" t="e">
        <f t="shared" si="53"/>
        <v>#REF!</v>
      </c>
      <c r="BE107" s="323"/>
      <c r="BF107" s="324"/>
      <c r="BG107" s="325"/>
      <c r="BH107" s="326"/>
      <c r="BI107" s="326"/>
      <c r="BJ107" s="334"/>
      <c r="BK107" s="335"/>
    </row>
    <row r="108" s="245" customFormat="1" ht="172.5" customHeight="1" spans="1:63">
      <c r="A108" s="255">
        <v>106</v>
      </c>
      <c r="B108" s="70" t="s">
        <v>388</v>
      </c>
      <c r="C108" s="129" t="s">
        <v>279</v>
      </c>
      <c r="D108" s="129" t="s">
        <v>294</v>
      </c>
      <c r="E108" s="256" t="s">
        <v>113</v>
      </c>
      <c r="F108" s="256">
        <v>2035514330</v>
      </c>
      <c r="G108" s="257">
        <v>2425322</v>
      </c>
      <c r="H108" s="258">
        <f>G108/12</f>
        <v>202110.166666667</v>
      </c>
      <c r="I108" s="258">
        <f t="shared" si="87"/>
        <v>23579.5194444444</v>
      </c>
      <c r="J108" s="258">
        <v>5000</v>
      </c>
      <c r="K108" s="258"/>
      <c r="L108" s="258"/>
      <c r="M108" s="258">
        <v>2500</v>
      </c>
      <c r="N108" s="258"/>
      <c r="O108" s="258"/>
      <c r="P108" s="258"/>
      <c r="Q108" s="258"/>
      <c r="R108" s="258"/>
      <c r="S108" s="258"/>
      <c r="T108" s="258"/>
      <c r="U108" s="258">
        <v>383.33</v>
      </c>
      <c r="V108" s="258"/>
      <c r="W108" s="265"/>
      <c r="X108" s="258"/>
      <c r="Y108" s="258"/>
      <c r="Z108" s="258"/>
      <c r="AA108" s="258"/>
      <c r="AB108" s="258"/>
      <c r="AC108" s="258"/>
      <c r="AD108" s="270"/>
      <c r="AE108" s="258"/>
      <c r="AF108" s="258">
        <v>1500</v>
      </c>
      <c r="AG108" s="270">
        <f t="shared" si="67"/>
        <v>4042.20333333333</v>
      </c>
      <c r="AH108" s="270">
        <f>10000</f>
        <v>10000</v>
      </c>
      <c r="AI108" s="278"/>
      <c r="AJ108" s="280"/>
      <c r="AK108" s="280"/>
      <c r="AL108" s="284">
        <v>1000</v>
      </c>
      <c r="AM108" s="281">
        <f>73750+52500</f>
        <v>126250</v>
      </c>
      <c r="AN108" s="258"/>
      <c r="AO108" s="299">
        <v>1500</v>
      </c>
      <c r="AP108" s="299"/>
      <c r="AQ108" s="299"/>
      <c r="AR108" s="299">
        <f t="shared" si="68"/>
        <v>4671.46032222222</v>
      </c>
      <c r="AS108" s="300"/>
      <c r="AT108" s="300"/>
      <c r="AU108" s="299">
        <v>20310.73</v>
      </c>
      <c r="AV108" s="299">
        <f t="shared" si="89"/>
        <v>233573.016111111</v>
      </c>
      <c r="AW108" s="299">
        <f>AU108+AR108+AQ108+AO108+AN108+AM108+AK108+AI108+AH108+AG108+AF108+AE108+AD108+AL108</f>
        <v>169274.393655556</v>
      </c>
      <c r="AX108" s="299"/>
      <c r="AY108" s="299"/>
      <c r="AZ108" s="299">
        <f t="shared" si="61"/>
        <v>64298.6224555555</v>
      </c>
      <c r="BA108" s="305" t="e">
        <f>SUM(#REF!)</f>
        <v>#REF!</v>
      </c>
      <c r="BB108" s="320" t="e">
        <f>1%*#REF!</f>
        <v>#REF!</v>
      </c>
      <c r="BC108" s="321" t="e">
        <f t="shared" si="52"/>
        <v>#REF!</v>
      </c>
      <c r="BD108" s="322" t="e">
        <f t="shared" si="53"/>
        <v>#REF!</v>
      </c>
      <c r="BE108" s="323"/>
      <c r="BF108" s="324"/>
      <c r="BG108" s="325"/>
      <c r="BH108" s="326"/>
      <c r="BI108" s="326"/>
      <c r="BJ108" s="334"/>
      <c r="BK108" s="335"/>
    </row>
    <row r="109" s="245" customFormat="1" ht="172.5" customHeight="1" spans="1:63">
      <c r="A109" s="255">
        <v>107</v>
      </c>
      <c r="B109" s="70" t="s">
        <v>389</v>
      </c>
      <c r="C109" s="129" t="s">
        <v>125</v>
      </c>
      <c r="D109" s="129" t="s">
        <v>465</v>
      </c>
      <c r="E109" s="256" t="s">
        <v>113</v>
      </c>
      <c r="F109" s="256">
        <v>2097430504</v>
      </c>
      <c r="G109" s="257">
        <v>1920666</v>
      </c>
      <c r="H109" s="258">
        <f>G109/12</f>
        <v>160055.5</v>
      </c>
      <c r="I109" s="258">
        <f t="shared" si="87"/>
        <v>18673.1416666667</v>
      </c>
      <c r="J109" s="258">
        <v>5000</v>
      </c>
      <c r="K109" s="258"/>
      <c r="L109" s="258"/>
      <c r="M109" s="258">
        <v>2500</v>
      </c>
      <c r="N109" s="258"/>
      <c r="O109" s="258"/>
      <c r="P109" s="258"/>
      <c r="Q109" s="258"/>
      <c r="R109" s="258"/>
      <c r="S109" s="258"/>
      <c r="T109" s="258"/>
      <c r="U109" s="258">
        <v>383.33</v>
      </c>
      <c r="V109" s="258"/>
      <c r="W109" s="265"/>
      <c r="X109" s="258"/>
      <c r="Y109" s="258"/>
      <c r="Z109" s="258"/>
      <c r="AA109" s="258"/>
      <c r="AB109" s="258"/>
      <c r="AC109" s="258"/>
      <c r="AD109" s="270"/>
      <c r="AE109" s="258"/>
      <c r="AF109" s="258">
        <v>1500</v>
      </c>
      <c r="AG109" s="270">
        <f t="shared" si="67"/>
        <v>3201.11</v>
      </c>
      <c r="AH109" s="270"/>
      <c r="AI109" s="278"/>
      <c r="AJ109" s="280"/>
      <c r="AK109" s="280"/>
      <c r="AL109" s="284">
        <v>1000</v>
      </c>
      <c r="AM109" s="281"/>
      <c r="AN109" s="258"/>
      <c r="AO109" s="299">
        <v>1500</v>
      </c>
      <c r="AP109" s="299"/>
      <c r="AQ109" s="299"/>
      <c r="AR109" s="299">
        <f t="shared" si="68"/>
        <v>3732.23943333333</v>
      </c>
      <c r="AS109" s="300"/>
      <c r="AT109" s="300"/>
      <c r="AU109" s="299" t="e">
        <f>BD109</f>
        <v>#REF!</v>
      </c>
      <c r="AV109" s="299">
        <f t="shared" ref="AV109" si="90">V109+U109+N109+M109+K109+J109+I109+H109</f>
        <v>186611.971666667</v>
      </c>
      <c r="AW109" s="299" t="e">
        <f>AU109+AR109+AQ109+AO109+AN109+AM109+AK109+AI109+AH109+AG109+AF109+AE109+AD109+AL109</f>
        <v>#REF!</v>
      </c>
      <c r="AX109" s="299"/>
      <c r="AY109" s="299"/>
      <c r="AZ109" s="299" t="e">
        <f t="shared" si="61"/>
        <v>#REF!</v>
      </c>
      <c r="BA109" s="305" t="e">
        <f>SUM(#REF!)</f>
        <v>#REF!</v>
      </c>
      <c r="BB109" s="320" t="e">
        <f>1%*#REF!</f>
        <v>#REF!</v>
      </c>
      <c r="BC109" s="321" t="e">
        <f t="shared" si="52"/>
        <v>#REF!</v>
      </c>
      <c r="BD109" s="322" t="e">
        <f t="shared" si="53"/>
        <v>#REF!</v>
      </c>
      <c r="BE109" s="323"/>
      <c r="BF109" s="324"/>
      <c r="BG109" s="325"/>
      <c r="BH109" s="326"/>
      <c r="BI109" s="326"/>
      <c r="BJ109" s="334"/>
      <c r="BK109" s="335"/>
    </row>
    <row r="110" s="245" customFormat="1" ht="172.5" customHeight="1" spans="1:63">
      <c r="A110" s="255">
        <v>108</v>
      </c>
      <c r="B110" s="70" t="s">
        <v>2062</v>
      </c>
      <c r="C110" s="129" t="s">
        <v>2063</v>
      </c>
      <c r="D110" s="129" t="s">
        <v>495</v>
      </c>
      <c r="E110" s="256" t="s">
        <v>101</v>
      </c>
      <c r="F110" s="1469" t="s">
        <v>2064</v>
      </c>
      <c r="G110" s="257">
        <f>H110*12</f>
        <v>873059.04</v>
      </c>
      <c r="H110" s="258">
        <v>72754.92</v>
      </c>
      <c r="I110" s="258"/>
      <c r="J110" s="258"/>
      <c r="K110" s="258"/>
      <c r="L110" s="258"/>
      <c r="M110" s="258">
        <v>2500</v>
      </c>
      <c r="N110" s="258"/>
      <c r="O110" s="258"/>
      <c r="P110" s="258"/>
      <c r="Q110" s="258"/>
      <c r="R110" s="258"/>
      <c r="S110" s="258"/>
      <c r="T110" s="258"/>
      <c r="U110" s="258"/>
      <c r="V110" s="258"/>
      <c r="W110" s="265"/>
      <c r="X110" s="258"/>
      <c r="Y110" s="258"/>
      <c r="Z110" s="258"/>
      <c r="AA110" s="258"/>
      <c r="AB110" s="258"/>
      <c r="AC110" s="258"/>
      <c r="AD110" s="270"/>
      <c r="AE110" s="258"/>
      <c r="AF110" s="258"/>
      <c r="AG110" s="270">
        <f t="shared" si="67"/>
        <v>1455.0984</v>
      </c>
      <c r="AH110" s="270"/>
      <c r="AI110" s="278"/>
      <c r="AJ110" s="280"/>
      <c r="AK110" s="280"/>
      <c r="AL110" s="280"/>
      <c r="AM110" s="281"/>
      <c r="AN110" s="258"/>
      <c r="AO110" s="299">
        <v>500</v>
      </c>
      <c r="AP110" s="299"/>
      <c r="AQ110" s="299"/>
      <c r="AR110" s="299">
        <f t="shared" si="68"/>
        <v>1505.0984</v>
      </c>
      <c r="AS110" s="300"/>
      <c r="AT110" s="300"/>
      <c r="AU110" s="299" t="e">
        <f>BD110</f>
        <v>#REF!</v>
      </c>
      <c r="AV110" s="299">
        <f t="shared" ref="AV110:AV111" si="91">W110+V110+U110+N110+M110+K110+J110+I110+H110</f>
        <v>75254.92</v>
      </c>
      <c r="AW110" s="299" t="e">
        <f t="shared" si="64"/>
        <v>#REF!</v>
      </c>
      <c r="AX110" s="299"/>
      <c r="AY110" s="299"/>
      <c r="AZ110" s="299" t="e">
        <f t="shared" si="61"/>
        <v>#REF!</v>
      </c>
      <c r="BA110" s="305" t="e">
        <f>SUM(#REF!)</f>
        <v>#REF!</v>
      </c>
      <c r="BB110" s="320" t="e">
        <f>1%*#REF!</f>
        <v>#REF!</v>
      </c>
      <c r="BC110" s="321" t="e">
        <f t="shared" si="52"/>
        <v>#REF!</v>
      </c>
      <c r="BD110" s="322" t="e">
        <f t="shared" si="53"/>
        <v>#REF!</v>
      </c>
      <c r="BE110" s="323"/>
      <c r="BF110" s="324"/>
      <c r="BG110" s="325"/>
      <c r="BH110" s="326"/>
      <c r="BI110" s="326"/>
      <c r="BJ110" s="334"/>
      <c r="BK110" s="335"/>
    </row>
    <row r="111" s="245" customFormat="1" ht="191" customHeight="1" spans="1:63">
      <c r="A111" s="255">
        <v>109</v>
      </c>
      <c r="B111" s="70" t="s">
        <v>392</v>
      </c>
      <c r="C111" s="129" t="s">
        <v>143</v>
      </c>
      <c r="D111" s="129" t="s">
        <v>394</v>
      </c>
      <c r="E111" s="256" t="s">
        <v>113</v>
      </c>
      <c r="F111" s="256">
        <v>1005205955</v>
      </c>
      <c r="G111" s="257">
        <v>3553649</v>
      </c>
      <c r="H111" s="258">
        <f>'[12]JACKSON AKPOJARO '!$M$97</f>
        <v>0</v>
      </c>
      <c r="I111" s="258">
        <f t="shared" si="87"/>
        <v>0</v>
      </c>
      <c r="J111" s="258">
        <v>5000</v>
      </c>
      <c r="K111" s="258"/>
      <c r="L111" s="258"/>
      <c r="M111" s="258">
        <v>2500</v>
      </c>
      <c r="N111" s="258"/>
      <c r="O111" s="258"/>
      <c r="P111" s="258"/>
      <c r="Q111" s="258"/>
      <c r="R111" s="258"/>
      <c r="S111" s="258"/>
      <c r="T111" s="258"/>
      <c r="U111" s="258">
        <v>383.33</v>
      </c>
      <c r="V111" s="258"/>
      <c r="W111" s="265"/>
      <c r="X111" s="258"/>
      <c r="Y111" s="258"/>
      <c r="Z111" s="258"/>
      <c r="AA111" s="258"/>
      <c r="AB111" s="258"/>
      <c r="AC111" s="258"/>
      <c r="AD111" s="270"/>
      <c r="AE111" s="258"/>
      <c r="AF111" s="258">
        <v>3750</v>
      </c>
      <c r="AG111" s="270">
        <f t="shared" si="67"/>
        <v>0</v>
      </c>
      <c r="AH111" s="270"/>
      <c r="AI111" s="278"/>
      <c r="AJ111" s="280"/>
      <c r="AK111" s="280"/>
      <c r="AL111" s="280"/>
      <c r="AM111" s="281">
        <f>25000</f>
        <v>25000</v>
      </c>
      <c r="AN111" s="258"/>
      <c r="AO111" s="299">
        <v>2000</v>
      </c>
      <c r="AP111" s="299"/>
      <c r="AQ111" s="299"/>
      <c r="AR111" s="299">
        <f t="shared" si="68"/>
        <v>157.6666</v>
      </c>
      <c r="AS111" s="300"/>
      <c r="AT111" s="300"/>
      <c r="AU111" s="299" t="e">
        <f t="shared" si="41"/>
        <v>#REF!</v>
      </c>
      <c r="AV111" s="299">
        <f t="shared" si="91"/>
        <v>7883.33</v>
      </c>
      <c r="AW111" s="299" t="e">
        <f t="shared" si="64"/>
        <v>#REF!</v>
      </c>
      <c r="AX111" s="299"/>
      <c r="AY111" s="299"/>
      <c r="AZ111" s="299" t="e">
        <f t="shared" si="61"/>
        <v>#REF!</v>
      </c>
      <c r="BA111" s="305" t="e">
        <f>SUM(#REF!)</f>
        <v>#REF!</v>
      </c>
      <c r="BB111" s="320" t="e">
        <f>1%*#REF!</f>
        <v>#REF!</v>
      </c>
      <c r="BC111" s="321" t="e">
        <f t="shared" si="52"/>
        <v>#REF!</v>
      </c>
      <c r="BD111" s="322" t="e">
        <f t="shared" si="53"/>
        <v>#REF!</v>
      </c>
      <c r="BE111" s="323"/>
      <c r="BF111" s="324"/>
      <c r="BG111" s="325"/>
      <c r="BH111" s="326"/>
      <c r="BI111" s="326"/>
      <c r="BJ111" s="334"/>
      <c r="BK111" s="335"/>
    </row>
    <row r="112" s="245" customFormat="1" ht="172.5" customHeight="1" spans="1:63">
      <c r="A112" s="255">
        <v>110</v>
      </c>
      <c r="B112" s="70" t="s">
        <v>393</v>
      </c>
      <c r="C112" s="129" t="s">
        <v>130</v>
      </c>
      <c r="D112" s="129" t="s">
        <v>153</v>
      </c>
      <c r="E112" s="256" t="s">
        <v>127</v>
      </c>
      <c r="F112" s="1469" t="s">
        <v>395</v>
      </c>
      <c r="G112" s="257">
        <v>2863233</v>
      </c>
      <c r="H112" s="258">
        <f>G112/12</f>
        <v>238602.75</v>
      </c>
      <c r="I112" s="258">
        <f t="shared" si="87"/>
        <v>27836.9875</v>
      </c>
      <c r="J112" s="258">
        <v>5000</v>
      </c>
      <c r="K112" s="258"/>
      <c r="L112" s="258"/>
      <c r="M112" s="258">
        <v>2500</v>
      </c>
      <c r="N112" s="258"/>
      <c r="O112" s="258"/>
      <c r="P112" s="258"/>
      <c r="Q112" s="258"/>
      <c r="R112" s="258"/>
      <c r="S112" s="258"/>
      <c r="T112" s="258"/>
      <c r="U112" s="258">
        <v>383.33</v>
      </c>
      <c r="V112" s="258"/>
      <c r="W112" s="265"/>
      <c r="X112" s="258"/>
      <c r="Y112" s="258"/>
      <c r="Z112" s="258"/>
      <c r="AA112" s="258"/>
      <c r="AB112" s="258"/>
      <c r="AC112" s="258"/>
      <c r="AD112" s="270"/>
      <c r="AE112" s="258"/>
      <c r="AF112" s="258">
        <v>3000</v>
      </c>
      <c r="AG112" s="270">
        <f t="shared" si="67"/>
        <v>4772.055</v>
      </c>
      <c r="AH112" s="270">
        <f>10000</f>
        <v>10000</v>
      </c>
      <c r="AI112" s="278"/>
      <c r="AJ112" s="280"/>
      <c r="AK112" s="280"/>
      <c r="AL112" s="280"/>
      <c r="AM112" s="281">
        <v>20000</v>
      </c>
      <c r="AN112" s="258">
        <v>5000</v>
      </c>
      <c r="AO112" s="299">
        <v>1500</v>
      </c>
      <c r="AP112" s="299"/>
      <c r="AQ112" s="299"/>
      <c r="AR112" s="299">
        <f t="shared" si="68"/>
        <v>5486.46135</v>
      </c>
      <c r="AS112" s="300"/>
      <c r="AT112" s="300"/>
      <c r="AU112" s="299" t="e">
        <f t="shared" si="41"/>
        <v>#REF!</v>
      </c>
      <c r="AV112" s="299">
        <f t="shared" ref="AV112" si="92">V112+U112+N112+M112+K112+J112+I112+H112</f>
        <v>274323.0675</v>
      </c>
      <c r="AW112" s="299" t="e">
        <f t="shared" si="64"/>
        <v>#REF!</v>
      </c>
      <c r="AX112" s="299"/>
      <c r="AY112" s="299"/>
      <c r="AZ112" s="299" t="e">
        <f t="shared" si="61"/>
        <v>#REF!</v>
      </c>
      <c r="BA112" s="305" t="e">
        <f>SUM(#REF!)</f>
        <v>#REF!</v>
      </c>
      <c r="BB112" s="320" t="e">
        <f>1%*#REF!</f>
        <v>#REF!</v>
      </c>
      <c r="BC112" s="321" t="e">
        <f t="shared" si="52"/>
        <v>#REF!</v>
      </c>
      <c r="BD112" s="322" t="e">
        <f t="shared" si="53"/>
        <v>#REF!</v>
      </c>
      <c r="BE112" s="323"/>
      <c r="BF112" s="324"/>
      <c r="BG112" s="325"/>
      <c r="BH112" s="326"/>
      <c r="BI112" s="326"/>
      <c r="BJ112" s="334"/>
      <c r="BK112" s="335"/>
    </row>
    <row r="113" s="245" customFormat="1" ht="172.5" customHeight="1" spans="1:63">
      <c r="A113" s="255">
        <v>111</v>
      </c>
      <c r="B113" s="70" t="s">
        <v>396</v>
      </c>
      <c r="C113" s="129" t="s">
        <v>143</v>
      </c>
      <c r="D113" s="129" t="s">
        <v>333</v>
      </c>
      <c r="E113" s="256" t="s">
        <v>113</v>
      </c>
      <c r="F113" s="256">
        <v>2050863738</v>
      </c>
      <c r="G113" s="257">
        <v>3804852</v>
      </c>
      <c r="H113" s="258">
        <f>G113/12</f>
        <v>317071</v>
      </c>
      <c r="I113" s="258">
        <f t="shared" si="87"/>
        <v>36991.6166666667</v>
      </c>
      <c r="J113" s="258">
        <v>5000</v>
      </c>
      <c r="K113" s="258"/>
      <c r="L113" s="258"/>
      <c r="M113" s="258">
        <v>2500</v>
      </c>
      <c r="N113" s="258"/>
      <c r="O113" s="258"/>
      <c r="P113" s="258"/>
      <c r="Q113" s="258"/>
      <c r="R113" s="258"/>
      <c r="S113" s="258"/>
      <c r="T113" s="258"/>
      <c r="U113" s="258">
        <v>383.33</v>
      </c>
      <c r="V113" s="258"/>
      <c r="W113" s="265"/>
      <c r="X113" s="258"/>
      <c r="Y113" s="258"/>
      <c r="Z113" s="258"/>
      <c r="AA113" s="258"/>
      <c r="AB113" s="258"/>
      <c r="AC113" s="258"/>
      <c r="AD113" s="270"/>
      <c r="AE113" s="258"/>
      <c r="AF113" s="258"/>
      <c r="AG113" s="270">
        <f t="shared" si="67"/>
        <v>6341.42</v>
      </c>
      <c r="AH113" s="270"/>
      <c r="AI113" s="278"/>
      <c r="AJ113" s="279">
        <v>1000</v>
      </c>
      <c r="AK113" s="280"/>
      <c r="AL113" s="280"/>
      <c r="AM113" s="281">
        <v>29687.6</v>
      </c>
      <c r="AN113" s="258"/>
      <c r="AO113" s="299">
        <v>2000</v>
      </c>
      <c r="AP113" s="299"/>
      <c r="AQ113" s="299"/>
      <c r="AR113" s="299">
        <f t="shared" si="68"/>
        <v>7238.91893333333</v>
      </c>
      <c r="AS113" s="300"/>
      <c r="AT113" s="300"/>
      <c r="AU113" s="299" t="e">
        <f t="shared" si="41"/>
        <v>#REF!</v>
      </c>
      <c r="AV113" s="299">
        <f t="shared" ref="AV113:AV114" si="93">W113+V113+U113+N113+M113+K113+J113+I113+H113</f>
        <v>361945.946666667</v>
      </c>
      <c r="AW113" s="299" t="e">
        <f>AU113+AR113+AQ113+AO113+AN113+AM113+AK113+AI113+AH113+AG113+AF113+AE113+AD113+AJ113</f>
        <v>#REF!</v>
      </c>
      <c r="AX113" s="299"/>
      <c r="AY113" s="299"/>
      <c r="AZ113" s="299" t="e">
        <f t="shared" si="61"/>
        <v>#REF!</v>
      </c>
      <c r="BA113" s="305" t="e">
        <f>SUM(#REF!)</f>
        <v>#REF!</v>
      </c>
      <c r="BB113" s="320" t="e">
        <f>1%*#REF!</f>
        <v>#REF!</v>
      </c>
      <c r="BC113" s="321" t="e">
        <f t="shared" si="52"/>
        <v>#REF!</v>
      </c>
      <c r="BD113" s="322" t="e">
        <f t="shared" si="53"/>
        <v>#REF!</v>
      </c>
      <c r="BE113" s="323"/>
      <c r="BF113" s="324"/>
      <c r="BG113" s="325"/>
      <c r="BH113" s="326"/>
      <c r="BI113" s="326"/>
      <c r="BJ113" s="334"/>
      <c r="BK113" s="335"/>
    </row>
    <row r="114" s="245" customFormat="1" ht="185" customHeight="1" spans="1:63">
      <c r="A114" s="255">
        <v>112</v>
      </c>
      <c r="B114" s="70" t="s">
        <v>403</v>
      </c>
      <c r="C114" s="129" t="s">
        <v>130</v>
      </c>
      <c r="D114" s="129" t="s">
        <v>153</v>
      </c>
      <c r="E114" s="256" t="s">
        <v>165</v>
      </c>
      <c r="F114" s="256">
        <v>1008257258</v>
      </c>
      <c r="G114" s="257">
        <v>2863233</v>
      </c>
      <c r="H114" s="258">
        <f t="shared" ref="H114:H134" si="94">G114/12</f>
        <v>238602.75</v>
      </c>
      <c r="I114" s="258">
        <f t="shared" si="87"/>
        <v>27836.9875</v>
      </c>
      <c r="J114" s="258">
        <v>5000</v>
      </c>
      <c r="K114" s="258"/>
      <c r="L114" s="258"/>
      <c r="M114" s="258">
        <v>2500</v>
      </c>
      <c r="N114" s="258"/>
      <c r="O114" s="258"/>
      <c r="P114" s="258"/>
      <c r="Q114" s="258"/>
      <c r="R114" s="258"/>
      <c r="S114" s="258"/>
      <c r="T114" s="258"/>
      <c r="U114" s="258">
        <v>383.33</v>
      </c>
      <c r="V114" s="258"/>
      <c r="W114" s="265"/>
      <c r="X114" s="258"/>
      <c r="Y114" s="258"/>
      <c r="Z114" s="258"/>
      <c r="AA114" s="258"/>
      <c r="AB114" s="258"/>
      <c r="AC114" s="258"/>
      <c r="AD114" s="270"/>
      <c r="AE114" s="258"/>
      <c r="AF114" s="258"/>
      <c r="AG114" s="270">
        <f t="shared" si="67"/>
        <v>4772.055</v>
      </c>
      <c r="AH114" s="270">
        <f>30000</f>
        <v>30000</v>
      </c>
      <c r="AI114" s="278"/>
      <c r="AJ114" s="279">
        <v>1000</v>
      </c>
      <c r="AK114" s="280"/>
      <c r="AL114" s="280"/>
      <c r="AM114" s="281">
        <v>51250</v>
      </c>
      <c r="AN114" s="258"/>
      <c r="AO114" s="299">
        <v>1500</v>
      </c>
      <c r="AP114" s="299"/>
      <c r="AQ114" s="299"/>
      <c r="AR114" s="299">
        <f t="shared" si="68"/>
        <v>5486.46135</v>
      </c>
      <c r="AS114" s="300"/>
      <c r="AT114" s="300"/>
      <c r="AU114" s="299" t="e">
        <f t="shared" si="41"/>
        <v>#REF!</v>
      </c>
      <c r="AV114" s="299">
        <f t="shared" si="93"/>
        <v>274323.0675</v>
      </c>
      <c r="AW114" s="299" t="e">
        <f>AU114+AR114+AQ114+AO114+AN114+AM114+AK114+AJ114+AI114+AH114+AG114+AF114</f>
        <v>#REF!</v>
      </c>
      <c r="AX114" s="299"/>
      <c r="AY114" s="299"/>
      <c r="AZ114" s="299" t="e">
        <f t="shared" si="61"/>
        <v>#REF!</v>
      </c>
      <c r="BA114" s="305" t="e">
        <f>SUM(#REF!)</f>
        <v>#REF!</v>
      </c>
      <c r="BB114" s="320" t="e">
        <f>1%*#REF!</f>
        <v>#REF!</v>
      </c>
      <c r="BC114" s="321" t="e">
        <f t="shared" si="52"/>
        <v>#REF!</v>
      </c>
      <c r="BD114" s="322" t="e">
        <f t="shared" si="53"/>
        <v>#REF!</v>
      </c>
      <c r="BE114" s="323"/>
      <c r="BF114" s="324"/>
      <c r="BG114" s="325"/>
      <c r="BH114" s="326"/>
      <c r="BI114" s="326"/>
      <c r="BJ114" s="334"/>
      <c r="BK114" s="335"/>
    </row>
    <row r="115" s="245" customFormat="1" ht="176" customHeight="1" spans="1:63">
      <c r="A115" s="255">
        <v>113</v>
      </c>
      <c r="B115" s="70" t="s">
        <v>404</v>
      </c>
      <c r="C115" s="129" t="s">
        <v>143</v>
      </c>
      <c r="D115" s="129" t="s">
        <v>333</v>
      </c>
      <c r="E115" s="256" t="s">
        <v>135</v>
      </c>
      <c r="F115" s="1469" t="s">
        <v>405</v>
      </c>
      <c r="G115" s="257">
        <f>G113</f>
        <v>3804852</v>
      </c>
      <c r="H115" s="258">
        <f t="shared" si="94"/>
        <v>317071</v>
      </c>
      <c r="I115" s="258">
        <f t="shared" si="87"/>
        <v>36991.6166666667</v>
      </c>
      <c r="J115" s="258">
        <v>5000</v>
      </c>
      <c r="K115" s="258">
        <f>K98</f>
        <v>20833.33</v>
      </c>
      <c r="L115" s="258"/>
      <c r="M115" s="258">
        <v>2500</v>
      </c>
      <c r="N115" s="258"/>
      <c r="O115" s="258"/>
      <c r="P115" s="258"/>
      <c r="Q115" s="258"/>
      <c r="R115" s="258"/>
      <c r="S115" s="258"/>
      <c r="T115" s="258"/>
      <c r="U115" s="258">
        <v>383.33</v>
      </c>
      <c r="V115" s="258"/>
      <c r="W115" s="265"/>
      <c r="X115" s="258"/>
      <c r="Y115" s="258"/>
      <c r="Z115" s="258"/>
      <c r="AA115" s="258"/>
      <c r="AB115" s="258"/>
      <c r="AC115" s="258"/>
      <c r="AD115" s="270"/>
      <c r="AE115" s="258"/>
      <c r="AF115" s="258">
        <v>2750</v>
      </c>
      <c r="AG115" s="270">
        <f t="shared" si="67"/>
        <v>6341.42</v>
      </c>
      <c r="AH115" s="270">
        <f>30000</f>
        <v>30000</v>
      </c>
      <c r="AI115" s="282">
        <v>1000</v>
      </c>
      <c r="AJ115" s="279"/>
      <c r="AK115" s="279"/>
      <c r="AL115" s="279"/>
      <c r="AM115" s="281">
        <v>72165</v>
      </c>
      <c r="AN115" s="258">
        <v>8333.33</v>
      </c>
      <c r="AO115" s="299">
        <v>2000</v>
      </c>
      <c r="AP115" s="299"/>
      <c r="AQ115" s="299"/>
      <c r="AR115" s="299">
        <f t="shared" si="68"/>
        <v>7655.58553333333</v>
      </c>
      <c r="AS115" s="300"/>
      <c r="AT115" s="300"/>
      <c r="AU115" s="299" t="e">
        <f t="shared" si="41"/>
        <v>#REF!</v>
      </c>
      <c r="AV115" s="299">
        <f t="shared" ref="AV115" si="95">V115+U115+N115+M115+K115+J115+I115+H115</f>
        <v>382779.276666667</v>
      </c>
      <c r="AW115" s="299" t="e">
        <f t="shared" si="64"/>
        <v>#REF!</v>
      </c>
      <c r="AX115" s="299"/>
      <c r="AY115" s="299"/>
      <c r="AZ115" s="299" t="e">
        <f t="shared" si="61"/>
        <v>#REF!</v>
      </c>
      <c r="BA115" s="305" t="e">
        <f>SUM(#REF!)</f>
        <v>#REF!</v>
      </c>
      <c r="BB115" s="320" t="e">
        <f>1%*#REF!</f>
        <v>#REF!</v>
      </c>
      <c r="BC115" s="321" t="e">
        <f t="shared" si="52"/>
        <v>#REF!</v>
      </c>
      <c r="BD115" s="322" t="e">
        <f t="shared" si="53"/>
        <v>#REF!</v>
      </c>
      <c r="BE115" s="323"/>
      <c r="BF115" s="324"/>
      <c r="BG115" s="325"/>
      <c r="BH115" s="326"/>
      <c r="BI115" s="326"/>
      <c r="BJ115" s="334"/>
      <c r="BK115" s="335"/>
    </row>
    <row r="116" s="245" customFormat="1" ht="172.5" customHeight="1" spans="1:63">
      <c r="A116" s="255">
        <v>114</v>
      </c>
      <c r="B116" s="70" t="s">
        <v>406</v>
      </c>
      <c r="C116" s="129" t="s">
        <v>130</v>
      </c>
      <c r="D116" s="129" t="s">
        <v>297</v>
      </c>
      <c r="E116" s="256" t="s">
        <v>135</v>
      </c>
      <c r="F116" s="1469" t="s">
        <v>407</v>
      </c>
      <c r="G116" s="257">
        <v>2688069</v>
      </c>
      <c r="H116" s="258">
        <f t="shared" si="94"/>
        <v>224005.75</v>
      </c>
      <c r="I116" s="258">
        <f t="shared" si="87"/>
        <v>26134.0041666667</v>
      </c>
      <c r="J116" s="258">
        <v>5000</v>
      </c>
      <c r="K116" s="258"/>
      <c r="L116" s="258"/>
      <c r="M116" s="258">
        <v>2500</v>
      </c>
      <c r="N116" s="258"/>
      <c r="O116" s="258"/>
      <c r="P116" s="258"/>
      <c r="Q116" s="258"/>
      <c r="R116" s="258"/>
      <c r="S116" s="258"/>
      <c r="T116" s="258"/>
      <c r="U116" s="258">
        <v>383.33</v>
      </c>
      <c r="V116" s="258"/>
      <c r="W116" s="265"/>
      <c r="X116" s="258"/>
      <c r="Y116" s="258"/>
      <c r="Z116" s="258"/>
      <c r="AA116" s="258"/>
      <c r="AB116" s="258"/>
      <c r="AC116" s="258"/>
      <c r="AD116" s="270"/>
      <c r="AE116" s="258"/>
      <c r="AF116" s="258">
        <v>1500</v>
      </c>
      <c r="AG116" s="270">
        <f t="shared" si="67"/>
        <v>4480.115</v>
      </c>
      <c r="AH116" s="270">
        <f>50000</f>
        <v>50000</v>
      </c>
      <c r="AI116" s="282">
        <v>1000</v>
      </c>
      <c r="AJ116" s="279"/>
      <c r="AK116" s="279"/>
      <c r="AL116" s="279"/>
      <c r="AM116" s="281"/>
      <c r="AN116" s="258"/>
      <c r="AO116" s="299">
        <v>1500</v>
      </c>
      <c r="AP116" s="299"/>
      <c r="AQ116" s="299"/>
      <c r="AR116" s="299">
        <f t="shared" si="68"/>
        <v>5160.46168333333</v>
      </c>
      <c r="AS116" s="300"/>
      <c r="AT116" s="300"/>
      <c r="AU116" s="299" t="e">
        <f t="shared" ref="AU116:AU129" si="96">BD116</f>
        <v>#REF!</v>
      </c>
      <c r="AV116" s="299">
        <f t="shared" ref="AV116" si="97">W116+V116+U116+N116+M116+K116+J116+I116+H116</f>
        <v>258023.084166667</v>
      </c>
      <c r="AW116" s="299" t="e">
        <f t="shared" si="64"/>
        <v>#REF!</v>
      </c>
      <c r="AX116" s="299"/>
      <c r="AY116" s="299"/>
      <c r="AZ116" s="299" t="e">
        <f t="shared" si="61"/>
        <v>#REF!</v>
      </c>
      <c r="BA116" s="305" t="e">
        <f>SUM(#REF!)</f>
        <v>#REF!</v>
      </c>
      <c r="BB116" s="320" t="e">
        <f>1%*#REF!</f>
        <v>#REF!</v>
      </c>
      <c r="BC116" s="321" t="e">
        <f t="shared" si="52"/>
        <v>#REF!</v>
      </c>
      <c r="BD116" s="322" t="e">
        <f t="shared" si="53"/>
        <v>#REF!</v>
      </c>
      <c r="BE116" s="323"/>
      <c r="BF116" s="324"/>
      <c r="BG116" s="325"/>
      <c r="BH116" s="326"/>
      <c r="BI116" s="326"/>
      <c r="BJ116" s="334"/>
      <c r="BK116" s="335"/>
    </row>
    <row r="117" s="245" customFormat="1" ht="172.5" customHeight="1" spans="1:63">
      <c r="A117" s="255">
        <v>115</v>
      </c>
      <c r="B117" s="70" t="s">
        <v>2065</v>
      </c>
      <c r="C117" s="129" t="s">
        <v>130</v>
      </c>
      <c r="D117" s="129" t="s">
        <v>272</v>
      </c>
      <c r="E117" s="256" t="s">
        <v>1037</v>
      </c>
      <c r="F117" s="1469" t="s">
        <v>2066</v>
      </c>
      <c r="G117" s="257">
        <v>2600486</v>
      </c>
      <c r="H117" s="258">
        <f t="shared" si="94"/>
        <v>216707.166666667</v>
      </c>
      <c r="I117" s="258">
        <f t="shared" si="87"/>
        <v>25282.5027777778</v>
      </c>
      <c r="J117" s="258">
        <v>5000</v>
      </c>
      <c r="K117" s="258"/>
      <c r="L117" s="258"/>
      <c r="M117" s="258">
        <v>2500</v>
      </c>
      <c r="N117" s="258">
        <v>75000</v>
      </c>
      <c r="O117" s="258"/>
      <c r="P117" s="258"/>
      <c r="Q117" s="258"/>
      <c r="R117" s="258"/>
      <c r="S117" s="258"/>
      <c r="T117" s="258"/>
      <c r="U117" s="258">
        <v>383.33</v>
      </c>
      <c r="V117" s="258"/>
      <c r="W117" s="265"/>
      <c r="X117" s="258"/>
      <c r="Y117" s="258"/>
      <c r="Z117" s="258"/>
      <c r="AA117" s="258"/>
      <c r="AB117" s="258"/>
      <c r="AC117" s="258"/>
      <c r="AD117" s="270"/>
      <c r="AE117" s="258"/>
      <c r="AF117" s="258">
        <v>1250</v>
      </c>
      <c r="AG117" s="270">
        <f t="shared" si="67"/>
        <v>4334.14333333333</v>
      </c>
      <c r="AH117" s="270"/>
      <c r="AI117" s="278"/>
      <c r="AJ117" s="279">
        <v>1000</v>
      </c>
      <c r="AK117" s="280"/>
      <c r="AL117" s="280"/>
      <c r="AM117" s="281">
        <f>32833.33-10000</f>
        <v>22833.33</v>
      </c>
      <c r="AN117" s="258"/>
      <c r="AO117" s="299">
        <v>1500</v>
      </c>
      <c r="AP117" s="299"/>
      <c r="AQ117" s="299"/>
      <c r="AR117" s="299">
        <f t="shared" si="68"/>
        <v>6497.45998888889</v>
      </c>
      <c r="AS117" s="300"/>
      <c r="AT117" s="300"/>
      <c r="AU117" s="299" t="e">
        <f t="shared" si="96"/>
        <v>#REF!</v>
      </c>
      <c r="AV117" s="299">
        <f t="shared" ref="AV117" si="98">V117+U117+N117+M117+K117+J117+I117+H117</f>
        <v>324872.999444444</v>
      </c>
      <c r="AW117" s="299" t="e">
        <f>AU117+AR117+AQ117+AO117+AN117+AM117+AK117+AI117+AH117+AG117+AF117+AE117+AD117+AJ117</f>
        <v>#REF!</v>
      </c>
      <c r="AX117" s="299"/>
      <c r="AY117" s="299"/>
      <c r="AZ117" s="299" t="e">
        <f t="shared" si="61"/>
        <v>#REF!</v>
      </c>
      <c r="BA117" s="305" t="e">
        <f>SUM(#REF!)</f>
        <v>#REF!</v>
      </c>
      <c r="BB117" s="320" t="e">
        <f>1%*#REF!</f>
        <v>#REF!</v>
      </c>
      <c r="BC117" s="321" t="e">
        <f t="shared" si="52"/>
        <v>#REF!</v>
      </c>
      <c r="BD117" s="322" t="e">
        <f t="shared" si="53"/>
        <v>#REF!</v>
      </c>
      <c r="BE117" s="323"/>
      <c r="BF117" s="324"/>
      <c r="BG117" s="325"/>
      <c r="BH117" s="326"/>
      <c r="BI117" s="326"/>
      <c r="BJ117" s="334"/>
      <c r="BK117" s="335"/>
    </row>
    <row r="118" s="245" customFormat="1" ht="172.5" customHeight="1" spans="1:63">
      <c r="A118" s="255">
        <v>116</v>
      </c>
      <c r="B118" s="70" t="s">
        <v>408</v>
      </c>
      <c r="C118" s="129" t="s">
        <v>204</v>
      </c>
      <c r="D118" s="129" t="s">
        <v>208</v>
      </c>
      <c r="E118" s="256" t="s">
        <v>127</v>
      </c>
      <c r="F118" s="1469" t="s">
        <v>409</v>
      </c>
      <c r="G118" s="257">
        <v>2035375</v>
      </c>
      <c r="H118" s="258">
        <f t="shared" si="94"/>
        <v>169614.583333333</v>
      </c>
      <c r="I118" s="258">
        <f t="shared" si="87"/>
        <v>19788.3680555556</v>
      </c>
      <c r="J118" s="258">
        <v>5000</v>
      </c>
      <c r="K118" s="258"/>
      <c r="L118" s="258"/>
      <c r="M118" s="258">
        <v>2500</v>
      </c>
      <c r="N118" s="258"/>
      <c r="O118" s="258"/>
      <c r="P118" s="258"/>
      <c r="Q118" s="258"/>
      <c r="R118" s="258"/>
      <c r="S118" s="258"/>
      <c r="T118" s="258"/>
      <c r="U118" s="258">
        <v>383.33</v>
      </c>
      <c r="V118" s="258"/>
      <c r="W118" s="265"/>
      <c r="X118" s="258"/>
      <c r="Y118" s="258"/>
      <c r="Z118" s="258"/>
      <c r="AA118" s="258"/>
      <c r="AB118" s="258"/>
      <c r="AC118" s="258"/>
      <c r="AD118" s="270"/>
      <c r="AE118" s="258"/>
      <c r="AF118" s="258"/>
      <c r="AG118" s="270">
        <f t="shared" si="67"/>
        <v>3392.29166666667</v>
      </c>
      <c r="AH118" s="270"/>
      <c r="AI118" s="282">
        <v>1000</v>
      </c>
      <c r="AJ118" s="279"/>
      <c r="AK118" s="279"/>
      <c r="AL118" s="279"/>
      <c r="AM118" s="281"/>
      <c r="AN118" s="258">
        <v>7500</v>
      </c>
      <c r="AO118" s="299">
        <v>1500</v>
      </c>
      <c r="AP118" s="299"/>
      <c r="AQ118" s="299"/>
      <c r="AR118" s="299">
        <f t="shared" si="68"/>
        <v>3945.72562777778</v>
      </c>
      <c r="AS118" s="300"/>
      <c r="AT118" s="300"/>
      <c r="AU118" s="299" t="e">
        <f t="shared" si="96"/>
        <v>#REF!</v>
      </c>
      <c r="AV118" s="299">
        <f t="shared" ref="AV118" si="99">W118+V118+U118+N118+M118+K118+J118+I118+H118</f>
        <v>197286.281388889</v>
      </c>
      <c r="AW118" s="299" t="e">
        <f t="shared" si="64"/>
        <v>#REF!</v>
      </c>
      <c r="AX118" s="299"/>
      <c r="AY118" s="299"/>
      <c r="AZ118" s="299" t="e">
        <f t="shared" si="61"/>
        <v>#REF!</v>
      </c>
      <c r="BA118" s="305" t="e">
        <f>SUM(#REF!)</f>
        <v>#REF!</v>
      </c>
      <c r="BB118" s="320" t="e">
        <f>1%*#REF!</f>
        <v>#REF!</v>
      </c>
      <c r="BC118" s="321" t="e">
        <f t="shared" si="52"/>
        <v>#REF!</v>
      </c>
      <c r="BD118" s="322" t="e">
        <f t="shared" si="53"/>
        <v>#REF!</v>
      </c>
      <c r="BE118" s="323"/>
      <c r="BF118" s="324"/>
      <c r="BG118" s="325"/>
      <c r="BH118" s="326"/>
      <c r="BI118" s="326"/>
      <c r="BJ118" s="334"/>
      <c r="BK118" s="335"/>
    </row>
    <row r="119" s="245" customFormat="1" ht="172.5" customHeight="1" spans="1:63">
      <c r="A119" s="255">
        <v>117</v>
      </c>
      <c r="B119" s="70" t="s">
        <v>410</v>
      </c>
      <c r="C119" s="129" t="s">
        <v>204</v>
      </c>
      <c r="D119" s="129" t="s">
        <v>208</v>
      </c>
      <c r="E119" s="128" t="s">
        <v>2041</v>
      </c>
      <c r="F119" s="256">
        <v>6001992260</v>
      </c>
      <c r="G119" s="257">
        <v>2035375</v>
      </c>
      <c r="H119" s="258">
        <f t="shared" si="94"/>
        <v>169614.583333333</v>
      </c>
      <c r="I119" s="258">
        <f t="shared" si="87"/>
        <v>19788.3680555556</v>
      </c>
      <c r="J119" s="258">
        <f>J118</f>
        <v>5000</v>
      </c>
      <c r="K119" s="342"/>
      <c r="L119" s="258"/>
      <c r="M119" s="258">
        <v>2500</v>
      </c>
      <c r="N119" s="258"/>
      <c r="O119" s="258"/>
      <c r="P119" s="258"/>
      <c r="Q119" s="258"/>
      <c r="R119" s="258"/>
      <c r="S119" s="258"/>
      <c r="T119" s="258"/>
      <c r="U119" s="258">
        <v>383.33</v>
      </c>
      <c r="V119" s="258"/>
      <c r="W119" s="265"/>
      <c r="X119" s="258"/>
      <c r="Y119" s="258"/>
      <c r="Z119" s="258"/>
      <c r="AA119" s="258"/>
      <c r="AB119" s="258"/>
      <c r="AC119" s="258"/>
      <c r="AD119" s="270"/>
      <c r="AE119" s="258"/>
      <c r="AF119" s="342">
        <v>3000</v>
      </c>
      <c r="AG119" s="270">
        <f t="shared" si="67"/>
        <v>3392.29166666667</v>
      </c>
      <c r="AH119" s="270">
        <f>5000</f>
        <v>5000</v>
      </c>
      <c r="AI119" s="278"/>
      <c r="AJ119" s="279">
        <v>1000</v>
      </c>
      <c r="AK119" s="280"/>
      <c r="AL119" s="280"/>
      <c r="AM119" s="281">
        <v>58604.17</v>
      </c>
      <c r="AN119" s="258"/>
      <c r="AO119" s="299">
        <v>1500</v>
      </c>
      <c r="AP119" s="299"/>
      <c r="AQ119" s="299"/>
      <c r="AR119" s="299">
        <f t="shared" si="68"/>
        <v>3945.72562777778</v>
      </c>
      <c r="AS119" s="300"/>
      <c r="AT119" s="300"/>
      <c r="AU119" s="299" t="e">
        <f t="shared" si="96"/>
        <v>#REF!</v>
      </c>
      <c r="AV119" s="299">
        <f t="shared" ref="AV119" si="100">V119+U119+N119+M119+K119+J119+I119+H119</f>
        <v>197286.281388889</v>
      </c>
      <c r="AW119" s="299" t="e">
        <f>AU119+AR119+AQ119+AO119+AN119+AM119+AK119+AI119+AH119+AG119+AF119+AE119+AD119+AJ119</f>
        <v>#REF!</v>
      </c>
      <c r="AX119" s="299"/>
      <c r="AY119" s="299"/>
      <c r="AZ119" s="299" t="e">
        <f t="shared" si="61"/>
        <v>#REF!</v>
      </c>
      <c r="BA119" s="305" t="e">
        <f>SUM(#REF!)</f>
        <v>#REF!</v>
      </c>
      <c r="BB119" s="320" t="e">
        <f>1%*#REF!</f>
        <v>#REF!</v>
      </c>
      <c r="BC119" s="321" t="e">
        <f t="shared" si="52"/>
        <v>#REF!</v>
      </c>
      <c r="BD119" s="322" t="e">
        <f t="shared" si="53"/>
        <v>#REF!</v>
      </c>
      <c r="BE119" s="323"/>
      <c r="BF119" s="324"/>
      <c r="BG119" s="325"/>
      <c r="BH119" s="326"/>
      <c r="BI119" s="326"/>
      <c r="BJ119" s="334"/>
      <c r="BK119" s="335"/>
    </row>
    <row r="120" s="248" customFormat="1" ht="172.5" customHeight="1" spans="1:63">
      <c r="A120" s="255">
        <v>118</v>
      </c>
      <c r="B120" s="70" t="s">
        <v>412</v>
      </c>
      <c r="C120" s="339" t="s">
        <v>130</v>
      </c>
      <c r="D120" s="339" t="s">
        <v>297</v>
      </c>
      <c r="E120" s="340" t="s">
        <v>113</v>
      </c>
      <c r="F120" s="340">
        <v>1014869458</v>
      </c>
      <c r="G120" s="341">
        <v>2688069</v>
      </c>
      <c r="H120" s="258">
        <f t="shared" si="94"/>
        <v>224005.75</v>
      </c>
      <c r="I120" s="258">
        <f t="shared" si="87"/>
        <v>26134.0041666667</v>
      </c>
      <c r="J120" s="342">
        <v>5000</v>
      </c>
      <c r="K120" s="343"/>
      <c r="L120" s="342"/>
      <c r="M120" s="342">
        <v>2500</v>
      </c>
      <c r="N120" s="342"/>
      <c r="O120" s="342"/>
      <c r="P120" s="342"/>
      <c r="Q120" s="342"/>
      <c r="R120" s="342"/>
      <c r="S120" s="342"/>
      <c r="T120" s="342"/>
      <c r="U120" s="342">
        <v>383.33</v>
      </c>
      <c r="V120" s="342"/>
      <c r="W120" s="344"/>
      <c r="X120" s="342"/>
      <c r="Y120" s="342"/>
      <c r="Z120" s="342"/>
      <c r="AA120" s="342"/>
      <c r="AB120" s="342"/>
      <c r="AC120" s="342"/>
      <c r="AD120" s="270"/>
      <c r="AE120" s="342"/>
      <c r="AF120" s="342">
        <v>2250</v>
      </c>
      <c r="AG120" s="270">
        <f t="shared" si="67"/>
        <v>4480.115</v>
      </c>
      <c r="AH120" s="270"/>
      <c r="AI120" s="282">
        <v>1000</v>
      </c>
      <c r="AJ120" s="347"/>
      <c r="AK120" s="347"/>
      <c r="AL120" s="347"/>
      <c r="AM120" s="348"/>
      <c r="AN120" s="342"/>
      <c r="AO120" s="299">
        <v>1500</v>
      </c>
      <c r="AP120" s="349"/>
      <c r="AQ120" s="349"/>
      <c r="AR120" s="299">
        <f t="shared" si="68"/>
        <v>5160.46168333333</v>
      </c>
      <c r="AS120" s="350"/>
      <c r="AT120" s="350"/>
      <c r="AU120" s="349" t="e">
        <f t="shared" si="96"/>
        <v>#REF!</v>
      </c>
      <c r="AV120" s="299">
        <f t="shared" ref="AV120:AV121" si="101">W120+V120+U120+N120+M120+K120+J120+I120+H120</f>
        <v>258023.084166667</v>
      </c>
      <c r="AW120" s="299" t="e">
        <f t="shared" si="64"/>
        <v>#REF!</v>
      </c>
      <c r="AX120" s="349"/>
      <c r="AY120" s="349"/>
      <c r="AZ120" s="299" t="e">
        <f t="shared" si="61"/>
        <v>#REF!</v>
      </c>
      <c r="BA120" s="351" t="e">
        <f>SUM(#REF!)</f>
        <v>#REF!</v>
      </c>
      <c r="BB120" s="354" t="e">
        <f>1%*#REF!</f>
        <v>#REF!</v>
      </c>
      <c r="BC120" s="355" t="e">
        <f t="shared" si="52"/>
        <v>#REF!</v>
      </c>
      <c r="BD120" s="356" t="e">
        <f t="shared" si="53"/>
        <v>#REF!</v>
      </c>
      <c r="BE120" s="323"/>
      <c r="BF120" s="324"/>
      <c r="BG120" s="325"/>
      <c r="BH120" s="326"/>
      <c r="BI120" s="326"/>
      <c r="BJ120" s="359"/>
      <c r="BK120" s="360"/>
    </row>
    <row r="121" s="245" customFormat="1" ht="172.5" customHeight="1" spans="1:63">
      <c r="A121" s="255">
        <v>119</v>
      </c>
      <c r="B121" s="70" t="s">
        <v>413</v>
      </c>
      <c r="C121" s="361" t="s">
        <v>204</v>
      </c>
      <c r="D121" s="361" t="s">
        <v>2040</v>
      </c>
      <c r="E121" s="362" t="s">
        <v>135</v>
      </c>
      <c r="F121" s="1473" t="s">
        <v>350</v>
      </c>
      <c r="G121" s="363">
        <v>2199496</v>
      </c>
      <c r="H121" s="258">
        <f t="shared" si="94"/>
        <v>183291.333333333</v>
      </c>
      <c r="I121" s="258">
        <f t="shared" si="87"/>
        <v>21383.9888888889</v>
      </c>
      <c r="J121" s="343">
        <v>5000</v>
      </c>
      <c r="K121" s="258"/>
      <c r="L121" s="343"/>
      <c r="M121" s="343">
        <v>2500</v>
      </c>
      <c r="N121" s="343"/>
      <c r="O121" s="343"/>
      <c r="P121" s="343"/>
      <c r="Q121" s="343"/>
      <c r="R121" s="343"/>
      <c r="S121" s="343"/>
      <c r="T121" s="343"/>
      <c r="U121" s="343">
        <v>383.33</v>
      </c>
      <c r="V121" s="343"/>
      <c r="W121" s="371"/>
      <c r="X121" s="343"/>
      <c r="Y121" s="343"/>
      <c r="Z121" s="343"/>
      <c r="AA121" s="343"/>
      <c r="AB121" s="343"/>
      <c r="AC121" s="343"/>
      <c r="AD121" s="270"/>
      <c r="AE121" s="343"/>
      <c r="AF121" s="343">
        <v>750</v>
      </c>
      <c r="AG121" s="270">
        <f t="shared" si="67"/>
        <v>3665.82666666667</v>
      </c>
      <c r="AH121" s="270"/>
      <c r="AI121" s="278"/>
      <c r="AJ121" s="377"/>
      <c r="AK121" s="377"/>
      <c r="AL121" s="378">
        <v>1000</v>
      </c>
      <c r="AM121" s="379"/>
      <c r="AN121" s="343"/>
      <c r="AO121" s="391">
        <v>1500</v>
      </c>
      <c r="AP121" s="391"/>
      <c r="AQ121" s="391"/>
      <c r="AR121" s="299">
        <f t="shared" si="68"/>
        <v>4251.17304444444</v>
      </c>
      <c r="AS121" s="392"/>
      <c r="AT121" s="392"/>
      <c r="AU121" s="391" t="e">
        <f t="shared" si="96"/>
        <v>#REF!</v>
      </c>
      <c r="AV121" s="299">
        <f t="shared" si="101"/>
        <v>212558.652222222</v>
      </c>
      <c r="AW121" s="299" t="e">
        <f>AU121+AR121+AQ121+AO121+AN121+AM121+AK121+AI121+AH121+AG121+AF121+AE121+AD121+AL121</f>
        <v>#REF!</v>
      </c>
      <c r="AX121" s="391"/>
      <c r="AY121" s="391"/>
      <c r="AZ121" s="299" t="e">
        <f t="shared" si="61"/>
        <v>#REF!</v>
      </c>
      <c r="BA121" s="397" t="e">
        <f>SUM(#REF!)</f>
        <v>#REF!</v>
      </c>
      <c r="BB121" s="412" t="e">
        <f>1%*#REF!</f>
        <v>#REF!</v>
      </c>
      <c r="BC121" s="413" t="e">
        <f t="shared" si="52"/>
        <v>#REF!</v>
      </c>
      <c r="BD121" s="414" t="e">
        <f t="shared" si="53"/>
        <v>#REF!</v>
      </c>
      <c r="BE121" s="415"/>
      <c r="BF121" s="416"/>
      <c r="BG121" s="417"/>
      <c r="BH121" s="418"/>
      <c r="BI121" s="418"/>
      <c r="BJ121" s="334"/>
      <c r="BK121" s="335"/>
    </row>
    <row r="122" s="245" customFormat="1" ht="172.5" customHeight="1" spans="1:63">
      <c r="A122" s="255">
        <v>120</v>
      </c>
      <c r="B122" s="70" t="s">
        <v>414</v>
      </c>
      <c r="C122" s="361" t="s">
        <v>130</v>
      </c>
      <c r="D122" s="129" t="s">
        <v>297</v>
      </c>
      <c r="E122" s="256" t="s">
        <v>127</v>
      </c>
      <c r="F122" s="1469" t="s">
        <v>415</v>
      </c>
      <c r="G122" s="257">
        <v>2688069</v>
      </c>
      <c r="H122" s="258">
        <f t="shared" si="94"/>
        <v>224005.75</v>
      </c>
      <c r="I122" s="258">
        <f t="shared" si="87"/>
        <v>26134.0041666667</v>
      </c>
      <c r="J122" s="258">
        <v>5000</v>
      </c>
      <c r="K122" s="258"/>
      <c r="L122" s="258"/>
      <c r="M122" s="258">
        <v>2500</v>
      </c>
      <c r="N122" s="258"/>
      <c r="O122" s="258"/>
      <c r="P122" s="258"/>
      <c r="Q122" s="258"/>
      <c r="R122" s="258"/>
      <c r="S122" s="258"/>
      <c r="T122" s="258"/>
      <c r="U122" s="258">
        <v>383.33</v>
      </c>
      <c r="V122" s="258"/>
      <c r="W122" s="265"/>
      <c r="X122" s="258"/>
      <c r="Y122" s="258"/>
      <c r="Z122" s="258"/>
      <c r="AA122" s="258"/>
      <c r="AB122" s="258"/>
      <c r="AC122" s="258"/>
      <c r="AD122" s="270"/>
      <c r="AE122" s="258"/>
      <c r="AF122" s="258">
        <v>2000</v>
      </c>
      <c r="AG122" s="270">
        <f t="shared" si="67"/>
        <v>4480.115</v>
      </c>
      <c r="AH122" s="270"/>
      <c r="AI122" s="278"/>
      <c r="AJ122" s="280"/>
      <c r="AK122" s="280"/>
      <c r="AL122" s="380">
        <v>1000</v>
      </c>
      <c r="AM122" s="281">
        <v>72427.4</v>
      </c>
      <c r="AN122" s="258"/>
      <c r="AO122" s="391">
        <v>1500</v>
      </c>
      <c r="AP122" s="299"/>
      <c r="AQ122" s="299"/>
      <c r="AR122" s="299">
        <f t="shared" si="68"/>
        <v>5160.46168333333</v>
      </c>
      <c r="AS122" s="300"/>
      <c r="AT122" s="300"/>
      <c r="AU122" s="299" t="e">
        <f t="shared" si="96"/>
        <v>#REF!</v>
      </c>
      <c r="AV122" s="299">
        <f t="shared" ref="AV122" si="102">V122+U122+N122+M122+K122+J122+I122+H122</f>
        <v>258023.084166667</v>
      </c>
      <c r="AW122" s="299" t="e">
        <f t="shared" si="64"/>
        <v>#REF!</v>
      </c>
      <c r="AX122" s="299"/>
      <c r="AY122" s="299"/>
      <c r="AZ122" s="299" t="e">
        <f t="shared" si="61"/>
        <v>#REF!</v>
      </c>
      <c r="BA122" s="305" t="e">
        <f>SUM(#REF!)</f>
        <v>#REF!</v>
      </c>
      <c r="BB122" s="320" t="e">
        <f>1%*#REF!</f>
        <v>#REF!</v>
      </c>
      <c r="BC122" s="321" t="e">
        <f t="shared" si="52"/>
        <v>#REF!</v>
      </c>
      <c r="BD122" s="322" t="e">
        <f t="shared" si="53"/>
        <v>#REF!</v>
      </c>
      <c r="BE122" s="323"/>
      <c r="BF122" s="324"/>
      <c r="BG122" s="325"/>
      <c r="BH122" s="326"/>
      <c r="BI122" s="326"/>
      <c r="BJ122" s="334"/>
      <c r="BK122" s="335"/>
    </row>
    <row r="123" s="245" customFormat="1" ht="172.5" customHeight="1" spans="1:63">
      <c r="A123" s="255">
        <v>121</v>
      </c>
      <c r="B123" s="70" t="s">
        <v>416</v>
      </c>
      <c r="C123" s="361" t="s">
        <v>204</v>
      </c>
      <c r="D123" s="129" t="s">
        <v>2040</v>
      </c>
      <c r="E123" s="256" t="s">
        <v>113</v>
      </c>
      <c r="F123" s="256">
        <v>1017304842</v>
      </c>
      <c r="G123" s="257">
        <v>2199496</v>
      </c>
      <c r="H123" s="258">
        <f t="shared" si="94"/>
        <v>183291.333333333</v>
      </c>
      <c r="I123" s="258">
        <f t="shared" si="87"/>
        <v>21383.9888888889</v>
      </c>
      <c r="J123" s="258">
        <v>5000</v>
      </c>
      <c r="K123" s="258"/>
      <c r="L123" s="258"/>
      <c r="M123" s="258">
        <v>2500</v>
      </c>
      <c r="N123" s="258"/>
      <c r="O123" s="258"/>
      <c r="P123" s="258"/>
      <c r="Q123" s="258"/>
      <c r="R123" s="258"/>
      <c r="S123" s="258"/>
      <c r="T123" s="258"/>
      <c r="U123" s="258">
        <v>383.33</v>
      </c>
      <c r="V123" s="258"/>
      <c r="W123" s="265"/>
      <c r="X123" s="258"/>
      <c r="Y123" s="258"/>
      <c r="Z123" s="258"/>
      <c r="AA123" s="258"/>
      <c r="AB123" s="258"/>
      <c r="AC123" s="258"/>
      <c r="AD123" s="270"/>
      <c r="AE123" s="258"/>
      <c r="AF123" s="258">
        <v>2000</v>
      </c>
      <c r="AG123" s="270">
        <f t="shared" si="67"/>
        <v>3665.82666666667</v>
      </c>
      <c r="AH123" s="270"/>
      <c r="AI123" s="278"/>
      <c r="AJ123" s="280"/>
      <c r="AK123" s="280"/>
      <c r="AL123" s="284">
        <v>1000</v>
      </c>
      <c r="AM123" s="281"/>
      <c r="AN123" s="258"/>
      <c r="AO123" s="299">
        <v>1500</v>
      </c>
      <c r="AP123" s="299"/>
      <c r="AQ123" s="299"/>
      <c r="AR123" s="299">
        <f t="shared" si="68"/>
        <v>4251.17304444444</v>
      </c>
      <c r="AS123" s="300"/>
      <c r="AT123" s="300"/>
      <c r="AU123" s="299" t="e">
        <f t="shared" si="96"/>
        <v>#REF!</v>
      </c>
      <c r="AV123" s="299">
        <f t="shared" ref="AV123:AV124" si="103">W123+V123+U123+N123+M123+K123+J123+I123+H123</f>
        <v>212558.652222222</v>
      </c>
      <c r="AW123" s="299" t="e">
        <f>AU123+AR123+AO123+AL123+AG123+AF123</f>
        <v>#REF!</v>
      </c>
      <c r="AX123" s="299"/>
      <c r="AY123" s="299"/>
      <c r="AZ123" s="299" t="e">
        <f t="shared" si="61"/>
        <v>#REF!</v>
      </c>
      <c r="BA123" s="305" t="e">
        <f>SUM(#REF!)</f>
        <v>#REF!</v>
      </c>
      <c r="BB123" s="320" t="e">
        <f>1%*#REF!</f>
        <v>#REF!</v>
      </c>
      <c r="BC123" s="321" t="e">
        <f t="shared" si="52"/>
        <v>#REF!</v>
      </c>
      <c r="BD123" s="322" t="e">
        <f t="shared" si="53"/>
        <v>#REF!</v>
      </c>
      <c r="BE123" s="323"/>
      <c r="BF123" s="324"/>
      <c r="BG123" s="325"/>
      <c r="BH123" s="326"/>
      <c r="BI123" s="326"/>
      <c r="BJ123" s="334"/>
      <c r="BK123" s="335"/>
    </row>
    <row r="124" s="245" customFormat="1" ht="172.5" customHeight="1" spans="1:63">
      <c r="A124" s="255">
        <v>122</v>
      </c>
      <c r="B124" s="70" t="s">
        <v>417</v>
      </c>
      <c r="C124" s="361" t="s">
        <v>418</v>
      </c>
      <c r="D124" s="129" t="s">
        <v>205</v>
      </c>
      <c r="E124" s="256" t="s">
        <v>127</v>
      </c>
      <c r="F124" s="1469" t="s">
        <v>419</v>
      </c>
      <c r="G124" s="257">
        <v>2090081</v>
      </c>
      <c r="H124" s="258">
        <f t="shared" si="94"/>
        <v>174173.416666667</v>
      </c>
      <c r="I124" s="258">
        <f t="shared" si="87"/>
        <v>20320.2319444444</v>
      </c>
      <c r="J124" s="258">
        <v>5000</v>
      </c>
      <c r="K124" s="258"/>
      <c r="L124" s="258"/>
      <c r="M124" s="258">
        <v>2500</v>
      </c>
      <c r="N124" s="258"/>
      <c r="O124" s="258"/>
      <c r="P124" s="258"/>
      <c r="Q124" s="258"/>
      <c r="R124" s="258"/>
      <c r="S124" s="258"/>
      <c r="T124" s="258"/>
      <c r="U124" s="258">
        <v>383.33</v>
      </c>
      <c r="V124" s="258"/>
      <c r="W124" s="265"/>
      <c r="X124" s="258"/>
      <c r="Y124" s="258"/>
      <c r="Z124" s="258"/>
      <c r="AA124" s="258"/>
      <c r="AB124" s="258"/>
      <c r="AC124" s="258"/>
      <c r="AD124" s="270"/>
      <c r="AE124" s="258"/>
      <c r="AF124" s="258">
        <v>1750</v>
      </c>
      <c r="AG124" s="270">
        <f t="shared" si="67"/>
        <v>3483.46833333333</v>
      </c>
      <c r="AH124" s="270"/>
      <c r="AI124" s="278"/>
      <c r="AJ124" s="280"/>
      <c r="AK124" s="280"/>
      <c r="AL124" s="284">
        <v>1000</v>
      </c>
      <c r="AM124" s="281"/>
      <c r="AN124" s="258"/>
      <c r="AO124" s="299">
        <v>1500</v>
      </c>
      <c r="AP124" s="299"/>
      <c r="AQ124" s="299"/>
      <c r="AR124" s="299">
        <f t="shared" si="68"/>
        <v>4047.53957222222</v>
      </c>
      <c r="AS124" s="300"/>
      <c r="AT124" s="300"/>
      <c r="AU124" s="299" t="e">
        <f t="shared" si="96"/>
        <v>#REF!</v>
      </c>
      <c r="AV124" s="299">
        <f t="shared" si="103"/>
        <v>202376.978611111</v>
      </c>
      <c r="AW124" s="299" t="e">
        <f>AU124+AR124+AQ124+AO124+AN124+AM124+AK124+AI124+AH124+AG124+AF124+AE124+AD124+AL124</f>
        <v>#REF!</v>
      </c>
      <c r="AX124" s="299"/>
      <c r="AY124" s="299"/>
      <c r="AZ124" s="299" t="e">
        <f t="shared" si="61"/>
        <v>#REF!</v>
      </c>
      <c r="BA124" s="305" t="e">
        <f>SUM(#REF!)</f>
        <v>#REF!</v>
      </c>
      <c r="BB124" s="320" t="e">
        <f>1%*#REF!</f>
        <v>#REF!</v>
      </c>
      <c r="BC124" s="321" t="e">
        <f t="shared" si="52"/>
        <v>#REF!</v>
      </c>
      <c r="BD124" s="322" t="e">
        <f t="shared" si="53"/>
        <v>#REF!</v>
      </c>
      <c r="BE124" s="323"/>
      <c r="BF124" s="324"/>
      <c r="BG124" s="325"/>
      <c r="BH124" s="326"/>
      <c r="BI124" s="326"/>
      <c r="BJ124" s="334"/>
      <c r="BK124" s="335"/>
    </row>
    <row r="125" s="245" customFormat="1" ht="172.5" customHeight="1" spans="1:63">
      <c r="A125" s="255">
        <v>123</v>
      </c>
      <c r="B125" s="70" t="s">
        <v>423</v>
      </c>
      <c r="C125" s="361" t="s">
        <v>130</v>
      </c>
      <c r="D125" s="129" t="s">
        <v>269</v>
      </c>
      <c r="E125" s="256" t="s">
        <v>135</v>
      </c>
      <c r="F125" s="1469" t="s">
        <v>424</v>
      </c>
      <c r="G125" s="257">
        <v>2775651</v>
      </c>
      <c r="H125" s="258">
        <f t="shared" si="94"/>
        <v>231304.25</v>
      </c>
      <c r="I125" s="258">
        <f t="shared" si="87"/>
        <v>26985.4958333333</v>
      </c>
      <c r="J125" s="258">
        <v>5000</v>
      </c>
      <c r="K125" s="258"/>
      <c r="L125" s="258"/>
      <c r="M125" s="258">
        <v>2500</v>
      </c>
      <c r="N125" s="258"/>
      <c r="O125" s="258"/>
      <c r="P125" s="258"/>
      <c r="Q125" s="258"/>
      <c r="R125" s="258"/>
      <c r="S125" s="258"/>
      <c r="T125" s="258"/>
      <c r="U125" s="258">
        <v>383.33</v>
      </c>
      <c r="V125" s="258"/>
      <c r="W125" s="265"/>
      <c r="X125" s="258"/>
      <c r="Y125" s="258"/>
      <c r="Z125" s="258"/>
      <c r="AA125" s="258"/>
      <c r="AB125" s="258"/>
      <c r="AC125" s="258"/>
      <c r="AD125" s="270"/>
      <c r="AE125" s="258"/>
      <c r="AF125" s="258"/>
      <c r="AG125" s="270">
        <f t="shared" si="67"/>
        <v>4626.085</v>
      </c>
      <c r="AH125" s="270">
        <f>10000</f>
        <v>10000</v>
      </c>
      <c r="AI125" s="278"/>
      <c r="AJ125" s="284">
        <v>2000</v>
      </c>
      <c r="AK125" s="280"/>
      <c r="AL125" s="280"/>
      <c r="AM125" s="281">
        <v>40608.33</v>
      </c>
      <c r="AN125" s="258">
        <v>8333.33</v>
      </c>
      <c r="AO125" s="299">
        <v>1500</v>
      </c>
      <c r="AP125" s="299"/>
      <c r="AQ125" s="299"/>
      <c r="AR125" s="299">
        <f t="shared" si="68"/>
        <v>5323.46151666667</v>
      </c>
      <c r="AS125" s="300"/>
      <c r="AT125" s="300"/>
      <c r="AU125" s="299" t="e">
        <f t="shared" si="96"/>
        <v>#REF!</v>
      </c>
      <c r="AV125" s="299">
        <f t="shared" ref="AV125" si="104">V125+U125+N125+M125+K125+J125+I125+H125</f>
        <v>266173.075833333</v>
      </c>
      <c r="AW125" s="299" t="e">
        <f>AU125+AR125+AQ125+AO125+AN125+AM125+AK125+AI125+AH125+AG125+AF125+#REF!+AJ125</f>
        <v>#REF!</v>
      </c>
      <c r="AX125" s="299"/>
      <c r="AY125" s="299"/>
      <c r="AZ125" s="299" t="e">
        <f t="shared" si="61"/>
        <v>#REF!</v>
      </c>
      <c r="BA125" s="305" t="e">
        <f>SUM(#REF!)</f>
        <v>#REF!</v>
      </c>
      <c r="BB125" s="320" t="e">
        <f>1%*#REF!</f>
        <v>#REF!</v>
      </c>
      <c r="BC125" s="321" t="e">
        <f t="shared" si="52"/>
        <v>#REF!</v>
      </c>
      <c r="BD125" s="322" t="e">
        <f t="shared" si="53"/>
        <v>#REF!</v>
      </c>
      <c r="BE125" s="323"/>
      <c r="BF125" s="324"/>
      <c r="BG125" s="325"/>
      <c r="BH125" s="326"/>
      <c r="BI125" s="326"/>
      <c r="BJ125" s="334"/>
      <c r="BK125" s="335"/>
    </row>
    <row r="126" s="245" customFormat="1" ht="185" customHeight="1" spans="1:63">
      <c r="A126" s="255">
        <v>124</v>
      </c>
      <c r="B126" s="70" t="s">
        <v>425</v>
      </c>
      <c r="C126" s="129" t="s">
        <v>130</v>
      </c>
      <c r="D126" s="129" t="s">
        <v>153</v>
      </c>
      <c r="E126" s="256" t="s">
        <v>127</v>
      </c>
      <c r="F126" s="1469" t="s">
        <v>426</v>
      </c>
      <c r="G126" s="257">
        <v>2863233</v>
      </c>
      <c r="H126" s="258">
        <f t="shared" si="94"/>
        <v>238602.75</v>
      </c>
      <c r="I126" s="258">
        <f t="shared" si="87"/>
        <v>27836.9875</v>
      </c>
      <c r="J126" s="258">
        <v>5000</v>
      </c>
      <c r="K126" s="258"/>
      <c r="L126" s="258"/>
      <c r="M126" s="258">
        <v>2500</v>
      </c>
      <c r="N126" s="258"/>
      <c r="O126" s="258"/>
      <c r="P126" s="258"/>
      <c r="Q126" s="258"/>
      <c r="R126" s="258"/>
      <c r="S126" s="258"/>
      <c r="T126" s="258"/>
      <c r="U126" s="258">
        <v>383.33</v>
      </c>
      <c r="V126" s="258"/>
      <c r="W126" s="265"/>
      <c r="X126" s="258"/>
      <c r="Y126" s="258"/>
      <c r="Z126" s="258"/>
      <c r="AA126" s="258"/>
      <c r="AB126" s="258"/>
      <c r="AC126" s="258"/>
      <c r="AD126" s="270"/>
      <c r="AE126" s="258"/>
      <c r="AF126" s="258">
        <v>3000</v>
      </c>
      <c r="AG126" s="270">
        <f t="shared" si="67"/>
        <v>4772.055</v>
      </c>
      <c r="AH126" s="270"/>
      <c r="AI126" s="278"/>
      <c r="AJ126" s="280"/>
      <c r="AK126" s="280"/>
      <c r="AL126" s="284">
        <v>1000</v>
      </c>
      <c r="AM126" s="281">
        <v>27916.67</v>
      </c>
      <c r="AN126" s="258"/>
      <c r="AO126" s="299">
        <v>1500</v>
      </c>
      <c r="AP126" s="299"/>
      <c r="AQ126" s="299"/>
      <c r="AR126" s="299">
        <f t="shared" si="68"/>
        <v>5486.46135</v>
      </c>
      <c r="AS126" s="300"/>
      <c r="AT126" s="300"/>
      <c r="AU126" s="299" t="e">
        <f t="shared" si="96"/>
        <v>#REF!</v>
      </c>
      <c r="AV126" s="299">
        <f t="shared" ref="AV126:AV127" si="105">W126+V126+U126+N126+M126+K126+J126+I126+H126</f>
        <v>274323.0675</v>
      </c>
      <c r="AW126" s="299" t="e">
        <f>AU126+AR126+AO126+AM126+AL126+AG126+AF126</f>
        <v>#REF!</v>
      </c>
      <c r="AX126" s="299"/>
      <c r="AY126" s="299"/>
      <c r="AZ126" s="299" t="e">
        <f t="shared" si="61"/>
        <v>#REF!</v>
      </c>
      <c r="BA126" s="305" t="e">
        <f>SUM(#REF!)</f>
        <v>#REF!</v>
      </c>
      <c r="BB126" s="320" t="e">
        <f>1%*#REF!</f>
        <v>#REF!</v>
      </c>
      <c r="BC126" s="321" t="e">
        <f t="shared" si="52"/>
        <v>#REF!</v>
      </c>
      <c r="BD126" s="322" t="e">
        <f t="shared" si="53"/>
        <v>#REF!</v>
      </c>
      <c r="BE126" s="323"/>
      <c r="BF126" s="324"/>
      <c r="BG126" s="325"/>
      <c r="BH126" s="326"/>
      <c r="BI126" s="326"/>
      <c r="BJ126" s="334"/>
      <c r="BK126" s="335"/>
    </row>
    <row r="127" s="245" customFormat="1" ht="190" customHeight="1" spans="1:63">
      <c r="A127" s="255">
        <v>125</v>
      </c>
      <c r="B127" s="70" t="s">
        <v>427</v>
      </c>
      <c r="C127" s="129" t="s">
        <v>130</v>
      </c>
      <c r="D127" s="129" t="s">
        <v>272</v>
      </c>
      <c r="E127" s="256" t="s">
        <v>113</v>
      </c>
      <c r="F127" s="256">
        <v>2172788168</v>
      </c>
      <c r="G127" s="257">
        <v>2600486</v>
      </c>
      <c r="H127" s="258">
        <f t="shared" si="94"/>
        <v>216707.166666667</v>
      </c>
      <c r="I127" s="258">
        <f t="shared" si="87"/>
        <v>25282.5027777778</v>
      </c>
      <c r="J127" s="258">
        <v>5000</v>
      </c>
      <c r="K127" s="258"/>
      <c r="L127" s="258"/>
      <c r="M127" s="258">
        <v>2500</v>
      </c>
      <c r="N127" s="258"/>
      <c r="O127" s="258"/>
      <c r="P127" s="258"/>
      <c r="Q127" s="258"/>
      <c r="R127" s="258"/>
      <c r="S127" s="258"/>
      <c r="T127" s="258"/>
      <c r="U127" s="258">
        <v>383.33</v>
      </c>
      <c r="V127" s="258"/>
      <c r="W127" s="265"/>
      <c r="X127" s="258"/>
      <c r="Y127" s="258"/>
      <c r="Z127" s="258"/>
      <c r="AA127" s="258"/>
      <c r="AB127" s="258"/>
      <c r="AC127" s="258"/>
      <c r="AD127" s="270"/>
      <c r="AE127" s="258"/>
      <c r="AF127" s="258"/>
      <c r="AG127" s="270">
        <f t="shared" si="67"/>
        <v>4334.14333333333</v>
      </c>
      <c r="AH127" s="270"/>
      <c r="AI127" s="282"/>
      <c r="AJ127" s="279"/>
      <c r="AK127" s="279"/>
      <c r="AL127" s="279">
        <v>1000</v>
      </c>
      <c r="AM127" s="281"/>
      <c r="AN127" s="258"/>
      <c r="AO127" s="299">
        <v>1500</v>
      </c>
      <c r="AP127" s="299"/>
      <c r="AQ127" s="299"/>
      <c r="AR127" s="299">
        <f t="shared" si="68"/>
        <v>4997.45998888889</v>
      </c>
      <c r="AS127" s="300"/>
      <c r="AT127" s="300"/>
      <c r="AU127" s="299" t="e">
        <f t="shared" si="96"/>
        <v>#REF!</v>
      </c>
      <c r="AV127" s="299">
        <f t="shared" si="105"/>
        <v>249872.999444444</v>
      </c>
      <c r="AW127" s="299" t="e">
        <f>AU127+AR127+AQ127+AO127+AN127+AM127+AK127+AI127+AH127+AG127+AF127+AE127+AD127+AL127</f>
        <v>#REF!</v>
      </c>
      <c r="AX127" s="299"/>
      <c r="AY127" s="299"/>
      <c r="AZ127" s="299" t="e">
        <f t="shared" si="61"/>
        <v>#REF!</v>
      </c>
      <c r="BA127" s="305" t="e">
        <f>SUM(#REF!)</f>
        <v>#REF!</v>
      </c>
      <c r="BB127" s="320" t="e">
        <f>1%*#REF!</f>
        <v>#REF!</v>
      </c>
      <c r="BC127" s="321" t="e">
        <f t="shared" si="52"/>
        <v>#REF!</v>
      </c>
      <c r="BD127" s="322" t="e">
        <f t="shared" si="53"/>
        <v>#REF!</v>
      </c>
      <c r="BE127" s="323"/>
      <c r="BF127" s="324"/>
      <c r="BG127" s="325"/>
      <c r="BH127" s="326"/>
      <c r="BI127" s="326"/>
      <c r="BJ127" s="334"/>
      <c r="BK127" s="335"/>
    </row>
    <row r="128" s="245" customFormat="1" ht="166" customHeight="1" spans="1:63">
      <c r="A128" s="255">
        <v>126</v>
      </c>
      <c r="B128" s="70" t="s">
        <v>428</v>
      </c>
      <c r="C128" s="129" t="s">
        <v>221</v>
      </c>
      <c r="D128" s="129" t="s">
        <v>439</v>
      </c>
      <c r="E128" s="128" t="s">
        <v>93</v>
      </c>
      <c r="F128" s="256">
        <v>3074712488</v>
      </c>
      <c r="G128" s="257">
        <v>1947516</v>
      </c>
      <c r="H128" s="258">
        <f t="shared" si="94"/>
        <v>162293</v>
      </c>
      <c r="I128" s="258">
        <f t="shared" si="87"/>
        <v>18934.1833333333</v>
      </c>
      <c r="J128" s="258">
        <v>5000</v>
      </c>
      <c r="K128" s="258"/>
      <c r="L128" s="258"/>
      <c r="M128" s="258">
        <v>2500</v>
      </c>
      <c r="N128" s="258"/>
      <c r="O128" s="258"/>
      <c r="P128" s="258"/>
      <c r="Q128" s="258"/>
      <c r="R128" s="258"/>
      <c r="S128" s="258"/>
      <c r="T128" s="258"/>
      <c r="U128" s="258">
        <v>383.33</v>
      </c>
      <c r="V128" s="258"/>
      <c r="W128" s="265"/>
      <c r="X128" s="258"/>
      <c r="Y128" s="258"/>
      <c r="Z128" s="258"/>
      <c r="AA128" s="258"/>
      <c r="AB128" s="258"/>
      <c r="AC128" s="258"/>
      <c r="AD128" s="270"/>
      <c r="AE128" s="258"/>
      <c r="AF128" s="258">
        <v>1750</v>
      </c>
      <c r="AG128" s="270">
        <f t="shared" si="67"/>
        <v>3245.86</v>
      </c>
      <c r="AH128" s="270"/>
      <c r="AI128" s="282">
        <v>1000</v>
      </c>
      <c r="AJ128" s="279"/>
      <c r="AK128" s="279"/>
      <c r="AL128" s="279"/>
      <c r="AM128" s="281">
        <f>46094+19075</f>
        <v>65169</v>
      </c>
      <c r="AN128" s="258"/>
      <c r="AO128" s="299">
        <v>1000</v>
      </c>
      <c r="AP128" s="299"/>
      <c r="AQ128" s="299"/>
      <c r="AR128" s="299">
        <f t="shared" si="68"/>
        <v>3782.21026666667</v>
      </c>
      <c r="AS128" s="300"/>
      <c r="AT128" s="300"/>
      <c r="AU128" s="299" t="e">
        <f t="shared" si="96"/>
        <v>#REF!</v>
      </c>
      <c r="AV128" s="299">
        <f t="shared" ref="AV128" si="106">V128+U128+N128+M128+K128+J128+I128+H128</f>
        <v>189110.513333333</v>
      </c>
      <c r="AW128" s="299" t="e">
        <f t="shared" si="64"/>
        <v>#REF!</v>
      </c>
      <c r="AX128" s="299"/>
      <c r="AY128" s="299"/>
      <c r="AZ128" s="299" t="e">
        <f t="shared" si="61"/>
        <v>#REF!</v>
      </c>
      <c r="BA128" s="305" t="e">
        <f>SUM(#REF!)</f>
        <v>#REF!</v>
      </c>
      <c r="BB128" s="320" t="e">
        <f>1%*#REF!</f>
        <v>#REF!</v>
      </c>
      <c r="BC128" s="321" t="e">
        <f t="shared" si="52"/>
        <v>#REF!</v>
      </c>
      <c r="BD128" s="322" t="e">
        <f t="shared" si="53"/>
        <v>#REF!</v>
      </c>
      <c r="BE128" s="323"/>
      <c r="BF128" s="324"/>
      <c r="BG128" s="325"/>
      <c r="BH128" s="326"/>
      <c r="BI128" s="326"/>
      <c r="BJ128" s="334"/>
      <c r="BK128" s="335"/>
    </row>
    <row r="129" s="245" customFormat="1" ht="156" customHeight="1" spans="1:63">
      <c r="A129" s="255">
        <v>127</v>
      </c>
      <c r="B129" s="70" t="s">
        <v>429</v>
      </c>
      <c r="C129" s="129" t="s">
        <v>221</v>
      </c>
      <c r="D129" s="129" t="s">
        <v>439</v>
      </c>
      <c r="E129" s="256" t="s">
        <v>354</v>
      </c>
      <c r="F129" s="256">
        <v>1005590620</v>
      </c>
      <c r="G129" s="257">
        <v>1947516</v>
      </c>
      <c r="H129" s="258">
        <f t="shared" si="94"/>
        <v>162293</v>
      </c>
      <c r="I129" s="258">
        <f t="shared" si="87"/>
        <v>18934.1833333333</v>
      </c>
      <c r="J129" s="258">
        <v>5000</v>
      </c>
      <c r="K129" s="258"/>
      <c r="L129" s="258"/>
      <c r="M129" s="258">
        <v>2500</v>
      </c>
      <c r="N129" s="258"/>
      <c r="O129" s="258"/>
      <c r="P129" s="258"/>
      <c r="Q129" s="258"/>
      <c r="R129" s="258"/>
      <c r="S129" s="258"/>
      <c r="T129" s="258"/>
      <c r="U129" s="258">
        <v>383.33</v>
      </c>
      <c r="V129" s="258"/>
      <c r="W129" s="265"/>
      <c r="X129" s="258"/>
      <c r="Y129" s="258"/>
      <c r="Z129" s="258"/>
      <c r="AA129" s="258"/>
      <c r="AB129" s="258"/>
      <c r="AC129" s="258"/>
      <c r="AD129" s="270"/>
      <c r="AE129" s="258"/>
      <c r="AF129" s="258">
        <v>2000</v>
      </c>
      <c r="AG129" s="270">
        <f t="shared" si="67"/>
        <v>3245.86</v>
      </c>
      <c r="AH129" s="270">
        <v>8000</v>
      </c>
      <c r="AI129" s="278"/>
      <c r="AJ129" s="280"/>
      <c r="AK129" s="280"/>
      <c r="AL129" s="280"/>
      <c r="AM129" s="281"/>
      <c r="AN129" s="258">
        <v>5000</v>
      </c>
      <c r="AO129" s="299">
        <v>1000</v>
      </c>
      <c r="AP129" s="299"/>
      <c r="AQ129" s="299">
        <v>1250</v>
      </c>
      <c r="AR129" s="299">
        <f t="shared" si="68"/>
        <v>3782.21026666667</v>
      </c>
      <c r="AS129" s="300"/>
      <c r="AT129" s="300"/>
      <c r="AU129" s="299" t="e">
        <f t="shared" si="96"/>
        <v>#REF!</v>
      </c>
      <c r="AV129" s="299">
        <f t="shared" ref="AV129:AV130" si="107">W129+V129+U129+N129+M129+K129+J129+I129+H129</f>
        <v>189110.513333333</v>
      </c>
      <c r="AW129" s="299" t="e">
        <f t="shared" si="64"/>
        <v>#REF!</v>
      </c>
      <c r="AX129" s="299"/>
      <c r="AY129" s="299"/>
      <c r="AZ129" s="299" t="e">
        <f t="shared" si="61"/>
        <v>#REF!</v>
      </c>
      <c r="BA129" s="305" t="e">
        <f>SUM(#REF!)</f>
        <v>#REF!</v>
      </c>
      <c r="BB129" s="320" t="e">
        <f>1%*#REF!</f>
        <v>#REF!</v>
      </c>
      <c r="BC129" s="321" t="e">
        <f t="shared" si="52"/>
        <v>#REF!</v>
      </c>
      <c r="BD129" s="322" t="e">
        <f t="shared" si="53"/>
        <v>#REF!</v>
      </c>
      <c r="BE129" s="323"/>
      <c r="BF129" s="324"/>
      <c r="BG129" s="325"/>
      <c r="BH129" s="326"/>
      <c r="BI129" s="326"/>
      <c r="BJ129" s="334"/>
      <c r="BK129" s="335"/>
    </row>
    <row r="130" s="245" customFormat="1" ht="156" customHeight="1" spans="1:63">
      <c r="A130" s="255">
        <v>128</v>
      </c>
      <c r="B130" s="70" t="s">
        <v>431</v>
      </c>
      <c r="C130" s="129" t="s">
        <v>130</v>
      </c>
      <c r="D130" s="129" t="s">
        <v>297</v>
      </c>
      <c r="E130" s="256" t="s">
        <v>127</v>
      </c>
      <c r="F130" s="1469" t="s">
        <v>2067</v>
      </c>
      <c r="G130" s="257">
        <v>2688069</v>
      </c>
      <c r="H130" s="258">
        <f t="shared" si="94"/>
        <v>224005.75</v>
      </c>
      <c r="I130" s="258">
        <f t="shared" si="87"/>
        <v>26134.0041666667</v>
      </c>
      <c r="J130" s="258">
        <v>5000</v>
      </c>
      <c r="K130" s="258"/>
      <c r="L130" s="258"/>
      <c r="M130" s="258">
        <v>2500</v>
      </c>
      <c r="N130" s="258"/>
      <c r="O130" s="258"/>
      <c r="P130" s="258"/>
      <c r="Q130" s="258"/>
      <c r="R130" s="258"/>
      <c r="S130" s="258"/>
      <c r="T130" s="258"/>
      <c r="U130" s="258">
        <v>383.33</v>
      </c>
      <c r="V130" s="258"/>
      <c r="W130" s="265"/>
      <c r="X130" s="258"/>
      <c r="Y130" s="258"/>
      <c r="Z130" s="258"/>
      <c r="AA130" s="258"/>
      <c r="AB130" s="258"/>
      <c r="AC130" s="258"/>
      <c r="AD130" s="270"/>
      <c r="AE130" s="258"/>
      <c r="AF130" s="258">
        <v>3500</v>
      </c>
      <c r="AG130" s="270">
        <f t="shared" si="67"/>
        <v>4480.115</v>
      </c>
      <c r="AH130" s="270"/>
      <c r="AI130" s="282">
        <v>1000</v>
      </c>
      <c r="AJ130" s="279"/>
      <c r="AK130" s="279"/>
      <c r="AL130" s="279"/>
      <c r="AM130" s="281"/>
      <c r="AN130" s="258">
        <v>10000</v>
      </c>
      <c r="AO130" s="299">
        <v>1500</v>
      </c>
      <c r="AP130" s="299"/>
      <c r="AQ130" s="299"/>
      <c r="AR130" s="299">
        <f t="shared" si="68"/>
        <v>5160.46168333333</v>
      </c>
      <c r="AS130" s="300"/>
      <c r="AT130" s="300"/>
      <c r="AU130" s="299" t="e">
        <f>AU129</f>
        <v>#REF!</v>
      </c>
      <c r="AV130" s="299">
        <f t="shared" si="107"/>
        <v>258023.084166667</v>
      </c>
      <c r="AW130" s="299" t="e">
        <f t="shared" si="64"/>
        <v>#REF!</v>
      </c>
      <c r="AX130" s="299"/>
      <c r="AY130" s="299"/>
      <c r="AZ130" s="299" t="e">
        <f t="shared" si="61"/>
        <v>#REF!</v>
      </c>
      <c r="BA130" s="305" t="e">
        <f>SUM(#REF!)</f>
        <v>#REF!</v>
      </c>
      <c r="BB130" s="320" t="e">
        <f>1%*#REF!</f>
        <v>#REF!</v>
      </c>
      <c r="BC130" s="321" t="e">
        <f t="shared" si="52"/>
        <v>#REF!</v>
      </c>
      <c r="BD130" s="322" t="e">
        <f t="shared" si="53"/>
        <v>#REF!</v>
      </c>
      <c r="BE130" s="323"/>
      <c r="BF130" s="324"/>
      <c r="BG130" s="325"/>
      <c r="BH130" s="326"/>
      <c r="BI130" s="326"/>
      <c r="BJ130" s="334"/>
      <c r="BK130" s="335"/>
    </row>
    <row r="131" s="245" customFormat="1" ht="156" customHeight="1" spans="1:63">
      <c r="A131" s="255">
        <v>129</v>
      </c>
      <c r="B131" s="70" t="s">
        <v>433</v>
      </c>
      <c r="C131" s="129" t="s">
        <v>204</v>
      </c>
      <c r="D131" s="129" t="s">
        <v>205</v>
      </c>
      <c r="E131" s="256" t="s">
        <v>165</v>
      </c>
      <c r="F131" s="256">
        <v>1006686724</v>
      </c>
      <c r="G131" s="257">
        <v>2090081</v>
      </c>
      <c r="H131" s="258">
        <f t="shared" si="94"/>
        <v>174173.416666667</v>
      </c>
      <c r="I131" s="258">
        <f t="shared" si="87"/>
        <v>20320.2319444444</v>
      </c>
      <c r="J131" s="258">
        <v>5000</v>
      </c>
      <c r="K131" s="258"/>
      <c r="L131" s="258"/>
      <c r="M131" s="258">
        <v>2500</v>
      </c>
      <c r="N131" s="258"/>
      <c r="O131" s="258"/>
      <c r="P131" s="258"/>
      <c r="Q131" s="258"/>
      <c r="R131" s="258"/>
      <c r="S131" s="258"/>
      <c r="T131" s="258"/>
      <c r="U131" s="258">
        <v>383.33</v>
      </c>
      <c r="V131" s="258"/>
      <c r="W131" s="265"/>
      <c r="X131" s="258"/>
      <c r="Y131" s="258"/>
      <c r="Z131" s="258"/>
      <c r="AA131" s="258"/>
      <c r="AB131" s="258"/>
      <c r="AC131" s="258"/>
      <c r="AD131" s="270"/>
      <c r="AE131" s="258"/>
      <c r="AF131" s="258">
        <v>3750</v>
      </c>
      <c r="AG131" s="270">
        <f t="shared" si="67"/>
        <v>3483.46833333333</v>
      </c>
      <c r="AH131" s="270">
        <v>20000</v>
      </c>
      <c r="AI131" s="278"/>
      <c r="AJ131" s="280"/>
      <c r="AK131" s="280"/>
      <c r="AL131" s="280"/>
      <c r="AM131" s="281">
        <f>5000+17500</f>
        <v>22500</v>
      </c>
      <c r="AN131" s="258">
        <v>5000</v>
      </c>
      <c r="AO131" s="299">
        <v>1500</v>
      </c>
      <c r="AP131" s="299"/>
      <c r="AQ131" s="299"/>
      <c r="AR131" s="299">
        <f t="shared" si="68"/>
        <v>4047.53957222222</v>
      </c>
      <c r="AS131" s="300"/>
      <c r="AT131" s="300"/>
      <c r="AU131" s="299" t="e">
        <f>AU130</f>
        <v>#REF!</v>
      </c>
      <c r="AV131" s="299">
        <f t="shared" ref="AV131" si="108">V131+U131+N131+M131+K131+J131+I131+H131</f>
        <v>202376.978611111</v>
      </c>
      <c r="AW131" s="299" t="e">
        <f t="shared" si="64"/>
        <v>#REF!</v>
      </c>
      <c r="AX131" s="299"/>
      <c r="AY131" s="299"/>
      <c r="AZ131" s="299" t="e">
        <f t="shared" si="61"/>
        <v>#REF!</v>
      </c>
      <c r="BA131" s="305" t="e">
        <f>SUM(#REF!)</f>
        <v>#REF!</v>
      </c>
      <c r="BB131" s="320" t="e">
        <f>1%*#REF!</f>
        <v>#REF!</v>
      </c>
      <c r="BC131" s="321" t="e">
        <f t="shared" ref="BC131:BC179" si="109">MAX(BA131:BB131)</f>
        <v>#REF!</v>
      </c>
      <c r="BD131" s="322" t="e">
        <f t="shared" ref="BD131:BD179" si="110">+BC131/12</f>
        <v>#REF!</v>
      </c>
      <c r="BE131" s="323"/>
      <c r="BF131" s="324"/>
      <c r="BG131" s="325"/>
      <c r="BH131" s="326"/>
      <c r="BI131" s="326"/>
      <c r="BJ131" s="334"/>
      <c r="BK131" s="335"/>
    </row>
    <row r="132" s="245" customFormat="1" ht="156" customHeight="1" spans="1:63">
      <c r="A132" s="255">
        <v>130</v>
      </c>
      <c r="B132" s="70" t="s">
        <v>434</v>
      </c>
      <c r="C132" s="129" t="s">
        <v>221</v>
      </c>
      <c r="D132" s="129" t="s">
        <v>555</v>
      </c>
      <c r="E132" s="256" t="s">
        <v>127</v>
      </c>
      <c r="F132" s="1469" t="s">
        <v>436</v>
      </c>
      <c r="G132" s="257">
        <v>1796468</v>
      </c>
      <c r="H132" s="258">
        <f t="shared" si="94"/>
        <v>149705.666666667</v>
      </c>
      <c r="I132" s="258">
        <f t="shared" si="87"/>
        <v>17465.6611111111</v>
      </c>
      <c r="J132" s="258">
        <v>5000</v>
      </c>
      <c r="K132" s="258"/>
      <c r="L132" s="258"/>
      <c r="M132" s="258">
        <v>2500</v>
      </c>
      <c r="N132" s="258"/>
      <c r="O132" s="258"/>
      <c r="P132" s="258"/>
      <c r="Q132" s="258"/>
      <c r="R132" s="258"/>
      <c r="S132" s="258"/>
      <c r="T132" s="258"/>
      <c r="U132" s="258">
        <v>383.33</v>
      </c>
      <c r="V132" s="258"/>
      <c r="W132" s="265"/>
      <c r="X132" s="258"/>
      <c r="Y132" s="258"/>
      <c r="Z132" s="258"/>
      <c r="AA132" s="258"/>
      <c r="AB132" s="258"/>
      <c r="AC132" s="258"/>
      <c r="AD132" s="270"/>
      <c r="AE132" s="258"/>
      <c r="AF132" s="258">
        <v>1750</v>
      </c>
      <c r="AG132" s="270">
        <f t="shared" si="67"/>
        <v>2994.11333333333</v>
      </c>
      <c r="AH132" s="270"/>
      <c r="AI132" s="278"/>
      <c r="AJ132" s="280"/>
      <c r="AK132" s="280"/>
      <c r="AL132" s="284">
        <v>1000</v>
      </c>
      <c r="AM132" s="281"/>
      <c r="AN132" s="258"/>
      <c r="AO132" s="299">
        <v>1000</v>
      </c>
      <c r="AP132" s="299"/>
      <c r="AQ132" s="299"/>
      <c r="AR132" s="299">
        <f t="shared" si="68"/>
        <v>3501.09315555556</v>
      </c>
      <c r="AS132" s="300"/>
      <c r="AT132" s="300"/>
      <c r="AU132" s="299" t="e">
        <f>AU131</f>
        <v>#REF!</v>
      </c>
      <c r="AV132" s="299">
        <f t="shared" ref="AV132:AV133" si="111">W132+V132+U132+N132+M132+K132+J132+I132+H132</f>
        <v>175054.657777778</v>
      </c>
      <c r="AW132" s="299" t="e">
        <f>AU132+AR132+AQ132+AO132+AN132+AM132+AK132+AI132+AH132+AG132+AF132+AE132+AD132+AL132</f>
        <v>#REF!</v>
      </c>
      <c r="AX132" s="299"/>
      <c r="AY132" s="299"/>
      <c r="AZ132" s="299" t="e">
        <f t="shared" si="61"/>
        <v>#REF!</v>
      </c>
      <c r="BA132" s="305" t="e">
        <f>SUM(#REF!)</f>
        <v>#REF!</v>
      </c>
      <c r="BB132" s="320" t="e">
        <f>1%*#REF!</f>
        <v>#REF!</v>
      </c>
      <c r="BC132" s="321" t="e">
        <f t="shared" si="109"/>
        <v>#REF!</v>
      </c>
      <c r="BD132" s="322" t="e">
        <f t="shared" si="110"/>
        <v>#REF!</v>
      </c>
      <c r="BE132" s="323"/>
      <c r="BF132" s="324"/>
      <c r="BG132" s="325"/>
      <c r="BH132" s="326"/>
      <c r="BI132" s="326"/>
      <c r="BJ132" s="334"/>
      <c r="BK132" s="335"/>
    </row>
    <row r="133" s="245" customFormat="1" ht="156" customHeight="1" spans="1:63">
      <c r="A133" s="255">
        <v>131</v>
      </c>
      <c r="B133" s="70" t="s">
        <v>437</v>
      </c>
      <c r="C133" s="129" t="s">
        <v>204</v>
      </c>
      <c r="D133" s="129" t="s">
        <v>208</v>
      </c>
      <c r="E133" s="256" t="s">
        <v>93</v>
      </c>
      <c r="F133" s="256">
        <v>3045562177</v>
      </c>
      <c r="G133" s="257">
        <v>2035375</v>
      </c>
      <c r="H133" s="258">
        <f t="shared" si="94"/>
        <v>169614.583333333</v>
      </c>
      <c r="I133" s="258">
        <f t="shared" si="87"/>
        <v>19788.3680555556</v>
      </c>
      <c r="J133" s="258">
        <v>5000</v>
      </c>
      <c r="K133" s="258"/>
      <c r="L133" s="258"/>
      <c r="M133" s="258">
        <v>2500</v>
      </c>
      <c r="N133" s="258"/>
      <c r="O133" s="258"/>
      <c r="P133" s="258"/>
      <c r="Q133" s="258"/>
      <c r="R133" s="258"/>
      <c r="S133" s="258"/>
      <c r="T133" s="258"/>
      <c r="U133" s="258">
        <v>383.33</v>
      </c>
      <c r="V133" s="258"/>
      <c r="W133" s="265"/>
      <c r="X133" s="258"/>
      <c r="Y133" s="258"/>
      <c r="Z133" s="258"/>
      <c r="AA133" s="258"/>
      <c r="AB133" s="258"/>
      <c r="AC133" s="258"/>
      <c r="AD133" s="270"/>
      <c r="AE133" s="258"/>
      <c r="AF133" s="258"/>
      <c r="AG133" s="270">
        <f t="shared" si="67"/>
        <v>3392.29166666667</v>
      </c>
      <c r="AH133" s="270"/>
      <c r="AI133" s="282">
        <v>1000</v>
      </c>
      <c r="AJ133" s="279"/>
      <c r="AK133" s="279"/>
      <c r="AL133" s="279"/>
      <c r="AM133" s="281"/>
      <c r="AN133" s="258"/>
      <c r="AO133" s="299">
        <v>1500</v>
      </c>
      <c r="AP133" s="299"/>
      <c r="AQ133" s="299"/>
      <c r="AR133" s="299">
        <f t="shared" si="68"/>
        <v>3945.72562777778</v>
      </c>
      <c r="AS133" s="300"/>
      <c r="AT133" s="300"/>
      <c r="AU133" s="299" t="e">
        <f t="shared" ref="AU133:AU168" si="112">BD133</f>
        <v>#REF!</v>
      </c>
      <c r="AV133" s="299">
        <f t="shared" si="111"/>
        <v>197286.281388889</v>
      </c>
      <c r="AW133" s="299" t="e">
        <f t="shared" si="64"/>
        <v>#REF!</v>
      </c>
      <c r="AX133" s="299"/>
      <c r="AY133" s="299"/>
      <c r="AZ133" s="299" t="e">
        <f t="shared" si="61"/>
        <v>#REF!</v>
      </c>
      <c r="BA133" s="305" t="e">
        <f>SUM(#REF!)</f>
        <v>#REF!</v>
      </c>
      <c r="BB133" s="320" t="e">
        <f>1%*#REF!</f>
        <v>#REF!</v>
      </c>
      <c r="BC133" s="321" t="e">
        <f t="shared" si="109"/>
        <v>#REF!</v>
      </c>
      <c r="BD133" s="322" t="e">
        <f t="shared" si="110"/>
        <v>#REF!</v>
      </c>
      <c r="BE133" s="323"/>
      <c r="BF133" s="324"/>
      <c r="BG133" s="325"/>
      <c r="BH133" s="326"/>
      <c r="BI133" s="326"/>
      <c r="BJ133" s="334"/>
      <c r="BK133" s="335"/>
    </row>
    <row r="134" s="245" customFormat="1" ht="156" customHeight="1" spans="1:63">
      <c r="A134" s="255">
        <v>132</v>
      </c>
      <c r="B134" s="70" t="s">
        <v>438</v>
      </c>
      <c r="C134" s="129" t="s">
        <v>221</v>
      </c>
      <c r="D134" s="129" t="s">
        <v>196</v>
      </c>
      <c r="E134" s="256" t="s">
        <v>113</v>
      </c>
      <c r="F134" s="256">
        <v>2241279302</v>
      </c>
      <c r="G134" s="258">
        <v>1846818</v>
      </c>
      <c r="H134" s="258">
        <f t="shared" si="94"/>
        <v>153901.5</v>
      </c>
      <c r="I134" s="258">
        <f t="shared" si="87"/>
        <v>17955.175</v>
      </c>
      <c r="J134" s="258">
        <v>5000</v>
      </c>
      <c r="K134" s="258"/>
      <c r="L134" s="258"/>
      <c r="M134" s="258">
        <v>2500</v>
      </c>
      <c r="N134" s="258"/>
      <c r="O134" s="258"/>
      <c r="P134" s="258"/>
      <c r="Q134" s="258"/>
      <c r="R134" s="258"/>
      <c r="S134" s="258"/>
      <c r="T134" s="258"/>
      <c r="U134" s="258">
        <v>383.33</v>
      </c>
      <c r="V134" s="258"/>
      <c r="W134" s="265"/>
      <c r="X134" s="258"/>
      <c r="Y134" s="258"/>
      <c r="Z134" s="258"/>
      <c r="AA134" s="258"/>
      <c r="AB134" s="258"/>
      <c r="AC134" s="258"/>
      <c r="AD134" s="270"/>
      <c r="AE134" s="258"/>
      <c r="AF134" s="258">
        <v>500</v>
      </c>
      <c r="AG134" s="270">
        <f t="shared" si="67"/>
        <v>3078.03</v>
      </c>
      <c r="AH134" s="270"/>
      <c r="AI134" s="278"/>
      <c r="AJ134" s="280"/>
      <c r="AK134" s="280"/>
      <c r="AL134" s="280"/>
      <c r="AM134" s="281"/>
      <c r="AN134" s="258"/>
      <c r="AO134" s="299">
        <v>1000</v>
      </c>
      <c r="AP134" s="299"/>
      <c r="AQ134" s="299"/>
      <c r="AR134" s="299">
        <f t="shared" si="68"/>
        <v>3594.8001</v>
      </c>
      <c r="AS134" s="300"/>
      <c r="AT134" s="300"/>
      <c r="AU134" s="299" t="e">
        <f t="shared" si="112"/>
        <v>#REF!</v>
      </c>
      <c r="AV134" s="299">
        <f t="shared" ref="AV134" si="113">V134+U134+N134+M134+K134+J134+I134+H134</f>
        <v>179740.005</v>
      </c>
      <c r="AW134" s="299" t="e">
        <f t="shared" si="64"/>
        <v>#REF!</v>
      </c>
      <c r="AX134" s="299"/>
      <c r="AY134" s="299"/>
      <c r="AZ134" s="299" t="e">
        <f t="shared" si="61"/>
        <v>#REF!</v>
      </c>
      <c r="BA134" s="305" t="e">
        <f>SUM(#REF!)</f>
        <v>#REF!</v>
      </c>
      <c r="BB134" s="320" t="e">
        <f>1%*#REF!</f>
        <v>#REF!</v>
      </c>
      <c r="BC134" s="321" t="e">
        <f t="shared" si="109"/>
        <v>#REF!</v>
      </c>
      <c r="BD134" s="322" t="e">
        <f t="shared" si="110"/>
        <v>#REF!</v>
      </c>
      <c r="BE134" s="323"/>
      <c r="BF134" s="324"/>
      <c r="BG134" s="325"/>
      <c r="BH134" s="326"/>
      <c r="BI134" s="326"/>
      <c r="BJ134" s="334"/>
      <c r="BK134" s="335"/>
    </row>
    <row r="135" s="245" customFormat="1" ht="156" customHeight="1" spans="1:63">
      <c r="A135" s="255">
        <v>133</v>
      </c>
      <c r="B135" s="70" t="s">
        <v>441</v>
      </c>
      <c r="C135" s="129" t="s">
        <v>363</v>
      </c>
      <c r="D135" s="129" t="s">
        <v>208</v>
      </c>
      <c r="E135" s="256" t="s">
        <v>259</v>
      </c>
      <c r="F135" s="256">
        <v>4021422945</v>
      </c>
      <c r="G135" s="258">
        <f>H135*12</f>
        <v>1017686.52</v>
      </c>
      <c r="H135" s="258">
        <v>84807.21</v>
      </c>
      <c r="I135" s="258"/>
      <c r="J135" s="258"/>
      <c r="K135" s="258"/>
      <c r="L135" s="258"/>
      <c r="M135" s="258">
        <v>2500</v>
      </c>
      <c r="N135" s="258"/>
      <c r="O135" s="258"/>
      <c r="P135" s="258"/>
      <c r="Q135" s="258"/>
      <c r="R135" s="258"/>
      <c r="S135" s="258"/>
      <c r="T135" s="258"/>
      <c r="U135" s="258">
        <v>383.33</v>
      </c>
      <c r="V135" s="258"/>
      <c r="W135" s="265"/>
      <c r="X135" s="258"/>
      <c r="Y135" s="258"/>
      <c r="Z135" s="258"/>
      <c r="AA135" s="258"/>
      <c r="AB135" s="258"/>
      <c r="AC135" s="258"/>
      <c r="AD135" s="270"/>
      <c r="AE135" s="258"/>
      <c r="AF135" s="258"/>
      <c r="AG135" s="270">
        <f t="shared" si="67"/>
        <v>1696.1442</v>
      </c>
      <c r="AH135" s="270"/>
      <c r="AI135" s="381"/>
      <c r="AJ135" s="382"/>
      <c r="AK135" s="280"/>
      <c r="AL135" s="280"/>
      <c r="AM135" s="281"/>
      <c r="AN135" s="258"/>
      <c r="AO135" s="299">
        <v>750</v>
      </c>
      <c r="AP135" s="299"/>
      <c r="AQ135" s="299"/>
      <c r="AR135" s="299">
        <f t="shared" si="68"/>
        <v>1753.8108</v>
      </c>
      <c r="AS135" s="300"/>
      <c r="AT135" s="300"/>
      <c r="AU135" s="299" t="e">
        <f>AU165</f>
        <v>#REF!</v>
      </c>
      <c r="AV135" s="299">
        <f t="shared" ref="AV135:AV138" si="114">W135+V135+U135+N135+M135+K135+J135+I135+H135</f>
        <v>87690.54</v>
      </c>
      <c r="AW135" s="299" t="e">
        <f t="shared" si="64"/>
        <v>#REF!</v>
      </c>
      <c r="AX135" s="299"/>
      <c r="AY135" s="299"/>
      <c r="AZ135" s="299" t="e">
        <f t="shared" si="61"/>
        <v>#REF!</v>
      </c>
      <c r="BA135" s="305" t="e">
        <f>SUM(#REF!)</f>
        <v>#REF!</v>
      </c>
      <c r="BB135" s="320" t="e">
        <f>1%*#REF!</f>
        <v>#REF!</v>
      </c>
      <c r="BC135" s="321" t="e">
        <f t="shared" si="109"/>
        <v>#REF!</v>
      </c>
      <c r="BD135" s="322" t="e">
        <f t="shared" si="110"/>
        <v>#REF!</v>
      </c>
      <c r="BE135" s="323"/>
      <c r="BF135" s="324"/>
      <c r="BG135" s="325"/>
      <c r="BH135" s="326"/>
      <c r="BI135" s="326"/>
      <c r="BJ135" s="334"/>
      <c r="BK135" s="335"/>
    </row>
    <row r="136" s="245" customFormat="1" ht="156" customHeight="1" spans="1:63">
      <c r="A136" s="255">
        <v>134</v>
      </c>
      <c r="B136" s="70" t="s">
        <v>1829</v>
      </c>
      <c r="C136" s="129" t="s">
        <v>363</v>
      </c>
      <c r="D136" s="129" t="s">
        <v>208</v>
      </c>
      <c r="E136" s="256" t="s">
        <v>259</v>
      </c>
      <c r="F136" s="256">
        <v>5334151353</v>
      </c>
      <c r="G136" s="258">
        <f>H136*12</f>
        <v>1017686.52</v>
      </c>
      <c r="H136" s="258">
        <v>84807.21</v>
      </c>
      <c r="I136" s="258"/>
      <c r="J136" s="258"/>
      <c r="K136" s="258"/>
      <c r="L136" s="258"/>
      <c r="M136" s="258">
        <v>2500</v>
      </c>
      <c r="N136" s="258"/>
      <c r="O136" s="258"/>
      <c r="P136" s="258"/>
      <c r="Q136" s="258"/>
      <c r="R136" s="258"/>
      <c r="S136" s="258"/>
      <c r="T136" s="258"/>
      <c r="U136" s="258">
        <v>383.33</v>
      </c>
      <c r="V136" s="258"/>
      <c r="W136" s="265"/>
      <c r="X136" s="258"/>
      <c r="Y136" s="258"/>
      <c r="Z136" s="258"/>
      <c r="AA136" s="258"/>
      <c r="AB136" s="258"/>
      <c r="AC136" s="258"/>
      <c r="AD136" s="270"/>
      <c r="AE136" s="258"/>
      <c r="AF136" s="258"/>
      <c r="AG136" s="270">
        <f t="shared" si="67"/>
        <v>1696.1442</v>
      </c>
      <c r="AH136" s="270"/>
      <c r="AI136" s="381"/>
      <c r="AJ136" s="383">
        <v>2000</v>
      </c>
      <c r="AK136" s="280"/>
      <c r="AL136" s="280"/>
      <c r="AM136" s="281"/>
      <c r="AN136" s="258"/>
      <c r="AO136" s="299">
        <v>750</v>
      </c>
      <c r="AP136" s="299"/>
      <c r="AQ136" s="299"/>
      <c r="AR136" s="299">
        <f t="shared" si="68"/>
        <v>1753.8108</v>
      </c>
      <c r="AS136" s="300"/>
      <c r="AT136" s="300"/>
      <c r="AU136" s="299" t="e">
        <f>BD136/2</f>
        <v>#REF!</v>
      </c>
      <c r="AV136" s="299">
        <f t="shared" si="114"/>
        <v>87690.54</v>
      </c>
      <c r="AW136" s="299" t="e">
        <f>AU136+AR136+AQ136+AO136+AN136+AK136+AJ136+AI136+AH136+AG136+AF136</f>
        <v>#REF!</v>
      </c>
      <c r="AX136" s="299"/>
      <c r="AY136" s="299"/>
      <c r="AZ136" s="299" t="e">
        <f t="shared" si="61"/>
        <v>#REF!</v>
      </c>
      <c r="BA136" s="305" t="e">
        <f>SUM(#REF!)</f>
        <v>#REF!</v>
      </c>
      <c r="BB136" s="320" t="e">
        <f>1%*#REF!</f>
        <v>#REF!</v>
      </c>
      <c r="BC136" s="321" t="e">
        <f t="shared" si="109"/>
        <v>#REF!</v>
      </c>
      <c r="BD136" s="322" t="e">
        <f t="shared" si="110"/>
        <v>#REF!</v>
      </c>
      <c r="BE136" s="323"/>
      <c r="BF136" s="324"/>
      <c r="BG136" s="325"/>
      <c r="BH136" s="326"/>
      <c r="BI136" s="326"/>
      <c r="BJ136" s="334"/>
      <c r="BK136" s="335"/>
    </row>
    <row r="137" s="245" customFormat="1" ht="156" customHeight="1" spans="1:63">
      <c r="A137" s="255">
        <v>135</v>
      </c>
      <c r="B137" s="70" t="s">
        <v>443</v>
      </c>
      <c r="C137" s="129" t="s">
        <v>444</v>
      </c>
      <c r="D137" s="129" t="s">
        <v>445</v>
      </c>
      <c r="E137" s="256" t="s">
        <v>93</v>
      </c>
      <c r="F137" s="256">
        <v>3032095781</v>
      </c>
      <c r="G137" s="258">
        <f>1746118/2</f>
        <v>873059</v>
      </c>
      <c r="H137" s="258">
        <f>145509.83/2</f>
        <v>72754.915</v>
      </c>
      <c r="I137" s="258"/>
      <c r="J137" s="258"/>
      <c r="K137" s="258"/>
      <c r="L137" s="258"/>
      <c r="M137" s="258">
        <f>2500</f>
        <v>2500</v>
      </c>
      <c r="N137" s="258"/>
      <c r="O137" s="258"/>
      <c r="P137" s="258"/>
      <c r="Q137" s="258"/>
      <c r="R137" s="258"/>
      <c r="S137" s="258"/>
      <c r="T137" s="258"/>
      <c r="U137" s="258">
        <f>383.33</f>
        <v>383.33</v>
      </c>
      <c r="V137" s="258"/>
      <c r="W137" s="265"/>
      <c r="X137" s="258"/>
      <c r="Y137" s="258"/>
      <c r="Z137" s="258"/>
      <c r="AA137" s="258"/>
      <c r="AB137" s="258"/>
      <c r="AC137" s="258"/>
      <c r="AD137" s="270"/>
      <c r="AE137" s="258"/>
      <c r="AF137" s="258">
        <v>250</v>
      </c>
      <c r="AG137" s="270">
        <f t="shared" si="67"/>
        <v>1455.0983</v>
      </c>
      <c r="AH137" s="270"/>
      <c r="AI137" s="381"/>
      <c r="AJ137" s="286">
        <v>1000</v>
      </c>
      <c r="AK137" s="280"/>
      <c r="AL137" s="280"/>
      <c r="AM137" s="281"/>
      <c r="AN137" s="258"/>
      <c r="AO137" s="299">
        <v>500</v>
      </c>
      <c r="AP137" s="299"/>
      <c r="AQ137" s="299"/>
      <c r="AR137" s="299">
        <f t="shared" si="68"/>
        <v>1512.7649</v>
      </c>
      <c r="AS137" s="300"/>
      <c r="AT137" s="300"/>
      <c r="AU137" s="299" t="e">
        <f>BD137/2*2</f>
        <v>#REF!</v>
      </c>
      <c r="AV137" s="299">
        <f t="shared" si="114"/>
        <v>75638.245</v>
      </c>
      <c r="AW137" s="299" t="e">
        <f>AU137+AR137+AO137+AJ137+AG137</f>
        <v>#REF!</v>
      </c>
      <c r="AX137" s="299"/>
      <c r="AY137" s="299"/>
      <c r="AZ137" s="299" t="e">
        <f t="shared" si="61"/>
        <v>#REF!</v>
      </c>
      <c r="BA137" s="305" t="e">
        <f>SUM(#REF!)</f>
        <v>#REF!</v>
      </c>
      <c r="BB137" s="320" t="e">
        <f>1%*#REF!</f>
        <v>#REF!</v>
      </c>
      <c r="BC137" s="321" t="e">
        <f t="shared" si="109"/>
        <v>#REF!</v>
      </c>
      <c r="BD137" s="322" t="e">
        <f t="shared" si="110"/>
        <v>#REF!</v>
      </c>
      <c r="BE137" s="323"/>
      <c r="BF137" s="324"/>
      <c r="BG137" s="325"/>
      <c r="BH137" s="326"/>
      <c r="BI137" s="326"/>
      <c r="BJ137" s="334"/>
      <c r="BK137" s="335"/>
    </row>
    <row r="138" s="245" customFormat="1" ht="189" customHeight="1" spans="1:63">
      <c r="A138" s="255">
        <v>136</v>
      </c>
      <c r="B138" s="70" t="s">
        <v>451</v>
      </c>
      <c r="C138" s="129" t="s">
        <v>204</v>
      </c>
      <c r="D138" s="129" t="s">
        <v>2040</v>
      </c>
      <c r="E138" s="256" t="s">
        <v>113</v>
      </c>
      <c r="F138" s="256">
        <v>2080530783</v>
      </c>
      <c r="G138" s="257">
        <v>2109106</v>
      </c>
      <c r="H138" s="258">
        <f>G138/12</f>
        <v>175758.833333333</v>
      </c>
      <c r="I138" s="370">
        <f t="shared" si="87"/>
        <v>20505.1972222222</v>
      </c>
      <c r="J138" s="370">
        <v>5000</v>
      </c>
      <c r="K138" s="370"/>
      <c r="L138" s="370"/>
      <c r="M138" s="370">
        <v>2500</v>
      </c>
      <c r="N138" s="370"/>
      <c r="O138" s="370"/>
      <c r="P138" s="370"/>
      <c r="Q138" s="370"/>
      <c r="R138" s="370"/>
      <c r="S138" s="370"/>
      <c r="T138" s="370"/>
      <c r="U138" s="370">
        <v>383.33</v>
      </c>
      <c r="V138" s="370"/>
      <c r="W138" s="372"/>
      <c r="X138" s="370"/>
      <c r="Y138" s="370"/>
      <c r="Z138" s="370"/>
      <c r="AA138" s="370"/>
      <c r="AB138" s="370"/>
      <c r="AC138" s="370"/>
      <c r="AD138" s="374"/>
      <c r="AE138" s="370"/>
      <c r="AF138" s="370"/>
      <c r="AG138" s="374">
        <f t="shared" si="67"/>
        <v>3515.17666666667</v>
      </c>
      <c r="AH138" s="374"/>
      <c r="AI138" s="256"/>
      <c r="AJ138" s="384"/>
      <c r="AK138" s="384"/>
      <c r="AL138" s="385">
        <v>1000</v>
      </c>
      <c r="AM138" s="386"/>
      <c r="AN138" s="370"/>
      <c r="AO138" s="393">
        <v>1500</v>
      </c>
      <c r="AP138" s="393"/>
      <c r="AQ138" s="393"/>
      <c r="AR138" s="393">
        <f t="shared" si="68"/>
        <v>4082.94721111111</v>
      </c>
      <c r="AS138" s="394"/>
      <c r="AT138" s="394"/>
      <c r="AU138" s="393" t="e">
        <f t="shared" si="112"/>
        <v>#REF!</v>
      </c>
      <c r="AV138" s="393">
        <f t="shared" si="114"/>
        <v>204147.360555556</v>
      </c>
      <c r="AW138" s="393" t="e">
        <f>AU138+AR138+AQ138+AO138+AN138+AM138+AK138+AI138+AH138+AG138+AF138+AE138+AD138+AL138</f>
        <v>#REF!</v>
      </c>
      <c r="AX138" s="393"/>
      <c r="AY138" s="393"/>
      <c r="AZ138" s="393" t="e">
        <f t="shared" si="61"/>
        <v>#REF!</v>
      </c>
      <c r="BA138" s="401" t="e">
        <f>SUM(#REF!)</f>
        <v>#REF!</v>
      </c>
      <c r="BB138" s="419" t="e">
        <f>1%*#REF!</f>
        <v>#REF!</v>
      </c>
      <c r="BC138" s="321" t="e">
        <f t="shared" si="109"/>
        <v>#REF!</v>
      </c>
      <c r="BD138" s="322" t="e">
        <f t="shared" si="110"/>
        <v>#REF!</v>
      </c>
      <c r="BE138" s="323"/>
      <c r="BF138" s="324"/>
      <c r="BG138" s="325"/>
      <c r="BH138" s="326"/>
      <c r="BI138" s="326"/>
      <c r="BJ138" s="334"/>
      <c r="BK138" s="335"/>
    </row>
    <row r="139" s="245" customFormat="1" ht="156" customHeight="1" spans="1:63">
      <c r="A139" s="255">
        <v>137</v>
      </c>
      <c r="B139" s="70" t="s">
        <v>452</v>
      </c>
      <c r="C139" s="129" t="s">
        <v>130</v>
      </c>
      <c r="D139" s="129" t="s">
        <v>294</v>
      </c>
      <c r="E139" s="256" t="s">
        <v>135</v>
      </c>
      <c r="F139" s="1469" t="s">
        <v>453</v>
      </c>
      <c r="G139" s="257">
        <v>2425322</v>
      </c>
      <c r="H139" s="258">
        <f>G139/12</f>
        <v>202110.166666667</v>
      </c>
      <c r="I139" s="258">
        <f t="shared" si="87"/>
        <v>23579.5194444444</v>
      </c>
      <c r="J139" s="258">
        <v>5000</v>
      </c>
      <c r="K139" s="258"/>
      <c r="L139" s="258"/>
      <c r="M139" s="258">
        <v>2500</v>
      </c>
      <c r="N139" s="258"/>
      <c r="O139" s="258"/>
      <c r="P139" s="258"/>
      <c r="Q139" s="258"/>
      <c r="R139" s="258"/>
      <c r="S139" s="258"/>
      <c r="T139" s="258"/>
      <c r="U139" s="258">
        <v>383.33</v>
      </c>
      <c r="V139" s="258"/>
      <c r="W139" s="265"/>
      <c r="X139" s="258"/>
      <c r="Y139" s="258"/>
      <c r="Z139" s="258"/>
      <c r="AA139" s="258"/>
      <c r="AB139" s="258"/>
      <c r="AC139" s="258"/>
      <c r="AD139" s="270"/>
      <c r="AE139" s="258"/>
      <c r="AF139" s="258"/>
      <c r="AG139" s="270">
        <f t="shared" si="67"/>
        <v>4042.20333333333</v>
      </c>
      <c r="AH139" s="270"/>
      <c r="AI139" s="278"/>
      <c r="AJ139" s="280"/>
      <c r="AK139" s="280"/>
      <c r="AL139" s="284">
        <v>1000</v>
      </c>
      <c r="AM139" s="281">
        <v>45000</v>
      </c>
      <c r="AN139" s="258">
        <v>7500</v>
      </c>
      <c r="AO139" s="299">
        <v>1500</v>
      </c>
      <c r="AP139" s="299"/>
      <c r="AQ139" s="299"/>
      <c r="AR139" s="299">
        <f t="shared" si="68"/>
        <v>4671.46032222222</v>
      </c>
      <c r="AS139" s="300"/>
      <c r="AT139" s="300"/>
      <c r="AU139" s="299" t="e">
        <f t="shared" si="112"/>
        <v>#REF!</v>
      </c>
      <c r="AV139" s="299">
        <f t="shared" ref="AV139:AV140" si="115">V139+U139+N139+M139+K139+J139+I139+H139</f>
        <v>233573.016111111</v>
      </c>
      <c r="AW139" s="299" t="e">
        <f>AU139+AR139+AQ139+AO139+AN139+AM139+AK139+AI139+AH139+AG139+AF139+AE139+AD139+AL139</f>
        <v>#REF!</v>
      </c>
      <c r="AX139" s="299"/>
      <c r="AY139" s="299"/>
      <c r="AZ139" s="299" t="e">
        <f t="shared" si="61"/>
        <v>#REF!</v>
      </c>
      <c r="BA139" s="305" t="e">
        <f>SUM(#REF!)</f>
        <v>#REF!</v>
      </c>
      <c r="BB139" s="320" t="e">
        <f>1%*#REF!</f>
        <v>#REF!</v>
      </c>
      <c r="BC139" s="321" t="e">
        <f t="shared" si="109"/>
        <v>#REF!</v>
      </c>
      <c r="BD139" s="322" t="e">
        <f t="shared" si="110"/>
        <v>#REF!</v>
      </c>
      <c r="BE139" s="323"/>
      <c r="BF139" s="324"/>
      <c r="BG139" s="325"/>
      <c r="BH139" s="326"/>
      <c r="BI139" s="326"/>
      <c r="BJ139" s="334"/>
      <c r="BK139" s="335"/>
    </row>
    <row r="140" s="245" customFormat="1" ht="156" customHeight="1" spans="1:63">
      <c r="A140" s="255">
        <v>138</v>
      </c>
      <c r="B140" s="70" t="s">
        <v>2068</v>
      </c>
      <c r="C140" s="129" t="s">
        <v>442</v>
      </c>
      <c r="D140" s="129" t="s">
        <v>208</v>
      </c>
      <c r="E140" s="256" t="s">
        <v>361</v>
      </c>
      <c r="F140" s="256">
        <v>2005570980</v>
      </c>
      <c r="G140" s="257">
        <v>2035373</v>
      </c>
      <c r="H140" s="258">
        <v>84807.21</v>
      </c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  <c r="U140" s="258">
        <f>383.33</f>
        <v>383.33</v>
      </c>
      <c r="V140" s="258"/>
      <c r="W140" s="265"/>
      <c r="X140" s="258"/>
      <c r="Y140" s="258"/>
      <c r="Z140" s="258"/>
      <c r="AA140" s="258"/>
      <c r="AB140" s="258"/>
      <c r="AC140" s="258"/>
      <c r="AD140" s="270"/>
      <c r="AE140" s="258"/>
      <c r="AF140" s="258">
        <v>250</v>
      </c>
      <c r="AG140" s="270">
        <f t="shared" si="67"/>
        <v>1696.1442</v>
      </c>
      <c r="AH140" s="270"/>
      <c r="AI140" s="278"/>
      <c r="AJ140" s="280"/>
      <c r="AK140" s="280"/>
      <c r="AL140" s="280"/>
      <c r="AM140" s="281"/>
      <c r="AN140" s="258"/>
      <c r="AO140" s="299">
        <v>750</v>
      </c>
      <c r="AP140" s="299"/>
      <c r="AQ140" s="299"/>
      <c r="AR140" s="299">
        <f t="shared" si="68"/>
        <v>1703.8108</v>
      </c>
      <c r="AS140" s="300"/>
      <c r="AT140" s="300"/>
      <c r="AU140" s="299" t="e">
        <f t="shared" si="112"/>
        <v>#REF!</v>
      </c>
      <c r="AV140" s="299">
        <f t="shared" si="115"/>
        <v>85190.54</v>
      </c>
      <c r="AW140" s="299" t="e">
        <f t="shared" ref="AW140:AW177" si="116">AU140+AR140+AQ140+AO140+AN140+AM140+AK140+AI140+AH140+AG140+AF140+AE140+AD140</f>
        <v>#REF!</v>
      </c>
      <c r="AX140" s="299"/>
      <c r="AY140" s="299"/>
      <c r="AZ140" s="299" t="e">
        <f t="shared" ref="AZ140:AZ179" si="117">AV140-AW140</f>
        <v>#REF!</v>
      </c>
      <c r="BA140" s="305" t="e">
        <f>SUM(#REF!)</f>
        <v>#REF!</v>
      </c>
      <c r="BB140" s="320" t="e">
        <f>1%*#REF!</f>
        <v>#REF!</v>
      </c>
      <c r="BC140" s="321" t="e">
        <f t="shared" si="109"/>
        <v>#REF!</v>
      </c>
      <c r="BD140" s="322" t="e">
        <f t="shared" si="110"/>
        <v>#REF!</v>
      </c>
      <c r="BE140" s="323"/>
      <c r="BF140" s="324"/>
      <c r="BG140" s="325"/>
      <c r="BH140" s="326"/>
      <c r="BI140" s="326"/>
      <c r="BJ140" s="334"/>
      <c r="BK140" s="335"/>
    </row>
    <row r="141" s="245" customFormat="1" ht="156" customHeight="1" spans="1:63">
      <c r="A141" s="255">
        <v>139</v>
      </c>
      <c r="B141" s="70" t="s">
        <v>2069</v>
      </c>
      <c r="C141" s="129" t="s">
        <v>2070</v>
      </c>
      <c r="D141" s="129" t="s">
        <v>555</v>
      </c>
      <c r="E141" s="256" t="s">
        <v>93</v>
      </c>
      <c r="F141" s="256">
        <v>3045166049</v>
      </c>
      <c r="G141" s="257">
        <v>1796468</v>
      </c>
      <c r="H141" s="258">
        <f>G141/12</f>
        <v>149705.666666667</v>
      </c>
      <c r="I141" s="258">
        <f>H141*0.35/3</f>
        <v>17465.6611111111</v>
      </c>
      <c r="J141" s="258">
        <v>5000</v>
      </c>
      <c r="K141" s="258"/>
      <c r="L141" s="258"/>
      <c r="M141" s="258">
        <v>2500</v>
      </c>
      <c r="N141" s="258"/>
      <c r="O141" s="258"/>
      <c r="P141" s="258"/>
      <c r="Q141" s="258"/>
      <c r="R141" s="258"/>
      <c r="S141" s="258"/>
      <c r="T141" s="258"/>
      <c r="U141" s="258">
        <v>383.33</v>
      </c>
      <c r="V141" s="258"/>
      <c r="W141" s="265"/>
      <c r="X141" s="258"/>
      <c r="Y141" s="258"/>
      <c r="Z141" s="258"/>
      <c r="AA141" s="258"/>
      <c r="AB141" s="258"/>
      <c r="AC141" s="258"/>
      <c r="AD141" s="270"/>
      <c r="AE141" s="258"/>
      <c r="AF141" s="258"/>
      <c r="AG141" s="270">
        <f t="shared" si="67"/>
        <v>2994.11333333333</v>
      </c>
      <c r="AH141" s="270"/>
      <c r="AI141" s="282">
        <v>1000</v>
      </c>
      <c r="AJ141" s="279"/>
      <c r="AK141" s="279"/>
      <c r="AL141" s="279"/>
      <c r="AM141" s="281"/>
      <c r="AN141" s="258"/>
      <c r="AO141" s="299">
        <v>1000</v>
      </c>
      <c r="AP141" s="299"/>
      <c r="AQ141" s="299"/>
      <c r="AR141" s="299">
        <f t="shared" si="68"/>
        <v>3501.09315555556</v>
      </c>
      <c r="AS141" s="300"/>
      <c r="AT141" s="300"/>
      <c r="AU141" s="299" t="e">
        <f t="shared" si="112"/>
        <v>#REF!</v>
      </c>
      <c r="AV141" s="299">
        <f t="shared" ref="AV141" si="118">W141+V141+U141+N141+M141+K141+J141+I141+H141</f>
        <v>175054.657777778</v>
      </c>
      <c r="AW141" s="299" t="e">
        <f t="shared" si="116"/>
        <v>#REF!</v>
      </c>
      <c r="AX141" s="299"/>
      <c r="AY141" s="299"/>
      <c r="AZ141" s="299" t="e">
        <f t="shared" si="117"/>
        <v>#REF!</v>
      </c>
      <c r="BA141" s="305" t="e">
        <f>SUM(#REF!)</f>
        <v>#REF!</v>
      </c>
      <c r="BB141" s="320" t="e">
        <f>1%*#REF!</f>
        <v>#REF!</v>
      </c>
      <c r="BC141" s="321" t="e">
        <f t="shared" si="109"/>
        <v>#REF!</v>
      </c>
      <c r="BD141" s="322" t="e">
        <f t="shared" si="110"/>
        <v>#REF!</v>
      </c>
      <c r="BE141" s="323"/>
      <c r="BF141" s="324"/>
      <c r="BG141" s="325"/>
      <c r="BH141" s="326"/>
      <c r="BI141" s="326"/>
      <c r="BJ141" s="334"/>
      <c r="BK141" s="335"/>
    </row>
    <row r="142" s="245" customFormat="1" ht="156" customHeight="1" spans="1:63">
      <c r="A142" s="255">
        <v>140</v>
      </c>
      <c r="B142" s="70" t="s">
        <v>455</v>
      </c>
      <c r="C142" s="129" t="s">
        <v>130</v>
      </c>
      <c r="D142" s="129" t="s">
        <v>218</v>
      </c>
      <c r="E142" s="256" t="s">
        <v>127</v>
      </c>
      <c r="F142" s="1469" t="s">
        <v>2071</v>
      </c>
      <c r="G142" s="257">
        <v>2512904</v>
      </c>
      <c r="H142" s="258">
        <f t="shared" ref="H142:H154" si="119">G142/12</f>
        <v>209408.666666667</v>
      </c>
      <c r="I142" s="258">
        <f t="shared" si="87"/>
        <v>24431.0111111111</v>
      </c>
      <c r="J142" s="258">
        <v>5000</v>
      </c>
      <c r="K142" s="258"/>
      <c r="L142" s="258"/>
      <c r="M142" s="258">
        <v>2500</v>
      </c>
      <c r="N142" s="258"/>
      <c r="O142" s="258"/>
      <c r="P142" s="258"/>
      <c r="Q142" s="258"/>
      <c r="R142" s="258"/>
      <c r="S142" s="258"/>
      <c r="T142" s="258"/>
      <c r="U142" s="258">
        <v>383.33</v>
      </c>
      <c r="V142" s="258"/>
      <c r="W142" s="265"/>
      <c r="X142" s="258"/>
      <c r="Y142" s="258"/>
      <c r="Z142" s="258"/>
      <c r="AA142" s="258"/>
      <c r="AB142" s="258"/>
      <c r="AC142" s="258"/>
      <c r="AD142" s="270"/>
      <c r="AE142" s="258"/>
      <c r="AF142" s="258"/>
      <c r="AG142" s="270">
        <f t="shared" si="67"/>
        <v>4188.17333333333</v>
      </c>
      <c r="AH142" s="270">
        <f>5000</f>
        <v>5000</v>
      </c>
      <c r="AI142" s="278"/>
      <c r="AJ142" s="279">
        <v>1000</v>
      </c>
      <c r="AK142" s="280"/>
      <c r="AL142" s="280"/>
      <c r="AM142" s="281">
        <f>15000+15158.33</f>
        <v>30158.33</v>
      </c>
      <c r="AN142" s="258">
        <v>8333.33</v>
      </c>
      <c r="AO142" s="299">
        <v>1500</v>
      </c>
      <c r="AP142" s="299"/>
      <c r="AQ142" s="299"/>
      <c r="AR142" s="299">
        <f t="shared" si="68"/>
        <v>4834.46015555556</v>
      </c>
      <c r="AS142" s="300"/>
      <c r="AT142" s="300"/>
      <c r="AU142" s="299" t="e">
        <f t="shared" si="112"/>
        <v>#REF!</v>
      </c>
      <c r="AV142" s="299">
        <f t="shared" ref="AV142" si="120">V142+U142+N142+M142+K142+J142+I142+H142</f>
        <v>241723.007777778</v>
      </c>
      <c r="AW142" s="299" t="e">
        <f>AU142+AR142+AQ142+AO142+AN142+AM142+AK142+AI142+AH142+AG142+AF142+AE142+AD142+AJ142</f>
        <v>#REF!</v>
      </c>
      <c r="AX142" s="299"/>
      <c r="AY142" s="299"/>
      <c r="AZ142" s="299" t="e">
        <f t="shared" si="117"/>
        <v>#REF!</v>
      </c>
      <c r="BA142" s="305" t="e">
        <f>SUM(#REF!)</f>
        <v>#REF!</v>
      </c>
      <c r="BB142" s="320" t="e">
        <f>1%*#REF!</f>
        <v>#REF!</v>
      </c>
      <c r="BC142" s="321" t="e">
        <f t="shared" si="109"/>
        <v>#REF!</v>
      </c>
      <c r="BD142" s="322" t="e">
        <f t="shared" si="110"/>
        <v>#REF!</v>
      </c>
      <c r="BE142" s="323"/>
      <c r="BF142" s="324"/>
      <c r="BG142" s="325"/>
      <c r="BH142" s="326"/>
      <c r="BI142" s="326"/>
      <c r="BJ142" s="334"/>
      <c r="BK142" s="335"/>
    </row>
    <row r="143" s="245" customFormat="1" ht="156" customHeight="1" spans="1:63">
      <c r="A143" s="255">
        <v>141</v>
      </c>
      <c r="B143" s="70" t="s">
        <v>458</v>
      </c>
      <c r="C143" s="129" t="s">
        <v>204</v>
      </c>
      <c r="D143" s="129" t="s">
        <v>208</v>
      </c>
      <c r="E143" s="256" t="s">
        <v>127</v>
      </c>
      <c r="F143" s="1469" t="s">
        <v>459</v>
      </c>
      <c r="G143" s="257">
        <v>2035173</v>
      </c>
      <c r="H143" s="258">
        <f t="shared" si="119"/>
        <v>169597.75</v>
      </c>
      <c r="I143" s="258">
        <f t="shared" si="87"/>
        <v>19786.4041666667</v>
      </c>
      <c r="J143" s="258">
        <v>5000</v>
      </c>
      <c r="K143" s="258"/>
      <c r="L143" s="258"/>
      <c r="M143" s="258">
        <v>2500</v>
      </c>
      <c r="N143" s="258"/>
      <c r="O143" s="258"/>
      <c r="P143" s="258"/>
      <c r="Q143" s="258"/>
      <c r="R143" s="258"/>
      <c r="S143" s="258"/>
      <c r="T143" s="258"/>
      <c r="U143" s="258">
        <v>383.33</v>
      </c>
      <c r="V143" s="258"/>
      <c r="W143" s="265"/>
      <c r="X143" s="258"/>
      <c r="Y143" s="258"/>
      <c r="Z143" s="258"/>
      <c r="AA143" s="258"/>
      <c r="AB143" s="258"/>
      <c r="AC143" s="258"/>
      <c r="AD143" s="270"/>
      <c r="AE143" s="258"/>
      <c r="AF143" s="258"/>
      <c r="AG143" s="270">
        <f t="shared" si="67"/>
        <v>3391.955</v>
      </c>
      <c r="AH143" s="270"/>
      <c r="AI143" s="282">
        <v>1000</v>
      </c>
      <c r="AJ143" s="279"/>
      <c r="AK143" s="279"/>
      <c r="AL143" s="279"/>
      <c r="AM143" s="281">
        <v>20000</v>
      </c>
      <c r="AN143" s="258"/>
      <c r="AO143" s="299">
        <v>1500</v>
      </c>
      <c r="AP143" s="299"/>
      <c r="AQ143" s="299"/>
      <c r="AR143" s="299">
        <f t="shared" si="68"/>
        <v>3945.34968333333</v>
      </c>
      <c r="AS143" s="300"/>
      <c r="AT143" s="300"/>
      <c r="AU143" s="299" t="e">
        <f t="shared" si="112"/>
        <v>#REF!</v>
      </c>
      <c r="AV143" s="299">
        <f t="shared" ref="AV143:AV145" si="121">W143+V143+U143+N143+M143+K143+J143+I143+H143</f>
        <v>197267.484166667</v>
      </c>
      <c r="AW143" s="299" t="e">
        <f>AU143+AR143+AQ143+AO143+AN143+AM143+AK143+AI143+AH143+AG143+AF143+AE143+AD143+AL143</f>
        <v>#REF!</v>
      </c>
      <c r="AX143" s="299"/>
      <c r="AY143" s="299"/>
      <c r="AZ143" s="299" t="e">
        <f t="shared" si="117"/>
        <v>#REF!</v>
      </c>
      <c r="BA143" s="305" t="e">
        <f>SUM(#REF!)</f>
        <v>#REF!</v>
      </c>
      <c r="BB143" s="320" t="e">
        <f>1%*#REF!</f>
        <v>#REF!</v>
      </c>
      <c r="BC143" s="321" t="e">
        <f t="shared" si="109"/>
        <v>#REF!</v>
      </c>
      <c r="BD143" s="322" t="e">
        <f t="shared" si="110"/>
        <v>#REF!</v>
      </c>
      <c r="BE143" s="323"/>
      <c r="BF143" s="324"/>
      <c r="BG143" s="325"/>
      <c r="BH143" s="326"/>
      <c r="BI143" s="326"/>
      <c r="BJ143" s="334"/>
      <c r="BK143" s="335"/>
    </row>
    <row r="144" s="245" customFormat="1" ht="162" customHeight="1" spans="1:63">
      <c r="A144" s="255">
        <v>142</v>
      </c>
      <c r="B144" s="70" t="s">
        <v>460</v>
      </c>
      <c r="C144" s="129" t="s">
        <v>204</v>
      </c>
      <c r="D144" s="129" t="s">
        <v>2072</v>
      </c>
      <c r="E144" s="256" t="s">
        <v>113</v>
      </c>
      <c r="F144" s="256">
        <v>20272450981</v>
      </c>
      <c r="G144" s="257">
        <v>1980666</v>
      </c>
      <c r="H144" s="258">
        <f t="shared" si="119"/>
        <v>165055.5</v>
      </c>
      <c r="I144" s="258">
        <f t="shared" si="87"/>
        <v>19256.475</v>
      </c>
      <c r="J144" s="258">
        <v>5000</v>
      </c>
      <c r="K144" s="258"/>
      <c r="L144" s="258"/>
      <c r="M144" s="258">
        <v>2500</v>
      </c>
      <c r="N144" s="258"/>
      <c r="O144" s="258"/>
      <c r="P144" s="258"/>
      <c r="Q144" s="258"/>
      <c r="R144" s="258"/>
      <c r="S144" s="258"/>
      <c r="T144" s="258"/>
      <c r="U144" s="258">
        <f>383.33</f>
        <v>383.33</v>
      </c>
      <c r="V144" s="258"/>
      <c r="W144" s="265"/>
      <c r="X144" s="258"/>
      <c r="Y144" s="258"/>
      <c r="Z144" s="258"/>
      <c r="AA144" s="258"/>
      <c r="AB144" s="258"/>
      <c r="AC144" s="258"/>
      <c r="AD144" s="270"/>
      <c r="AE144" s="258"/>
      <c r="AF144" s="258"/>
      <c r="AG144" s="270">
        <f t="shared" si="67"/>
        <v>3301.11</v>
      </c>
      <c r="AH144" s="270"/>
      <c r="AI144" s="282"/>
      <c r="AJ144" s="279"/>
      <c r="AK144" s="279"/>
      <c r="AL144" s="279">
        <v>1000</v>
      </c>
      <c r="AM144" s="281"/>
      <c r="AN144" s="258"/>
      <c r="AO144" s="299">
        <v>1500</v>
      </c>
      <c r="AP144" s="299"/>
      <c r="AQ144" s="299"/>
      <c r="AR144" s="299">
        <f t="shared" si="68"/>
        <v>3843.9061</v>
      </c>
      <c r="AS144" s="300"/>
      <c r="AT144" s="300"/>
      <c r="AU144" s="299" t="e">
        <f t="shared" si="112"/>
        <v>#REF!</v>
      </c>
      <c r="AV144" s="299">
        <f t="shared" si="121"/>
        <v>192195.305</v>
      </c>
      <c r="AW144" s="299" t="e">
        <f>AU144+AR144+AQ144+AO144+AN144+AM144+AK144+AI144+AH144+AG144+AF144+AE144+AD144+AL144</f>
        <v>#REF!</v>
      </c>
      <c r="AX144" s="299"/>
      <c r="AY144" s="299"/>
      <c r="AZ144" s="299" t="e">
        <f t="shared" si="117"/>
        <v>#REF!</v>
      </c>
      <c r="BA144" s="305" t="e">
        <f>SUM(#REF!)</f>
        <v>#REF!</v>
      </c>
      <c r="BB144" s="320" t="e">
        <f>1%*#REF!</f>
        <v>#REF!</v>
      </c>
      <c r="BC144" s="321" t="e">
        <f t="shared" si="109"/>
        <v>#REF!</v>
      </c>
      <c r="BD144" s="322" t="e">
        <f t="shared" si="110"/>
        <v>#REF!</v>
      </c>
      <c r="BE144" s="323"/>
      <c r="BF144" s="324"/>
      <c r="BG144" s="325"/>
      <c r="BH144" s="326"/>
      <c r="BI144" s="326"/>
      <c r="BJ144" s="334"/>
      <c r="BK144" s="335"/>
    </row>
    <row r="145" s="245" customFormat="1" ht="189" customHeight="1" spans="1:63">
      <c r="A145" s="255">
        <v>143</v>
      </c>
      <c r="B145" s="70" t="s">
        <v>462</v>
      </c>
      <c r="C145" s="129" t="s">
        <v>204</v>
      </c>
      <c r="D145" s="129" t="s">
        <v>205</v>
      </c>
      <c r="E145" s="256" t="str">
        <f>'[13]NON ACADEMIC VOUCHER'!$D$5</f>
        <v>ZIKIRI</v>
      </c>
      <c r="F145" s="1470" t="str">
        <f>'[13]NON ACADEMIC VOUCHER'!$E$5</f>
        <v>ADMIN</v>
      </c>
      <c r="G145" s="257">
        <v>2090081</v>
      </c>
      <c r="H145" s="258">
        <f t="shared" si="119"/>
        <v>174173.416666667</v>
      </c>
      <c r="I145" s="258">
        <f t="shared" si="87"/>
        <v>20320.2319444444</v>
      </c>
      <c r="J145" s="258">
        <v>5000</v>
      </c>
      <c r="K145" s="258"/>
      <c r="L145" s="258"/>
      <c r="M145" s="258">
        <v>2500</v>
      </c>
      <c r="N145" s="258"/>
      <c r="O145" s="258"/>
      <c r="P145" s="258"/>
      <c r="Q145" s="258"/>
      <c r="R145" s="258"/>
      <c r="S145" s="258"/>
      <c r="T145" s="258"/>
      <c r="U145" s="258">
        <v>383.33</v>
      </c>
      <c r="V145" s="258"/>
      <c r="W145" s="265"/>
      <c r="X145" s="258"/>
      <c r="Y145" s="258"/>
      <c r="Z145" s="258"/>
      <c r="AA145" s="258"/>
      <c r="AB145" s="258"/>
      <c r="AC145" s="258"/>
      <c r="AD145" s="270"/>
      <c r="AE145" s="258"/>
      <c r="AF145" s="258"/>
      <c r="AG145" s="270">
        <f t="shared" si="67"/>
        <v>3483.46833333333</v>
      </c>
      <c r="AH145" s="270"/>
      <c r="AI145" s="278"/>
      <c r="AJ145" s="280"/>
      <c r="AK145" s="280"/>
      <c r="AL145" s="284">
        <v>1000</v>
      </c>
      <c r="AM145" s="281">
        <v>20000</v>
      </c>
      <c r="AN145" s="258"/>
      <c r="AO145" s="299">
        <v>1500</v>
      </c>
      <c r="AP145" s="299"/>
      <c r="AQ145" s="299"/>
      <c r="AR145" s="299">
        <f t="shared" si="68"/>
        <v>4047.53957222222</v>
      </c>
      <c r="AS145" s="300"/>
      <c r="AT145" s="300"/>
      <c r="AU145" s="299" t="e">
        <f t="shared" si="112"/>
        <v>#REF!</v>
      </c>
      <c r="AV145" s="299">
        <f t="shared" si="121"/>
        <v>202376.978611111</v>
      </c>
      <c r="AW145" s="299" t="e">
        <f>AU145+AR145+AQ145+AO145+AN145+AM145+AK145+AI145+AH145+AG145+AF145+AE145+AD145+AL145</f>
        <v>#REF!</v>
      </c>
      <c r="AX145" s="299"/>
      <c r="AY145" s="299"/>
      <c r="AZ145" s="299" t="e">
        <f t="shared" si="117"/>
        <v>#REF!</v>
      </c>
      <c r="BA145" s="305" t="e">
        <f>SUM(#REF!)</f>
        <v>#REF!</v>
      </c>
      <c r="BB145" s="320" t="e">
        <f>1%*#REF!</f>
        <v>#REF!</v>
      </c>
      <c r="BC145" s="321" t="e">
        <f t="shared" si="109"/>
        <v>#REF!</v>
      </c>
      <c r="BD145" s="322" t="e">
        <f t="shared" si="110"/>
        <v>#REF!</v>
      </c>
      <c r="BE145" s="323"/>
      <c r="BF145" s="324"/>
      <c r="BG145" s="325"/>
      <c r="BH145" s="326"/>
      <c r="BI145" s="326"/>
      <c r="BJ145" s="334"/>
      <c r="BK145" s="335"/>
    </row>
    <row r="146" s="245" customFormat="1" ht="156" customHeight="1" spans="1:63">
      <c r="A146" s="255">
        <v>144</v>
      </c>
      <c r="B146" s="70" t="s">
        <v>464</v>
      </c>
      <c r="C146" s="129" t="s">
        <v>125</v>
      </c>
      <c r="D146" s="129" t="s">
        <v>213</v>
      </c>
      <c r="E146" s="256" t="s">
        <v>135</v>
      </c>
      <c r="F146" s="1469" t="s">
        <v>466</v>
      </c>
      <c r="G146" s="257">
        <v>1925958</v>
      </c>
      <c r="H146" s="258">
        <f t="shared" si="119"/>
        <v>160496.5</v>
      </c>
      <c r="I146" s="258">
        <f t="shared" si="87"/>
        <v>18724.5916666667</v>
      </c>
      <c r="J146" s="258">
        <v>5000</v>
      </c>
      <c r="K146" s="258"/>
      <c r="L146" s="258"/>
      <c r="M146" s="258">
        <v>2500</v>
      </c>
      <c r="N146" s="258"/>
      <c r="O146" s="258"/>
      <c r="P146" s="258"/>
      <c r="Q146" s="258"/>
      <c r="R146" s="258"/>
      <c r="S146" s="258"/>
      <c r="T146" s="258"/>
      <c r="U146" s="258">
        <v>383.33</v>
      </c>
      <c r="V146" s="258"/>
      <c r="W146" s="265"/>
      <c r="X146" s="258"/>
      <c r="Y146" s="258"/>
      <c r="Z146" s="258"/>
      <c r="AA146" s="258"/>
      <c r="AB146" s="258"/>
      <c r="AC146" s="258"/>
      <c r="AD146" s="270"/>
      <c r="AE146" s="258"/>
      <c r="AF146" s="258"/>
      <c r="AG146" s="270">
        <f t="shared" ref="AG146:AG179" si="122">H146*0.02</f>
        <v>3209.93</v>
      </c>
      <c r="AH146" s="270"/>
      <c r="AI146" s="278"/>
      <c r="AJ146" s="284">
        <v>2000</v>
      </c>
      <c r="AK146" s="280"/>
      <c r="AL146" s="280"/>
      <c r="AM146" s="281">
        <v>100000</v>
      </c>
      <c r="AN146" s="258"/>
      <c r="AO146" s="299">
        <v>1500</v>
      </c>
      <c r="AP146" s="299"/>
      <c r="AQ146" s="299"/>
      <c r="AR146" s="299">
        <f t="shared" ref="AR146:AR179" si="123">AV146*0.02</f>
        <v>3742.08843333333</v>
      </c>
      <c r="AS146" s="300"/>
      <c r="AT146" s="300"/>
      <c r="AU146" s="299" t="e">
        <f t="shared" si="112"/>
        <v>#REF!</v>
      </c>
      <c r="AV146" s="299">
        <f t="shared" ref="AV146" si="124">V146+U146+N146+M146+K146+J146+I146+H146</f>
        <v>187104.421666667</v>
      </c>
      <c r="AW146" s="299" t="e">
        <f>AU146+AR146+AQ146+AO146+AN146+AM146+AK146+AJ146+AI146+AH146+AG146+AF146</f>
        <v>#REF!</v>
      </c>
      <c r="AX146" s="299"/>
      <c r="AY146" s="299"/>
      <c r="AZ146" s="299" t="e">
        <f t="shared" si="117"/>
        <v>#REF!</v>
      </c>
      <c r="BA146" s="305" t="e">
        <f>SUM(#REF!)</f>
        <v>#REF!</v>
      </c>
      <c r="BB146" s="320" t="e">
        <f>1%*#REF!</f>
        <v>#REF!</v>
      </c>
      <c r="BC146" s="321" t="e">
        <f t="shared" si="109"/>
        <v>#REF!</v>
      </c>
      <c r="BD146" s="322" t="e">
        <f t="shared" si="110"/>
        <v>#REF!</v>
      </c>
      <c r="BE146" s="323"/>
      <c r="BF146" s="324"/>
      <c r="BG146" s="325"/>
      <c r="BH146" s="326"/>
      <c r="BI146" s="326"/>
      <c r="BJ146" s="334"/>
      <c r="BK146" s="335"/>
    </row>
    <row r="147" s="245" customFormat="1" ht="169" customHeight="1" spans="1:63">
      <c r="A147" s="255">
        <v>145</v>
      </c>
      <c r="B147" s="70" t="s">
        <v>468</v>
      </c>
      <c r="C147" s="129" t="s">
        <v>352</v>
      </c>
      <c r="D147" s="129" t="s">
        <v>498</v>
      </c>
      <c r="E147" s="256" t="s">
        <v>127</v>
      </c>
      <c r="F147" s="1469" t="s">
        <v>469</v>
      </c>
      <c r="G147" s="257">
        <v>1606381</v>
      </c>
      <c r="H147" s="258">
        <f t="shared" si="119"/>
        <v>133865.083333333</v>
      </c>
      <c r="I147" s="258">
        <f t="shared" si="87"/>
        <v>15617.5930555556</v>
      </c>
      <c r="J147" s="258">
        <v>5000</v>
      </c>
      <c r="K147" s="258"/>
      <c r="L147" s="258"/>
      <c r="M147" s="258">
        <v>2500</v>
      </c>
      <c r="N147" s="258"/>
      <c r="O147" s="258"/>
      <c r="P147" s="258"/>
      <c r="Q147" s="258"/>
      <c r="R147" s="258"/>
      <c r="S147" s="258"/>
      <c r="T147" s="258"/>
      <c r="U147" s="258">
        <v>383.33</v>
      </c>
      <c r="V147" s="258"/>
      <c r="W147" s="265"/>
      <c r="X147" s="258"/>
      <c r="Y147" s="258"/>
      <c r="Z147" s="258"/>
      <c r="AA147" s="258"/>
      <c r="AB147" s="258"/>
      <c r="AC147" s="258"/>
      <c r="AD147" s="270"/>
      <c r="AE147" s="258"/>
      <c r="AF147" s="258">
        <v>2000</v>
      </c>
      <c r="AG147" s="270">
        <f t="shared" si="122"/>
        <v>2677.30166666667</v>
      </c>
      <c r="AH147" s="270"/>
      <c r="AI147" s="278"/>
      <c r="AJ147" s="279">
        <v>1000</v>
      </c>
      <c r="AK147" s="280"/>
      <c r="AL147" s="280"/>
      <c r="AM147" s="281"/>
      <c r="AN147" s="258"/>
      <c r="AO147" s="299">
        <v>1000</v>
      </c>
      <c r="AP147" s="299"/>
      <c r="AQ147" s="299"/>
      <c r="AR147" s="299">
        <f t="shared" si="123"/>
        <v>3147.32012777778</v>
      </c>
      <c r="AS147" s="300"/>
      <c r="AT147" s="300"/>
      <c r="AU147" s="299" t="e">
        <f t="shared" si="112"/>
        <v>#REF!</v>
      </c>
      <c r="AV147" s="299">
        <f t="shared" ref="AV147:AV148" si="125">W147+V147+U147+N147+M147+K147+J147+I147+H147</f>
        <v>157366.006388889</v>
      </c>
      <c r="AW147" s="299" t="e">
        <f>AU147+AR147+AQ147+AO147+AN147+AM147+AK147+AI147+AH147+AG147+AF147+AE147+AD147+AJ147</f>
        <v>#REF!</v>
      </c>
      <c r="AX147" s="299"/>
      <c r="AY147" s="299"/>
      <c r="AZ147" s="299" t="e">
        <f t="shared" si="117"/>
        <v>#REF!</v>
      </c>
      <c r="BA147" s="305" t="e">
        <f>SUM(#REF!)</f>
        <v>#REF!</v>
      </c>
      <c r="BB147" s="320" t="e">
        <f>1%*#REF!</f>
        <v>#REF!</v>
      </c>
      <c r="BC147" s="321" t="e">
        <f t="shared" si="109"/>
        <v>#REF!</v>
      </c>
      <c r="BD147" s="322" t="e">
        <f t="shared" si="110"/>
        <v>#REF!</v>
      </c>
      <c r="BE147" s="323"/>
      <c r="BF147" s="324"/>
      <c r="BG147" s="325"/>
      <c r="BH147" s="326"/>
      <c r="BI147" s="326"/>
      <c r="BJ147" s="334"/>
      <c r="BK147" s="335"/>
    </row>
    <row r="148" s="245" customFormat="1" ht="160" customHeight="1" spans="1:63">
      <c r="A148" s="255">
        <v>146</v>
      </c>
      <c r="B148" s="70" t="s">
        <v>2073</v>
      </c>
      <c r="C148" s="129" t="s">
        <v>352</v>
      </c>
      <c r="D148" s="129" t="s">
        <v>199</v>
      </c>
      <c r="E148" s="256" t="s">
        <v>93</v>
      </c>
      <c r="F148" s="256">
        <v>3046684168</v>
      </c>
      <c r="G148" s="257">
        <v>1563603</v>
      </c>
      <c r="H148" s="258">
        <f t="shared" si="119"/>
        <v>130300.25</v>
      </c>
      <c r="I148" s="258">
        <f t="shared" si="87"/>
        <v>15201.6958333333</v>
      </c>
      <c r="J148" s="258">
        <v>5000</v>
      </c>
      <c r="K148" s="258"/>
      <c r="L148" s="258"/>
      <c r="M148" s="258">
        <v>2500</v>
      </c>
      <c r="N148" s="258"/>
      <c r="O148" s="258"/>
      <c r="P148" s="258"/>
      <c r="Q148" s="258"/>
      <c r="R148" s="258"/>
      <c r="S148" s="258"/>
      <c r="T148" s="258"/>
      <c r="U148" s="258">
        <v>383.33</v>
      </c>
      <c r="V148" s="258"/>
      <c r="W148" s="265"/>
      <c r="X148" s="258"/>
      <c r="Y148" s="258"/>
      <c r="Z148" s="258"/>
      <c r="AA148" s="258"/>
      <c r="AB148" s="258"/>
      <c r="AC148" s="258"/>
      <c r="AD148" s="270"/>
      <c r="AE148" s="258"/>
      <c r="AF148" s="375">
        <v>1500</v>
      </c>
      <c r="AG148" s="270">
        <f t="shared" si="122"/>
        <v>2606.005</v>
      </c>
      <c r="AH148" s="270"/>
      <c r="AI148" s="278"/>
      <c r="AJ148" s="280"/>
      <c r="AK148" s="280"/>
      <c r="AL148" s="280"/>
      <c r="AM148" s="281"/>
      <c r="AN148" s="258"/>
      <c r="AO148" s="299">
        <v>1000</v>
      </c>
      <c r="AP148" s="299"/>
      <c r="AQ148" s="299"/>
      <c r="AR148" s="299">
        <f t="shared" si="123"/>
        <v>3067.70551666667</v>
      </c>
      <c r="AS148" s="300"/>
      <c r="AT148" s="300"/>
      <c r="AU148" s="299" t="e">
        <f t="shared" si="112"/>
        <v>#REF!</v>
      </c>
      <c r="AV148" s="299">
        <f t="shared" si="125"/>
        <v>153385.275833333</v>
      </c>
      <c r="AW148" s="299" t="e">
        <f t="shared" si="116"/>
        <v>#REF!</v>
      </c>
      <c r="AX148" s="299"/>
      <c r="AY148" s="299"/>
      <c r="AZ148" s="299" t="e">
        <f t="shared" si="117"/>
        <v>#REF!</v>
      </c>
      <c r="BA148" s="305" t="e">
        <f>SUM(#REF!)</f>
        <v>#REF!</v>
      </c>
      <c r="BB148" s="320" t="e">
        <f>1%*#REF!</f>
        <v>#REF!</v>
      </c>
      <c r="BC148" s="321" t="e">
        <f t="shared" si="109"/>
        <v>#REF!</v>
      </c>
      <c r="BD148" s="322" t="e">
        <f t="shared" si="110"/>
        <v>#REF!</v>
      </c>
      <c r="BE148" s="323"/>
      <c r="BF148" s="324"/>
      <c r="BG148" s="325"/>
      <c r="BH148" s="326"/>
      <c r="BI148" s="326"/>
      <c r="BJ148" s="334"/>
      <c r="BK148" s="335"/>
    </row>
    <row r="149" s="245" customFormat="1" ht="169" customHeight="1" spans="1:63">
      <c r="A149" s="255">
        <v>147</v>
      </c>
      <c r="B149" s="70" t="s">
        <v>470</v>
      </c>
      <c r="C149" s="129" t="s">
        <v>204</v>
      </c>
      <c r="D149" s="129" t="s">
        <v>465</v>
      </c>
      <c r="E149" s="256" t="s">
        <v>127</v>
      </c>
      <c r="F149" s="1469" t="s">
        <v>471</v>
      </c>
      <c r="G149" s="257">
        <v>1980666</v>
      </c>
      <c r="H149" s="258">
        <f t="shared" si="119"/>
        <v>165055.5</v>
      </c>
      <c r="I149" s="258">
        <f t="shared" si="87"/>
        <v>19256.475</v>
      </c>
      <c r="J149" s="258">
        <v>5000</v>
      </c>
      <c r="K149" s="258"/>
      <c r="L149" s="258"/>
      <c r="M149" s="258">
        <v>2500</v>
      </c>
      <c r="N149" s="258"/>
      <c r="O149" s="258"/>
      <c r="P149" s="258"/>
      <c r="Q149" s="258"/>
      <c r="R149" s="258"/>
      <c r="S149" s="258"/>
      <c r="T149" s="258"/>
      <c r="U149" s="258">
        <v>383.33</v>
      </c>
      <c r="V149" s="258"/>
      <c r="W149" s="265"/>
      <c r="X149" s="258"/>
      <c r="Y149" s="258"/>
      <c r="Z149" s="258"/>
      <c r="AA149" s="258"/>
      <c r="AB149" s="258"/>
      <c r="AC149" s="258"/>
      <c r="AD149" s="270"/>
      <c r="AE149" s="258"/>
      <c r="AF149" s="258">
        <v>250</v>
      </c>
      <c r="AG149" s="270">
        <f t="shared" si="122"/>
        <v>3301.11</v>
      </c>
      <c r="AH149" s="270"/>
      <c r="AI149" s="278"/>
      <c r="AJ149" s="280"/>
      <c r="AK149" s="280"/>
      <c r="AL149" s="284">
        <v>1000</v>
      </c>
      <c r="AM149" s="281"/>
      <c r="AN149" s="258"/>
      <c r="AO149" s="299">
        <v>1500</v>
      </c>
      <c r="AP149" s="299"/>
      <c r="AQ149" s="299"/>
      <c r="AR149" s="299">
        <f t="shared" si="123"/>
        <v>3843.9061</v>
      </c>
      <c r="AS149" s="300"/>
      <c r="AT149" s="300"/>
      <c r="AU149" s="299" t="e">
        <f t="shared" si="112"/>
        <v>#REF!</v>
      </c>
      <c r="AV149" s="299">
        <f t="shared" ref="AV149" si="126">V149+U149+N149+M149+K149+J149+I149+H149</f>
        <v>192195.305</v>
      </c>
      <c r="AW149" s="299" t="e">
        <f>AU149+AR149+AQ149+AO149+AN149+AM149+AK149+AI149+AH149+AG149+AF149+AE149+AD149+AL149</f>
        <v>#REF!</v>
      </c>
      <c r="AX149" s="299"/>
      <c r="AY149" s="299"/>
      <c r="AZ149" s="299" t="e">
        <f t="shared" si="117"/>
        <v>#REF!</v>
      </c>
      <c r="BA149" s="305" t="e">
        <f>SUM(#REF!)</f>
        <v>#REF!</v>
      </c>
      <c r="BB149" s="320" t="e">
        <f>1%*#REF!</f>
        <v>#REF!</v>
      </c>
      <c r="BC149" s="321" t="e">
        <f t="shared" si="109"/>
        <v>#REF!</v>
      </c>
      <c r="BD149" s="322" t="e">
        <f t="shared" si="110"/>
        <v>#REF!</v>
      </c>
      <c r="BE149" s="323"/>
      <c r="BF149" s="324"/>
      <c r="BG149" s="325"/>
      <c r="BH149" s="326"/>
      <c r="BI149" s="326"/>
      <c r="BJ149" s="334"/>
      <c r="BK149" s="335"/>
    </row>
    <row r="150" s="245" customFormat="1" ht="162" customHeight="1" spans="1:63">
      <c r="A150" s="255">
        <v>148</v>
      </c>
      <c r="B150" s="70" t="s">
        <v>2074</v>
      </c>
      <c r="C150" s="129" t="s">
        <v>204</v>
      </c>
      <c r="D150" s="129" t="s">
        <v>213</v>
      </c>
      <c r="E150" s="256" t="s">
        <v>127</v>
      </c>
      <c r="F150" s="1469" t="s">
        <v>2075</v>
      </c>
      <c r="G150" s="257">
        <v>1980666</v>
      </c>
      <c r="H150" s="364">
        <v>160496.5</v>
      </c>
      <c r="I150" s="258">
        <f t="shared" si="87"/>
        <v>18724.5916666667</v>
      </c>
      <c r="J150" s="258">
        <v>5000</v>
      </c>
      <c r="K150" s="258"/>
      <c r="L150" s="258"/>
      <c r="M150" s="258">
        <v>2500</v>
      </c>
      <c r="N150" s="258"/>
      <c r="O150" s="258"/>
      <c r="P150" s="258"/>
      <c r="Q150" s="258"/>
      <c r="R150" s="258"/>
      <c r="S150" s="258"/>
      <c r="T150" s="258"/>
      <c r="U150" s="258">
        <v>383.33</v>
      </c>
      <c r="V150" s="258"/>
      <c r="W150" s="265"/>
      <c r="X150" s="258"/>
      <c r="Y150" s="258"/>
      <c r="Z150" s="258"/>
      <c r="AA150" s="258"/>
      <c r="AB150" s="258"/>
      <c r="AC150" s="258"/>
      <c r="AD150" s="270"/>
      <c r="AE150" s="258"/>
      <c r="AF150" s="258">
        <v>2250</v>
      </c>
      <c r="AG150" s="270">
        <f t="shared" si="122"/>
        <v>3209.93</v>
      </c>
      <c r="AH150" s="270"/>
      <c r="AI150" s="278"/>
      <c r="AJ150" s="280"/>
      <c r="AK150" s="280"/>
      <c r="AL150" s="280"/>
      <c r="AM150" s="281">
        <v>10000</v>
      </c>
      <c r="AN150" s="258">
        <v>10000</v>
      </c>
      <c r="AO150" s="299">
        <v>1500</v>
      </c>
      <c r="AP150" s="299"/>
      <c r="AQ150" s="299"/>
      <c r="AR150" s="299">
        <f t="shared" si="123"/>
        <v>3742.08843333333</v>
      </c>
      <c r="AS150" s="300"/>
      <c r="AT150" s="300"/>
      <c r="AU150" s="299" t="e">
        <f t="shared" si="112"/>
        <v>#REF!</v>
      </c>
      <c r="AV150" s="299">
        <f t="shared" ref="AV150:AV151" si="127">W150+V150+U150+N150+M150+K150+J150+I150+H150</f>
        <v>187104.421666667</v>
      </c>
      <c r="AW150" s="299" t="e">
        <f t="shared" si="116"/>
        <v>#REF!</v>
      </c>
      <c r="AX150" s="299"/>
      <c r="AY150" s="299"/>
      <c r="AZ150" s="299" t="e">
        <f t="shared" si="117"/>
        <v>#REF!</v>
      </c>
      <c r="BA150" s="305" t="e">
        <f>SUM(#REF!)</f>
        <v>#REF!</v>
      </c>
      <c r="BB150" s="320" t="e">
        <f>1%*#REF!</f>
        <v>#REF!</v>
      </c>
      <c r="BC150" s="321" t="e">
        <f t="shared" si="109"/>
        <v>#REF!</v>
      </c>
      <c r="BD150" s="322" t="e">
        <f t="shared" si="110"/>
        <v>#REF!</v>
      </c>
      <c r="BE150" s="323"/>
      <c r="BF150" s="324"/>
      <c r="BG150" s="325"/>
      <c r="BH150" s="326"/>
      <c r="BI150" s="326"/>
      <c r="BJ150" s="334"/>
      <c r="BK150" s="335"/>
    </row>
    <row r="151" s="245" customFormat="1" ht="165" customHeight="1" spans="1:63">
      <c r="A151" s="255">
        <v>149</v>
      </c>
      <c r="B151" s="70" t="s">
        <v>475</v>
      </c>
      <c r="C151" s="129" t="s">
        <v>204</v>
      </c>
      <c r="D151" s="129" t="s">
        <v>205</v>
      </c>
      <c r="E151" s="256" t="s">
        <v>113</v>
      </c>
      <c r="F151" s="256">
        <v>2084214906</v>
      </c>
      <c r="G151" s="257">
        <f>G145</f>
        <v>2090081</v>
      </c>
      <c r="H151" s="258">
        <f t="shared" si="119"/>
        <v>174173.416666667</v>
      </c>
      <c r="I151" s="258">
        <f t="shared" si="87"/>
        <v>20320.2319444444</v>
      </c>
      <c r="J151" s="258">
        <v>5000</v>
      </c>
      <c r="K151" s="258"/>
      <c r="L151" s="258"/>
      <c r="M151" s="258">
        <v>2500</v>
      </c>
      <c r="N151" s="258"/>
      <c r="O151" s="258"/>
      <c r="P151" s="258"/>
      <c r="Q151" s="258"/>
      <c r="R151" s="258"/>
      <c r="S151" s="258"/>
      <c r="T151" s="258"/>
      <c r="U151" s="258">
        <v>383.33</v>
      </c>
      <c r="V151" s="258"/>
      <c r="W151" s="265"/>
      <c r="X151" s="258"/>
      <c r="Y151" s="258"/>
      <c r="Z151" s="258"/>
      <c r="AA151" s="258"/>
      <c r="AB151" s="258"/>
      <c r="AC151" s="258"/>
      <c r="AD151" s="270"/>
      <c r="AE151" s="258"/>
      <c r="AF151" s="258"/>
      <c r="AG151" s="270">
        <f t="shared" si="122"/>
        <v>3483.46833333333</v>
      </c>
      <c r="AH151" s="270">
        <v>10000</v>
      </c>
      <c r="AI151" s="278"/>
      <c r="AJ151" s="280"/>
      <c r="AK151" s="280"/>
      <c r="AL151" s="284">
        <v>1000</v>
      </c>
      <c r="AM151" s="281"/>
      <c r="AN151" s="258"/>
      <c r="AO151" s="299">
        <v>1500</v>
      </c>
      <c r="AP151" s="299"/>
      <c r="AQ151" s="299"/>
      <c r="AR151" s="299">
        <f t="shared" si="123"/>
        <v>4047.53957222222</v>
      </c>
      <c r="AS151" s="300"/>
      <c r="AT151" s="300"/>
      <c r="AU151" s="299" t="e">
        <f t="shared" si="112"/>
        <v>#REF!</v>
      </c>
      <c r="AV151" s="299">
        <f t="shared" si="127"/>
        <v>202376.978611111</v>
      </c>
      <c r="AW151" s="299" t="e">
        <f>AU151+AR151+AQ151+AO151+AN151+AM151+AK151+AI151+AH151+AG151+AF151+AE151+AD151+AL151</f>
        <v>#REF!</v>
      </c>
      <c r="AX151" s="299"/>
      <c r="AY151" s="299"/>
      <c r="AZ151" s="299" t="e">
        <f t="shared" si="117"/>
        <v>#REF!</v>
      </c>
      <c r="BA151" s="305" t="e">
        <f>SUM(#REF!)</f>
        <v>#REF!</v>
      </c>
      <c r="BB151" s="320" t="e">
        <f>1%*#REF!</f>
        <v>#REF!</v>
      </c>
      <c r="BC151" s="321" t="e">
        <f t="shared" si="109"/>
        <v>#REF!</v>
      </c>
      <c r="BD151" s="322" t="e">
        <f t="shared" si="110"/>
        <v>#REF!</v>
      </c>
      <c r="BE151" s="323"/>
      <c r="BF151" s="324"/>
      <c r="BG151" s="325"/>
      <c r="BH151" s="326"/>
      <c r="BI151" s="326"/>
      <c r="BJ151" s="334"/>
      <c r="BK151" s="335"/>
    </row>
    <row r="152" s="245" customFormat="1" ht="156" customHeight="1" spans="1:63">
      <c r="A152" s="255">
        <v>150</v>
      </c>
      <c r="B152" s="70" t="s">
        <v>2076</v>
      </c>
      <c r="C152" s="129" t="s">
        <v>221</v>
      </c>
      <c r="D152" s="129" t="s">
        <v>439</v>
      </c>
      <c r="E152" s="256" t="s">
        <v>127</v>
      </c>
      <c r="F152" s="1469" t="s">
        <v>2008</v>
      </c>
      <c r="G152" s="257">
        <v>1947516</v>
      </c>
      <c r="H152" s="258">
        <f t="shared" si="119"/>
        <v>162293</v>
      </c>
      <c r="I152" s="258">
        <f t="shared" si="87"/>
        <v>18934.1833333333</v>
      </c>
      <c r="J152" s="258">
        <v>5000</v>
      </c>
      <c r="K152" s="258"/>
      <c r="L152" s="258"/>
      <c r="M152" s="258">
        <v>2500</v>
      </c>
      <c r="N152" s="258"/>
      <c r="O152" s="258"/>
      <c r="P152" s="258"/>
      <c r="Q152" s="258"/>
      <c r="R152" s="258"/>
      <c r="S152" s="258"/>
      <c r="T152" s="258"/>
      <c r="U152" s="258">
        <v>383.33</v>
      </c>
      <c r="V152" s="258"/>
      <c r="W152" s="265"/>
      <c r="X152" s="258"/>
      <c r="Y152" s="258"/>
      <c r="Z152" s="258"/>
      <c r="AA152" s="258"/>
      <c r="AB152" s="258"/>
      <c r="AC152" s="258"/>
      <c r="AD152" s="270"/>
      <c r="AE152" s="258"/>
      <c r="AF152" s="258"/>
      <c r="AG152" s="270">
        <f t="shared" si="122"/>
        <v>3245.86</v>
      </c>
      <c r="AH152" s="270"/>
      <c r="AI152" s="278"/>
      <c r="AJ152" s="280"/>
      <c r="AK152" s="280"/>
      <c r="AL152" s="280"/>
      <c r="AM152" s="281"/>
      <c r="AN152" s="258">
        <v>7500</v>
      </c>
      <c r="AO152" s="299">
        <v>1000</v>
      </c>
      <c r="AP152" s="299"/>
      <c r="AQ152" s="299"/>
      <c r="AR152" s="299">
        <f t="shared" si="123"/>
        <v>3782.21026666667</v>
      </c>
      <c r="AS152" s="300"/>
      <c r="AT152" s="300"/>
      <c r="AU152" s="299" t="e">
        <f t="shared" si="112"/>
        <v>#REF!</v>
      </c>
      <c r="AV152" s="299">
        <f t="shared" ref="AV152" si="128">V152+U152+N152+M152+K152+J152+I152+H152</f>
        <v>189110.513333333</v>
      </c>
      <c r="AW152" s="299" t="e">
        <f t="shared" si="116"/>
        <v>#REF!</v>
      </c>
      <c r="AX152" s="299"/>
      <c r="AY152" s="299"/>
      <c r="AZ152" s="299" t="e">
        <f t="shared" si="117"/>
        <v>#REF!</v>
      </c>
      <c r="BA152" s="305" t="e">
        <f>SUM(#REF!)</f>
        <v>#REF!</v>
      </c>
      <c r="BB152" s="320" t="e">
        <f>1%*#REF!</f>
        <v>#REF!</v>
      </c>
      <c r="BC152" s="321" t="e">
        <f t="shared" si="109"/>
        <v>#REF!</v>
      </c>
      <c r="BD152" s="322" t="e">
        <f t="shared" si="110"/>
        <v>#REF!</v>
      </c>
      <c r="BE152" s="323"/>
      <c r="BF152" s="324"/>
      <c r="BG152" s="325"/>
      <c r="BH152" s="326"/>
      <c r="BI152" s="326"/>
      <c r="BJ152" s="334"/>
      <c r="BK152" s="335"/>
    </row>
    <row r="153" s="245" customFormat="1" ht="156" customHeight="1" spans="1:63">
      <c r="A153" s="255">
        <v>151</v>
      </c>
      <c r="B153" s="70" t="s">
        <v>477</v>
      </c>
      <c r="C153" s="129" t="s">
        <v>352</v>
      </c>
      <c r="D153" s="129" t="s">
        <v>353</v>
      </c>
      <c r="E153" s="256" t="s">
        <v>113</v>
      </c>
      <c r="F153" s="256">
        <v>2108277021</v>
      </c>
      <c r="G153" s="257">
        <v>1691938</v>
      </c>
      <c r="H153" s="258">
        <f t="shared" si="119"/>
        <v>140994.833333333</v>
      </c>
      <c r="I153" s="258">
        <f t="shared" si="87"/>
        <v>16449.3972222222</v>
      </c>
      <c r="J153" s="258">
        <v>5000</v>
      </c>
      <c r="K153" s="258"/>
      <c r="L153" s="258"/>
      <c r="M153" s="258">
        <v>2500</v>
      </c>
      <c r="N153" s="258"/>
      <c r="O153" s="258"/>
      <c r="P153" s="258"/>
      <c r="Q153" s="258"/>
      <c r="R153" s="258"/>
      <c r="S153" s="258"/>
      <c r="T153" s="258"/>
      <c r="U153" s="258">
        <v>383.33</v>
      </c>
      <c r="V153" s="258"/>
      <c r="W153" s="265"/>
      <c r="X153" s="258"/>
      <c r="Y153" s="258"/>
      <c r="Z153" s="258"/>
      <c r="AA153" s="258"/>
      <c r="AB153" s="258"/>
      <c r="AC153" s="258"/>
      <c r="AD153" s="270"/>
      <c r="AE153" s="258"/>
      <c r="AF153" s="258">
        <v>1500</v>
      </c>
      <c r="AG153" s="270">
        <f t="shared" si="122"/>
        <v>2819.89666666667</v>
      </c>
      <c r="AH153" s="270"/>
      <c r="AI153" s="278"/>
      <c r="AJ153" s="279">
        <v>1000</v>
      </c>
      <c r="AK153" s="280"/>
      <c r="AL153" s="280"/>
      <c r="AM153" s="281">
        <v>42292</v>
      </c>
      <c r="AN153" s="258"/>
      <c r="AO153" s="299">
        <v>1000</v>
      </c>
      <c r="AP153" s="299"/>
      <c r="AQ153" s="299"/>
      <c r="AR153" s="299">
        <f t="shared" si="123"/>
        <v>3306.55121111111</v>
      </c>
      <c r="AS153" s="300"/>
      <c r="AT153" s="300"/>
      <c r="AU153" s="299" t="e">
        <f t="shared" si="112"/>
        <v>#REF!</v>
      </c>
      <c r="AV153" s="299">
        <f t="shared" ref="AV153:AV154" si="129">W153+V153+U153+N153+M153+K153+J153+I153+H153</f>
        <v>165327.560555556</v>
      </c>
      <c r="AW153" s="299" t="e">
        <f>AU153+AR153+AQ153+AO153+AN153+AM153+AK153+AI153+AH153+AG153+AF153+AE153+AD153+AJ153</f>
        <v>#REF!</v>
      </c>
      <c r="AX153" s="299"/>
      <c r="AY153" s="299"/>
      <c r="AZ153" s="299" t="e">
        <f t="shared" si="117"/>
        <v>#REF!</v>
      </c>
      <c r="BA153" s="305" t="e">
        <f>SUM(#REF!)</f>
        <v>#REF!</v>
      </c>
      <c r="BB153" s="320" t="e">
        <f>1%*#REF!</f>
        <v>#REF!</v>
      </c>
      <c r="BC153" s="321" t="e">
        <f t="shared" si="109"/>
        <v>#REF!</v>
      </c>
      <c r="BD153" s="322" t="e">
        <f t="shared" si="110"/>
        <v>#REF!</v>
      </c>
      <c r="BE153" s="323"/>
      <c r="BF153" s="324"/>
      <c r="BG153" s="325"/>
      <c r="BH153" s="326"/>
      <c r="BI153" s="326"/>
      <c r="BJ153" s="334"/>
      <c r="BK153" s="335"/>
    </row>
    <row r="154" s="245" customFormat="1" ht="156" customHeight="1" spans="1:63">
      <c r="A154" s="255">
        <v>152</v>
      </c>
      <c r="B154" s="70" t="s">
        <v>478</v>
      </c>
      <c r="C154" s="129" t="s">
        <v>221</v>
      </c>
      <c r="D154" s="129" t="s">
        <v>555</v>
      </c>
      <c r="E154" s="256" t="s">
        <v>93</v>
      </c>
      <c r="F154" s="256">
        <v>3097503078</v>
      </c>
      <c r="G154" s="257">
        <v>1796468</v>
      </c>
      <c r="H154" s="258">
        <f t="shared" si="119"/>
        <v>149705.666666667</v>
      </c>
      <c r="I154" s="258">
        <f t="shared" si="87"/>
        <v>17465.6611111111</v>
      </c>
      <c r="J154" s="258">
        <v>5000</v>
      </c>
      <c r="K154" s="258"/>
      <c r="L154" s="258"/>
      <c r="M154" s="258">
        <v>2500</v>
      </c>
      <c r="N154" s="258"/>
      <c r="O154" s="258"/>
      <c r="P154" s="258"/>
      <c r="Q154" s="258"/>
      <c r="R154" s="258"/>
      <c r="S154" s="258"/>
      <c r="T154" s="258"/>
      <c r="U154" s="258">
        <v>383.33</v>
      </c>
      <c r="V154" s="258"/>
      <c r="W154" s="265"/>
      <c r="X154" s="258"/>
      <c r="Y154" s="258"/>
      <c r="Z154" s="258"/>
      <c r="AA154" s="258"/>
      <c r="AB154" s="258"/>
      <c r="AC154" s="258"/>
      <c r="AD154" s="270"/>
      <c r="AE154" s="258"/>
      <c r="AF154" s="258">
        <v>1000</v>
      </c>
      <c r="AG154" s="270">
        <f t="shared" si="122"/>
        <v>2994.11333333333</v>
      </c>
      <c r="AH154" s="270"/>
      <c r="AI154" s="278"/>
      <c r="AJ154" s="280"/>
      <c r="AK154" s="280"/>
      <c r="AL154" s="284">
        <v>1000</v>
      </c>
      <c r="AM154" s="281"/>
      <c r="AN154" s="258"/>
      <c r="AO154" s="299">
        <v>1000</v>
      </c>
      <c r="AP154" s="299"/>
      <c r="AQ154" s="299"/>
      <c r="AR154" s="299">
        <f t="shared" si="123"/>
        <v>3501.09315555556</v>
      </c>
      <c r="AS154" s="300"/>
      <c r="AT154" s="300"/>
      <c r="AU154" s="299" t="e">
        <f t="shared" si="112"/>
        <v>#REF!</v>
      </c>
      <c r="AV154" s="299">
        <f t="shared" si="129"/>
        <v>175054.657777778</v>
      </c>
      <c r="AW154" s="299" t="e">
        <f>AU154+AR154+AQ154+AO154+AN154+AM154+AK154+AI154+AH154+AG154+AF154+AE154+AD154+AL154</f>
        <v>#REF!</v>
      </c>
      <c r="AX154" s="299"/>
      <c r="AY154" s="299"/>
      <c r="AZ154" s="299" t="e">
        <f t="shared" si="117"/>
        <v>#REF!</v>
      </c>
      <c r="BA154" s="305" t="e">
        <f>SUM(#REF!)</f>
        <v>#REF!</v>
      </c>
      <c r="BB154" s="320" t="e">
        <f>1%*#REF!</f>
        <v>#REF!</v>
      </c>
      <c r="BC154" s="321" t="e">
        <f t="shared" si="109"/>
        <v>#REF!</v>
      </c>
      <c r="BD154" s="322" t="e">
        <f t="shared" si="110"/>
        <v>#REF!</v>
      </c>
      <c r="BE154" s="323"/>
      <c r="BF154" s="324"/>
      <c r="BG154" s="325"/>
      <c r="BH154" s="326"/>
      <c r="BI154" s="326"/>
      <c r="BJ154" s="334"/>
      <c r="BK154" s="335"/>
    </row>
    <row r="155" s="245" customFormat="1" ht="156" customHeight="1" spans="1:63">
      <c r="A155" s="255">
        <v>153</v>
      </c>
      <c r="B155" s="70" t="s">
        <v>479</v>
      </c>
      <c r="C155" s="129" t="s">
        <v>352</v>
      </c>
      <c r="D155" s="129" t="s">
        <v>353</v>
      </c>
      <c r="E155" s="256" t="s">
        <v>127</v>
      </c>
      <c r="F155" s="1469" t="s">
        <v>480</v>
      </c>
      <c r="G155" s="257">
        <f>G153</f>
        <v>1691938</v>
      </c>
      <c r="H155" s="258">
        <f>H153</f>
        <v>140994.833333333</v>
      </c>
      <c r="I155" s="258">
        <f t="shared" si="87"/>
        <v>16449.3972222222</v>
      </c>
      <c r="J155" s="258">
        <v>5000</v>
      </c>
      <c r="K155" s="258"/>
      <c r="L155" s="258"/>
      <c r="M155" s="258">
        <v>2500</v>
      </c>
      <c r="N155" s="258"/>
      <c r="O155" s="258"/>
      <c r="P155" s="258"/>
      <c r="Q155" s="258"/>
      <c r="R155" s="258"/>
      <c r="S155" s="258"/>
      <c r="T155" s="258"/>
      <c r="U155" s="258">
        <v>383.33</v>
      </c>
      <c r="V155" s="258"/>
      <c r="W155" s="265"/>
      <c r="X155" s="258"/>
      <c r="Y155" s="258"/>
      <c r="Z155" s="258"/>
      <c r="AA155" s="258"/>
      <c r="AB155" s="258"/>
      <c r="AC155" s="258"/>
      <c r="AD155" s="270"/>
      <c r="AE155" s="258"/>
      <c r="AF155" s="258">
        <v>3500</v>
      </c>
      <c r="AG155" s="270">
        <f t="shared" si="122"/>
        <v>2819.89666666667</v>
      </c>
      <c r="AH155" s="270"/>
      <c r="AI155" s="278"/>
      <c r="AJ155" s="279">
        <v>1000</v>
      </c>
      <c r="AK155" s="280"/>
      <c r="AL155" s="280"/>
      <c r="AM155" s="281"/>
      <c r="AN155" s="258"/>
      <c r="AO155" s="299">
        <v>1000</v>
      </c>
      <c r="AP155" s="299"/>
      <c r="AQ155" s="299">
        <v>1250</v>
      </c>
      <c r="AR155" s="299">
        <f t="shared" si="123"/>
        <v>3306.55121111111</v>
      </c>
      <c r="AS155" s="300"/>
      <c r="AT155" s="300"/>
      <c r="AU155" s="299" t="e">
        <f t="shared" si="112"/>
        <v>#REF!</v>
      </c>
      <c r="AV155" s="299">
        <f t="shared" ref="AV155" si="130">V155+U155+N155+M155+K155+J155+I155+H155</f>
        <v>165327.560555556</v>
      </c>
      <c r="AW155" s="299" t="e">
        <f>AU155+AR155+AQ155+AO155+AN155+AM155+AK155+AI155+AH155+AG155+AF155+AE155+AD155+AJ155</f>
        <v>#REF!</v>
      </c>
      <c r="AX155" s="299"/>
      <c r="AY155" s="299"/>
      <c r="AZ155" s="299" t="e">
        <f t="shared" si="117"/>
        <v>#REF!</v>
      </c>
      <c r="BA155" s="305" t="e">
        <f>SUM(#REF!)</f>
        <v>#REF!</v>
      </c>
      <c r="BB155" s="320" t="e">
        <f>1%*#REF!</f>
        <v>#REF!</v>
      </c>
      <c r="BC155" s="321" t="e">
        <f t="shared" si="109"/>
        <v>#REF!</v>
      </c>
      <c r="BD155" s="322" t="e">
        <f t="shared" si="110"/>
        <v>#REF!</v>
      </c>
      <c r="BE155" s="323"/>
      <c r="BF155" s="324"/>
      <c r="BG155" s="325"/>
      <c r="BH155" s="326"/>
      <c r="BI155" s="326"/>
      <c r="BJ155" s="334"/>
      <c r="BK155" s="335"/>
    </row>
    <row r="156" s="245" customFormat="1" ht="166" customHeight="1" spans="1:63">
      <c r="A156" s="255">
        <v>154</v>
      </c>
      <c r="B156" s="70" t="s">
        <v>2077</v>
      </c>
      <c r="C156" s="129" t="s">
        <v>352</v>
      </c>
      <c r="D156" s="129" t="s">
        <v>353</v>
      </c>
      <c r="E156" s="256" t="s">
        <v>93</v>
      </c>
      <c r="F156" s="256">
        <v>2033940276</v>
      </c>
      <c r="G156" s="257">
        <f>G155</f>
        <v>1691938</v>
      </c>
      <c r="H156" s="258">
        <f>H155</f>
        <v>140994.833333333</v>
      </c>
      <c r="I156" s="258">
        <f t="shared" si="87"/>
        <v>16449.3972222222</v>
      </c>
      <c r="J156" s="258">
        <v>5000</v>
      </c>
      <c r="K156" s="258"/>
      <c r="L156" s="258"/>
      <c r="M156" s="258">
        <v>2500</v>
      </c>
      <c r="N156" s="258"/>
      <c r="O156" s="258"/>
      <c r="P156" s="258"/>
      <c r="Q156" s="258"/>
      <c r="R156" s="258"/>
      <c r="S156" s="258"/>
      <c r="T156" s="258"/>
      <c r="U156" s="258">
        <v>383.33</v>
      </c>
      <c r="V156" s="258"/>
      <c r="W156" s="265"/>
      <c r="X156" s="258"/>
      <c r="Y156" s="258"/>
      <c r="Z156" s="258"/>
      <c r="AA156" s="258"/>
      <c r="AB156" s="258"/>
      <c r="AC156" s="258"/>
      <c r="AD156" s="270"/>
      <c r="AE156" s="258"/>
      <c r="AF156" s="258"/>
      <c r="AG156" s="270">
        <f t="shared" si="122"/>
        <v>2819.89666666667</v>
      </c>
      <c r="AH156" s="270"/>
      <c r="AI156" s="278"/>
      <c r="AJ156" s="280"/>
      <c r="AK156" s="280"/>
      <c r="AL156" s="280"/>
      <c r="AM156" s="281">
        <v>20000</v>
      </c>
      <c r="AN156" s="258"/>
      <c r="AO156" s="299">
        <v>1000</v>
      </c>
      <c r="AP156" s="299"/>
      <c r="AQ156" s="299"/>
      <c r="AR156" s="299">
        <f t="shared" si="123"/>
        <v>3306.55121111111</v>
      </c>
      <c r="AS156" s="300"/>
      <c r="AT156" s="300"/>
      <c r="AU156" s="299" t="e">
        <f t="shared" si="112"/>
        <v>#REF!</v>
      </c>
      <c r="AV156" s="299">
        <f t="shared" ref="AV156:AV157" si="131">W156+V156+U156+N156+M156+K156+J156+I156+H156</f>
        <v>165327.560555556</v>
      </c>
      <c r="AW156" s="299" t="e">
        <f t="shared" si="116"/>
        <v>#REF!</v>
      </c>
      <c r="AX156" s="299"/>
      <c r="AY156" s="299"/>
      <c r="AZ156" s="299" t="e">
        <f t="shared" si="117"/>
        <v>#REF!</v>
      </c>
      <c r="BA156" s="305" t="e">
        <f>SUM(#REF!)</f>
        <v>#REF!</v>
      </c>
      <c r="BB156" s="320" t="e">
        <f>1%*#REF!</f>
        <v>#REF!</v>
      </c>
      <c r="BC156" s="321" t="e">
        <f t="shared" si="109"/>
        <v>#REF!</v>
      </c>
      <c r="BD156" s="322" t="e">
        <f t="shared" si="110"/>
        <v>#REF!</v>
      </c>
      <c r="BE156" s="323"/>
      <c r="BF156" s="324"/>
      <c r="BG156" s="325"/>
      <c r="BH156" s="326"/>
      <c r="BI156" s="326"/>
      <c r="BJ156" s="334"/>
      <c r="BK156" s="335"/>
    </row>
    <row r="157" s="245" customFormat="1" ht="156" customHeight="1" spans="1:63">
      <c r="A157" s="255">
        <v>155</v>
      </c>
      <c r="B157" s="70" t="s">
        <v>484</v>
      </c>
      <c r="C157" s="129" t="s">
        <v>125</v>
      </c>
      <c r="D157" s="129" t="s">
        <v>2078</v>
      </c>
      <c r="E157" s="256" t="s">
        <v>93</v>
      </c>
      <c r="F157" s="256">
        <v>2037312145</v>
      </c>
      <c r="G157" s="257">
        <v>1925958</v>
      </c>
      <c r="H157" s="258">
        <f>G157/12</f>
        <v>160496.5</v>
      </c>
      <c r="I157" s="258">
        <f t="shared" si="87"/>
        <v>18724.5916666667</v>
      </c>
      <c r="J157" s="258">
        <v>5000</v>
      </c>
      <c r="K157" s="258"/>
      <c r="L157" s="258"/>
      <c r="M157" s="258">
        <v>2500</v>
      </c>
      <c r="N157" s="258"/>
      <c r="O157" s="258"/>
      <c r="P157" s="258"/>
      <c r="Q157" s="258"/>
      <c r="R157" s="258"/>
      <c r="S157" s="258"/>
      <c r="T157" s="258"/>
      <c r="U157" s="258">
        <v>383.33</v>
      </c>
      <c r="V157" s="258"/>
      <c r="W157" s="265"/>
      <c r="X157" s="258"/>
      <c r="Y157" s="258"/>
      <c r="Z157" s="258"/>
      <c r="AA157" s="258"/>
      <c r="AB157" s="258"/>
      <c r="AC157" s="258"/>
      <c r="AD157" s="270"/>
      <c r="AE157" s="258"/>
      <c r="AF157" s="258">
        <v>3750</v>
      </c>
      <c r="AG157" s="270">
        <f t="shared" si="122"/>
        <v>3209.93</v>
      </c>
      <c r="AH157" s="270"/>
      <c r="AI157" s="278"/>
      <c r="AJ157" s="280"/>
      <c r="AK157" s="280"/>
      <c r="AL157" s="284">
        <v>1000</v>
      </c>
      <c r="AM157" s="281"/>
      <c r="AN157" s="258"/>
      <c r="AO157" s="299">
        <v>1500</v>
      </c>
      <c r="AP157" s="299"/>
      <c r="AQ157" s="299"/>
      <c r="AR157" s="299">
        <f t="shared" si="123"/>
        <v>3742.08843333333</v>
      </c>
      <c r="AS157" s="300"/>
      <c r="AT157" s="300"/>
      <c r="AU157" s="299" t="e">
        <f t="shared" si="112"/>
        <v>#REF!</v>
      </c>
      <c r="AV157" s="299">
        <f t="shared" si="131"/>
        <v>187104.421666667</v>
      </c>
      <c r="AW157" s="299" t="e">
        <f>AU157+AR157+AQ157+AO157+AN157+AM157+AK157+AI157+AH157+AG157+AF157+AE157+AD157+AL157</f>
        <v>#REF!</v>
      </c>
      <c r="AX157" s="299"/>
      <c r="AY157" s="299"/>
      <c r="AZ157" s="299" t="e">
        <f t="shared" si="117"/>
        <v>#REF!</v>
      </c>
      <c r="BA157" s="305" t="e">
        <f>SUM(#REF!)</f>
        <v>#REF!</v>
      </c>
      <c r="BB157" s="320" t="e">
        <f>1%*#REF!</f>
        <v>#REF!</v>
      </c>
      <c r="BC157" s="321" t="e">
        <f t="shared" si="109"/>
        <v>#REF!</v>
      </c>
      <c r="BD157" s="322" t="e">
        <f t="shared" si="110"/>
        <v>#REF!</v>
      </c>
      <c r="BE157" s="323"/>
      <c r="BF157" s="324"/>
      <c r="BG157" s="325"/>
      <c r="BH157" s="326"/>
      <c r="BI157" s="326"/>
      <c r="BJ157" s="334"/>
      <c r="BK157" s="335"/>
    </row>
    <row r="158" s="245" customFormat="1" ht="156" customHeight="1" spans="1:63">
      <c r="A158" s="255">
        <v>156</v>
      </c>
      <c r="B158" s="70" t="s">
        <v>485</v>
      </c>
      <c r="C158" s="129" t="s">
        <v>221</v>
      </c>
      <c r="D158" s="129" t="s">
        <v>2079</v>
      </c>
      <c r="E158" s="256" t="s">
        <v>127</v>
      </c>
      <c r="F158" s="1469" t="s">
        <v>487</v>
      </c>
      <c r="G158" s="257">
        <v>1897166</v>
      </c>
      <c r="H158" s="258">
        <f>G158/12</f>
        <v>158097.166666667</v>
      </c>
      <c r="I158" s="258">
        <f t="shared" si="87"/>
        <v>18444.6694444444</v>
      </c>
      <c r="J158" s="258">
        <v>5000</v>
      </c>
      <c r="K158" s="258"/>
      <c r="L158" s="258"/>
      <c r="M158" s="258">
        <v>2500</v>
      </c>
      <c r="N158" s="258"/>
      <c r="O158" s="258"/>
      <c r="P158" s="258"/>
      <c r="Q158" s="258"/>
      <c r="R158" s="258"/>
      <c r="S158" s="258"/>
      <c r="T158" s="258"/>
      <c r="U158" s="258">
        <v>383.33</v>
      </c>
      <c r="V158" s="258"/>
      <c r="W158" s="265"/>
      <c r="X158" s="258"/>
      <c r="Y158" s="258"/>
      <c r="Z158" s="258"/>
      <c r="AA158" s="258"/>
      <c r="AB158" s="258"/>
      <c r="AC158" s="258"/>
      <c r="AD158" s="270"/>
      <c r="AE158" s="258"/>
      <c r="AF158" s="258">
        <v>500</v>
      </c>
      <c r="AG158" s="270">
        <f t="shared" si="122"/>
        <v>3161.94333333333</v>
      </c>
      <c r="AH158" s="270"/>
      <c r="AI158" s="282">
        <v>1000</v>
      </c>
      <c r="AJ158" s="279"/>
      <c r="AK158" s="279"/>
      <c r="AL158" s="279"/>
      <c r="AM158" s="281"/>
      <c r="AN158" s="258"/>
      <c r="AO158" s="299">
        <v>1000</v>
      </c>
      <c r="AP158" s="299"/>
      <c r="AQ158" s="299"/>
      <c r="AR158" s="299">
        <f t="shared" si="123"/>
        <v>3688.50332222222</v>
      </c>
      <c r="AS158" s="300"/>
      <c r="AT158" s="300"/>
      <c r="AU158" s="299" t="e">
        <f t="shared" si="112"/>
        <v>#REF!</v>
      </c>
      <c r="AV158" s="299">
        <f t="shared" ref="AV158" si="132">V158+U158+N158+M158+K158+J158+I158+H158</f>
        <v>184425.166111111</v>
      </c>
      <c r="AW158" s="299" t="e">
        <f t="shared" si="116"/>
        <v>#REF!</v>
      </c>
      <c r="AX158" s="299"/>
      <c r="AY158" s="299"/>
      <c r="AZ158" s="299" t="e">
        <f t="shared" si="117"/>
        <v>#REF!</v>
      </c>
      <c r="BA158" s="305" t="e">
        <f>SUM(#REF!)</f>
        <v>#REF!</v>
      </c>
      <c r="BB158" s="320" t="e">
        <f>1%*#REF!</f>
        <v>#REF!</v>
      </c>
      <c r="BC158" s="321" t="e">
        <f t="shared" si="109"/>
        <v>#REF!</v>
      </c>
      <c r="BD158" s="322" t="e">
        <f t="shared" si="110"/>
        <v>#REF!</v>
      </c>
      <c r="BE158" s="323"/>
      <c r="BF158" s="324"/>
      <c r="BG158" s="325"/>
      <c r="BH158" s="326"/>
      <c r="BI158" s="326"/>
      <c r="BJ158" s="334"/>
      <c r="BK158" s="335"/>
    </row>
    <row r="159" s="245" customFormat="1" ht="156" customHeight="1" spans="1:63">
      <c r="A159" s="255">
        <v>157</v>
      </c>
      <c r="B159" s="70" t="s">
        <v>2080</v>
      </c>
      <c r="C159" s="129" t="s">
        <v>352</v>
      </c>
      <c r="D159" s="129" t="s">
        <v>353</v>
      </c>
      <c r="E159" s="128" t="s">
        <v>122</v>
      </c>
      <c r="F159" s="1469" t="s">
        <v>489</v>
      </c>
      <c r="G159" s="257">
        <f>G156</f>
        <v>1691938</v>
      </c>
      <c r="H159" s="258">
        <f>G159/12</f>
        <v>140994.833333333</v>
      </c>
      <c r="I159" s="258">
        <f t="shared" si="87"/>
        <v>16449.3972222222</v>
      </c>
      <c r="J159" s="258">
        <v>5000</v>
      </c>
      <c r="K159" s="258"/>
      <c r="L159" s="258"/>
      <c r="M159" s="258">
        <v>2500</v>
      </c>
      <c r="N159" s="258"/>
      <c r="O159" s="258"/>
      <c r="P159" s="258"/>
      <c r="Q159" s="258"/>
      <c r="R159" s="258"/>
      <c r="S159" s="258"/>
      <c r="T159" s="258"/>
      <c r="U159" s="258">
        <v>383.33</v>
      </c>
      <c r="V159" s="258"/>
      <c r="W159" s="265"/>
      <c r="X159" s="258"/>
      <c r="Y159" s="258"/>
      <c r="Z159" s="258"/>
      <c r="AA159" s="258"/>
      <c r="AB159" s="258"/>
      <c r="AC159" s="258"/>
      <c r="AD159" s="270"/>
      <c r="AE159" s="258"/>
      <c r="AF159" s="258">
        <v>2500</v>
      </c>
      <c r="AG159" s="270">
        <f t="shared" si="122"/>
        <v>2819.89666666667</v>
      </c>
      <c r="AH159" s="270"/>
      <c r="AI159" s="282">
        <v>1000</v>
      </c>
      <c r="AJ159" s="279"/>
      <c r="AK159" s="279"/>
      <c r="AL159" s="279"/>
      <c r="AM159" s="281">
        <v>31750</v>
      </c>
      <c r="AN159" s="258"/>
      <c r="AO159" s="299">
        <v>1000</v>
      </c>
      <c r="AP159" s="299"/>
      <c r="AQ159" s="299"/>
      <c r="AR159" s="299">
        <f t="shared" si="123"/>
        <v>3306.55121111111</v>
      </c>
      <c r="AS159" s="300"/>
      <c r="AT159" s="300"/>
      <c r="AU159" s="299" t="e">
        <f t="shared" si="112"/>
        <v>#REF!</v>
      </c>
      <c r="AV159" s="299">
        <f t="shared" ref="AV159:AV160" si="133">W159+V159+U159+N159+M159+K159+J159+I159+H159</f>
        <v>165327.560555556</v>
      </c>
      <c r="AW159" s="299" t="e">
        <f t="shared" si="116"/>
        <v>#REF!</v>
      </c>
      <c r="AX159" s="299"/>
      <c r="AY159" s="299"/>
      <c r="AZ159" s="299" t="e">
        <f t="shared" si="117"/>
        <v>#REF!</v>
      </c>
      <c r="BA159" s="305" t="e">
        <f>SUM(#REF!)</f>
        <v>#REF!</v>
      </c>
      <c r="BB159" s="320" t="e">
        <f>1%*#REF!</f>
        <v>#REF!</v>
      </c>
      <c r="BC159" s="321" t="e">
        <f t="shared" si="109"/>
        <v>#REF!</v>
      </c>
      <c r="BD159" s="322" t="e">
        <f t="shared" si="110"/>
        <v>#REF!</v>
      </c>
      <c r="BE159" s="323"/>
      <c r="BF159" s="324"/>
      <c r="BG159" s="325"/>
      <c r="BH159" s="326"/>
      <c r="BI159" s="326"/>
      <c r="BJ159" s="334"/>
      <c r="BK159" s="335"/>
    </row>
    <row r="160" s="245" customFormat="1" ht="156" customHeight="1" spans="1:63">
      <c r="A160" s="255">
        <v>158</v>
      </c>
      <c r="B160" s="70" t="s">
        <v>490</v>
      </c>
      <c r="C160" s="129" t="s">
        <v>221</v>
      </c>
      <c r="D160" s="129" t="s">
        <v>196</v>
      </c>
      <c r="E160" s="256" t="s">
        <v>127</v>
      </c>
      <c r="F160" s="1469" t="s">
        <v>491</v>
      </c>
      <c r="G160" s="257">
        <v>1846818</v>
      </c>
      <c r="H160" s="258">
        <f>G160/12</f>
        <v>153901.5</v>
      </c>
      <c r="I160" s="258">
        <f t="shared" si="87"/>
        <v>17955.175</v>
      </c>
      <c r="J160" s="258">
        <v>5000</v>
      </c>
      <c r="K160" s="258"/>
      <c r="L160" s="258"/>
      <c r="M160" s="258">
        <v>2500</v>
      </c>
      <c r="N160" s="258"/>
      <c r="O160" s="258"/>
      <c r="P160" s="258"/>
      <c r="Q160" s="258"/>
      <c r="R160" s="258"/>
      <c r="S160" s="258"/>
      <c r="T160" s="258"/>
      <c r="U160" s="258">
        <v>383.33</v>
      </c>
      <c r="V160" s="258"/>
      <c r="W160" s="265"/>
      <c r="X160" s="258"/>
      <c r="Y160" s="258"/>
      <c r="Z160" s="258"/>
      <c r="AA160" s="258"/>
      <c r="AB160" s="258"/>
      <c r="AC160" s="258"/>
      <c r="AD160" s="270"/>
      <c r="AE160" s="258"/>
      <c r="AF160" s="258">
        <v>1250</v>
      </c>
      <c r="AG160" s="270">
        <f t="shared" si="122"/>
        <v>3078.03</v>
      </c>
      <c r="AH160" s="270">
        <v>30000</v>
      </c>
      <c r="AI160" s="278"/>
      <c r="AJ160" s="279">
        <v>1000</v>
      </c>
      <c r="AK160" s="280"/>
      <c r="AL160" s="280"/>
      <c r="AM160" s="281">
        <v>50000</v>
      </c>
      <c r="AN160" s="258"/>
      <c r="AO160" s="299">
        <v>1000</v>
      </c>
      <c r="AP160" s="299"/>
      <c r="AQ160" s="299"/>
      <c r="AR160" s="299">
        <f t="shared" si="123"/>
        <v>3594.8001</v>
      </c>
      <c r="AS160" s="300"/>
      <c r="AT160" s="300"/>
      <c r="AU160" s="299" t="e">
        <f t="shared" si="112"/>
        <v>#REF!</v>
      </c>
      <c r="AV160" s="299">
        <f t="shared" si="133"/>
        <v>179740.005</v>
      </c>
      <c r="AW160" s="299" t="e">
        <f>AU160+AR160+AQ160+AO160+AN160+AM160+AK160+AI160+AH160+AG160+AF160+AE160+AD160+AJ160</f>
        <v>#REF!</v>
      </c>
      <c r="AX160" s="299"/>
      <c r="AY160" s="299"/>
      <c r="AZ160" s="299" t="e">
        <f t="shared" si="117"/>
        <v>#REF!</v>
      </c>
      <c r="BA160" s="305" t="e">
        <f>SUM(#REF!)</f>
        <v>#REF!</v>
      </c>
      <c r="BB160" s="320" t="e">
        <f>1%*#REF!</f>
        <v>#REF!</v>
      </c>
      <c r="BC160" s="321" t="e">
        <f t="shared" si="109"/>
        <v>#REF!</v>
      </c>
      <c r="BD160" s="322" t="e">
        <f t="shared" si="110"/>
        <v>#REF!</v>
      </c>
      <c r="BE160" s="323"/>
      <c r="BF160" s="324"/>
      <c r="BG160" s="325"/>
      <c r="BH160" s="326"/>
      <c r="BI160" s="326"/>
      <c r="BJ160" s="334"/>
      <c r="BK160" s="335"/>
    </row>
    <row r="161" s="245" customFormat="1" ht="156" customHeight="1" spans="1:63">
      <c r="A161" s="255">
        <v>159</v>
      </c>
      <c r="B161" s="70" t="s">
        <v>2081</v>
      </c>
      <c r="C161" s="129" t="s">
        <v>352</v>
      </c>
      <c r="D161" s="129" t="s">
        <v>353</v>
      </c>
      <c r="E161" s="256" t="s">
        <v>135</v>
      </c>
      <c r="F161" s="1469" t="s">
        <v>483</v>
      </c>
      <c r="G161" s="257">
        <f>G159</f>
        <v>1691938</v>
      </c>
      <c r="H161" s="258">
        <f>H159</f>
        <v>140994.833333333</v>
      </c>
      <c r="I161" s="258">
        <f t="shared" si="87"/>
        <v>16449.3972222222</v>
      </c>
      <c r="J161" s="258">
        <v>5000</v>
      </c>
      <c r="K161" s="258"/>
      <c r="L161" s="258"/>
      <c r="M161" s="258">
        <v>2500</v>
      </c>
      <c r="N161" s="258"/>
      <c r="O161" s="258"/>
      <c r="P161" s="258"/>
      <c r="Q161" s="258"/>
      <c r="R161" s="258"/>
      <c r="S161" s="258"/>
      <c r="T161" s="258"/>
      <c r="U161" s="258">
        <v>383.33</v>
      </c>
      <c r="V161" s="258"/>
      <c r="W161" s="265"/>
      <c r="X161" s="258"/>
      <c r="Y161" s="258"/>
      <c r="Z161" s="258"/>
      <c r="AA161" s="258"/>
      <c r="AB161" s="258"/>
      <c r="AC161" s="258"/>
      <c r="AD161" s="270"/>
      <c r="AE161" s="258"/>
      <c r="AF161" s="258">
        <v>500</v>
      </c>
      <c r="AG161" s="270">
        <f t="shared" si="122"/>
        <v>2819.89666666667</v>
      </c>
      <c r="AH161" s="270"/>
      <c r="AI161" s="278"/>
      <c r="AJ161" s="280"/>
      <c r="AK161" s="280"/>
      <c r="AL161" s="284">
        <v>1000</v>
      </c>
      <c r="AM161" s="281"/>
      <c r="AN161" s="258"/>
      <c r="AO161" s="299">
        <v>1000</v>
      </c>
      <c r="AP161" s="299"/>
      <c r="AQ161" s="299"/>
      <c r="AR161" s="299">
        <f t="shared" si="123"/>
        <v>3306.55121111111</v>
      </c>
      <c r="AS161" s="300"/>
      <c r="AT161" s="300"/>
      <c r="AU161" s="299" t="e">
        <f t="shared" si="112"/>
        <v>#REF!</v>
      </c>
      <c r="AV161" s="299">
        <f t="shared" ref="AV161:AV163" si="134">V161+U161+N161+M161+K161+J161+I161+H161</f>
        <v>165327.560555556</v>
      </c>
      <c r="AW161" s="299" t="e">
        <f>AU161+AR161+AQ161+AO161+AN161+AM161+AK161+AI161+AH161+AG161+AF161+AE161+AD161+AL161</f>
        <v>#REF!</v>
      </c>
      <c r="AX161" s="299"/>
      <c r="AY161" s="299"/>
      <c r="AZ161" s="299" t="e">
        <f t="shared" si="117"/>
        <v>#REF!</v>
      </c>
      <c r="BA161" s="305" t="e">
        <f>SUM(#REF!)</f>
        <v>#REF!</v>
      </c>
      <c r="BB161" s="320" t="e">
        <f>1%*#REF!</f>
        <v>#REF!</v>
      </c>
      <c r="BC161" s="321" t="e">
        <f t="shared" si="109"/>
        <v>#REF!</v>
      </c>
      <c r="BD161" s="322" t="e">
        <f t="shared" si="110"/>
        <v>#REF!</v>
      </c>
      <c r="BE161" s="323"/>
      <c r="BF161" s="324"/>
      <c r="BG161" s="325"/>
      <c r="BH161" s="326"/>
      <c r="BI161" s="326"/>
      <c r="BJ161" s="334"/>
      <c r="BK161" s="335"/>
    </row>
    <row r="162" s="245" customFormat="1" ht="156" customHeight="1" spans="1:63">
      <c r="A162" s="255">
        <v>160</v>
      </c>
      <c r="B162" s="70" t="s">
        <v>497</v>
      </c>
      <c r="C162" s="129" t="s">
        <v>352</v>
      </c>
      <c r="D162" s="129" t="s">
        <v>199</v>
      </c>
      <c r="E162" s="256" t="s">
        <v>135</v>
      </c>
      <c r="F162" s="1469" t="s">
        <v>499</v>
      </c>
      <c r="G162" s="257">
        <v>1563603</v>
      </c>
      <c r="H162" s="258">
        <f>H160</f>
        <v>153901.5</v>
      </c>
      <c r="I162" s="258">
        <f t="shared" si="87"/>
        <v>17955.175</v>
      </c>
      <c r="J162" s="258">
        <v>5000</v>
      </c>
      <c r="K162" s="258"/>
      <c r="L162" s="258"/>
      <c r="M162" s="258">
        <v>2500</v>
      </c>
      <c r="N162" s="258"/>
      <c r="O162" s="258"/>
      <c r="P162" s="258"/>
      <c r="Q162" s="258"/>
      <c r="R162" s="258"/>
      <c r="S162" s="258"/>
      <c r="T162" s="258"/>
      <c r="U162" s="258">
        <v>383.33</v>
      </c>
      <c r="V162" s="258"/>
      <c r="W162" s="265"/>
      <c r="X162" s="258"/>
      <c r="Y162" s="258"/>
      <c r="Z162" s="258"/>
      <c r="AA162" s="258"/>
      <c r="AB162" s="258"/>
      <c r="AC162" s="258"/>
      <c r="AD162" s="270"/>
      <c r="AE162" s="258"/>
      <c r="AF162" s="258">
        <v>3750</v>
      </c>
      <c r="AG162" s="270">
        <f t="shared" si="122"/>
        <v>3078.03</v>
      </c>
      <c r="AH162" s="270"/>
      <c r="AI162" s="278"/>
      <c r="AJ162" s="280"/>
      <c r="AK162" s="280"/>
      <c r="AL162" s="280"/>
      <c r="AM162" s="281"/>
      <c r="AN162" s="258"/>
      <c r="AO162" s="299">
        <v>1000</v>
      </c>
      <c r="AP162" s="299"/>
      <c r="AQ162" s="299"/>
      <c r="AR162" s="299">
        <f t="shared" si="123"/>
        <v>3594.8001</v>
      </c>
      <c r="AS162" s="300"/>
      <c r="AT162" s="300"/>
      <c r="AU162" s="299" t="e">
        <f t="shared" si="112"/>
        <v>#REF!</v>
      </c>
      <c r="AV162" s="299">
        <f t="shared" si="134"/>
        <v>179740.005</v>
      </c>
      <c r="AW162" s="299" t="e">
        <f t="shared" ref="AW162:AW163" si="135">AU162+AR162+AQ162+AO162+AN162+AM162+AK162+AI162+AH162+AG162+AF162+AE162+AD162</f>
        <v>#REF!</v>
      </c>
      <c r="AX162" s="299"/>
      <c r="AY162" s="299"/>
      <c r="AZ162" s="299" t="e">
        <f t="shared" si="117"/>
        <v>#REF!</v>
      </c>
      <c r="BA162" s="305" t="e">
        <f>SUM(#REF!)</f>
        <v>#REF!</v>
      </c>
      <c r="BB162" s="320" t="e">
        <f>1%*#REF!</f>
        <v>#REF!</v>
      </c>
      <c r="BC162" s="321" t="e">
        <f t="shared" si="109"/>
        <v>#REF!</v>
      </c>
      <c r="BD162" s="322" t="e">
        <f t="shared" si="110"/>
        <v>#REF!</v>
      </c>
      <c r="BE162" s="323"/>
      <c r="BF162" s="324"/>
      <c r="BG162" s="325"/>
      <c r="BH162" s="326"/>
      <c r="BI162" s="326"/>
      <c r="BJ162" s="334"/>
      <c r="BK162" s="335"/>
    </row>
    <row r="163" s="245" customFormat="1" ht="156" customHeight="1" spans="1:63">
      <c r="A163" s="255">
        <v>161</v>
      </c>
      <c r="B163" s="70" t="s">
        <v>500</v>
      </c>
      <c r="C163" s="129" t="s">
        <v>352</v>
      </c>
      <c r="D163" s="129" t="s">
        <v>808</v>
      </c>
      <c r="E163" s="256" t="s">
        <v>135</v>
      </c>
      <c r="F163" s="1469" t="s">
        <v>501</v>
      </c>
      <c r="G163" s="257">
        <v>1520821</v>
      </c>
      <c r="H163" s="258">
        <f>H161</f>
        <v>140994.833333333</v>
      </c>
      <c r="I163" s="258">
        <f t="shared" si="87"/>
        <v>16449.3972222222</v>
      </c>
      <c r="J163" s="258">
        <v>5000</v>
      </c>
      <c r="K163" s="258"/>
      <c r="L163" s="258"/>
      <c r="M163" s="258">
        <v>2500</v>
      </c>
      <c r="N163" s="258"/>
      <c r="O163" s="258"/>
      <c r="P163" s="258"/>
      <c r="Q163" s="258"/>
      <c r="R163" s="258"/>
      <c r="S163" s="258"/>
      <c r="T163" s="258"/>
      <c r="U163" s="258">
        <v>383.33</v>
      </c>
      <c r="V163" s="258"/>
      <c r="W163" s="258"/>
      <c r="X163" s="258"/>
      <c r="Y163" s="258"/>
      <c r="Z163" s="258"/>
      <c r="AA163" s="258"/>
      <c r="AB163" s="258"/>
      <c r="AC163" s="258"/>
      <c r="AD163" s="270"/>
      <c r="AE163" s="258"/>
      <c r="AF163" s="258">
        <v>2750</v>
      </c>
      <c r="AG163" s="270">
        <f t="shared" si="122"/>
        <v>2819.89666666667</v>
      </c>
      <c r="AH163" s="270"/>
      <c r="AI163" s="278"/>
      <c r="AJ163" s="280"/>
      <c r="AK163" s="280"/>
      <c r="AL163" s="280"/>
      <c r="AM163" s="281"/>
      <c r="AN163" s="258"/>
      <c r="AO163" s="299">
        <v>1000</v>
      </c>
      <c r="AP163" s="299"/>
      <c r="AQ163" s="299"/>
      <c r="AR163" s="299">
        <f t="shared" si="123"/>
        <v>3306.55121111111</v>
      </c>
      <c r="AS163" s="300"/>
      <c r="AT163" s="300"/>
      <c r="AU163" s="299" t="e">
        <f t="shared" si="112"/>
        <v>#REF!</v>
      </c>
      <c r="AV163" s="299">
        <f t="shared" si="134"/>
        <v>165327.560555556</v>
      </c>
      <c r="AW163" s="299" t="e">
        <f t="shared" si="135"/>
        <v>#REF!</v>
      </c>
      <c r="AX163" s="299"/>
      <c r="AY163" s="299"/>
      <c r="AZ163" s="299" t="e">
        <f t="shared" si="117"/>
        <v>#REF!</v>
      </c>
      <c r="BA163" s="305" t="e">
        <f>SUM(#REF!)</f>
        <v>#REF!</v>
      </c>
      <c r="BB163" s="320" t="e">
        <f>1%*#REF!</f>
        <v>#REF!</v>
      </c>
      <c r="BC163" s="321" t="e">
        <f t="shared" si="109"/>
        <v>#REF!</v>
      </c>
      <c r="BD163" s="322" t="e">
        <f t="shared" si="110"/>
        <v>#REF!</v>
      </c>
      <c r="BE163" s="323"/>
      <c r="BF163" s="324"/>
      <c r="BG163" s="325"/>
      <c r="BH163" s="326"/>
      <c r="BI163" s="326"/>
      <c r="BJ163" s="334"/>
      <c r="BK163" s="335"/>
    </row>
    <row r="164" s="245" customFormat="1" ht="156" customHeight="1" spans="1:63">
      <c r="A164" s="255">
        <v>162</v>
      </c>
      <c r="B164" s="70" t="s">
        <v>507</v>
      </c>
      <c r="C164" s="129" t="s">
        <v>221</v>
      </c>
      <c r="D164" s="129" t="s">
        <v>555</v>
      </c>
      <c r="E164" s="256" t="s">
        <v>113</v>
      </c>
      <c r="F164" s="256">
        <v>2080682242</v>
      </c>
      <c r="G164" s="257">
        <v>1796468</v>
      </c>
      <c r="H164" s="258">
        <f>G164/12</f>
        <v>149705.666666667</v>
      </c>
      <c r="I164" s="258">
        <f t="shared" si="87"/>
        <v>17465.6611111111</v>
      </c>
      <c r="J164" s="258">
        <v>5000</v>
      </c>
      <c r="K164" s="258"/>
      <c r="L164" s="258"/>
      <c r="M164" s="258">
        <v>2500</v>
      </c>
      <c r="N164" s="258"/>
      <c r="O164" s="258"/>
      <c r="P164" s="258"/>
      <c r="Q164" s="258"/>
      <c r="R164" s="258"/>
      <c r="S164" s="258"/>
      <c r="T164" s="258"/>
      <c r="U164" s="258">
        <v>383.33</v>
      </c>
      <c r="V164" s="258"/>
      <c r="W164" s="265"/>
      <c r="X164" s="258"/>
      <c r="Y164" s="258"/>
      <c r="Z164" s="258"/>
      <c r="AA164" s="258"/>
      <c r="AB164" s="258"/>
      <c r="AC164" s="258"/>
      <c r="AD164" s="270"/>
      <c r="AE164" s="258"/>
      <c r="AF164" s="258"/>
      <c r="AG164" s="270">
        <f t="shared" si="122"/>
        <v>2994.11333333333</v>
      </c>
      <c r="AH164" s="270"/>
      <c r="AI164" s="278"/>
      <c r="AJ164" s="280"/>
      <c r="AK164" s="280"/>
      <c r="AL164" s="284">
        <v>1000</v>
      </c>
      <c r="AM164" s="281">
        <v>37500</v>
      </c>
      <c r="AN164" s="258"/>
      <c r="AO164" s="299">
        <v>1000</v>
      </c>
      <c r="AP164" s="299"/>
      <c r="AQ164" s="299"/>
      <c r="AR164" s="299">
        <f t="shared" si="123"/>
        <v>3501.09315555556</v>
      </c>
      <c r="AS164" s="300"/>
      <c r="AT164" s="300"/>
      <c r="AU164" s="299" t="e">
        <f t="shared" si="112"/>
        <v>#REF!</v>
      </c>
      <c r="AV164" s="299">
        <f t="shared" ref="AV164:AV166" si="136">W164+V164+U164+N164+M164+K164+J164+I164+H164</f>
        <v>175054.657777778</v>
      </c>
      <c r="AW164" s="299" t="e">
        <f>AU164+AR164+AQ164+AO164+AN164+AM164+AK164+AI164+AH164+AG164+AF164+AE164+AD164+AL164</f>
        <v>#REF!</v>
      </c>
      <c r="AX164" s="299"/>
      <c r="AY164" s="299"/>
      <c r="AZ164" s="299" t="e">
        <f t="shared" si="117"/>
        <v>#REF!</v>
      </c>
      <c r="BA164" s="305" t="e">
        <f>SUM(#REF!)</f>
        <v>#REF!</v>
      </c>
      <c r="BB164" s="320" t="e">
        <f>1%*#REF!</f>
        <v>#REF!</v>
      </c>
      <c r="BC164" s="321" t="e">
        <f t="shared" si="109"/>
        <v>#REF!</v>
      </c>
      <c r="BD164" s="322" t="e">
        <f t="shared" si="110"/>
        <v>#REF!</v>
      </c>
      <c r="BE164" s="323"/>
      <c r="BF164" s="324"/>
      <c r="BG164" s="325"/>
      <c r="BH164" s="326"/>
      <c r="BI164" s="326"/>
      <c r="BJ164" s="334"/>
      <c r="BK164" s="335"/>
    </row>
    <row r="165" s="245" customFormat="1" ht="156" customHeight="1" spans="1:63">
      <c r="A165" s="255">
        <v>163</v>
      </c>
      <c r="B165" s="70" t="s">
        <v>508</v>
      </c>
      <c r="C165" s="129" t="s">
        <v>363</v>
      </c>
      <c r="D165" s="129" t="s">
        <v>208</v>
      </c>
      <c r="E165" s="256" t="s">
        <v>157</v>
      </c>
      <c r="F165" s="1469" t="s">
        <v>509</v>
      </c>
      <c r="G165" s="257">
        <f>H165*12</f>
        <v>1017689.04</v>
      </c>
      <c r="H165" s="258">
        <v>84807.42</v>
      </c>
      <c r="I165" s="258"/>
      <c r="J165" s="258"/>
      <c r="K165" s="258"/>
      <c r="L165" s="258"/>
      <c r="M165" s="258">
        <v>2500</v>
      </c>
      <c r="N165" s="258"/>
      <c r="O165" s="258"/>
      <c r="P165" s="258"/>
      <c r="Q165" s="258"/>
      <c r="R165" s="258"/>
      <c r="S165" s="258"/>
      <c r="T165" s="258"/>
      <c r="U165" s="258"/>
      <c r="V165" s="258"/>
      <c r="W165" s="265"/>
      <c r="X165" s="258"/>
      <c r="Y165" s="258"/>
      <c r="Z165" s="258"/>
      <c r="AA165" s="258"/>
      <c r="AB165" s="258"/>
      <c r="AC165" s="258"/>
      <c r="AD165" s="270"/>
      <c r="AE165" s="258"/>
      <c r="AF165" s="258"/>
      <c r="AG165" s="270">
        <f t="shared" si="122"/>
        <v>1696.1484</v>
      </c>
      <c r="AH165" s="270"/>
      <c r="AI165" s="278"/>
      <c r="AJ165" s="280"/>
      <c r="AK165" s="280"/>
      <c r="AL165" s="284"/>
      <c r="AM165" s="281"/>
      <c r="AN165" s="258"/>
      <c r="AO165" s="299">
        <v>500</v>
      </c>
      <c r="AP165" s="299"/>
      <c r="AQ165" s="299"/>
      <c r="AR165" s="299">
        <f t="shared" si="123"/>
        <v>1746.1484</v>
      </c>
      <c r="AS165" s="300"/>
      <c r="AT165" s="300"/>
      <c r="AU165" s="299" t="e">
        <f t="shared" si="112"/>
        <v>#REF!</v>
      </c>
      <c r="AV165" s="299">
        <f t="shared" si="136"/>
        <v>87307.42</v>
      </c>
      <c r="AW165" s="299" t="e">
        <f>AU165+AR165+AQ165+AO165+AN165+AM165+AK165+AI165+AH165+AG165+AF165+AE165+AD165+AL165</f>
        <v>#REF!</v>
      </c>
      <c r="AX165" s="299"/>
      <c r="AY165" s="299"/>
      <c r="AZ165" s="299" t="e">
        <f t="shared" si="117"/>
        <v>#REF!</v>
      </c>
      <c r="BA165" s="305" t="e">
        <f>SUM(#REF!)</f>
        <v>#REF!</v>
      </c>
      <c r="BB165" s="320" t="e">
        <f>1%*#REF!</f>
        <v>#REF!</v>
      </c>
      <c r="BC165" s="321" t="e">
        <f t="shared" si="109"/>
        <v>#REF!</v>
      </c>
      <c r="BD165" s="322" t="e">
        <f t="shared" si="110"/>
        <v>#REF!</v>
      </c>
      <c r="BE165" s="323"/>
      <c r="BF165" s="324"/>
      <c r="BG165" s="325"/>
      <c r="BH165" s="326"/>
      <c r="BI165" s="326"/>
      <c r="BJ165" s="334"/>
      <c r="BK165" s="335"/>
    </row>
    <row r="166" s="245" customFormat="1" ht="156" customHeight="1" spans="1:63">
      <c r="A166" s="255">
        <v>164</v>
      </c>
      <c r="B166" s="70" t="s">
        <v>2082</v>
      </c>
      <c r="C166" s="129" t="s">
        <v>125</v>
      </c>
      <c r="D166" s="129" t="s">
        <v>208</v>
      </c>
      <c r="E166" s="256" t="s">
        <v>127</v>
      </c>
      <c r="F166" s="1469" t="s">
        <v>2083</v>
      </c>
      <c r="G166" s="257">
        <v>2035173</v>
      </c>
      <c r="H166" s="258">
        <f>G166/12</f>
        <v>169597.75</v>
      </c>
      <c r="I166" s="258">
        <f>H166*0.35/3</f>
        <v>19786.4041666667</v>
      </c>
      <c r="J166" s="258">
        <v>5000</v>
      </c>
      <c r="K166" s="258"/>
      <c r="L166" s="258"/>
      <c r="M166" s="258">
        <v>2500</v>
      </c>
      <c r="N166" s="258"/>
      <c r="O166" s="258"/>
      <c r="P166" s="258"/>
      <c r="Q166" s="258"/>
      <c r="R166" s="258"/>
      <c r="S166" s="258"/>
      <c r="T166" s="258"/>
      <c r="U166" s="258">
        <v>383.33</v>
      </c>
      <c r="V166" s="258"/>
      <c r="W166" s="265"/>
      <c r="X166" s="258"/>
      <c r="Y166" s="258"/>
      <c r="Z166" s="258"/>
      <c r="AA166" s="258"/>
      <c r="AB166" s="258"/>
      <c r="AC166" s="258"/>
      <c r="AD166" s="270"/>
      <c r="AE166" s="258"/>
      <c r="AF166" s="258">
        <v>2750</v>
      </c>
      <c r="AG166" s="270">
        <f t="shared" si="122"/>
        <v>3391.955</v>
      </c>
      <c r="AH166" s="270"/>
      <c r="AI166" s="282">
        <v>1000</v>
      </c>
      <c r="AJ166" s="279"/>
      <c r="AK166" s="279"/>
      <c r="AL166" s="279"/>
      <c r="AM166" s="281"/>
      <c r="AN166" s="258"/>
      <c r="AO166" s="299">
        <v>1500</v>
      </c>
      <c r="AP166" s="299"/>
      <c r="AQ166" s="299"/>
      <c r="AR166" s="299">
        <f t="shared" si="123"/>
        <v>3945.34968333333</v>
      </c>
      <c r="AS166" s="300"/>
      <c r="AT166" s="300"/>
      <c r="AU166" s="299" t="e">
        <f>AU143</f>
        <v>#REF!</v>
      </c>
      <c r="AV166" s="299">
        <f t="shared" si="136"/>
        <v>197267.484166667</v>
      </c>
      <c r="AW166" s="299" t="e">
        <f>AU166+AR166+AQ166+AO166+AN166+AM166+AK166+AI166+QZX157155+AG166+AF166+AE166+AD166</f>
        <v>#REF!</v>
      </c>
      <c r="AX166" s="299"/>
      <c r="AY166" s="299"/>
      <c r="AZ166" s="299" t="e">
        <f t="shared" si="117"/>
        <v>#REF!</v>
      </c>
      <c r="BA166" s="305" t="e">
        <f>SUM(#REF!)</f>
        <v>#REF!</v>
      </c>
      <c r="BB166" s="320" t="e">
        <f>1%*#REF!</f>
        <v>#REF!</v>
      </c>
      <c r="BC166" s="321" t="e">
        <f t="shared" si="109"/>
        <v>#REF!</v>
      </c>
      <c r="BD166" s="322" t="e">
        <f t="shared" si="110"/>
        <v>#REF!</v>
      </c>
      <c r="BE166" s="323"/>
      <c r="BF166" s="324"/>
      <c r="BG166" s="325"/>
      <c r="BH166" s="326"/>
      <c r="BI166" s="326"/>
      <c r="BJ166" s="334"/>
      <c r="BK166" s="335"/>
    </row>
    <row r="167" s="245" customFormat="1" ht="156" customHeight="1" spans="1:63">
      <c r="A167" s="255">
        <v>165</v>
      </c>
      <c r="B167" s="70" t="s">
        <v>512</v>
      </c>
      <c r="C167" s="129" t="s">
        <v>125</v>
      </c>
      <c r="D167" s="129" t="s">
        <v>208</v>
      </c>
      <c r="E167" s="256" t="s">
        <v>135</v>
      </c>
      <c r="F167" s="1469" t="s">
        <v>2084</v>
      </c>
      <c r="G167" s="257">
        <v>2035173</v>
      </c>
      <c r="H167" s="258">
        <f>H166</f>
        <v>169597.75</v>
      </c>
      <c r="I167" s="258">
        <f>H167*0.35/3</f>
        <v>19786.4041666667</v>
      </c>
      <c r="J167" s="258">
        <v>5000</v>
      </c>
      <c r="K167" s="258"/>
      <c r="L167" s="258"/>
      <c r="M167" s="258">
        <v>2500</v>
      </c>
      <c r="N167" s="258"/>
      <c r="O167" s="258"/>
      <c r="P167" s="258"/>
      <c r="Q167" s="258"/>
      <c r="R167" s="258"/>
      <c r="S167" s="258"/>
      <c r="T167" s="258"/>
      <c r="U167" s="258">
        <v>383.33</v>
      </c>
      <c r="V167" s="258"/>
      <c r="W167" s="265"/>
      <c r="X167" s="258"/>
      <c r="Y167" s="258"/>
      <c r="Z167" s="258"/>
      <c r="AA167" s="258"/>
      <c r="AB167" s="258"/>
      <c r="AC167" s="258"/>
      <c r="AD167" s="270"/>
      <c r="AE167" s="258"/>
      <c r="AF167" s="258">
        <v>2750</v>
      </c>
      <c r="AG167" s="270">
        <f t="shared" si="122"/>
        <v>3391.955</v>
      </c>
      <c r="AH167" s="270">
        <f>5000</f>
        <v>5000</v>
      </c>
      <c r="AI167" s="278"/>
      <c r="AJ167" s="279">
        <v>1000</v>
      </c>
      <c r="AK167" s="279">
        <v>12000</v>
      </c>
      <c r="AL167" s="279"/>
      <c r="AM167" s="281">
        <f>17500+10000</f>
        <v>27500</v>
      </c>
      <c r="AN167" s="258"/>
      <c r="AO167" s="299">
        <v>1500</v>
      </c>
      <c r="AP167" s="299"/>
      <c r="AQ167" s="299"/>
      <c r="AR167" s="299">
        <f t="shared" si="123"/>
        <v>3945.34968333333</v>
      </c>
      <c r="AS167" s="300"/>
      <c r="AT167" s="300"/>
      <c r="AU167" s="299" t="e">
        <f>AU166</f>
        <v>#REF!</v>
      </c>
      <c r="AV167" s="299">
        <f t="shared" ref="AV167" si="137">V167+U167+N167+M167+K167+J167+I167+H167</f>
        <v>197267.484166667</v>
      </c>
      <c r="AW167" s="299" t="e">
        <f>AU167+AR167+AQ167+AO167+AN167+AM167+AK167+AJ167+AI167+AG167+AH167+AF167</f>
        <v>#REF!</v>
      </c>
      <c r="AX167" s="299"/>
      <c r="AY167" s="299"/>
      <c r="AZ167" s="299" t="e">
        <f t="shared" si="117"/>
        <v>#REF!</v>
      </c>
      <c r="BA167" s="305" t="e">
        <f>SUM(#REF!)</f>
        <v>#REF!</v>
      </c>
      <c r="BB167" s="320" t="e">
        <f>1%*#REF!</f>
        <v>#REF!</v>
      </c>
      <c r="BC167" s="321" t="e">
        <f t="shared" si="109"/>
        <v>#REF!</v>
      </c>
      <c r="BD167" s="322" t="e">
        <f t="shared" si="110"/>
        <v>#REF!</v>
      </c>
      <c r="BE167" s="323"/>
      <c r="BF167" s="324"/>
      <c r="BG167" s="325"/>
      <c r="BH167" s="326"/>
      <c r="BI167" s="326"/>
      <c r="BJ167" s="334"/>
      <c r="BK167" s="335"/>
    </row>
    <row r="168" s="245" customFormat="1" ht="174" customHeight="1" spans="1:63">
      <c r="A168" s="255">
        <v>166</v>
      </c>
      <c r="B168" s="70" t="s">
        <v>2085</v>
      </c>
      <c r="C168" s="129" t="s">
        <v>2086</v>
      </c>
      <c r="D168" s="129" t="s">
        <v>223</v>
      </c>
      <c r="E168" s="256" t="s">
        <v>93</v>
      </c>
      <c r="F168" s="256">
        <v>2013435086</v>
      </c>
      <c r="G168" s="257">
        <f>4631272/2</f>
        <v>2315636</v>
      </c>
      <c r="H168" s="258">
        <f>G168/12</f>
        <v>192969.666666667</v>
      </c>
      <c r="I168" s="258"/>
      <c r="J168" s="258"/>
      <c r="K168" s="258"/>
      <c r="L168" s="258"/>
      <c r="M168" s="258">
        <v>2500</v>
      </c>
      <c r="N168" s="258"/>
      <c r="O168" s="258"/>
      <c r="P168" s="258"/>
      <c r="Q168" s="258"/>
      <c r="R168" s="258"/>
      <c r="S168" s="258"/>
      <c r="T168" s="258"/>
      <c r="U168" s="258">
        <v>383.33</v>
      </c>
      <c r="V168" s="258"/>
      <c r="W168" s="265"/>
      <c r="X168" s="258"/>
      <c r="Y168" s="258"/>
      <c r="Z168" s="258"/>
      <c r="AA168" s="258"/>
      <c r="AB168" s="258"/>
      <c r="AC168" s="258"/>
      <c r="AD168" s="270"/>
      <c r="AE168" s="258"/>
      <c r="AF168" s="258"/>
      <c r="AG168" s="270">
        <f t="shared" si="122"/>
        <v>3859.39333333333</v>
      </c>
      <c r="AH168" s="270"/>
      <c r="AI168" s="278"/>
      <c r="AJ168" s="280"/>
      <c r="AK168" s="280"/>
      <c r="AL168" s="280"/>
      <c r="AM168" s="281"/>
      <c r="AN168" s="258"/>
      <c r="AO168" s="299">
        <v>2500</v>
      </c>
      <c r="AP168" s="299"/>
      <c r="AQ168" s="299"/>
      <c r="AR168" s="299">
        <f t="shared" si="123"/>
        <v>3917.05993333333</v>
      </c>
      <c r="AS168" s="300"/>
      <c r="AT168" s="300"/>
      <c r="AU168" s="299" t="e">
        <f t="shared" si="112"/>
        <v>#REF!</v>
      </c>
      <c r="AV168" s="299">
        <f t="shared" ref="AV168:AV169" si="138">W168+V168+U168+N168+M168+K168+J168+I168+H168</f>
        <v>195852.996666667</v>
      </c>
      <c r="AW168" s="299" t="e">
        <f t="shared" si="116"/>
        <v>#REF!</v>
      </c>
      <c r="AX168" s="299"/>
      <c r="AY168" s="299"/>
      <c r="AZ168" s="299" t="e">
        <f t="shared" si="117"/>
        <v>#REF!</v>
      </c>
      <c r="BA168" s="305" t="e">
        <f>SUM(#REF!)</f>
        <v>#REF!</v>
      </c>
      <c r="BB168" s="320" t="e">
        <f>1%*#REF!</f>
        <v>#REF!</v>
      </c>
      <c r="BC168" s="321" t="e">
        <f t="shared" si="109"/>
        <v>#REF!</v>
      </c>
      <c r="BD168" s="322" t="e">
        <f t="shared" si="110"/>
        <v>#REF!</v>
      </c>
      <c r="BE168" s="323"/>
      <c r="BF168" s="324"/>
      <c r="BG168" s="325"/>
      <c r="BH168" s="326"/>
      <c r="BI168" s="326"/>
      <c r="BJ168" s="334"/>
      <c r="BK168" s="335"/>
    </row>
    <row r="169" s="245" customFormat="1" ht="156" customHeight="1" spans="1:63">
      <c r="A169" s="255">
        <v>167</v>
      </c>
      <c r="B169" s="70" t="s">
        <v>514</v>
      </c>
      <c r="C169" s="129" t="s">
        <v>100</v>
      </c>
      <c r="D169" s="129" t="s">
        <v>516</v>
      </c>
      <c r="E169" s="256" t="s">
        <v>113</v>
      </c>
      <c r="F169" s="256">
        <v>1005033200</v>
      </c>
      <c r="G169" s="257">
        <v>6664214</v>
      </c>
      <c r="H169" s="258">
        <f>'[12]JACKSON AKPOJARO '!$M$144</f>
        <v>0</v>
      </c>
      <c r="I169" s="258"/>
      <c r="J169" s="258"/>
      <c r="K169" s="258">
        <v>41667</v>
      </c>
      <c r="L169" s="258"/>
      <c r="M169" s="258">
        <v>2500</v>
      </c>
      <c r="N169" s="258"/>
      <c r="O169" s="258"/>
      <c r="P169" s="258"/>
      <c r="Q169" s="258"/>
      <c r="R169" s="258"/>
      <c r="S169" s="258"/>
      <c r="T169" s="258"/>
      <c r="U169" s="258">
        <v>383.33</v>
      </c>
      <c r="V169" s="258"/>
      <c r="W169" s="265"/>
      <c r="X169" s="258"/>
      <c r="Y169" s="258"/>
      <c r="Z169" s="258"/>
      <c r="AA169" s="258"/>
      <c r="AB169" s="258"/>
      <c r="AC169" s="258"/>
      <c r="AD169" s="270"/>
      <c r="AE169" s="258"/>
      <c r="AF169" s="258"/>
      <c r="AG169" s="270">
        <f t="shared" si="122"/>
        <v>0</v>
      </c>
      <c r="AH169" s="270"/>
      <c r="AI169" s="278"/>
      <c r="AJ169" s="280"/>
      <c r="AK169" s="280"/>
      <c r="AL169" s="280"/>
      <c r="AM169" s="281"/>
      <c r="AN169" s="258"/>
      <c r="AO169" s="299">
        <v>3500</v>
      </c>
      <c r="AP169" s="299"/>
      <c r="AQ169" s="299"/>
      <c r="AR169" s="299">
        <f t="shared" si="123"/>
        <v>891.0066</v>
      </c>
      <c r="AS169" s="300"/>
      <c r="AT169" s="300"/>
      <c r="AU169" s="299">
        <v>83779.74</v>
      </c>
      <c r="AV169" s="299">
        <f t="shared" si="138"/>
        <v>44550.33</v>
      </c>
      <c r="AW169" s="299">
        <f t="shared" si="116"/>
        <v>88170.7466</v>
      </c>
      <c r="AX169" s="299"/>
      <c r="AY169" s="299"/>
      <c r="AZ169" s="299">
        <f t="shared" si="117"/>
        <v>-43620.4166</v>
      </c>
      <c r="BA169" s="305" t="e">
        <f>SUM(#REF!)</f>
        <v>#REF!</v>
      </c>
      <c r="BB169" s="320" t="e">
        <f>1%*#REF!</f>
        <v>#REF!</v>
      </c>
      <c r="BC169" s="321" t="e">
        <f t="shared" si="109"/>
        <v>#REF!</v>
      </c>
      <c r="BD169" s="322" t="e">
        <f t="shared" si="110"/>
        <v>#REF!</v>
      </c>
      <c r="BE169" s="323"/>
      <c r="BF169" s="324"/>
      <c r="BG169" s="325"/>
      <c r="BH169" s="326"/>
      <c r="BI169" s="326"/>
      <c r="BJ169" s="334"/>
      <c r="BK169" s="335"/>
    </row>
    <row r="170" s="245" customFormat="1" ht="156" customHeight="1" spans="1:63">
      <c r="A170" s="255">
        <v>168</v>
      </c>
      <c r="B170" s="70" t="s">
        <v>2087</v>
      </c>
      <c r="C170" s="129" t="s">
        <v>2047</v>
      </c>
      <c r="D170" s="129" t="s">
        <v>2088</v>
      </c>
      <c r="E170" s="256" t="s">
        <v>165</v>
      </c>
      <c r="F170" s="256">
        <v>2179811764</v>
      </c>
      <c r="G170" s="257">
        <v>4479454</v>
      </c>
      <c r="H170" s="258">
        <f>G170/12</f>
        <v>373287.833333333</v>
      </c>
      <c r="I170" s="258">
        <f>H170*0.35/3</f>
        <v>43550.2472222222</v>
      </c>
      <c r="J170" s="258">
        <v>6666.67</v>
      </c>
      <c r="K170" s="258">
        <f>41667/2</f>
        <v>20833.5</v>
      </c>
      <c r="L170" s="258"/>
      <c r="M170" s="258">
        <v>2500</v>
      </c>
      <c r="N170" s="258"/>
      <c r="O170" s="258"/>
      <c r="P170" s="258"/>
      <c r="Q170" s="258"/>
      <c r="R170" s="258"/>
      <c r="S170" s="258"/>
      <c r="T170" s="258"/>
      <c r="U170" s="258">
        <v>383.33</v>
      </c>
      <c r="V170" s="258"/>
      <c r="W170" s="265"/>
      <c r="X170" s="258"/>
      <c r="Y170" s="258"/>
      <c r="Z170" s="258"/>
      <c r="AA170" s="258"/>
      <c r="AB170" s="258"/>
      <c r="AC170" s="258"/>
      <c r="AD170" s="270"/>
      <c r="AE170" s="258"/>
      <c r="AF170" s="258"/>
      <c r="AG170" s="270">
        <f t="shared" si="122"/>
        <v>7465.75666666667</v>
      </c>
      <c r="AH170" s="270"/>
      <c r="AI170" s="282">
        <v>1000</v>
      </c>
      <c r="AJ170" s="279"/>
      <c r="AK170" s="279"/>
      <c r="AL170" s="279"/>
      <c r="AM170" s="281"/>
      <c r="AN170" s="258">
        <v>8333.33</v>
      </c>
      <c r="AO170" s="299">
        <v>2500</v>
      </c>
      <c r="AP170" s="299"/>
      <c r="AQ170" s="299"/>
      <c r="AR170" s="299">
        <f t="shared" si="123"/>
        <v>8944.43161111111</v>
      </c>
      <c r="AS170" s="300"/>
      <c r="AT170" s="300"/>
      <c r="AU170" s="299" t="e">
        <f t="shared" ref="AU170:AU179" si="139">BD170</f>
        <v>#REF!</v>
      </c>
      <c r="AV170" s="299">
        <f t="shared" ref="AV170" si="140">V170+U170+N170+M170+K170+J170+I170+H170</f>
        <v>447221.580555556</v>
      </c>
      <c r="AW170" s="299" t="e">
        <f t="shared" si="116"/>
        <v>#REF!</v>
      </c>
      <c r="AX170" s="299"/>
      <c r="AY170" s="299"/>
      <c r="AZ170" s="299" t="e">
        <f t="shared" si="117"/>
        <v>#REF!</v>
      </c>
      <c r="BA170" s="305" t="e">
        <f>SUM(#REF!)</f>
        <v>#REF!</v>
      </c>
      <c r="BB170" s="320" t="e">
        <f>1%*#REF!</f>
        <v>#REF!</v>
      </c>
      <c r="BC170" s="321" t="e">
        <f t="shared" si="109"/>
        <v>#REF!</v>
      </c>
      <c r="BD170" s="322" t="e">
        <f t="shared" si="110"/>
        <v>#REF!</v>
      </c>
      <c r="BE170" s="323"/>
      <c r="BF170" s="324"/>
      <c r="BG170" s="325"/>
      <c r="BH170" s="326"/>
      <c r="BI170" s="326"/>
      <c r="BJ170" s="334"/>
      <c r="BK170" s="335"/>
    </row>
    <row r="171" s="245" customFormat="1" ht="156" customHeight="1" spans="1:63">
      <c r="A171" s="255">
        <v>169</v>
      </c>
      <c r="B171" s="70" t="s">
        <v>2089</v>
      </c>
      <c r="C171" s="129" t="s">
        <v>2047</v>
      </c>
      <c r="D171" s="129" t="s">
        <v>2090</v>
      </c>
      <c r="E171" s="256" t="s">
        <v>259</v>
      </c>
      <c r="F171" s="256">
        <v>6050821993</v>
      </c>
      <c r="G171" s="257">
        <v>4783091</v>
      </c>
      <c r="H171" s="258">
        <f>G171/12</f>
        <v>398590.916666667</v>
      </c>
      <c r="I171" s="258">
        <f>H171*0.35/3</f>
        <v>46502.2736111111</v>
      </c>
      <c r="J171" s="258">
        <v>6667.67</v>
      </c>
      <c r="K171" s="258"/>
      <c r="L171" s="258"/>
      <c r="M171" s="258">
        <v>2500</v>
      </c>
      <c r="N171" s="258"/>
      <c r="O171" s="258"/>
      <c r="P171" s="258"/>
      <c r="Q171" s="258"/>
      <c r="R171" s="258"/>
      <c r="S171" s="258"/>
      <c r="T171" s="258"/>
      <c r="U171" s="258">
        <v>383.33</v>
      </c>
      <c r="V171" s="258"/>
      <c r="W171" s="265"/>
      <c r="X171" s="258"/>
      <c r="Y171" s="258"/>
      <c r="Z171" s="258"/>
      <c r="AA171" s="258"/>
      <c r="AB171" s="258"/>
      <c r="AC171" s="258"/>
      <c r="AD171" s="270"/>
      <c r="AE171" s="258"/>
      <c r="AF171" s="258"/>
      <c r="AG171" s="270">
        <f t="shared" si="122"/>
        <v>7971.81833333333</v>
      </c>
      <c r="AH171" s="270"/>
      <c r="AI171" s="282"/>
      <c r="AJ171" s="279"/>
      <c r="AK171" s="279"/>
      <c r="AL171" s="279"/>
      <c r="AM171" s="281"/>
      <c r="AN171" s="258"/>
      <c r="AO171" s="299">
        <v>2500</v>
      </c>
      <c r="AP171" s="299"/>
      <c r="AQ171" s="299"/>
      <c r="AR171" s="299">
        <f t="shared" si="123"/>
        <v>9092.88380555556</v>
      </c>
      <c r="AS171" s="300"/>
      <c r="AT171" s="300"/>
      <c r="AU171" s="299" t="e">
        <f t="shared" si="139"/>
        <v>#REF!</v>
      </c>
      <c r="AV171" s="299">
        <f t="shared" ref="AV171:AV176" si="141">W171+V171+U171+N171+M171+K171+J171+I171+H171</f>
        <v>454644.190277778</v>
      </c>
      <c r="AW171" s="299" t="e">
        <f t="shared" si="116"/>
        <v>#REF!</v>
      </c>
      <c r="AX171" s="299"/>
      <c r="AY171" s="299"/>
      <c r="AZ171" s="299" t="e">
        <f t="shared" si="117"/>
        <v>#REF!</v>
      </c>
      <c r="BA171" s="305" t="e">
        <f>SUM(#REF!)</f>
        <v>#REF!</v>
      </c>
      <c r="BB171" s="320" t="e">
        <f>1%*#REF!</f>
        <v>#REF!</v>
      </c>
      <c r="BC171" s="321" t="e">
        <f t="shared" si="109"/>
        <v>#REF!</v>
      </c>
      <c r="BD171" s="322" t="e">
        <f t="shared" si="110"/>
        <v>#REF!</v>
      </c>
      <c r="BE171" s="323"/>
      <c r="BF171" s="324"/>
      <c r="BG171" s="325"/>
      <c r="BH171" s="326"/>
      <c r="BI171" s="326"/>
      <c r="BJ171" s="334"/>
      <c r="BK171" s="335"/>
    </row>
    <row r="172" s="245" customFormat="1" ht="157" customHeight="1" spans="1:63">
      <c r="A172" s="255">
        <v>170</v>
      </c>
      <c r="B172" s="70" t="s">
        <v>2091</v>
      </c>
      <c r="C172" s="129" t="s">
        <v>2047</v>
      </c>
      <c r="D172" s="129" t="s">
        <v>2092</v>
      </c>
      <c r="E172" s="256" t="s">
        <v>97</v>
      </c>
      <c r="F172" s="256">
        <v>1779871581</v>
      </c>
      <c r="G172" s="257">
        <f>H172*12</f>
        <v>5249996.04</v>
      </c>
      <c r="H172" s="258">
        <v>437499.67</v>
      </c>
      <c r="I172" s="258">
        <f>H172*0.35/3</f>
        <v>51041.6281666667</v>
      </c>
      <c r="J172" s="258">
        <v>6667.67</v>
      </c>
      <c r="K172" s="258">
        <f>K178</f>
        <v>20833.33</v>
      </c>
      <c r="L172" s="258"/>
      <c r="M172" s="258">
        <v>2500</v>
      </c>
      <c r="N172" s="258"/>
      <c r="O172" s="258"/>
      <c r="P172" s="258"/>
      <c r="Q172" s="258"/>
      <c r="R172" s="258"/>
      <c r="S172" s="258"/>
      <c r="T172" s="258"/>
      <c r="U172" s="258">
        <v>383.33</v>
      </c>
      <c r="V172" s="258"/>
      <c r="W172" s="265"/>
      <c r="X172" s="258"/>
      <c r="Y172" s="258"/>
      <c r="Z172" s="258"/>
      <c r="AA172" s="258"/>
      <c r="AB172" s="258"/>
      <c r="AC172" s="258"/>
      <c r="AD172" s="270"/>
      <c r="AE172" s="258"/>
      <c r="AF172" s="258">
        <v>2500</v>
      </c>
      <c r="AG172" s="270">
        <f t="shared" si="122"/>
        <v>8749.9934</v>
      </c>
      <c r="AH172" s="270"/>
      <c r="AI172" s="282"/>
      <c r="AJ172" s="279">
        <v>1000</v>
      </c>
      <c r="AK172" s="279"/>
      <c r="AL172" s="279"/>
      <c r="AM172" s="281"/>
      <c r="AN172" s="258"/>
      <c r="AO172" s="299">
        <v>3500</v>
      </c>
      <c r="AP172" s="299"/>
      <c r="AQ172" s="299"/>
      <c r="AR172" s="299">
        <f t="shared" si="123"/>
        <v>10378.5125633333</v>
      </c>
      <c r="AS172" s="300"/>
      <c r="AT172" s="300"/>
      <c r="AU172" s="299" t="e">
        <f t="shared" si="139"/>
        <v>#REF!</v>
      </c>
      <c r="AV172" s="299">
        <f t="shared" si="141"/>
        <v>518925.628166667</v>
      </c>
      <c r="AW172" s="299" t="e">
        <f>AU172+AR172+AQ172+AO172+AN172+AM172+AK172+AJ172+AI172+AH172+AG172+AF172</f>
        <v>#REF!</v>
      </c>
      <c r="AX172" s="299"/>
      <c r="AY172" s="299"/>
      <c r="AZ172" s="299" t="e">
        <f t="shared" si="117"/>
        <v>#REF!</v>
      </c>
      <c r="BA172" s="305" t="e">
        <f>SUM(#REF!)</f>
        <v>#REF!</v>
      </c>
      <c r="BB172" s="419" t="e">
        <f>1%*#REF!</f>
        <v>#REF!</v>
      </c>
      <c r="BC172" s="321" t="e">
        <f t="shared" si="109"/>
        <v>#REF!</v>
      </c>
      <c r="BD172" s="322" t="e">
        <f t="shared" si="110"/>
        <v>#REF!</v>
      </c>
      <c r="BE172" s="323"/>
      <c r="BF172" s="324"/>
      <c r="BG172" s="325"/>
      <c r="BH172" s="326"/>
      <c r="BI172" s="326"/>
      <c r="BJ172" s="334"/>
      <c r="BK172" s="335"/>
    </row>
    <row r="173" s="245" customFormat="1" ht="156" customHeight="1" spans="1:63">
      <c r="A173" s="255">
        <v>171</v>
      </c>
      <c r="B173" s="70" t="s">
        <v>2093</v>
      </c>
      <c r="C173" s="129" t="s">
        <v>2094</v>
      </c>
      <c r="D173" s="129" t="s">
        <v>2095</v>
      </c>
      <c r="E173" s="256" t="s">
        <v>97</v>
      </c>
      <c r="F173" s="1469" t="str">
        <f>'[14]TEACHING STAFF'!$G$164</f>
        <v>0030621811</v>
      </c>
      <c r="G173" s="257">
        <f>5603551/2</f>
        <v>2801775.5</v>
      </c>
      <c r="H173" s="258">
        <f>G173/12</f>
        <v>233481.291666667</v>
      </c>
      <c r="I173" s="258"/>
      <c r="J173" s="258"/>
      <c r="K173" s="258"/>
      <c r="L173" s="258"/>
      <c r="M173" s="258">
        <v>2500</v>
      </c>
      <c r="N173" s="258"/>
      <c r="O173" s="258"/>
      <c r="P173" s="258"/>
      <c r="Q173" s="258"/>
      <c r="R173" s="258"/>
      <c r="S173" s="258"/>
      <c r="T173" s="258"/>
      <c r="U173" s="258"/>
      <c r="V173" s="258"/>
      <c r="W173" s="265"/>
      <c r="X173" s="258"/>
      <c r="Y173" s="258"/>
      <c r="Z173" s="258"/>
      <c r="AA173" s="258"/>
      <c r="AB173" s="258"/>
      <c r="AC173" s="258"/>
      <c r="AD173" s="270"/>
      <c r="AE173" s="258"/>
      <c r="AF173" s="258"/>
      <c r="AG173" s="270">
        <f t="shared" si="122"/>
        <v>4669.62583333333</v>
      </c>
      <c r="AH173" s="270"/>
      <c r="AI173" s="282">
        <v>1000</v>
      </c>
      <c r="AJ173" s="280"/>
      <c r="AK173" s="280"/>
      <c r="AL173" s="280"/>
      <c r="AM173" s="281"/>
      <c r="AN173" s="258"/>
      <c r="AO173" s="299">
        <v>3500</v>
      </c>
      <c r="AP173" s="299"/>
      <c r="AQ173" s="299"/>
      <c r="AR173" s="299">
        <f t="shared" si="123"/>
        <v>4719.62583333333</v>
      </c>
      <c r="AS173" s="300"/>
      <c r="AT173" s="300"/>
      <c r="AU173" s="299" t="e">
        <f t="shared" si="139"/>
        <v>#REF!</v>
      </c>
      <c r="AV173" s="299">
        <f t="shared" si="141"/>
        <v>235981.291666667</v>
      </c>
      <c r="AW173" s="299" t="e">
        <f t="shared" ref="AW173" si="142">AU173+AR173+AQ173+AO173+AN173+AM173+AK173+AI173+AH173+AG173+AF173+AE173+AD173</f>
        <v>#REF!</v>
      </c>
      <c r="AX173" s="299"/>
      <c r="AY173" s="299"/>
      <c r="AZ173" s="299" t="e">
        <f t="shared" si="117"/>
        <v>#REF!</v>
      </c>
      <c r="BA173" s="305" t="e">
        <f>SUM(#REF!)</f>
        <v>#REF!</v>
      </c>
      <c r="BB173" s="320" t="e">
        <f>1%*#REF!</f>
        <v>#REF!</v>
      </c>
      <c r="BC173" s="321" t="e">
        <f t="shared" si="109"/>
        <v>#REF!</v>
      </c>
      <c r="BD173" s="322" t="e">
        <f t="shared" si="110"/>
        <v>#REF!</v>
      </c>
      <c r="BE173" s="323"/>
      <c r="BF173" s="324"/>
      <c r="BG173" s="325"/>
      <c r="BH173" s="326"/>
      <c r="BI173" s="326"/>
      <c r="BJ173" s="334"/>
      <c r="BK173" s="335"/>
    </row>
    <row r="174" s="245" customFormat="1" ht="156" customHeight="1" spans="1:63">
      <c r="A174" s="255">
        <v>172</v>
      </c>
      <c r="B174" s="70" t="s">
        <v>517</v>
      </c>
      <c r="C174" s="129" t="s">
        <v>2096</v>
      </c>
      <c r="D174" s="129" t="s">
        <v>134</v>
      </c>
      <c r="E174" s="256" t="s">
        <v>113</v>
      </c>
      <c r="F174" s="1469" t="str">
        <f>'[4]TEACHING STAFF'!$G$173</f>
        <v>0029686697</v>
      </c>
      <c r="G174" s="257">
        <f>'[4]TEACHING STAFF'!$I$174</f>
        <v>2863233</v>
      </c>
      <c r="H174" s="258">
        <f>'[4]TEACHING STAFF'!$J$174</f>
        <v>238602.75</v>
      </c>
      <c r="I174" s="258">
        <f>H174*0.35/3</f>
        <v>27836.9875</v>
      </c>
      <c r="J174" s="258"/>
      <c r="K174" s="258"/>
      <c r="L174" s="258"/>
      <c r="M174" s="258">
        <v>2500</v>
      </c>
      <c r="N174" s="258"/>
      <c r="O174" s="258"/>
      <c r="P174" s="258"/>
      <c r="Q174" s="258"/>
      <c r="R174" s="258"/>
      <c r="S174" s="258"/>
      <c r="T174" s="258"/>
      <c r="U174" s="258"/>
      <c r="V174" s="258"/>
      <c r="W174" s="265"/>
      <c r="X174" s="258"/>
      <c r="Y174" s="258"/>
      <c r="Z174" s="258"/>
      <c r="AA174" s="258"/>
      <c r="AB174" s="258"/>
      <c r="AC174" s="258"/>
      <c r="AD174" s="270"/>
      <c r="AE174" s="258"/>
      <c r="AF174" s="258"/>
      <c r="AG174" s="270">
        <f t="shared" si="122"/>
        <v>4772.055</v>
      </c>
      <c r="AH174" s="270"/>
      <c r="AI174" s="278"/>
      <c r="AJ174" s="279">
        <v>1000</v>
      </c>
      <c r="AK174" s="280"/>
      <c r="AL174" s="280"/>
      <c r="AM174" s="281"/>
      <c r="AN174" s="258"/>
      <c r="AO174" s="299">
        <v>1500</v>
      </c>
      <c r="AP174" s="299"/>
      <c r="AQ174" s="299"/>
      <c r="AR174" s="299">
        <f t="shared" si="123"/>
        <v>5378.79475</v>
      </c>
      <c r="AS174" s="300"/>
      <c r="AT174" s="300"/>
      <c r="AU174" s="299" t="e">
        <f t="shared" si="139"/>
        <v>#REF!</v>
      </c>
      <c r="AV174" s="299">
        <f t="shared" si="141"/>
        <v>268939.7375</v>
      </c>
      <c r="AW174" s="299" t="e">
        <f>AU174+AR174+AQ174+AO174+AN174+AM174+AK174+AI174+AH174+AG174+AF174+AE174+AD174+AJ174</f>
        <v>#REF!</v>
      </c>
      <c r="AX174" s="299"/>
      <c r="AY174" s="299"/>
      <c r="AZ174" s="299" t="e">
        <f t="shared" si="117"/>
        <v>#REF!</v>
      </c>
      <c r="BA174" s="305" t="e">
        <f>SUM(#REF!)</f>
        <v>#REF!</v>
      </c>
      <c r="BB174" s="320" t="e">
        <f>1%*#REF!</f>
        <v>#REF!</v>
      </c>
      <c r="BC174" s="321" t="e">
        <f t="shared" si="109"/>
        <v>#REF!</v>
      </c>
      <c r="BD174" s="322" t="e">
        <f t="shared" si="110"/>
        <v>#REF!</v>
      </c>
      <c r="BE174" s="323"/>
      <c r="BF174" s="324"/>
      <c r="BG174" s="325"/>
      <c r="BH174" s="326"/>
      <c r="BI174" s="326"/>
      <c r="BJ174" s="334"/>
      <c r="BK174" s="335"/>
    </row>
    <row r="175" s="245" customFormat="1" ht="156" customHeight="1" spans="1:63">
      <c r="A175" s="255">
        <v>173</v>
      </c>
      <c r="B175" s="70" t="s">
        <v>521</v>
      </c>
      <c r="C175" s="129" t="s">
        <v>155</v>
      </c>
      <c r="D175" s="129" t="s">
        <v>525</v>
      </c>
      <c r="E175" s="256" t="s">
        <v>113</v>
      </c>
      <c r="F175" s="256">
        <f>'[4]TEACHING STAFF'!$G$174</f>
        <v>2010376654</v>
      </c>
      <c r="G175" s="257">
        <v>2890081</v>
      </c>
      <c r="H175" s="258">
        <v>174173.42</v>
      </c>
      <c r="I175" s="258">
        <f>H175*0.35/3</f>
        <v>20320.2323333333</v>
      </c>
      <c r="J175" s="258">
        <f>5000</f>
        <v>5000</v>
      </c>
      <c r="K175" s="258"/>
      <c r="L175" s="258"/>
      <c r="M175" s="258">
        <v>2500</v>
      </c>
      <c r="N175" s="258"/>
      <c r="O175" s="258"/>
      <c r="P175" s="258"/>
      <c r="Q175" s="258"/>
      <c r="R175" s="258"/>
      <c r="S175" s="258"/>
      <c r="T175" s="258"/>
      <c r="U175" s="258">
        <f>383.33</f>
        <v>383.33</v>
      </c>
      <c r="V175" s="258"/>
      <c r="W175" s="265"/>
      <c r="X175" s="258"/>
      <c r="Y175" s="258"/>
      <c r="Z175" s="258"/>
      <c r="AA175" s="258"/>
      <c r="AB175" s="258"/>
      <c r="AC175" s="258"/>
      <c r="AD175" s="270"/>
      <c r="AE175" s="258"/>
      <c r="AF175" s="258">
        <v>1000</v>
      </c>
      <c r="AG175" s="270">
        <f t="shared" si="122"/>
        <v>3483.4684</v>
      </c>
      <c r="AH175" s="270"/>
      <c r="AI175" s="282">
        <v>1000</v>
      </c>
      <c r="AJ175" s="280"/>
      <c r="AK175" s="280"/>
      <c r="AL175" s="280"/>
      <c r="AM175" s="281"/>
      <c r="AN175" s="258"/>
      <c r="AO175" s="299">
        <v>1500</v>
      </c>
      <c r="AP175" s="299"/>
      <c r="AQ175" s="299"/>
      <c r="AR175" s="299">
        <f t="shared" si="123"/>
        <v>4047.53964666667</v>
      </c>
      <c r="AS175" s="300"/>
      <c r="AT175" s="300"/>
      <c r="AU175" s="299" t="e">
        <f t="shared" si="139"/>
        <v>#REF!</v>
      </c>
      <c r="AV175" s="299">
        <f t="shared" si="141"/>
        <v>202376.982333333</v>
      </c>
      <c r="AW175" s="299" t="e">
        <f t="shared" si="116"/>
        <v>#REF!</v>
      </c>
      <c r="AX175" s="299"/>
      <c r="AY175" s="299"/>
      <c r="AZ175" s="299" t="e">
        <f t="shared" si="117"/>
        <v>#REF!</v>
      </c>
      <c r="BA175" s="305" t="e">
        <f>SUM(#REF!)</f>
        <v>#REF!</v>
      </c>
      <c r="BB175" s="320" t="e">
        <f>1%*#REF!</f>
        <v>#REF!</v>
      </c>
      <c r="BC175" s="321" t="e">
        <f t="shared" si="109"/>
        <v>#REF!</v>
      </c>
      <c r="BD175" s="322" t="e">
        <f t="shared" si="110"/>
        <v>#REF!</v>
      </c>
      <c r="BE175" s="323"/>
      <c r="BF175" s="324"/>
      <c r="BG175" s="325"/>
      <c r="BH175" s="326"/>
      <c r="BI175" s="326"/>
      <c r="BJ175" s="334"/>
      <c r="BK175" s="335"/>
    </row>
    <row r="176" s="245" customFormat="1" ht="166" customHeight="1" spans="1:63">
      <c r="A176" s="255">
        <v>174</v>
      </c>
      <c r="B176" s="70" t="s">
        <v>524</v>
      </c>
      <c r="C176" s="129" t="s">
        <v>204</v>
      </c>
      <c r="D176" s="129" t="s">
        <v>2010</v>
      </c>
      <c r="E176" s="256" t="s">
        <v>259</v>
      </c>
      <c r="F176" s="256">
        <f>'[4]TEACHING STAFF'!$G$178</f>
        <v>2128380019</v>
      </c>
      <c r="G176" s="257">
        <v>2035375</v>
      </c>
      <c r="H176" s="258">
        <v>339195.5</v>
      </c>
      <c r="I176" s="258">
        <f>H176*0.35/3</f>
        <v>39572.8083333333</v>
      </c>
      <c r="J176" s="258">
        <f>5000</f>
        <v>5000</v>
      </c>
      <c r="K176" s="258"/>
      <c r="L176" s="258"/>
      <c r="M176" s="258">
        <v>5000</v>
      </c>
      <c r="N176" s="258"/>
      <c r="O176" s="258"/>
      <c r="P176" s="258"/>
      <c r="Q176" s="258"/>
      <c r="R176" s="258"/>
      <c r="S176" s="258"/>
      <c r="T176" s="258"/>
      <c r="U176" s="258">
        <f>383.33*2</f>
        <v>766.66</v>
      </c>
      <c r="V176" s="258"/>
      <c r="W176" s="265"/>
      <c r="X176" s="258"/>
      <c r="Y176" s="258"/>
      <c r="Z176" s="258"/>
      <c r="AA176" s="258"/>
      <c r="AB176" s="258"/>
      <c r="AC176" s="258"/>
      <c r="AD176" s="270"/>
      <c r="AE176" s="258"/>
      <c r="AF176" s="258">
        <v>6500</v>
      </c>
      <c r="AG176" s="270">
        <f t="shared" si="122"/>
        <v>6783.91</v>
      </c>
      <c r="AH176" s="270"/>
      <c r="AI176" s="282">
        <v>2000</v>
      </c>
      <c r="AJ176" s="280"/>
      <c r="AK176" s="280"/>
      <c r="AL176" s="280"/>
      <c r="AM176" s="281"/>
      <c r="AN176" s="258"/>
      <c r="AO176" s="299">
        <v>3000</v>
      </c>
      <c r="AP176" s="299"/>
      <c r="AQ176" s="299"/>
      <c r="AR176" s="299">
        <f t="shared" si="123"/>
        <v>7790.69936666667</v>
      </c>
      <c r="AS176" s="300"/>
      <c r="AT176" s="300"/>
      <c r="AU176" s="299" t="e">
        <f t="shared" si="139"/>
        <v>#REF!</v>
      </c>
      <c r="AV176" s="299">
        <f t="shared" si="141"/>
        <v>389534.968333333</v>
      </c>
      <c r="AW176" s="299" t="e">
        <f t="shared" si="116"/>
        <v>#REF!</v>
      </c>
      <c r="AX176" s="299"/>
      <c r="AY176" s="299"/>
      <c r="AZ176" s="299" t="e">
        <f t="shared" si="117"/>
        <v>#REF!</v>
      </c>
      <c r="BA176" s="305" t="e">
        <f>SUM(#REF!)</f>
        <v>#REF!</v>
      </c>
      <c r="BB176" s="320" t="e">
        <f>1%*#REF!</f>
        <v>#REF!</v>
      </c>
      <c r="BC176" s="321" t="e">
        <f t="shared" si="109"/>
        <v>#REF!</v>
      </c>
      <c r="BD176" s="322" t="e">
        <f t="shared" si="110"/>
        <v>#REF!</v>
      </c>
      <c r="BE176" s="323"/>
      <c r="BF176" s="324"/>
      <c r="BG176" s="325"/>
      <c r="BH176" s="326"/>
      <c r="BI176" s="326"/>
      <c r="BJ176" s="334"/>
      <c r="BK176" s="335"/>
    </row>
    <row r="177" s="249" customFormat="1" ht="174" customHeight="1" spans="1:63">
      <c r="A177" s="255">
        <v>175</v>
      </c>
      <c r="B177" s="365" t="s">
        <v>2097</v>
      </c>
      <c r="C177" s="366" t="s">
        <v>2098</v>
      </c>
      <c r="D177" s="366" t="s">
        <v>291</v>
      </c>
      <c r="E177" s="367" t="str">
        <f>'[4]TEACHING STAFF'!$F$179</f>
        <v>FIDELITY</v>
      </c>
      <c r="F177" s="367">
        <f>'[4]TEACHING STAFF'!$G$179</f>
        <v>6976347296</v>
      </c>
      <c r="G177" s="368">
        <f>H177*12</f>
        <v>3428046.96</v>
      </c>
      <c r="H177" s="369">
        <f>'[15]TEACHING STAFF'!$L$179</f>
        <v>285670.58</v>
      </c>
      <c r="I177" s="369">
        <f>H177*0.35/3</f>
        <v>33328.2343333333</v>
      </c>
      <c r="J177" s="369">
        <f>5000</f>
        <v>5000</v>
      </c>
      <c r="K177" s="369">
        <v>20833.33</v>
      </c>
      <c r="L177" s="369"/>
      <c r="M177" s="369">
        <f>2500</f>
        <v>2500</v>
      </c>
      <c r="N177" s="369"/>
      <c r="O177" s="369"/>
      <c r="P177" s="369"/>
      <c r="Q177" s="369"/>
      <c r="R177" s="369"/>
      <c r="S177" s="369"/>
      <c r="T177" s="369"/>
      <c r="U177" s="369">
        <f>383.33</f>
        <v>383.33</v>
      </c>
      <c r="V177" s="369"/>
      <c r="W177" s="373"/>
      <c r="X177" s="369"/>
      <c r="Y177" s="369"/>
      <c r="Z177" s="369"/>
      <c r="AA177" s="369"/>
      <c r="AB177" s="369"/>
      <c r="AC177" s="369"/>
      <c r="AD177" s="376"/>
      <c r="AE177" s="369"/>
      <c r="AF177" s="369"/>
      <c r="AG177" s="376">
        <f t="shared" si="122"/>
        <v>5713.4116</v>
      </c>
      <c r="AH177" s="376"/>
      <c r="AI177" s="387"/>
      <c r="AJ177" s="388"/>
      <c r="AK177" s="388"/>
      <c r="AL177" s="388"/>
      <c r="AM177" s="389"/>
      <c r="AN177" s="369"/>
      <c r="AO177" s="395">
        <v>2000</v>
      </c>
      <c r="AP177" s="395"/>
      <c r="AQ177" s="395"/>
      <c r="AR177" s="395">
        <f t="shared" si="123"/>
        <v>6946.64288666667</v>
      </c>
      <c r="AS177" s="396"/>
      <c r="AT177" s="396"/>
      <c r="AU177" s="395" t="e">
        <f t="shared" si="139"/>
        <v>#REF!</v>
      </c>
      <c r="AV177" s="395">
        <f>M177+K177+J177+I177+H177</f>
        <v>347332.144333333</v>
      </c>
      <c r="AW177" s="395" t="e">
        <f t="shared" si="116"/>
        <v>#REF!</v>
      </c>
      <c r="AX177" s="395"/>
      <c r="AY177" s="395"/>
      <c r="AZ177" s="395" t="e">
        <f t="shared" si="117"/>
        <v>#REF!</v>
      </c>
      <c r="BA177" s="405" t="e">
        <f>SUM(#REF!)</f>
        <v>#REF!</v>
      </c>
      <c r="BB177" s="420" t="e">
        <f>1%*#REF!</f>
        <v>#REF!</v>
      </c>
      <c r="BC177" s="421" t="e">
        <f t="shared" si="109"/>
        <v>#REF!</v>
      </c>
      <c r="BD177" s="422" t="e">
        <f t="shared" si="110"/>
        <v>#REF!</v>
      </c>
      <c r="BE177" s="423"/>
      <c r="BF177" s="424"/>
      <c r="BG177" s="425"/>
      <c r="BH177" s="426"/>
      <c r="BI177" s="426"/>
      <c r="BJ177" s="427"/>
      <c r="BK177" s="428"/>
    </row>
    <row r="178" s="249" customFormat="1" ht="156" customHeight="1" spans="1:63">
      <c r="A178" s="255">
        <v>176</v>
      </c>
      <c r="B178" s="365" t="s">
        <v>2099</v>
      </c>
      <c r="C178" s="366" t="s">
        <v>2047</v>
      </c>
      <c r="D178" s="366" t="s">
        <v>186</v>
      </c>
      <c r="E178" s="367" t="str">
        <f>'[4]TEACHING STAFF'!$F$180</f>
        <v>GTB</v>
      </c>
      <c r="F178" s="1474" t="str">
        <f>'[4]TEACHING STAFF'!$G$180</f>
        <v>0246799705</v>
      </c>
      <c r="G178" s="368">
        <f>H178*12</f>
        <v>4327635.96</v>
      </c>
      <c r="H178" s="369">
        <f>H179</f>
        <v>360636.33</v>
      </c>
      <c r="I178" s="369">
        <f t="shared" ref="I178:I179" si="143">H178*0.35/3</f>
        <v>42074.2385</v>
      </c>
      <c r="J178" s="369">
        <f>'[16]TEACHING STAFF'!$M$161/2</f>
        <v>5000</v>
      </c>
      <c r="K178" s="369">
        <f>K23</f>
        <v>20833.33</v>
      </c>
      <c r="L178" s="369"/>
      <c r="M178" s="369">
        <f>2500</f>
        <v>2500</v>
      </c>
      <c r="N178" s="369"/>
      <c r="O178" s="369"/>
      <c r="P178" s="369"/>
      <c r="Q178" s="369"/>
      <c r="R178" s="369"/>
      <c r="S178" s="369"/>
      <c r="T178" s="369"/>
      <c r="U178" s="369">
        <f t="shared" ref="U178:U179" si="144">383.33</f>
        <v>383.33</v>
      </c>
      <c r="V178" s="369"/>
      <c r="W178" s="373"/>
      <c r="X178" s="369"/>
      <c r="Y178" s="369"/>
      <c r="Z178" s="369"/>
      <c r="AA178" s="369"/>
      <c r="AB178" s="369"/>
      <c r="AC178" s="369"/>
      <c r="AD178" s="376"/>
      <c r="AE178" s="369"/>
      <c r="AF178" s="369"/>
      <c r="AG178" s="376">
        <f t="shared" si="122"/>
        <v>7212.7266</v>
      </c>
      <c r="AH178" s="376"/>
      <c r="AI178" s="387"/>
      <c r="AJ178" s="390">
        <v>1000</v>
      </c>
      <c r="AK178" s="388"/>
      <c r="AL178" s="388"/>
      <c r="AM178" s="389"/>
      <c r="AN178" s="369"/>
      <c r="AO178" s="395">
        <v>2500</v>
      </c>
      <c r="AP178" s="395"/>
      <c r="AQ178" s="395"/>
      <c r="AR178" s="395">
        <f t="shared" si="123"/>
        <v>8628.54457</v>
      </c>
      <c r="AS178" s="396"/>
      <c r="AT178" s="396"/>
      <c r="AU178" s="395" t="e">
        <f t="shared" si="139"/>
        <v>#REF!</v>
      </c>
      <c r="AV178" s="395">
        <f t="shared" ref="AV178" si="145">V178+U178+N178+M178+K178+J178+I178+H178</f>
        <v>431427.2285</v>
      </c>
      <c r="AW178" s="395" t="e">
        <f>AU178+AR178+AQ178+AO178+AN178+AM178+AK178+AI178+AH178+AG178+AF178+AE178+AD178+AJ178</f>
        <v>#REF!</v>
      </c>
      <c r="AX178" s="395"/>
      <c r="AY178" s="395"/>
      <c r="AZ178" s="395" t="e">
        <f t="shared" si="117"/>
        <v>#REF!</v>
      </c>
      <c r="BA178" s="405" t="e">
        <f>SUM(#REF!)</f>
        <v>#REF!</v>
      </c>
      <c r="BB178" s="420" t="e">
        <f>1%*#REF!</f>
        <v>#REF!</v>
      </c>
      <c r="BC178" s="421" t="e">
        <f t="shared" si="109"/>
        <v>#REF!</v>
      </c>
      <c r="BD178" s="422" t="e">
        <f t="shared" si="110"/>
        <v>#REF!</v>
      </c>
      <c r="BE178" s="423"/>
      <c r="BF178" s="424"/>
      <c r="BG178" s="425"/>
      <c r="BH178" s="426"/>
      <c r="BI178" s="426"/>
      <c r="BJ178" s="427"/>
      <c r="BK178" s="428"/>
    </row>
    <row r="179" s="249" customFormat="1" ht="161" customHeight="1" spans="1:63">
      <c r="A179" s="255">
        <v>177</v>
      </c>
      <c r="B179" s="365" t="s">
        <v>2100</v>
      </c>
      <c r="C179" s="366" t="s">
        <v>2047</v>
      </c>
      <c r="D179" s="366" t="s">
        <v>186</v>
      </c>
      <c r="E179" s="367" t="s">
        <v>97</v>
      </c>
      <c r="F179" s="1474" t="s">
        <v>2101</v>
      </c>
      <c r="G179" s="368">
        <f>H179*12</f>
        <v>4327635.96</v>
      </c>
      <c r="H179" s="369">
        <v>360636.33</v>
      </c>
      <c r="I179" s="369">
        <f t="shared" si="143"/>
        <v>42074.2385</v>
      </c>
      <c r="J179" s="369">
        <f>'[16]TEACHING STAFF'!$M$161/2</f>
        <v>5000</v>
      </c>
      <c r="K179" s="369">
        <f>K178</f>
        <v>20833.33</v>
      </c>
      <c r="L179" s="369"/>
      <c r="M179" s="369">
        <f>2500</f>
        <v>2500</v>
      </c>
      <c r="N179" s="369"/>
      <c r="O179" s="369"/>
      <c r="P179" s="369"/>
      <c r="Q179" s="369"/>
      <c r="R179" s="369"/>
      <c r="S179" s="369"/>
      <c r="T179" s="369"/>
      <c r="U179" s="369">
        <f t="shared" si="144"/>
        <v>383.33</v>
      </c>
      <c r="V179" s="369"/>
      <c r="W179" s="373"/>
      <c r="X179" s="369"/>
      <c r="Y179" s="369"/>
      <c r="Z179" s="369"/>
      <c r="AA179" s="369"/>
      <c r="AB179" s="369"/>
      <c r="AC179" s="369"/>
      <c r="AD179" s="376"/>
      <c r="AE179" s="369"/>
      <c r="AF179" s="369"/>
      <c r="AG179" s="376">
        <f t="shared" si="122"/>
        <v>7212.7266</v>
      </c>
      <c r="AH179" s="376"/>
      <c r="AI179" s="387"/>
      <c r="AJ179" s="390">
        <v>1000</v>
      </c>
      <c r="AK179" s="388"/>
      <c r="AL179" s="388"/>
      <c r="AM179" s="389"/>
      <c r="AN179" s="369"/>
      <c r="AO179" s="395">
        <v>2500</v>
      </c>
      <c r="AP179" s="395"/>
      <c r="AQ179" s="395"/>
      <c r="AR179" s="395">
        <f t="shared" si="123"/>
        <v>8628.54457</v>
      </c>
      <c r="AS179" s="396"/>
      <c r="AT179" s="396"/>
      <c r="AU179" s="395" t="e">
        <f t="shared" si="139"/>
        <v>#REF!</v>
      </c>
      <c r="AV179" s="395">
        <f t="shared" ref="AV179" si="146">W179+V179+U179+N179+M179+K179+J179+I179+H179</f>
        <v>431427.2285</v>
      </c>
      <c r="AW179" s="395" t="e">
        <f>AU179+AR179+AQ179+AO179+AN179+AM179+AK179+AI179+AH179+AG179+AF179+AE179+AD179+AJ179</f>
        <v>#REF!</v>
      </c>
      <c r="AX179" s="395"/>
      <c r="AY179" s="395"/>
      <c r="AZ179" s="395" t="e">
        <f t="shared" si="117"/>
        <v>#REF!</v>
      </c>
      <c r="BA179" s="405" t="e">
        <f>SUM(#REF!)</f>
        <v>#REF!</v>
      </c>
      <c r="BB179" s="420" t="e">
        <f>1%*#REF!</f>
        <v>#REF!</v>
      </c>
      <c r="BC179" s="421" t="e">
        <f t="shared" si="109"/>
        <v>#REF!</v>
      </c>
      <c r="BD179" s="422" t="e">
        <f t="shared" si="110"/>
        <v>#REF!</v>
      </c>
      <c r="BE179" s="423"/>
      <c r="BF179" s="424"/>
      <c r="BG179" s="425"/>
      <c r="BH179" s="426"/>
      <c r="BI179" s="426"/>
      <c r="BJ179" s="427"/>
      <c r="BK179" s="428"/>
    </row>
    <row r="180" ht="15.75"/>
  </sheetData>
  <conditionalFormatting sqref="BA3:BB179 BF3:BI179">
    <cfRule type="cellIs" dxfId="0" priority="1" stopIfTrue="1" operator="lessThan">
      <formula>0</formula>
    </cfRule>
    <cfRule type="cellIs" dxfId="1" priority="2" stopIfTrue="1" operator="lessThan">
      <formula>0</formula>
    </cfRule>
  </conditionalFormatting>
  <pageMargins left="0.7" right="0.7" top="0.75" bottom="0.75" header="0.3" footer="0.3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88"/>
  <sheetViews>
    <sheetView view="pageBreakPreview" zoomScale="60" zoomScaleNormal="100" topLeftCell="AX1" workbookViewId="0">
      <selection activeCell="BA1" sqref="BA$1:BU$1048576"/>
    </sheetView>
  </sheetViews>
  <sheetFormatPr defaultColWidth="11.5047619047619" defaultRowHeight="15"/>
  <cols>
    <col min="2" max="2" width="40.8285714285714" customWidth="1"/>
    <col min="3" max="3" width="32.8285714285714" customWidth="1"/>
    <col min="4" max="4" width="22.8285714285714" customWidth="1"/>
    <col min="5" max="5" width="21.1619047619048" customWidth="1"/>
    <col min="6" max="6" width="29.6666666666667" customWidth="1"/>
    <col min="8" max="8" width="6.33333333333333" customWidth="1"/>
    <col min="9" max="9" width="7.16190476190476" customWidth="1"/>
    <col min="10" max="10" width="6.66666666666667" customWidth="1"/>
    <col min="11" max="12" width="6.33333333333333" customWidth="1"/>
    <col min="13" max="13" width="7.5047619047619" customWidth="1"/>
    <col min="14" max="14" width="5.82857142857143" customWidth="1"/>
    <col min="15" max="15" width="7.16190476190476" customWidth="1"/>
    <col min="16" max="16" width="6.33333333333333" customWidth="1"/>
    <col min="17" max="17" width="6.16190476190476" customWidth="1"/>
    <col min="18" max="18" width="8.5047619047619" customWidth="1"/>
    <col min="19" max="19" width="5.5047619047619" customWidth="1"/>
    <col min="20" max="20" width="7.16190476190476" customWidth="1"/>
    <col min="23" max="23" width="9.33333333333333" customWidth="1"/>
    <col min="24" max="24" width="0.333333333333333" customWidth="1"/>
    <col min="25" max="25" width="7.16190476190476" customWidth="1"/>
    <col min="26" max="26" width="6.33333333333333" customWidth="1"/>
    <col min="27" max="27" width="7.16190476190476" customWidth="1"/>
    <col min="28" max="28" width="3.82857142857143" customWidth="1"/>
    <col min="29" max="29" width="9.5047619047619" hidden="1" customWidth="1"/>
    <col min="30" max="30" width="7" customWidth="1"/>
    <col min="33" max="33" width="7" customWidth="1"/>
    <col min="41" max="42" width="11" customWidth="1"/>
    <col min="44" max="44" width="11" customWidth="1"/>
    <col min="47" max="49" width="11" customWidth="1"/>
    <col min="52" max="52" width="11" customWidth="1"/>
    <col min="53" max="53" width="29" customWidth="1"/>
    <col min="54" max="54" width="25.5047619047619" customWidth="1"/>
    <col min="55" max="55" width="11" customWidth="1"/>
    <col min="56" max="56" width="14.8285714285714" customWidth="1"/>
    <col min="57" max="57" width="21.8285714285714" customWidth="1"/>
    <col min="59" max="61" width="13.1619047619048" customWidth="1"/>
    <col min="65" max="65" width="25" customWidth="1"/>
    <col min="66" max="66" width="17.1619047619048" customWidth="1"/>
    <col min="67" max="67" width="21.3333333333333" customWidth="1"/>
    <col min="68" max="68" width="25.8285714285714" customWidth="1"/>
  </cols>
  <sheetData>
    <row r="1" s="244" customFormat="1" ht="234" customHeight="1" spans="1:73">
      <c r="A1" s="250" t="s">
        <v>2</v>
      </c>
      <c r="B1" s="251" t="s">
        <v>3</v>
      </c>
      <c r="C1" s="252" t="s">
        <v>5</v>
      </c>
      <c r="D1" s="252" t="s">
        <v>6</v>
      </c>
      <c r="E1" s="253" t="s">
        <v>7</v>
      </c>
      <c r="F1" s="253" t="s">
        <v>8</v>
      </c>
      <c r="G1" s="254" t="s">
        <v>9</v>
      </c>
      <c r="H1" s="254" t="s">
        <v>14</v>
      </c>
      <c r="I1" s="268" t="s">
        <v>15</v>
      </c>
      <c r="J1" s="268" t="s">
        <v>16</v>
      </c>
      <c r="K1" s="268" t="s">
        <v>17</v>
      </c>
      <c r="L1" s="268" t="s">
        <v>18</v>
      </c>
      <c r="M1" s="268" t="s">
        <v>19</v>
      </c>
      <c r="N1" s="268" t="s">
        <v>20</v>
      </c>
      <c r="O1" s="268" t="s">
        <v>1992</v>
      </c>
      <c r="P1" s="268" t="s">
        <v>1993</v>
      </c>
      <c r="Q1" s="268" t="s">
        <v>22</v>
      </c>
      <c r="R1" s="268" t="s">
        <v>23</v>
      </c>
      <c r="S1" s="268" t="s">
        <v>24</v>
      </c>
      <c r="T1" s="268" t="s">
        <v>1994</v>
      </c>
      <c r="U1" s="268" t="s">
        <v>26</v>
      </c>
      <c r="V1" s="268" t="s">
        <v>27</v>
      </c>
      <c r="W1" s="269" t="s">
        <v>28</v>
      </c>
      <c r="X1" s="268" t="s">
        <v>29</v>
      </c>
      <c r="Y1" s="268" t="s">
        <v>30</v>
      </c>
      <c r="Z1" s="268" t="s">
        <v>31</v>
      </c>
      <c r="AA1" s="268" t="s">
        <v>32</v>
      </c>
      <c r="AB1" s="268" t="s">
        <v>33</v>
      </c>
      <c r="AC1" s="268"/>
      <c r="AD1" s="254" t="s">
        <v>34</v>
      </c>
      <c r="AE1" s="254" t="s">
        <v>35</v>
      </c>
      <c r="AF1" s="254" t="s">
        <v>1995</v>
      </c>
      <c r="AG1" s="272" t="s">
        <v>38</v>
      </c>
      <c r="AH1" s="273" t="s">
        <v>41</v>
      </c>
      <c r="AI1" s="274" t="s">
        <v>1996</v>
      </c>
      <c r="AJ1" s="275" t="s">
        <v>44</v>
      </c>
      <c r="AK1" s="276" t="s">
        <v>46</v>
      </c>
      <c r="AL1" s="276" t="s">
        <v>1997</v>
      </c>
      <c r="AM1" s="276" t="s">
        <v>52</v>
      </c>
      <c r="AN1" s="277" t="s">
        <v>55</v>
      </c>
      <c r="AO1" s="254" t="s">
        <v>56</v>
      </c>
      <c r="AP1" s="254" t="s">
        <v>57</v>
      </c>
      <c r="AQ1" s="277" t="s">
        <v>58</v>
      </c>
      <c r="AR1" s="254" t="s">
        <v>59</v>
      </c>
      <c r="AS1" s="254" t="s">
        <v>60</v>
      </c>
      <c r="AT1" s="254" t="s">
        <v>61</v>
      </c>
      <c r="AU1" s="254" t="s">
        <v>62</v>
      </c>
      <c r="AV1" s="277" t="s">
        <v>63</v>
      </c>
      <c r="AW1" s="254" t="s">
        <v>64</v>
      </c>
      <c r="AX1" s="254" t="s">
        <v>65</v>
      </c>
      <c r="AY1" s="254" t="s">
        <v>66</v>
      </c>
      <c r="AZ1" s="254" t="s">
        <v>67</v>
      </c>
      <c r="BA1" s="303" t="s">
        <v>68</v>
      </c>
      <c r="BB1" s="303" t="s">
        <v>69</v>
      </c>
      <c r="BC1" s="303" t="s">
        <v>60</v>
      </c>
      <c r="BD1" s="303" t="s">
        <v>70</v>
      </c>
      <c r="BE1" s="303" t="s">
        <v>71</v>
      </c>
      <c r="BF1" s="303" t="s">
        <v>72</v>
      </c>
      <c r="BG1" s="303" t="s">
        <v>73</v>
      </c>
      <c r="BH1" s="303" t="s">
        <v>74</v>
      </c>
      <c r="BI1" s="303" t="s">
        <v>75</v>
      </c>
      <c r="BJ1" s="303" t="s">
        <v>76</v>
      </c>
      <c r="BK1" s="303" t="s">
        <v>77</v>
      </c>
      <c r="BL1" s="303" t="s">
        <v>78</v>
      </c>
      <c r="BM1" s="303" t="s">
        <v>79</v>
      </c>
      <c r="BN1" s="315" t="s">
        <v>80</v>
      </c>
      <c r="BO1" s="316" t="s">
        <v>81</v>
      </c>
      <c r="BP1" s="316" t="s">
        <v>82</v>
      </c>
      <c r="BQ1" s="317" t="s">
        <v>83</v>
      </c>
      <c r="BR1" s="318" t="s">
        <v>84</v>
      </c>
      <c r="BS1" s="319" t="s">
        <v>85</v>
      </c>
      <c r="BT1" s="319" t="s">
        <v>86</v>
      </c>
      <c r="BU1" s="319" t="s">
        <v>87</v>
      </c>
    </row>
    <row r="2" s="245" customFormat="1" ht="282" customHeight="1" spans="1:76">
      <c r="A2" s="255">
        <v>1</v>
      </c>
      <c r="B2" s="70" t="s">
        <v>89</v>
      </c>
      <c r="C2" s="129" t="s">
        <v>2102</v>
      </c>
      <c r="D2" s="129" t="s">
        <v>92</v>
      </c>
      <c r="E2" s="256" t="s">
        <v>675</v>
      </c>
      <c r="F2" s="256">
        <v>2017212564</v>
      </c>
      <c r="G2" s="257">
        <f t="shared" ref="G2:G9" si="0">H2*12</f>
        <v>9356702.4</v>
      </c>
      <c r="H2" s="258">
        <f>'TEACHING STAFF'!M4</f>
        <v>779725.2</v>
      </c>
      <c r="I2" s="258">
        <f>H2*0.35/3</f>
        <v>90967.94</v>
      </c>
      <c r="J2" s="258">
        <v>8333.33</v>
      </c>
      <c r="K2" s="258"/>
      <c r="L2" s="258"/>
      <c r="M2" s="258">
        <v>2500</v>
      </c>
      <c r="N2" s="258"/>
      <c r="O2" s="258"/>
      <c r="P2" s="258"/>
      <c r="Q2" s="258"/>
      <c r="R2" s="258"/>
      <c r="S2" s="258"/>
      <c r="T2" s="258"/>
      <c r="U2" s="258">
        <v>383.33</v>
      </c>
      <c r="V2" s="258">
        <v>250000</v>
      </c>
      <c r="W2" s="265"/>
      <c r="X2" s="258"/>
      <c r="Y2" s="258"/>
      <c r="Z2" s="258"/>
      <c r="AA2" s="258"/>
      <c r="AB2" s="258"/>
      <c r="AC2" s="258"/>
      <c r="AD2" s="270"/>
      <c r="AE2" s="258"/>
      <c r="AF2" s="258"/>
      <c r="AG2" s="270">
        <f>H2*0.02</f>
        <v>15594.504</v>
      </c>
      <c r="AH2" s="270">
        <f>100000</f>
        <v>100000</v>
      </c>
      <c r="AI2" s="278"/>
      <c r="AJ2" s="279">
        <v>1000</v>
      </c>
      <c r="AK2" s="280"/>
      <c r="AL2" s="280"/>
      <c r="AM2" s="281">
        <v>362500</v>
      </c>
      <c r="AN2" s="258">
        <v>25000</v>
      </c>
      <c r="AO2" s="299">
        <v>3500</v>
      </c>
      <c r="AP2" s="299">
        <v>3500</v>
      </c>
      <c r="AQ2" s="299"/>
      <c r="AR2" s="299">
        <f>AV2*0.02</f>
        <v>22638.196</v>
      </c>
      <c r="AS2" s="300"/>
      <c r="AT2" s="300"/>
      <c r="AU2" s="299">
        <f>BP2</f>
        <v>195993.348266667</v>
      </c>
      <c r="AV2" s="299">
        <f>W2+V2+U2+N2+M2+K2+J2+I2+H2</f>
        <v>1131909.8</v>
      </c>
      <c r="AW2" s="299">
        <f>AU2+AR2+AQ2+AO2+AN2+AM2+AK2+AJ2+AH2+AI2+AG2</f>
        <v>726226.048266667</v>
      </c>
      <c r="AX2" s="304"/>
      <c r="AY2" s="304"/>
      <c r="AZ2" s="299">
        <f>AV2-AW2</f>
        <v>405683.751733333</v>
      </c>
      <c r="BA2" s="305">
        <f>AV2*12</f>
        <v>13582917.6</v>
      </c>
      <c r="BB2" s="306">
        <f t="shared" ref="BB2:BB74" si="1">200000+(0.2*BA2)</f>
        <v>2916583.52</v>
      </c>
      <c r="BC2" s="307">
        <f>AS2*12</f>
        <v>0</v>
      </c>
      <c r="BD2" s="308">
        <f t="shared" ref="BD2:BD74" si="2">SUM(BB2:BC2)</f>
        <v>2916583.52</v>
      </c>
      <c r="BE2" s="313">
        <f t="shared" ref="BE2:BE74" si="3">+BA2-BD2</f>
        <v>10666334.08</v>
      </c>
      <c r="BF2" s="306"/>
      <c r="BG2" s="307">
        <f t="shared" ref="BG2:BG74" si="4">IF((BE2&gt;0),(IF((BE2&gt;300000),(300000*7%),(BE2*7%))),(BA2*1%))</f>
        <v>21000</v>
      </c>
      <c r="BH2" s="307">
        <f t="shared" ref="BH2:BH74" si="5">IF((BE2-300000)&gt;0,(IF((BE2&gt;600000),(300000*11%),((BE2-300000)*11%))),(""))</f>
        <v>33000</v>
      </c>
      <c r="BI2" s="307">
        <f t="shared" ref="BI2:BI74" si="6">IF(((BE2-600000)&gt;0),(IF((BE2&gt;1100000),(500000*15%),((BE2-600000)*15%))),(""))</f>
        <v>75000</v>
      </c>
      <c r="BJ2" s="307">
        <f t="shared" ref="BJ2:BJ74" si="7">IF(((BE2-(1100000))&gt;0),(IF((BE2&gt;(1600000)),((500000)*19%),((BE2-(1100000))*19%))),(""))</f>
        <v>95000</v>
      </c>
      <c r="BK2" s="307">
        <f t="shared" ref="BK2:BK74" si="8">IF(((BE2-(1600000))&gt;0),(IF((BE2&gt;(3200000)),((1600000)*21%),((BE2-(1600000))*21%))),(""))</f>
        <v>336000</v>
      </c>
      <c r="BL2" s="307">
        <f t="shared" ref="BL2:BL74" si="9">IF(((BE2-(3200000))&gt;0),(IF((BE2&gt;(3200000)),((BE2-(3200000))*24%),(0))),(""))</f>
        <v>1791920.1792</v>
      </c>
      <c r="BM2" s="305">
        <f t="shared" ref="BM2:BM74" si="10">SUM(BG2:BL2)</f>
        <v>2351920.1792</v>
      </c>
      <c r="BN2" s="320">
        <f t="shared" ref="BN2:BN74" si="11">1%*BA2</f>
        <v>135829.176</v>
      </c>
      <c r="BO2" s="321">
        <f t="shared" ref="BO2:BO74" si="12">MAX(BM2:BN2)</f>
        <v>2351920.1792</v>
      </c>
      <c r="BP2" s="322">
        <f t="shared" ref="BP2:BP74" si="13">+BO2/12</f>
        <v>195993.348266667</v>
      </c>
      <c r="BQ2" s="323"/>
      <c r="BR2" s="324"/>
      <c r="BS2" s="325"/>
      <c r="BT2" s="326"/>
      <c r="BU2" s="326"/>
      <c r="BV2" s="334"/>
      <c r="BW2" s="335"/>
      <c r="BX2" s="335"/>
    </row>
    <row r="3" s="245" customFormat="1" ht="167" customHeight="1" spans="1:76">
      <c r="A3" s="255"/>
      <c r="B3" s="259" t="s">
        <v>2103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0"/>
      <c r="BU3" s="336"/>
      <c r="BV3" s="334"/>
      <c r="BW3" s="335"/>
      <c r="BX3" s="335"/>
    </row>
    <row r="4" s="244" customFormat="1" ht="234" customHeight="1" spans="1:73">
      <c r="A4" s="250" t="s">
        <v>2</v>
      </c>
      <c r="B4" s="251" t="s">
        <v>3</v>
      </c>
      <c r="C4" s="252" t="s">
        <v>5</v>
      </c>
      <c r="D4" s="252" t="s">
        <v>6</v>
      </c>
      <c r="E4" s="253" t="s">
        <v>7</v>
      </c>
      <c r="F4" s="253" t="s">
        <v>8</v>
      </c>
      <c r="G4" s="254" t="s">
        <v>9</v>
      </c>
      <c r="H4" s="254" t="s">
        <v>14</v>
      </c>
      <c r="I4" s="268" t="s">
        <v>15</v>
      </c>
      <c r="J4" s="268" t="s">
        <v>16</v>
      </c>
      <c r="K4" s="268" t="s">
        <v>17</v>
      </c>
      <c r="L4" s="268" t="s">
        <v>18</v>
      </c>
      <c r="M4" s="268" t="s">
        <v>19</v>
      </c>
      <c r="N4" s="268" t="s">
        <v>20</v>
      </c>
      <c r="O4" s="268" t="s">
        <v>1992</v>
      </c>
      <c r="P4" s="268" t="s">
        <v>1993</v>
      </c>
      <c r="Q4" s="268" t="s">
        <v>22</v>
      </c>
      <c r="R4" s="268" t="s">
        <v>23</v>
      </c>
      <c r="S4" s="268" t="s">
        <v>24</v>
      </c>
      <c r="T4" s="268" t="s">
        <v>1994</v>
      </c>
      <c r="U4" s="268" t="s">
        <v>26</v>
      </c>
      <c r="V4" s="268" t="s">
        <v>27</v>
      </c>
      <c r="W4" s="269" t="s">
        <v>28</v>
      </c>
      <c r="X4" s="268" t="s">
        <v>29</v>
      </c>
      <c r="Y4" s="268" t="s">
        <v>30</v>
      </c>
      <c r="Z4" s="268" t="s">
        <v>31</v>
      </c>
      <c r="AA4" s="268" t="s">
        <v>32</v>
      </c>
      <c r="AB4" s="268" t="s">
        <v>33</v>
      </c>
      <c r="AC4" s="268"/>
      <c r="AD4" s="254" t="s">
        <v>34</v>
      </c>
      <c r="AE4" s="254" t="s">
        <v>35</v>
      </c>
      <c r="AF4" s="254" t="s">
        <v>1995</v>
      </c>
      <c r="AG4" s="272" t="s">
        <v>38</v>
      </c>
      <c r="AH4" s="273" t="s">
        <v>41</v>
      </c>
      <c r="AI4" s="274" t="s">
        <v>1996</v>
      </c>
      <c r="AJ4" s="275" t="s">
        <v>44</v>
      </c>
      <c r="AK4" s="276" t="s">
        <v>46</v>
      </c>
      <c r="AL4" s="276" t="s">
        <v>1997</v>
      </c>
      <c r="AM4" s="276" t="s">
        <v>52</v>
      </c>
      <c r="AN4" s="277" t="s">
        <v>55</v>
      </c>
      <c r="AO4" s="254" t="s">
        <v>56</v>
      </c>
      <c r="AP4" s="254" t="s">
        <v>57</v>
      </c>
      <c r="AQ4" s="277" t="s">
        <v>58</v>
      </c>
      <c r="AR4" s="254" t="s">
        <v>59</v>
      </c>
      <c r="AS4" s="254" t="s">
        <v>60</v>
      </c>
      <c r="AT4" s="254" t="s">
        <v>61</v>
      </c>
      <c r="AU4" s="254" t="s">
        <v>62</v>
      </c>
      <c r="AV4" s="277" t="s">
        <v>63</v>
      </c>
      <c r="AW4" s="254" t="s">
        <v>64</v>
      </c>
      <c r="AX4" s="254" t="s">
        <v>65</v>
      </c>
      <c r="AY4" s="254" t="s">
        <v>66</v>
      </c>
      <c r="AZ4" s="254" t="s">
        <v>67</v>
      </c>
      <c r="BA4" s="303" t="s">
        <v>68</v>
      </c>
      <c r="BB4" s="303" t="s">
        <v>69</v>
      </c>
      <c r="BC4" s="303" t="s">
        <v>60</v>
      </c>
      <c r="BD4" s="303" t="s">
        <v>70</v>
      </c>
      <c r="BE4" s="303" t="s">
        <v>71</v>
      </c>
      <c r="BF4" s="303" t="s">
        <v>72</v>
      </c>
      <c r="BG4" s="303" t="s">
        <v>73</v>
      </c>
      <c r="BH4" s="303" t="s">
        <v>74</v>
      </c>
      <c r="BI4" s="303" t="s">
        <v>75</v>
      </c>
      <c r="BJ4" s="303" t="s">
        <v>76</v>
      </c>
      <c r="BK4" s="303" t="s">
        <v>77</v>
      </c>
      <c r="BL4" s="303" t="s">
        <v>78</v>
      </c>
      <c r="BM4" s="303" t="s">
        <v>79</v>
      </c>
      <c r="BN4" s="315" t="s">
        <v>80</v>
      </c>
      <c r="BO4" s="316" t="s">
        <v>81</v>
      </c>
      <c r="BP4" s="316" t="s">
        <v>82</v>
      </c>
      <c r="BQ4" s="317" t="s">
        <v>83</v>
      </c>
      <c r="BR4" s="318" t="s">
        <v>84</v>
      </c>
      <c r="BS4" s="319" t="s">
        <v>85</v>
      </c>
      <c r="BT4" s="319" t="s">
        <v>86</v>
      </c>
      <c r="BU4" s="319" t="s">
        <v>87</v>
      </c>
    </row>
    <row r="5" s="245" customFormat="1" ht="134" customHeight="1" spans="1:76">
      <c r="A5" s="255">
        <v>2</v>
      </c>
      <c r="B5" s="70" t="s">
        <v>94</v>
      </c>
      <c r="C5" s="129" t="s">
        <v>1999</v>
      </c>
      <c r="D5" s="129" t="s">
        <v>92</v>
      </c>
      <c r="E5" s="256" t="s">
        <v>97</v>
      </c>
      <c r="F5" s="1469" t="s">
        <v>98</v>
      </c>
      <c r="G5" s="257">
        <f t="shared" si="0"/>
        <v>9356702.4</v>
      </c>
      <c r="H5" s="258">
        <f>'TEACHING STAFF'!M5</f>
        <v>779725.2</v>
      </c>
      <c r="I5" s="258"/>
      <c r="J5" s="258"/>
      <c r="K5" s="258">
        <f>K87</f>
        <v>41667</v>
      </c>
      <c r="L5" s="258"/>
      <c r="M5" s="258">
        <v>2500</v>
      </c>
      <c r="N5" s="258"/>
      <c r="O5" s="258"/>
      <c r="P5" s="258"/>
      <c r="Q5" s="258"/>
      <c r="R5" s="258"/>
      <c r="S5" s="258"/>
      <c r="T5" s="258"/>
      <c r="U5" s="258"/>
      <c r="V5" s="258"/>
      <c r="W5" s="265"/>
      <c r="X5" s="258"/>
      <c r="Y5" s="258"/>
      <c r="Z5" s="258"/>
      <c r="AA5" s="258"/>
      <c r="AB5" s="258"/>
      <c r="AC5" s="258"/>
      <c r="AD5" s="270"/>
      <c r="AE5" s="258"/>
      <c r="AF5" s="258"/>
      <c r="AG5" s="270">
        <f>H5*0.02</f>
        <v>15594.504</v>
      </c>
      <c r="AH5" s="270"/>
      <c r="AI5" s="282">
        <v>1000</v>
      </c>
      <c r="AJ5" s="279"/>
      <c r="AK5" s="279"/>
      <c r="AL5" s="279"/>
      <c r="AM5" s="281"/>
      <c r="AN5" s="258">
        <v>25000</v>
      </c>
      <c r="AO5" s="299">
        <v>3500</v>
      </c>
      <c r="AP5" s="299">
        <v>3500</v>
      </c>
      <c r="AQ5" s="299"/>
      <c r="AR5" s="299">
        <f>AV5*0.02</f>
        <v>16477.844</v>
      </c>
      <c r="AS5" s="300"/>
      <c r="AT5" s="300"/>
      <c r="AU5" s="299">
        <f>BP5</f>
        <v>136853.969066667</v>
      </c>
      <c r="AV5" s="299">
        <f>V5+U5+N5+M5+K5+J5+I5+H5</f>
        <v>823892.2</v>
      </c>
      <c r="AW5" s="299">
        <f>AU5+AR5+AQ5+AO5+AN5+AM5+AK5+AI5+AH5+AG5+AF5+AE5+AD5</f>
        <v>198426.317066667</v>
      </c>
      <c r="AX5" s="304"/>
      <c r="AY5" s="304"/>
      <c r="AZ5" s="299">
        <f>AV5-AW5</f>
        <v>625465.882933333</v>
      </c>
      <c r="BA5" s="305">
        <f>AV5*12</f>
        <v>9886706.4</v>
      </c>
      <c r="BB5" s="306">
        <f t="shared" si="1"/>
        <v>2177341.28</v>
      </c>
      <c r="BC5" s="307">
        <f>AS5*12</f>
        <v>0</v>
      </c>
      <c r="BD5" s="308">
        <f t="shared" si="2"/>
        <v>2177341.28</v>
      </c>
      <c r="BE5" s="313">
        <f t="shared" si="3"/>
        <v>7709365.12</v>
      </c>
      <c r="BF5" s="306"/>
      <c r="BG5" s="307">
        <f t="shared" si="4"/>
        <v>21000</v>
      </c>
      <c r="BH5" s="307">
        <f t="shared" si="5"/>
        <v>33000</v>
      </c>
      <c r="BI5" s="307">
        <f t="shared" si="6"/>
        <v>75000</v>
      </c>
      <c r="BJ5" s="307">
        <f t="shared" si="7"/>
        <v>95000</v>
      </c>
      <c r="BK5" s="307">
        <f t="shared" si="8"/>
        <v>336000</v>
      </c>
      <c r="BL5" s="307">
        <f t="shared" si="9"/>
        <v>1082247.6288</v>
      </c>
      <c r="BM5" s="305">
        <f t="shared" si="10"/>
        <v>1642247.6288</v>
      </c>
      <c r="BN5" s="320">
        <f t="shared" si="11"/>
        <v>98867.064</v>
      </c>
      <c r="BO5" s="321">
        <f t="shared" si="12"/>
        <v>1642247.6288</v>
      </c>
      <c r="BP5" s="322">
        <f t="shared" si="13"/>
        <v>136853.969066667</v>
      </c>
      <c r="BQ5" s="323"/>
      <c r="BR5" s="324"/>
      <c r="BS5" s="325"/>
      <c r="BT5" s="326"/>
      <c r="BU5" s="326"/>
      <c r="BV5" s="334"/>
      <c r="BW5" s="335"/>
      <c r="BX5" s="335"/>
    </row>
    <row r="6" s="244" customFormat="1" ht="234" customHeight="1" spans="1:73">
      <c r="A6" s="250" t="s">
        <v>2</v>
      </c>
      <c r="B6" s="251" t="s">
        <v>3</v>
      </c>
      <c r="C6" s="252" t="s">
        <v>5</v>
      </c>
      <c r="D6" s="252" t="s">
        <v>6</v>
      </c>
      <c r="E6" s="253" t="s">
        <v>7</v>
      </c>
      <c r="F6" s="253" t="s">
        <v>8</v>
      </c>
      <c r="G6" s="254" t="s">
        <v>9</v>
      </c>
      <c r="H6" s="254" t="s">
        <v>14</v>
      </c>
      <c r="I6" s="268" t="s">
        <v>15</v>
      </c>
      <c r="J6" s="268" t="s">
        <v>16</v>
      </c>
      <c r="K6" s="268" t="s">
        <v>17</v>
      </c>
      <c r="L6" s="268" t="s">
        <v>18</v>
      </c>
      <c r="M6" s="268" t="s">
        <v>19</v>
      </c>
      <c r="N6" s="268" t="s">
        <v>20</v>
      </c>
      <c r="O6" s="268" t="s">
        <v>1992</v>
      </c>
      <c r="P6" s="268" t="s">
        <v>1993</v>
      </c>
      <c r="Q6" s="268" t="s">
        <v>22</v>
      </c>
      <c r="R6" s="268" t="s">
        <v>23</v>
      </c>
      <c r="S6" s="268" t="s">
        <v>24</v>
      </c>
      <c r="T6" s="268" t="s">
        <v>1994</v>
      </c>
      <c r="U6" s="268" t="s">
        <v>26</v>
      </c>
      <c r="V6" s="268" t="s">
        <v>27</v>
      </c>
      <c r="W6" s="269" t="s">
        <v>28</v>
      </c>
      <c r="X6" s="268" t="s">
        <v>29</v>
      </c>
      <c r="Y6" s="268" t="s">
        <v>30</v>
      </c>
      <c r="Z6" s="268" t="s">
        <v>31</v>
      </c>
      <c r="AA6" s="268" t="s">
        <v>32</v>
      </c>
      <c r="AB6" s="268" t="s">
        <v>33</v>
      </c>
      <c r="AC6" s="268"/>
      <c r="AD6" s="254" t="s">
        <v>34</v>
      </c>
      <c r="AE6" s="254" t="s">
        <v>35</v>
      </c>
      <c r="AF6" s="254" t="s">
        <v>1995</v>
      </c>
      <c r="AG6" s="272" t="s">
        <v>38</v>
      </c>
      <c r="AH6" s="273" t="s">
        <v>41</v>
      </c>
      <c r="AI6" s="274" t="s">
        <v>1996</v>
      </c>
      <c r="AJ6" s="275" t="s">
        <v>44</v>
      </c>
      <c r="AK6" s="276" t="s">
        <v>46</v>
      </c>
      <c r="AL6" s="276" t="s">
        <v>1997</v>
      </c>
      <c r="AM6" s="276" t="s">
        <v>52</v>
      </c>
      <c r="AN6" s="277" t="s">
        <v>55</v>
      </c>
      <c r="AO6" s="254" t="s">
        <v>56</v>
      </c>
      <c r="AP6" s="254" t="s">
        <v>57</v>
      </c>
      <c r="AQ6" s="277" t="s">
        <v>58</v>
      </c>
      <c r="AR6" s="254" t="s">
        <v>59</v>
      </c>
      <c r="AS6" s="254" t="s">
        <v>60</v>
      </c>
      <c r="AT6" s="254" t="s">
        <v>61</v>
      </c>
      <c r="AU6" s="254" t="s">
        <v>62</v>
      </c>
      <c r="AV6" s="277" t="s">
        <v>63</v>
      </c>
      <c r="AW6" s="254" t="s">
        <v>64</v>
      </c>
      <c r="AX6" s="254" t="s">
        <v>65</v>
      </c>
      <c r="AY6" s="254" t="s">
        <v>66</v>
      </c>
      <c r="AZ6" s="254" t="s">
        <v>67</v>
      </c>
      <c r="BA6" s="303" t="s">
        <v>68</v>
      </c>
      <c r="BB6" s="303" t="s">
        <v>69</v>
      </c>
      <c r="BC6" s="303" t="s">
        <v>60</v>
      </c>
      <c r="BD6" s="303" t="s">
        <v>70</v>
      </c>
      <c r="BE6" s="303" t="s">
        <v>71</v>
      </c>
      <c r="BF6" s="303" t="s">
        <v>72</v>
      </c>
      <c r="BG6" s="303" t="s">
        <v>73</v>
      </c>
      <c r="BH6" s="303" t="s">
        <v>74</v>
      </c>
      <c r="BI6" s="303" t="s">
        <v>75</v>
      </c>
      <c r="BJ6" s="303" t="s">
        <v>76</v>
      </c>
      <c r="BK6" s="303" t="s">
        <v>77</v>
      </c>
      <c r="BL6" s="303" t="s">
        <v>78</v>
      </c>
      <c r="BM6" s="303" t="s">
        <v>79</v>
      </c>
      <c r="BN6" s="315" t="s">
        <v>80</v>
      </c>
      <c r="BO6" s="316" t="s">
        <v>81</v>
      </c>
      <c r="BP6" s="316" t="s">
        <v>82</v>
      </c>
      <c r="BQ6" s="317" t="s">
        <v>83</v>
      </c>
      <c r="BR6" s="318" t="s">
        <v>84</v>
      </c>
      <c r="BS6" s="319" t="s">
        <v>85</v>
      </c>
      <c r="BT6" s="319" t="s">
        <v>86</v>
      </c>
      <c r="BU6" s="319" t="s">
        <v>87</v>
      </c>
    </row>
    <row r="7" s="245" customFormat="1" ht="161.25" customHeight="1" spans="1:75">
      <c r="A7" s="255">
        <v>3</v>
      </c>
      <c r="B7" s="70" t="s">
        <v>2000</v>
      </c>
      <c r="C7" s="129" t="s">
        <v>100</v>
      </c>
      <c r="D7" s="129" t="s">
        <v>92</v>
      </c>
      <c r="E7" s="256" t="s">
        <v>101</v>
      </c>
      <c r="F7" s="1470" t="str">
        <f>'[9]SEPT SALARY, 2021 BANK COPY'!$E$4</f>
        <v>0072045836</v>
      </c>
      <c r="G7" s="257" t="e">
        <f t="shared" si="0"/>
        <v>#REF!</v>
      </c>
      <c r="H7" s="258" t="e">
        <f>'TEACHING STAFF'!#REF!</f>
        <v>#REF!</v>
      </c>
      <c r="I7" s="258"/>
      <c r="J7" s="258"/>
      <c r="K7" s="258"/>
      <c r="L7" s="258"/>
      <c r="M7" s="258">
        <v>2500</v>
      </c>
      <c r="N7" s="258"/>
      <c r="O7" s="258"/>
      <c r="P7" s="258"/>
      <c r="Q7" s="258"/>
      <c r="R7" s="258"/>
      <c r="S7" s="258"/>
      <c r="T7" s="258"/>
      <c r="U7" s="258">
        <v>383.33</v>
      </c>
      <c r="V7" s="258"/>
      <c r="W7" s="265"/>
      <c r="X7" s="258">
        <v>0</v>
      </c>
      <c r="Y7" s="258"/>
      <c r="Z7" s="258"/>
      <c r="AA7" s="258"/>
      <c r="AB7" s="258"/>
      <c r="AC7" s="258"/>
      <c r="AD7" s="270"/>
      <c r="AE7" s="258"/>
      <c r="AF7" s="258"/>
      <c r="AG7" s="270" t="e">
        <f t="shared" ref="AG7:AG89" si="14">H7*0.02</f>
        <v>#REF!</v>
      </c>
      <c r="AH7" s="270"/>
      <c r="AI7" s="282">
        <v>1000</v>
      </c>
      <c r="AJ7" s="279"/>
      <c r="AK7" s="279"/>
      <c r="AL7" s="279"/>
      <c r="AM7" s="281"/>
      <c r="AN7" s="258">
        <v>8333.33</v>
      </c>
      <c r="AO7" s="299">
        <v>3500</v>
      </c>
      <c r="AP7" s="299"/>
      <c r="AQ7" s="299"/>
      <c r="AR7" s="299" t="e">
        <f t="shared" ref="AR7:AR89" si="15">AV7*0.02</f>
        <v>#REF!</v>
      </c>
      <c r="AS7" s="300"/>
      <c r="AT7" s="300"/>
      <c r="AU7" s="299">
        <f>29831.41*2</f>
        <v>59662.82</v>
      </c>
      <c r="AV7" s="299" t="e">
        <f>W7+V7+U7+N7+M7+K7+J7+I7+H7</f>
        <v>#REF!</v>
      </c>
      <c r="AW7" s="299" t="e">
        <f>AU7+AR7+AQ7+AO7+AN7+AM7+AK7+AI7+AH7+AG7+AF7+AE7+AD7</f>
        <v>#REF!</v>
      </c>
      <c r="AX7" s="299"/>
      <c r="AY7" s="299"/>
      <c r="AZ7" s="299" t="e">
        <f>AV7-AW7</f>
        <v>#REF!</v>
      </c>
      <c r="BA7" s="305" t="e">
        <f>AV7*12</f>
        <v>#REF!</v>
      </c>
      <c r="BB7" s="306" t="e">
        <f t="shared" si="1"/>
        <v>#REF!</v>
      </c>
      <c r="BC7" s="307">
        <f>AS7*12</f>
        <v>0</v>
      </c>
      <c r="BD7" s="308" t="e">
        <f t="shared" si="2"/>
        <v>#REF!</v>
      </c>
      <c r="BE7" s="313" t="e">
        <f t="shared" si="3"/>
        <v>#REF!</v>
      </c>
      <c r="BF7" s="306"/>
      <c r="BG7" s="307" t="e">
        <f t="shared" si="4"/>
        <v>#REF!</v>
      </c>
      <c r="BH7" s="307" t="e">
        <f t="shared" si="5"/>
        <v>#REF!</v>
      </c>
      <c r="BI7" s="307" t="e">
        <f t="shared" si="6"/>
        <v>#REF!</v>
      </c>
      <c r="BJ7" s="307" t="e">
        <f t="shared" si="7"/>
        <v>#REF!</v>
      </c>
      <c r="BK7" s="307" t="e">
        <f t="shared" si="8"/>
        <v>#REF!</v>
      </c>
      <c r="BL7" s="307" t="e">
        <f t="shared" si="9"/>
        <v>#REF!</v>
      </c>
      <c r="BM7" s="305" t="e">
        <f t="shared" si="10"/>
        <v>#REF!</v>
      </c>
      <c r="BN7" s="320" t="e">
        <f t="shared" si="11"/>
        <v>#REF!</v>
      </c>
      <c r="BO7" s="321" t="e">
        <f t="shared" si="12"/>
        <v>#REF!</v>
      </c>
      <c r="BP7" s="322">
        <f>AU7</f>
        <v>59662.82</v>
      </c>
      <c r="BQ7" s="323"/>
      <c r="BR7" s="324"/>
      <c r="BS7" s="325"/>
      <c r="BT7" s="326"/>
      <c r="BU7" s="326"/>
      <c r="BV7" s="334"/>
      <c r="BW7" s="335"/>
    </row>
    <row r="8" s="244" customFormat="1" ht="234" customHeight="1" spans="1:73">
      <c r="A8" s="250" t="s">
        <v>2</v>
      </c>
      <c r="B8" s="251" t="s">
        <v>3</v>
      </c>
      <c r="C8" s="252" t="s">
        <v>5</v>
      </c>
      <c r="D8" s="252" t="s">
        <v>6</v>
      </c>
      <c r="E8" s="253" t="s">
        <v>7</v>
      </c>
      <c r="F8" s="253" t="s">
        <v>8</v>
      </c>
      <c r="G8" s="254" t="s">
        <v>9</v>
      </c>
      <c r="H8" s="254" t="s">
        <v>14</v>
      </c>
      <c r="I8" s="268" t="s">
        <v>15</v>
      </c>
      <c r="J8" s="268" t="s">
        <v>16</v>
      </c>
      <c r="K8" s="268" t="s">
        <v>17</v>
      </c>
      <c r="L8" s="268" t="s">
        <v>18</v>
      </c>
      <c r="M8" s="268" t="s">
        <v>19</v>
      </c>
      <c r="N8" s="268" t="s">
        <v>20</v>
      </c>
      <c r="O8" s="268" t="s">
        <v>1992</v>
      </c>
      <c r="P8" s="268" t="s">
        <v>1993</v>
      </c>
      <c r="Q8" s="268" t="s">
        <v>22</v>
      </c>
      <c r="R8" s="268" t="s">
        <v>23</v>
      </c>
      <c r="S8" s="268" t="s">
        <v>24</v>
      </c>
      <c r="T8" s="268" t="s">
        <v>1994</v>
      </c>
      <c r="U8" s="268" t="s">
        <v>26</v>
      </c>
      <c r="V8" s="268" t="s">
        <v>27</v>
      </c>
      <c r="W8" s="269" t="s">
        <v>28</v>
      </c>
      <c r="X8" s="268" t="s">
        <v>29</v>
      </c>
      <c r="Y8" s="268" t="s">
        <v>30</v>
      </c>
      <c r="Z8" s="268" t="s">
        <v>31</v>
      </c>
      <c r="AA8" s="268" t="s">
        <v>32</v>
      </c>
      <c r="AB8" s="268" t="s">
        <v>33</v>
      </c>
      <c r="AC8" s="268"/>
      <c r="AD8" s="254" t="s">
        <v>34</v>
      </c>
      <c r="AE8" s="254" t="s">
        <v>35</v>
      </c>
      <c r="AF8" s="254" t="s">
        <v>1995</v>
      </c>
      <c r="AG8" s="272" t="s">
        <v>38</v>
      </c>
      <c r="AH8" s="273" t="s">
        <v>41</v>
      </c>
      <c r="AI8" s="274" t="s">
        <v>1996</v>
      </c>
      <c r="AJ8" s="275" t="s">
        <v>44</v>
      </c>
      <c r="AK8" s="276" t="s">
        <v>46</v>
      </c>
      <c r="AL8" s="276" t="s">
        <v>1997</v>
      </c>
      <c r="AM8" s="276" t="s">
        <v>52</v>
      </c>
      <c r="AN8" s="277" t="s">
        <v>55</v>
      </c>
      <c r="AO8" s="254" t="s">
        <v>56</v>
      </c>
      <c r="AP8" s="254" t="s">
        <v>57</v>
      </c>
      <c r="AQ8" s="277" t="s">
        <v>58</v>
      </c>
      <c r="AR8" s="254" t="s">
        <v>59</v>
      </c>
      <c r="AS8" s="254" t="s">
        <v>60</v>
      </c>
      <c r="AT8" s="254" t="s">
        <v>61</v>
      </c>
      <c r="AU8" s="254" t="s">
        <v>62</v>
      </c>
      <c r="AV8" s="277" t="s">
        <v>63</v>
      </c>
      <c r="AW8" s="254" t="s">
        <v>64</v>
      </c>
      <c r="AX8" s="254" t="s">
        <v>65</v>
      </c>
      <c r="AY8" s="254" t="s">
        <v>66</v>
      </c>
      <c r="AZ8" s="254" t="s">
        <v>67</v>
      </c>
      <c r="BA8" s="303" t="s">
        <v>68</v>
      </c>
      <c r="BB8" s="303" t="s">
        <v>69</v>
      </c>
      <c r="BC8" s="303" t="s">
        <v>60</v>
      </c>
      <c r="BD8" s="303" t="s">
        <v>70</v>
      </c>
      <c r="BE8" s="303" t="s">
        <v>71</v>
      </c>
      <c r="BF8" s="303" t="s">
        <v>72</v>
      </c>
      <c r="BG8" s="303" t="s">
        <v>73</v>
      </c>
      <c r="BH8" s="303" t="s">
        <v>74</v>
      </c>
      <c r="BI8" s="303" t="s">
        <v>75</v>
      </c>
      <c r="BJ8" s="303" t="s">
        <v>76</v>
      </c>
      <c r="BK8" s="303" t="s">
        <v>77</v>
      </c>
      <c r="BL8" s="303" t="s">
        <v>78</v>
      </c>
      <c r="BM8" s="303" t="s">
        <v>79</v>
      </c>
      <c r="BN8" s="315" t="s">
        <v>80</v>
      </c>
      <c r="BO8" s="316" t="s">
        <v>81</v>
      </c>
      <c r="BP8" s="316" t="s">
        <v>82</v>
      </c>
      <c r="BQ8" s="317" t="s">
        <v>83</v>
      </c>
      <c r="BR8" s="318" t="s">
        <v>84</v>
      </c>
      <c r="BS8" s="319" t="s">
        <v>85</v>
      </c>
      <c r="BT8" s="319" t="s">
        <v>86</v>
      </c>
      <c r="BU8" s="319" t="s">
        <v>87</v>
      </c>
    </row>
    <row r="9" s="245" customFormat="1" ht="161.25" customHeight="1" spans="1:75">
      <c r="A9" s="255">
        <v>4</v>
      </c>
      <c r="B9" s="70" t="s">
        <v>103</v>
      </c>
      <c r="C9" s="129" t="s">
        <v>105</v>
      </c>
      <c r="D9" s="129" t="s">
        <v>106</v>
      </c>
      <c r="E9" s="256" t="s">
        <v>97</v>
      </c>
      <c r="F9" s="1470" t="s">
        <v>107</v>
      </c>
      <c r="G9" s="257">
        <f t="shared" si="0"/>
        <v>3830943.96</v>
      </c>
      <c r="H9" s="258">
        <f>319245.33</f>
        <v>319245.33</v>
      </c>
      <c r="I9" s="258"/>
      <c r="J9" s="258"/>
      <c r="K9" s="258"/>
      <c r="L9" s="258"/>
      <c r="M9" s="258">
        <v>2500</v>
      </c>
      <c r="N9" s="258"/>
      <c r="O9" s="258"/>
      <c r="P9" s="258"/>
      <c r="Q9" s="258"/>
      <c r="R9" s="258"/>
      <c r="S9" s="258"/>
      <c r="T9" s="258"/>
      <c r="U9" s="258"/>
      <c r="V9" s="258"/>
      <c r="W9" s="265"/>
      <c r="X9" s="258">
        <v>0</v>
      </c>
      <c r="Y9" s="258"/>
      <c r="Z9" s="258"/>
      <c r="AA9" s="258"/>
      <c r="AB9" s="258"/>
      <c r="AC9" s="258"/>
      <c r="AD9" s="270"/>
      <c r="AE9" s="258"/>
      <c r="AF9" s="258"/>
      <c r="AG9" s="270">
        <f t="shared" si="14"/>
        <v>6384.9066</v>
      </c>
      <c r="AH9" s="270"/>
      <c r="AI9" s="282">
        <v>1000</v>
      </c>
      <c r="AJ9" s="279"/>
      <c r="AK9" s="279"/>
      <c r="AL9" s="279"/>
      <c r="AM9" s="281"/>
      <c r="AN9" s="258"/>
      <c r="AO9" s="299">
        <v>3500</v>
      </c>
      <c r="AP9" s="299"/>
      <c r="AQ9" s="299"/>
      <c r="AR9" s="299">
        <f t="shared" si="15"/>
        <v>6434.9066</v>
      </c>
      <c r="AS9" s="300"/>
      <c r="AT9" s="300"/>
      <c r="AU9" s="299">
        <f>29831.41*2</f>
        <v>59662.82</v>
      </c>
      <c r="AV9" s="299">
        <f>W9+V9+U9+N9+M9+K9+J9+I9+H9</f>
        <v>321745.33</v>
      </c>
      <c r="AW9" s="299">
        <f>AU9+AR9+AQ9+AO9+AN9+AM9+AK9+AI9+AH9+AG9+AF9+AE9+AD9</f>
        <v>76982.6332</v>
      </c>
      <c r="AX9" s="299"/>
      <c r="AY9" s="299"/>
      <c r="AZ9" s="299">
        <f>AV9-AW9</f>
        <v>244762.6968</v>
      </c>
      <c r="BA9" s="305">
        <f>AV9*12</f>
        <v>3860943.96</v>
      </c>
      <c r="BB9" s="306">
        <f t="shared" si="1"/>
        <v>972188.792</v>
      </c>
      <c r="BC9" s="307">
        <f>AS9*12</f>
        <v>0</v>
      </c>
      <c r="BD9" s="308">
        <f t="shared" si="2"/>
        <v>972188.792</v>
      </c>
      <c r="BE9" s="313">
        <f t="shared" si="3"/>
        <v>2888755.168</v>
      </c>
      <c r="BF9" s="306"/>
      <c r="BG9" s="307">
        <f t="shared" si="4"/>
        <v>21000</v>
      </c>
      <c r="BH9" s="307">
        <f t="shared" si="5"/>
        <v>33000</v>
      </c>
      <c r="BI9" s="307">
        <f t="shared" si="6"/>
        <v>75000</v>
      </c>
      <c r="BJ9" s="307">
        <f t="shared" si="7"/>
        <v>95000</v>
      </c>
      <c r="BK9" s="307">
        <f t="shared" si="8"/>
        <v>270638.58528</v>
      </c>
      <c r="BL9" s="307" t="str">
        <f t="shared" si="9"/>
        <v/>
      </c>
      <c r="BM9" s="305">
        <f t="shared" si="10"/>
        <v>494638.58528</v>
      </c>
      <c r="BN9" s="320">
        <f t="shared" si="11"/>
        <v>38609.4396</v>
      </c>
      <c r="BO9" s="321">
        <f t="shared" si="12"/>
        <v>494638.58528</v>
      </c>
      <c r="BP9" s="322">
        <f>AU9</f>
        <v>59662.82</v>
      </c>
      <c r="BQ9" s="323"/>
      <c r="BR9" s="324"/>
      <c r="BS9" s="325"/>
      <c r="BT9" s="326"/>
      <c r="BU9" s="326"/>
      <c r="BV9" s="334"/>
      <c r="BW9" s="335"/>
    </row>
    <row r="10" s="244" customFormat="1" ht="234" customHeight="1" spans="1:73">
      <c r="A10" s="250" t="s">
        <v>2</v>
      </c>
      <c r="B10" s="251" t="s">
        <v>3</v>
      </c>
      <c r="C10" s="252" t="s">
        <v>5</v>
      </c>
      <c r="D10" s="252" t="s">
        <v>6</v>
      </c>
      <c r="E10" s="253" t="s">
        <v>7</v>
      </c>
      <c r="F10" s="253" t="s">
        <v>8</v>
      </c>
      <c r="G10" s="254" t="s">
        <v>9</v>
      </c>
      <c r="H10" s="254" t="s">
        <v>14</v>
      </c>
      <c r="I10" s="268" t="s">
        <v>15</v>
      </c>
      <c r="J10" s="268" t="s">
        <v>16</v>
      </c>
      <c r="K10" s="268" t="s">
        <v>17</v>
      </c>
      <c r="L10" s="268" t="s">
        <v>18</v>
      </c>
      <c r="M10" s="268" t="s">
        <v>19</v>
      </c>
      <c r="N10" s="268" t="s">
        <v>20</v>
      </c>
      <c r="O10" s="268" t="s">
        <v>1992</v>
      </c>
      <c r="P10" s="268" t="s">
        <v>1993</v>
      </c>
      <c r="Q10" s="268" t="s">
        <v>22</v>
      </c>
      <c r="R10" s="268" t="s">
        <v>23</v>
      </c>
      <c r="S10" s="268" t="s">
        <v>24</v>
      </c>
      <c r="T10" s="268" t="s">
        <v>1994</v>
      </c>
      <c r="U10" s="268" t="s">
        <v>26</v>
      </c>
      <c r="V10" s="268" t="s">
        <v>27</v>
      </c>
      <c r="W10" s="269" t="s">
        <v>28</v>
      </c>
      <c r="X10" s="268" t="s">
        <v>29</v>
      </c>
      <c r="Y10" s="268" t="s">
        <v>30</v>
      </c>
      <c r="Z10" s="268" t="s">
        <v>31</v>
      </c>
      <c r="AA10" s="268" t="s">
        <v>32</v>
      </c>
      <c r="AB10" s="268" t="s">
        <v>33</v>
      </c>
      <c r="AC10" s="268"/>
      <c r="AD10" s="254" t="s">
        <v>34</v>
      </c>
      <c r="AE10" s="254" t="s">
        <v>35</v>
      </c>
      <c r="AF10" s="254" t="s">
        <v>1995</v>
      </c>
      <c r="AG10" s="272" t="s">
        <v>38</v>
      </c>
      <c r="AH10" s="273" t="s">
        <v>41</v>
      </c>
      <c r="AI10" s="274" t="s">
        <v>1996</v>
      </c>
      <c r="AJ10" s="275" t="s">
        <v>44</v>
      </c>
      <c r="AK10" s="276" t="s">
        <v>46</v>
      </c>
      <c r="AL10" s="276" t="s">
        <v>1997</v>
      </c>
      <c r="AM10" s="276" t="s">
        <v>52</v>
      </c>
      <c r="AN10" s="277" t="s">
        <v>55</v>
      </c>
      <c r="AO10" s="254" t="s">
        <v>56</v>
      </c>
      <c r="AP10" s="254" t="s">
        <v>57</v>
      </c>
      <c r="AQ10" s="277" t="s">
        <v>58</v>
      </c>
      <c r="AR10" s="254" t="s">
        <v>59</v>
      </c>
      <c r="AS10" s="254" t="s">
        <v>60</v>
      </c>
      <c r="AT10" s="254" t="s">
        <v>61</v>
      </c>
      <c r="AU10" s="254" t="s">
        <v>62</v>
      </c>
      <c r="AV10" s="277" t="s">
        <v>63</v>
      </c>
      <c r="AW10" s="254" t="s">
        <v>64</v>
      </c>
      <c r="AX10" s="254" t="s">
        <v>65</v>
      </c>
      <c r="AY10" s="254" t="s">
        <v>66</v>
      </c>
      <c r="AZ10" s="254" t="s">
        <v>67</v>
      </c>
      <c r="BA10" s="303" t="s">
        <v>68</v>
      </c>
      <c r="BB10" s="303" t="s">
        <v>69</v>
      </c>
      <c r="BC10" s="303" t="s">
        <v>60</v>
      </c>
      <c r="BD10" s="303" t="s">
        <v>70</v>
      </c>
      <c r="BE10" s="303" t="s">
        <v>71</v>
      </c>
      <c r="BF10" s="303" t="s">
        <v>72</v>
      </c>
      <c r="BG10" s="303" t="s">
        <v>73</v>
      </c>
      <c r="BH10" s="303" t="s">
        <v>74</v>
      </c>
      <c r="BI10" s="303" t="s">
        <v>75</v>
      </c>
      <c r="BJ10" s="303" t="s">
        <v>76</v>
      </c>
      <c r="BK10" s="303" t="s">
        <v>77</v>
      </c>
      <c r="BL10" s="303" t="s">
        <v>78</v>
      </c>
      <c r="BM10" s="303" t="s">
        <v>79</v>
      </c>
      <c r="BN10" s="315" t="s">
        <v>80</v>
      </c>
      <c r="BO10" s="316" t="s">
        <v>81</v>
      </c>
      <c r="BP10" s="316" t="s">
        <v>82</v>
      </c>
      <c r="BQ10" s="317" t="s">
        <v>83</v>
      </c>
      <c r="BR10" s="318" t="s">
        <v>84</v>
      </c>
      <c r="BS10" s="319" t="s">
        <v>85</v>
      </c>
      <c r="BT10" s="319" t="s">
        <v>86</v>
      </c>
      <c r="BU10" s="319" t="s">
        <v>87</v>
      </c>
    </row>
    <row r="11" s="245" customFormat="1" ht="172.5" customHeight="1" spans="1:75">
      <c r="A11" s="255">
        <v>5</v>
      </c>
      <c r="B11" s="70" t="s">
        <v>119</v>
      </c>
      <c r="C11" s="129" t="s">
        <v>130</v>
      </c>
      <c r="D11" s="129" t="s">
        <v>2001</v>
      </c>
      <c r="E11" s="128" t="s">
        <v>122</v>
      </c>
      <c r="F11" s="1469" t="s">
        <v>123</v>
      </c>
      <c r="G11" s="257">
        <v>2425322</v>
      </c>
      <c r="H11" s="258">
        <f t="shared" ref="H11:H31" si="16">G11/12</f>
        <v>202110.166666667</v>
      </c>
      <c r="I11" s="258">
        <f t="shared" ref="I11:I43" si="17">H11*0.35/3</f>
        <v>23579.5194444444</v>
      </c>
      <c r="J11" s="258">
        <v>5000</v>
      </c>
      <c r="K11" s="258">
        <v>41667</v>
      </c>
      <c r="L11" s="258"/>
      <c r="M11" s="258">
        <v>2500</v>
      </c>
      <c r="N11" s="258"/>
      <c r="O11" s="258"/>
      <c r="P11" s="258"/>
      <c r="Q11" s="258"/>
      <c r="R11" s="258"/>
      <c r="S11" s="258"/>
      <c r="T11" s="258"/>
      <c r="U11" s="258">
        <v>383.33</v>
      </c>
      <c r="V11" s="258"/>
      <c r="W11" s="265"/>
      <c r="X11" s="258"/>
      <c r="Y11" s="258"/>
      <c r="Z11" s="258"/>
      <c r="AA11" s="258"/>
      <c r="AB11" s="258"/>
      <c r="AC11" s="258"/>
      <c r="AD11" s="270"/>
      <c r="AE11" s="258"/>
      <c r="AF11" s="258"/>
      <c r="AG11" s="270">
        <f t="shared" si="14"/>
        <v>4042.20333333333</v>
      </c>
      <c r="AH11" s="270"/>
      <c r="AI11" s="282">
        <v>1000</v>
      </c>
      <c r="AJ11" s="279"/>
      <c r="AK11" s="279"/>
      <c r="AL11" s="279"/>
      <c r="AM11" s="281"/>
      <c r="AN11" s="258"/>
      <c r="AO11" s="299">
        <v>1500</v>
      </c>
      <c r="AP11" s="299"/>
      <c r="AQ11" s="299"/>
      <c r="AR11" s="299">
        <f t="shared" si="15"/>
        <v>5504.80032222222</v>
      </c>
      <c r="AS11" s="300"/>
      <c r="AT11" s="300"/>
      <c r="AU11" s="299">
        <f t="shared" ref="AU11:AU58" si="18">BP11</f>
        <v>33406.9893733333</v>
      </c>
      <c r="AV11" s="299">
        <f>W11+V11+U11+N11+M11+K11+J11+I11+H11</f>
        <v>275240.016111111</v>
      </c>
      <c r="AW11" s="299">
        <f>AU11+AR11+AQ11+AO11+AN11+AM11+AK11+AI11+AH11+AG11+AF11+AE11+AD11</f>
        <v>45453.9930288889</v>
      </c>
      <c r="AX11" s="299"/>
      <c r="AY11" s="299"/>
      <c r="AZ11" s="299">
        <f>AV11-AW11</f>
        <v>229786.023082222</v>
      </c>
      <c r="BA11" s="305">
        <f>AV11*12</f>
        <v>3302880.19333333</v>
      </c>
      <c r="BB11" s="306">
        <f t="shared" si="1"/>
        <v>860576.038666667</v>
      </c>
      <c r="BC11" s="307">
        <f>AS11*12</f>
        <v>0</v>
      </c>
      <c r="BD11" s="308">
        <f t="shared" si="2"/>
        <v>860576.038666667</v>
      </c>
      <c r="BE11" s="313">
        <f t="shared" si="3"/>
        <v>2442304.15466667</v>
      </c>
      <c r="BF11" s="306"/>
      <c r="BG11" s="307">
        <f t="shared" si="4"/>
        <v>21000</v>
      </c>
      <c r="BH11" s="307">
        <f t="shared" si="5"/>
        <v>33000</v>
      </c>
      <c r="BI11" s="307">
        <f t="shared" si="6"/>
        <v>75000</v>
      </c>
      <c r="BJ11" s="307">
        <f t="shared" si="7"/>
        <v>95000</v>
      </c>
      <c r="BK11" s="307">
        <f t="shared" si="8"/>
        <v>176883.87248</v>
      </c>
      <c r="BL11" s="307" t="str">
        <f t="shared" si="9"/>
        <v/>
      </c>
      <c r="BM11" s="305">
        <f t="shared" si="10"/>
        <v>400883.87248</v>
      </c>
      <c r="BN11" s="320">
        <f t="shared" si="11"/>
        <v>33028.8019333333</v>
      </c>
      <c r="BO11" s="321">
        <f t="shared" si="12"/>
        <v>400883.87248</v>
      </c>
      <c r="BP11" s="322">
        <f t="shared" si="13"/>
        <v>33406.9893733333</v>
      </c>
      <c r="BQ11" s="323"/>
      <c r="BR11" s="324"/>
      <c r="BS11" s="325"/>
      <c r="BT11" s="326"/>
      <c r="BU11" s="326"/>
      <c r="BV11" s="334"/>
      <c r="BW11" s="335"/>
    </row>
    <row r="12" s="244" customFormat="1" ht="234" customHeight="1" spans="1:73">
      <c r="A12" s="250" t="s">
        <v>2</v>
      </c>
      <c r="B12" s="251" t="s">
        <v>3</v>
      </c>
      <c r="C12" s="252" t="s">
        <v>5</v>
      </c>
      <c r="D12" s="252" t="s">
        <v>6</v>
      </c>
      <c r="E12" s="253" t="s">
        <v>7</v>
      </c>
      <c r="F12" s="253" t="s">
        <v>8</v>
      </c>
      <c r="G12" s="254" t="s">
        <v>9</v>
      </c>
      <c r="H12" s="254" t="s">
        <v>14</v>
      </c>
      <c r="I12" s="268" t="s">
        <v>15</v>
      </c>
      <c r="J12" s="268" t="s">
        <v>16</v>
      </c>
      <c r="K12" s="268" t="s">
        <v>17</v>
      </c>
      <c r="L12" s="268" t="s">
        <v>18</v>
      </c>
      <c r="M12" s="268" t="s">
        <v>19</v>
      </c>
      <c r="N12" s="268" t="s">
        <v>20</v>
      </c>
      <c r="O12" s="268" t="s">
        <v>1992</v>
      </c>
      <c r="P12" s="268" t="s">
        <v>1993</v>
      </c>
      <c r="Q12" s="268" t="s">
        <v>22</v>
      </c>
      <c r="R12" s="268" t="s">
        <v>23</v>
      </c>
      <c r="S12" s="268" t="s">
        <v>24</v>
      </c>
      <c r="T12" s="268" t="s">
        <v>1994</v>
      </c>
      <c r="U12" s="268" t="s">
        <v>26</v>
      </c>
      <c r="V12" s="268" t="s">
        <v>27</v>
      </c>
      <c r="W12" s="269" t="s">
        <v>28</v>
      </c>
      <c r="X12" s="268" t="s">
        <v>29</v>
      </c>
      <c r="Y12" s="268" t="s">
        <v>30</v>
      </c>
      <c r="Z12" s="268" t="s">
        <v>31</v>
      </c>
      <c r="AA12" s="268" t="s">
        <v>32</v>
      </c>
      <c r="AB12" s="268" t="s">
        <v>33</v>
      </c>
      <c r="AC12" s="268"/>
      <c r="AD12" s="254" t="s">
        <v>34</v>
      </c>
      <c r="AE12" s="254" t="s">
        <v>35</v>
      </c>
      <c r="AF12" s="254" t="s">
        <v>1995</v>
      </c>
      <c r="AG12" s="272" t="s">
        <v>38</v>
      </c>
      <c r="AH12" s="273" t="s">
        <v>41</v>
      </c>
      <c r="AI12" s="274" t="s">
        <v>1996</v>
      </c>
      <c r="AJ12" s="275" t="s">
        <v>44</v>
      </c>
      <c r="AK12" s="276" t="s">
        <v>46</v>
      </c>
      <c r="AL12" s="276" t="s">
        <v>1997</v>
      </c>
      <c r="AM12" s="276" t="s">
        <v>52</v>
      </c>
      <c r="AN12" s="277" t="s">
        <v>55</v>
      </c>
      <c r="AO12" s="254" t="s">
        <v>56</v>
      </c>
      <c r="AP12" s="254" t="s">
        <v>57</v>
      </c>
      <c r="AQ12" s="277" t="s">
        <v>58</v>
      </c>
      <c r="AR12" s="254" t="s">
        <v>59</v>
      </c>
      <c r="AS12" s="254" t="s">
        <v>60</v>
      </c>
      <c r="AT12" s="254" t="s">
        <v>61</v>
      </c>
      <c r="AU12" s="254" t="s">
        <v>62</v>
      </c>
      <c r="AV12" s="277" t="s">
        <v>63</v>
      </c>
      <c r="AW12" s="254" t="s">
        <v>64</v>
      </c>
      <c r="AX12" s="254" t="s">
        <v>65</v>
      </c>
      <c r="AY12" s="254" t="s">
        <v>66</v>
      </c>
      <c r="AZ12" s="254" t="s">
        <v>67</v>
      </c>
      <c r="BA12" s="303" t="s">
        <v>68</v>
      </c>
      <c r="BB12" s="303" t="s">
        <v>69</v>
      </c>
      <c r="BC12" s="303" t="s">
        <v>60</v>
      </c>
      <c r="BD12" s="303" t="s">
        <v>70</v>
      </c>
      <c r="BE12" s="303" t="s">
        <v>71</v>
      </c>
      <c r="BF12" s="303" t="s">
        <v>72</v>
      </c>
      <c r="BG12" s="303" t="s">
        <v>73</v>
      </c>
      <c r="BH12" s="303" t="s">
        <v>74</v>
      </c>
      <c r="BI12" s="303" t="s">
        <v>75</v>
      </c>
      <c r="BJ12" s="303" t="s">
        <v>76</v>
      </c>
      <c r="BK12" s="303" t="s">
        <v>77</v>
      </c>
      <c r="BL12" s="303" t="s">
        <v>78</v>
      </c>
      <c r="BM12" s="303" t="s">
        <v>79</v>
      </c>
      <c r="BN12" s="315" t="s">
        <v>80</v>
      </c>
      <c r="BO12" s="316" t="s">
        <v>81</v>
      </c>
      <c r="BP12" s="316" t="s">
        <v>82</v>
      </c>
      <c r="BQ12" s="317" t="s">
        <v>83</v>
      </c>
      <c r="BR12" s="318" t="s">
        <v>84</v>
      </c>
      <c r="BS12" s="319" t="s">
        <v>85</v>
      </c>
      <c r="BT12" s="319" t="s">
        <v>86</v>
      </c>
      <c r="BU12" s="319" t="s">
        <v>87</v>
      </c>
    </row>
    <row r="13" s="245" customFormat="1" ht="172.5" customHeight="1" spans="1:75">
      <c r="A13" s="255">
        <v>6</v>
      </c>
      <c r="B13" s="70" t="s">
        <v>2002</v>
      </c>
      <c r="C13" s="129" t="s">
        <v>221</v>
      </c>
      <c r="D13" s="129" t="s">
        <v>2003</v>
      </c>
      <c r="E13" s="256" t="s">
        <v>127</v>
      </c>
      <c r="F13" s="1469" t="s">
        <v>128</v>
      </c>
      <c r="G13" s="257">
        <v>2048214</v>
      </c>
      <c r="H13" s="258">
        <f t="shared" si="16"/>
        <v>170684.5</v>
      </c>
      <c r="I13" s="258">
        <f t="shared" si="17"/>
        <v>19913.1916666667</v>
      </c>
      <c r="J13" s="258">
        <v>5000</v>
      </c>
      <c r="K13" s="258"/>
      <c r="L13" s="258"/>
      <c r="M13" s="258">
        <v>2500</v>
      </c>
      <c r="N13" s="258"/>
      <c r="O13" s="258"/>
      <c r="P13" s="258"/>
      <c r="Q13" s="258"/>
      <c r="R13" s="258"/>
      <c r="S13" s="258"/>
      <c r="T13" s="258"/>
      <c r="U13" s="258">
        <v>383.33</v>
      </c>
      <c r="V13" s="258"/>
      <c r="W13" s="265"/>
      <c r="X13" s="258"/>
      <c r="Y13" s="258"/>
      <c r="Z13" s="258"/>
      <c r="AA13" s="258"/>
      <c r="AB13" s="258"/>
      <c r="AC13" s="258"/>
      <c r="AD13" s="270"/>
      <c r="AE13" s="258"/>
      <c r="AF13" s="258"/>
      <c r="AG13" s="270">
        <f t="shared" si="14"/>
        <v>3413.69</v>
      </c>
      <c r="AH13" s="270"/>
      <c r="AI13" s="282">
        <v>1000</v>
      </c>
      <c r="AJ13" s="282"/>
      <c r="AK13" s="279"/>
      <c r="AL13" s="279"/>
      <c r="AM13" s="281"/>
      <c r="AN13" s="258"/>
      <c r="AO13" s="299">
        <v>1000</v>
      </c>
      <c r="AP13" s="299"/>
      <c r="AQ13" s="299"/>
      <c r="AR13" s="299">
        <f t="shared" si="15"/>
        <v>3969.62043333333</v>
      </c>
      <c r="AS13" s="300"/>
      <c r="AT13" s="300"/>
      <c r="AU13" s="299">
        <f t="shared" si="18"/>
        <v>20511.4783066667</v>
      </c>
      <c r="AV13" s="299">
        <f>W13+V13+U13+N13+M13+K13+J13+I13+H13</f>
        <v>198481.021666667</v>
      </c>
      <c r="AW13" s="299">
        <f>AU13+AR13+AQ13+AO13+AN13+AM13+AK13+AI13+AH13+AG13+AF13+AE13+AD13</f>
        <v>29894.78874</v>
      </c>
      <c r="AX13" s="299"/>
      <c r="AY13" s="299"/>
      <c r="AZ13" s="299">
        <f>AV13-AW13</f>
        <v>168586.232926667</v>
      </c>
      <c r="BA13" s="305">
        <f>AV13*12</f>
        <v>2381772.26</v>
      </c>
      <c r="BB13" s="306">
        <f t="shared" si="1"/>
        <v>676354.452</v>
      </c>
      <c r="BC13" s="307">
        <f>AS13*12</f>
        <v>0</v>
      </c>
      <c r="BD13" s="308">
        <f t="shared" si="2"/>
        <v>676354.452</v>
      </c>
      <c r="BE13" s="313">
        <f t="shared" si="3"/>
        <v>1705417.808</v>
      </c>
      <c r="BF13" s="306"/>
      <c r="BG13" s="307">
        <f t="shared" si="4"/>
        <v>21000</v>
      </c>
      <c r="BH13" s="307">
        <f t="shared" si="5"/>
        <v>33000</v>
      </c>
      <c r="BI13" s="307">
        <f t="shared" si="6"/>
        <v>75000</v>
      </c>
      <c r="BJ13" s="307">
        <f t="shared" si="7"/>
        <v>95000</v>
      </c>
      <c r="BK13" s="307">
        <f t="shared" si="8"/>
        <v>22137.7396799999</v>
      </c>
      <c r="BL13" s="307" t="str">
        <f t="shared" si="9"/>
        <v/>
      </c>
      <c r="BM13" s="305">
        <f t="shared" si="10"/>
        <v>246137.73968</v>
      </c>
      <c r="BN13" s="320">
        <f t="shared" si="11"/>
        <v>23817.7226</v>
      </c>
      <c r="BO13" s="321">
        <f t="shared" si="12"/>
        <v>246137.73968</v>
      </c>
      <c r="BP13" s="322">
        <f t="shared" si="13"/>
        <v>20511.4783066667</v>
      </c>
      <c r="BQ13" s="323"/>
      <c r="BR13" s="324"/>
      <c r="BS13" s="325"/>
      <c r="BT13" s="326"/>
      <c r="BU13" s="326"/>
      <c r="BV13" s="334"/>
      <c r="BW13" s="335"/>
    </row>
    <row r="14" s="244" customFormat="1" ht="234" customHeight="1" spans="1:73">
      <c r="A14" s="250" t="s">
        <v>2</v>
      </c>
      <c r="B14" s="251" t="s">
        <v>3</v>
      </c>
      <c r="C14" s="252" t="s">
        <v>5</v>
      </c>
      <c r="D14" s="252" t="s">
        <v>6</v>
      </c>
      <c r="E14" s="253" t="s">
        <v>7</v>
      </c>
      <c r="F14" s="253" t="s">
        <v>8</v>
      </c>
      <c r="G14" s="254" t="s">
        <v>9</v>
      </c>
      <c r="H14" s="254" t="s">
        <v>14</v>
      </c>
      <c r="I14" s="268" t="s">
        <v>15</v>
      </c>
      <c r="J14" s="268" t="s">
        <v>16</v>
      </c>
      <c r="K14" s="268" t="s">
        <v>17</v>
      </c>
      <c r="L14" s="268" t="s">
        <v>18</v>
      </c>
      <c r="M14" s="268" t="s">
        <v>19</v>
      </c>
      <c r="N14" s="268" t="s">
        <v>20</v>
      </c>
      <c r="O14" s="268" t="s">
        <v>1992</v>
      </c>
      <c r="P14" s="268" t="s">
        <v>1993</v>
      </c>
      <c r="Q14" s="268" t="s">
        <v>22</v>
      </c>
      <c r="R14" s="268" t="s">
        <v>23</v>
      </c>
      <c r="S14" s="268" t="s">
        <v>24</v>
      </c>
      <c r="T14" s="268" t="s">
        <v>1994</v>
      </c>
      <c r="U14" s="268" t="s">
        <v>26</v>
      </c>
      <c r="V14" s="268" t="s">
        <v>27</v>
      </c>
      <c r="W14" s="269" t="s">
        <v>28</v>
      </c>
      <c r="X14" s="268" t="s">
        <v>29</v>
      </c>
      <c r="Y14" s="268" t="s">
        <v>30</v>
      </c>
      <c r="Z14" s="268" t="s">
        <v>31</v>
      </c>
      <c r="AA14" s="268" t="s">
        <v>32</v>
      </c>
      <c r="AB14" s="268" t="s">
        <v>33</v>
      </c>
      <c r="AC14" s="268"/>
      <c r="AD14" s="254" t="s">
        <v>34</v>
      </c>
      <c r="AE14" s="254" t="s">
        <v>35</v>
      </c>
      <c r="AF14" s="254" t="s">
        <v>1995</v>
      </c>
      <c r="AG14" s="272" t="s">
        <v>38</v>
      </c>
      <c r="AH14" s="273" t="s">
        <v>41</v>
      </c>
      <c r="AI14" s="274" t="s">
        <v>1996</v>
      </c>
      <c r="AJ14" s="275" t="s">
        <v>44</v>
      </c>
      <c r="AK14" s="276" t="s">
        <v>46</v>
      </c>
      <c r="AL14" s="276" t="s">
        <v>1997</v>
      </c>
      <c r="AM14" s="276" t="s">
        <v>52</v>
      </c>
      <c r="AN14" s="277" t="s">
        <v>55</v>
      </c>
      <c r="AO14" s="254" t="s">
        <v>56</v>
      </c>
      <c r="AP14" s="254" t="s">
        <v>57</v>
      </c>
      <c r="AQ14" s="277" t="s">
        <v>58</v>
      </c>
      <c r="AR14" s="254" t="s">
        <v>59</v>
      </c>
      <c r="AS14" s="254" t="s">
        <v>60</v>
      </c>
      <c r="AT14" s="254" t="s">
        <v>61</v>
      </c>
      <c r="AU14" s="254" t="s">
        <v>62</v>
      </c>
      <c r="AV14" s="277" t="s">
        <v>63</v>
      </c>
      <c r="AW14" s="254" t="s">
        <v>64</v>
      </c>
      <c r="AX14" s="254" t="s">
        <v>65</v>
      </c>
      <c r="AY14" s="254" t="s">
        <v>66</v>
      </c>
      <c r="AZ14" s="254" t="s">
        <v>67</v>
      </c>
      <c r="BA14" s="303" t="s">
        <v>68</v>
      </c>
      <c r="BB14" s="303" t="s">
        <v>69</v>
      </c>
      <c r="BC14" s="303" t="s">
        <v>60</v>
      </c>
      <c r="BD14" s="303" t="s">
        <v>70</v>
      </c>
      <c r="BE14" s="303" t="s">
        <v>71</v>
      </c>
      <c r="BF14" s="303" t="s">
        <v>72</v>
      </c>
      <c r="BG14" s="303" t="s">
        <v>73</v>
      </c>
      <c r="BH14" s="303" t="s">
        <v>74</v>
      </c>
      <c r="BI14" s="303" t="s">
        <v>75</v>
      </c>
      <c r="BJ14" s="303" t="s">
        <v>76</v>
      </c>
      <c r="BK14" s="303" t="s">
        <v>77</v>
      </c>
      <c r="BL14" s="303" t="s">
        <v>78</v>
      </c>
      <c r="BM14" s="303" t="s">
        <v>79</v>
      </c>
      <c r="BN14" s="315" t="s">
        <v>80</v>
      </c>
      <c r="BO14" s="316" t="s">
        <v>81</v>
      </c>
      <c r="BP14" s="316" t="s">
        <v>82</v>
      </c>
      <c r="BQ14" s="317" t="s">
        <v>83</v>
      </c>
      <c r="BR14" s="318" t="s">
        <v>84</v>
      </c>
      <c r="BS14" s="319" t="s">
        <v>85</v>
      </c>
      <c r="BT14" s="319" t="s">
        <v>86</v>
      </c>
      <c r="BU14" s="319" t="s">
        <v>87</v>
      </c>
    </row>
    <row r="15" s="245" customFormat="1" ht="172.5" customHeight="1" spans="1:75">
      <c r="A15" s="255">
        <v>7</v>
      </c>
      <c r="B15" s="70" t="s">
        <v>2004</v>
      </c>
      <c r="C15" s="129" t="s">
        <v>105</v>
      </c>
      <c r="D15" s="129" t="s">
        <v>251</v>
      </c>
      <c r="E15" s="256" t="s">
        <v>113</v>
      </c>
      <c r="F15" s="261">
        <f>'[9]SEPT SALARY, 2021 BANK COPY'!$E$108</f>
        <v>1006415522</v>
      </c>
      <c r="G15" s="257">
        <f>6664214/2</f>
        <v>3332107</v>
      </c>
      <c r="H15" s="258">
        <f>G15/12</f>
        <v>277675.583333333</v>
      </c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65"/>
      <c r="X15" s="258"/>
      <c r="Y15" s="258"/>
      <c r="Z15" s="258"/>
      <c r="AA15" s="258"/>
      <c r="AB15" s="258"/>
      <c r="AC15" s="258"/>
      <c r="AD15" s="270"/>
      <c r="AE15" s="258"/>
      <c r="AF15" s="258"/>
      <c r="AG15" s="270">
        <f t="shared" si="14"/>
        <v>5553.51166666667</v>
      </c>
      <c r="AH15" s="270"/>
      <c r="AI15" s="282"/>
      <c r="AJ15" s="279">
        <v>1000</v>
      </c>
      <c r="AK15" s="279"/>
      <c r="AL15" s="279"/>
      <c r="AM15" s="281"/>
      <c r="AN15" s="258"/>
      <c r="AO15" s="299">
        <v>1750</v>
      </c>
      <c r="AP15" s="299"/>
      <c r="AQ15" s="299"/>
      <c r="AR15" s="299">
        <f t="shared" si="15"/>
        <v>5553.51166666667</v>
      </c>
      <c r="AS15" s="300"/>
      <c r="AT15" s="300"/>
      <c r="AU15" s="299">
        <f t="shared" si="18"/>
        <v>33816.1646666667</v>
      </c>
      <c r="AV15" s="299">
        <f>W15+V15+U15+N15+M15+K15+J15+I15+H15</f>
        <v>277675.583333333</v>
      </c>
      <c r="AW15" s="299">
        <f>AU15+AR15+AQ15+AO15+AN15+AM15+AK15+AI15+AH15+AG15+AF15+AE15+AD15</f>
        <v>46673.188</v>
      </c>
      <c r="AX15" s="299"/>
      <c r="AY15" s="299"/>
      <c r="AZ15" s="299">
        <f>AV15-AW15</f>
        <v>231002.395333333</v>
      </c>
      <c r="BA15" s="305">
        <f>AV15*12</f>
        <v>3332107</v>
      </c>
      <c r="BB15" s="306">
        <f t="shared" si="1"/>
        <v>866421.4</v>
      </c>
      <c r="BC15" s="307">
        <f>AS15*12</f>
        <v>0</v>
      </c>
      <c r="BD15" s="308">
        <f t="shared" si="2"/>
        <v>866421.4</v>
      </c>
      <c r="BE15" s="313">
        <f t="shared" si="3"/>
        <v>2465685.6</v>
      </c>
      <c r="BF15" s="306"/>
      <c r="BG15" s="307">
        <f t="shared" si="4"/>
        <v>21000</v>
      </c>
      <c r="BH15" s="307">
        <f t="shared" si="5"/>
        <v>33000</v>
      </c>
      <c r="BI15" s="307">
        <f t="shared" si="6"/>
        <v>75000</v>
      </c>
      <c r="BJ15" s="307">
        <f t="shared" si="7"/>
        <v>95000</v>
      </c>
      <c r="BK15" s="307">
        <f t="shared" si="8"/>
        <v>181793.976</v>
      </c>
      <c r="BL15" s="307" t="str">
        <f t="shared" si="9"/>
        <v/>
      </c>
      <c r="BM15" s="305">
        <f t="shared" si="10"/>
        <v>405793.976</v>
      </c>
      <c r="BN15" s="320">
        <f t="shared" si="11"/>
        <v>33321.07</v>
      </c>
      <c r="BO15" s="321">
        <f t="shared" si="12"/>
        <v>405793.976</v>
      </c>
      <c r="BP15" s="322">
        <f t="shared" si="13"/>
        <v>33816.1646666667</v>
      </c>
      <c r="BQ15" s="323"/>
      <c r="BR15" s="324"/>
      <c r="BS15" s="325"/>
      <c r="BT15" s="326"/>
      <c r="BU15" s="326"/>
      <c r="BV15" s="334"/>
      <c r="BW15" s="335"/>
    </row>
    <row r="16" s="244" customFormat="1" ht="234" customHeight="1" spans="1:73">
      <c r="A16" s="250" t="s">
        <v>2</v>
      </c>
      <c r="B16" s="251" t="s">
        <v>3</v>
      </c>
      <c r="C16" s="252" t="s">
        <v>5</v>
      </c>
      <c r="D16" s="252" t="s">
        <v>6</v>
      </c>
      <c r="E16" s="253" t="s">
        <v>7</v>
      </c>
      <c r="F16" s="253" t="s">
        <v>8</v>
      </c>
      <c r="G16" s="254" t="s">
        <v>9</v>
      </c>
      <c r="H16" s="254" t="s">
        <v>14</v>
      </c>
      <c r="I16" s="268" t="s">
        <v>15</v>
      </c>
      <c r="J16" s="268" t="s">
        <v>16</v>
      </c>
      <c r="K16" s="268" t="s">
        <v>17</v>
      </c>
      <c r="L16" s="268" t="s">
        <v>18</v>
      </c>
      <c r="M16" s="268" t="s">
        <v>19</v>
      </c>
      <c r="N16" s="268" t="s">
        <v>20</v>
      </c>
      <c r="O16" s="268" t="s">
        <v>1992</v>
      </c>
      <c r="P16" s="268" t="s">
        <v>1993</v>
      </c>
      <c r="Q16" s="268" t="s">
        <v>22</v>
      </c>
      <c r="R16" s="268" t="s">
        <v>23</v>
      </c>
      <c r="S16" s="268" t="s">
        <v>24</v>
      </c>
      <c r="T16" s="268" t="s">
        <v>1994</v>
      </c>
      <c r="U16" s="268" t="s">
        <v>26</v>
      </c>
      <c r="V16" s="268" t="s">
        <v>27</v>
      </c>
      <c r="W16" s="269" t="s">
        <v>28</v>
      </c>
      <c r="X16" s="268" t="s">
        <v>29</v>
      </c>
      <c r="Y16" s="268" t="s">
        <v>30</v>
      </c>
      <c r="Z16" s="268" t="s">
        <v>31</v>
      </c>
      <c r="AA16" s="268" t="s">
        <v>32</v>
      </c>
      <c r="AB16" s="268" t="s">
        <v>33</v>
      </c>
      <c r="AC16" s="268"/>
      <c r="AD16" s="254" t="s">
        <v>34</v>
      </c>
      <c r="AE16" s="254" t="s">
        <v>35</v>
      </c>
      <c r="AF16" s="254" t="s">
        <v>1995</v>
      </c>
      <c r="AG16" s="272" t="s">
        <v>38</v>
      </c>
      <c r="AH16" s="273" t="s">
        <v>41</v>
      </c>
      <c r="AI16" s="274" t="s">
        <v>1996</v>
      </c>
      <c r="AJ16" s="275" t="s">
        <v>44</v>
      </c>
      <c r="AK16" s="276" t="s">
        <v>46</v>
      </c>
      <c r="AL16" s="276" t="s">
        <v>1997</v>
      </c>
      <c r="AM16" s="276" t="s">
        <v>52</v>
      </c>
      <c r="AN16" s="277" t="s">
        <v>55</v>
      </c>
      <c r="AO16" s="254" t="s">
        <v>56</v>
      </c>
      <c r="AP16" s="254" t="s">
        <v>57</v>
      </c>
      <c r="AQ16" s="277" t="s">
        <v>58</v>
      </c>
      <c r="AR16" s="254" t="s">
        <v>59</v>
      </c>
      <c r="AS16" s="254" t="s">
        <v>60</v>
      </c>
      <c r="AT16" s="254" t="s">
        <v>61</v>
      </c>
      <c r="AU16" s="254" t="s">
        <v>62</v>
      </c>
      <c r="AV16" s="277" t="s">
        <v>63</v>
      </c>
      <c r="AW16" s="254" t="s">
        <v>64</v>
      </c>
      <c r="AX16" s="254" t="s">
        <v>65</v>
      </c>
      <c r="AY16" s="254" t="s">
        <v>66</v>
      </c>
      <c r="AZ16" s="254" t="s">
        <v>67</v>
      </c>
      <c r="BA16" s="303" t="s">
        <v>68</v>
      </c>
      <c r="BB16" s="303" t="s">
        <v>69</v>
      </c>
      <c r="BC16" s="303" t="s">
        <v>60</v>
      </c>
      <c r="BD16" s="303" t="s">
        <v>70</v>
      </c>
      <c r="BE16" s="303" t="s">
        <v>71</v>
      </c>
      <c r="BF16" s="303" t="s">
        <v>72</v>
      </c>
      <c r="BG16" s="303" t="s">
        <v>73</v>
      </c>
      <c r="BH16" s="303" t="s">
        <v>74</v>
      </c>
      <c r="BI16" s="303" t="s">
        <v>75</v>
      </c>
      <c r="BJ16" s="303" t="s">
        <v>76</v>
      </c>
      <c r="BK16" s="303" t="s">
        <v>77</v>
      </c>
      <c r="BL16" s="303" t="s">
        <v>78</v>
      </c>
      <c r="BM16" s="303" t="s">
        <v>79</v>
      </c>
      <c r="BN16" s="315" t="s">
        <v>80</v>
      </c>
      <c r="BO16" s="316" t="s">
        <v>81</v>
      </c>
      <c r="BP16" s="316" t="s">
        <v>82</v>
      </c>
      <c r="BQ16" s="317" t="s">
        <v>83</v>
      </c>
      <c r="BR16" s="318" t="s">
        <v>84</v>
      </c>
      <c r="BS16" s="319" t="s">
        <v>85</v>
      </c>
      <c r="BT16" s="319" t="s">
        <v>86</v>
      </c>
      <c r="BU16" s="319" t="s">
        <v>87</v>
      </c>
    </row>
    <row r="17" s="245" customFormat="1" ht="172.5" customHeight="1" spans="1:75">
      <c r="A17" s="255">
        <v>8</v>
      </c>
      <c r="B17" s="70" t="s">
        <v>129</v>
      </c>
      <c r="C17" s="129" t="s">
        <v>204</v>
      </c>
      <c r="D17" s="129" t="s">
        <v>2005</v>
      </c>
      <c r="E17" s="256" t="s">
        <v>113</v>
      </c>
      <c r="F17" s="256">
        <v>2067246166</v>
      </c>
      <c r="G17" s="257">
        <v>2308911</v>
      </c>
      <c r="H17" s="258">
        <f t="shared" si="16"/>
        <v>192409.25</v>
      </c>
      <c r="I17" s="258">
        <f t="shared" si="17"/>
        <v>22447.7458333333</v>
      </c>
      <c r="J17" s="258">
        <v>5000</v>
      </c>
      <c r="K17" s="258"/>
      <c r="L17" s="258"/>
      <c r="M17" s="258">
        <v>2500</v>
      </c>
      <c r="N17" s="258"/>
      <c r="O17" s="258"/>
      <c r="P17" s="258"/>
      <c r="Q17" s="258"/>
      <c r="R17" s="258"/>
      <c r="S17" s="258"/>
      <c r="T17" s="258"/>
      <c r="U17" s="258">
        <v>383.33</v>
      </c>
      <c r="V17" s="258"/>
      <c r="W17" s="265"/>
      <c r="X17" s="258"/>
      <c r="Y17" s="258"/>
      <c r="Z17" s="258"/>
      <c r="AA17" s="258"/>
      <c r="AB17" s="258"/>
      <c r="AC17" s="258"/>
      <c r="AD17" s="270"/>
      <c r="AE17" s="258"/>
      <c r="AF17" s="258">
        <v>4250</v>
      </c>
      <c r="AG17" s="270">
        <f t="shared" si="14"/>
        <v>3848.185</v>
      </c>
      <c r="AH17" s="270"/>
      <c r="AI17" s="282">
        <v>1000</v>
      </c>
      <c r="AJ17" s="279"/>
      <c r="AK17" s="279"/>
      <c r="AL17" s="279"/>
      <c r="AM17" s="281"/>
      <c r="AN17" s="258"/>
      <c r="AO17" s="299">
        <v>1500</v>
      </c>
      <c r="AP17" s="299"/>
      <c r="AQ17" s="299"/>
      <c r="AR17" s="299">
        <f t="shared" si="15"/>
        <v>4454.80651666667</v>
      </c>
      <c r="AS17" s="300"/>
      <c r="AT17" s="300"/>
      <c r="AU17" s="299">
        <f t="shared" si="18"/>
        <v>24587.0414066667</v>
      </c>
      <c r="AV17" s="299">
        <f>V17+U17+N17+M17+K17+J17+I17+H17</f>
        <v>222740.325833333</v>
      </c>
      <c r="AW17" s="299">
        <f>AU17+AR17+AQ17+AO17+AN17+AM17+AK17+AI17+AH17+AG17+AF17+AE17+AD17</f>
        <v>39640.0329233333</v>
      </c>
      <c r="AX17" s="299"/>
      <c r="AY17" s="299"/>
      <c r="AZ17" s="299">
        <f>AV17-AW17</f>
        <v>183100.29291</v>
      </c>
      <c r="BA17" s="305">
        <f>AV17*12</f>
        <v>2672883.91</v>
      </c>
      <c r="BB17" s="306">
        <f t="shared" si="1"/>
        <v>734576.782</v>
      </c>
      <c r="BC17" s="307">
        <f>AS17*12</f>
        <v>0</v>
      </c>
      <c r="BD17" s="308">
        <f t="shared" si="2"/>
        <v>734576.782</v>
      </c>
      <c r="BE17" s="313">
        <f t="shared" si="3"/>
        <v>1938307.128</v>
      </c>
      <c r="BF17" s="306"/>
      <c r="BG17" s="307">
        <f t="shared" si="4"/>
        <v>21000</v>
      </c>
      <c r="BH17" s="307">
        <f t="shared" si="5"/>
        <v>33000</v>
      </c>
      <c r="BI17" s="307">
        <f t="shared" si="6"/>
        <v>75000</v>
      </c>
      <c r="BJ17" s="307">
        <f t="shared" si="7"/>
        <v>95000</v>
      </c>
      <c r="BK17" s="307">
        <f t="shared" si="8"/>
        <v>71044.49688</v>
      </c>
      <c r="BL17" s="307" t="str">
        <f t="shared" si="9"/>
        <v/>
      </c>
      <c r="BM17" s="305">
        <f t="shared" si="10"/>
        <v>295044.49688</v>
      </c>
      <c r="BN17" s="320">
        <f t="shared" si="11"/>
        <v>26728.8391</v>
      </c>
      <c r="BO17" s="321">
        <f t="shared" si="12"/>
        <v>295044.49688</v>
      </c>
      <c r="BP17" s="322">
        <f t="shared" si="13"/>
        <v>24587.0414066667</v>
      </c>
      <c r="BQ17" s="323"/>
      <c r="BR17" s="324"/>
      <c r="BS17" s="325"/>
      <c r="BT17" s="326"/>
      <c r="BU17" s="326"/>
      <c r="BV17" s="334"/>
      <c r="BW17" s="335"/>
    </row>
    <row r="18" s="244" customFormat="1" ht="234" customHeight="1" spans="1:73">
      <c r="A18" s="250" t="s">
        <v>2</v>
      </c>
      <c r="B18" s="251" t="s">
        <v>3</v>
      </c>
      <c r="C18" s="252" t="s">
        <v>5</v>
      </c>
      <c r="D18" s="252" t="s">
        <v>6</v>
      </c>
      <c r="E18" s="253" t="s">
        <v>7</v>
      </c>
      <c r="F18" s="253" t="s">
        <v>8</v>
      </c>
      <c r="G18" s="254" t="s">
        <v>9</v>
      </c>
      <c r="H18" s="254" t="s">
        <v>14</v>
      </c>
      <c r="I18" s="268" t="s">
        <v>15</v>
      </c>
      <c r="J18" s="268" t="s">
        <v>16</v>
      </c>
      <c r="K18" s="268" t="s">
        <v>17</v>
      </c>
      <c r="L18" s="268" t="s">
        <v>18</v>
      </c>
      <c r="M18" s="268" t="s">
        <v>19</v>
      </c>
      <c r="N18" s="268" t="s">
        <v>20</v>
      </c>
      <c r="O18" s="268" t="s">
        <v>1992</v>
      </c>
      <c r="P18" s="268" t="s">
        <v>1993</v>
      </c>
      <c r="Q18" s="268" t="s">
        <v>22</v>
      </c>
      <c r="R18" s="268" t="s">
        <v>23</v>
      </c>
      <c r="S18" s="268" t="s">
        <v>24</v>
      </c>
      <c r="T18" s="268" t="s">
        <v>1994</v>
      </c>
      <c r="U18" s="268" t="s">
        <v>26</v>
      </c>
      <c r="V18" s="268" t="s">
        <v>27</v>
      </c>
      <c r="W18" s="269" t="s">
        <v>28</v>
      </c>
      <c r="X18" s="268" t="s">
        <v>29</v>
      </c>
      <c r="Y18" s="268" t="s">
        <v>30</v>
      </c>
      <c r="Z18" s="268" t="s">
        <v>31</v>
      </c>
      <c r="AA18" s="268" t="s">
        <v>32</v>
      </c>
      <c r="AB18" s="268" t="s">
        <v>33</v>
      </c>
      <c r="AC18" s="268"/>
      <c r="AD18" s="254" t="s">
        <v>34</v>
      </c>
      <c r="AE18" s="254" t="s">
        <v>35</v>
      </c>
      <c r="AF18" s="254" t="s">
        <v>1995</v>
      </c>
      <c r="AG18" s="272" t="s">
        <v>38</v>
      </c>
      <c r="AH18" s="273" t="s">
        <v>41</v>
      </c>
      <c r="AI18" s="274" t="s">
        <v>1996</v>
      </c>
      <c r="AJ18" s="275" t="s">
        <v>44</v>
      </c>
      <c r="AK18" s="276" t="s">
        <v>46</v>
      </c>
      <c r="AL18" s="276" t="s">
        <v>1997</v>
      </c>
      <c r="AM18" s="276" t="s">
        <v>52</v>
      </c>
      <c r="AN18" s="277" t="s">
        <v>55</v>
      </c>
      <c r="AO18" s="254" t="s">
        <v>56</v>
      </c>
      <c r="AP18" s="254" t="s">
        <v>57</v>
      </c>
      <c r="AQ18" s="277" t="s">
        <v>58</v>
      </c>
      <c r="AR18" s="254" t="s">
        <v>59</v>
      </c>
      <c r="AS18" s="254" t="s">
        <v>60</v>
      </c>
      <c r="AT18" s="254" t="s">
        <v>61</v>
      </c>
      <c r="AU18" s="254" t="s">
        <v>62</v>
      </c>
      <c r="AV18" s="277" t="s">
        <v>63</v>
      </c>
      <c r="AW18" s="254" t="s">
        <v>64</v>
      </c>
      <c r="AX18" s="254" t="s">
        <v>65</v>
      </c>
      <c r="AY18" s="254" t="s">
        <v>66</v>
      </c>
      <c r="AZ18" s="254" t="s">
        <v>67</v>
      </c>
      <c r="BA18" s="303" t="s">
        <v>68</v>
      </c>
      <c r="BB18" s="303" t="s">
        <v>69</v>
      </c>
      <c r="BC18" s="303" t="s">
        <v>60</v>
      </c>
      <c r="BD18" s="303" t="s">
        <v>70</v>
      </c>
      <c r="BE18" s="303" t="s">
        <v>71</v>
      </c>
      <c r="BF18" s="303" t="s">
        <v>72</v>
      </c>
      <c r="BG18" s="303" t="s">
        <v>73</v>
      </c>
      <c r="BH18" s="303" t="s">
        <v>74</v>
      </c>
      <c r="BI18" s="303" t="s">
        <v>75</v>
      </c>
      <c r="BJ18" s="303" t="s">
        <v>76</v>
      </c>
      <c r="BK18" s="303" t="s">
        <v>77</v>
      </c>
      <c r="BL18" s="303" t="s">
        <v>78</v>
      </c>
      <c r="BM18" s="303" t="s">
        <v>79</v>
      </c>
      <c r="BN18" s="315" t="s">
        <v>80</v>
      </c>
      <c r="BO18" s="316" t="s">
        <v>81</v>
      </c>
      <c r="BP18" s="316" t="s">
        <v>82</v>
      </c>
      <c r="BQ18" s="317" t="s">
        <v>83</v>
      </c>
      <c r="BR18" s="318" t="s">
        <v>84</v>
      </c>
      <c r="BS18" s="319" t="s">
        <v>85</v>
      </c>
      <c r="BT18" s="319" t="s">
        <v>86</v>
      </c>
      <c r="BU18" s="319" t="s">
        <v>87</v>
      </c>
    </row>
    <row r="19" s="245" customFormat="1" ht="172.5" customHeight="1" spans="1:75">
      <c r="A19" s="255">
        <v>9</v>
      </c>
      <c r="B19" s="70" t="s">
        <v>132</v>
      </c>
      <c r="C19" s="129" t="s">
        <v>130</v>
      </c>
      <c r="D19" s="129" t="s">
        <v>161</v>
      </c>
      <c r="E19" s="256" t="s">
        <v>135</v>
      </c>
      <c r="F19" s="1470" t="s">
        <v>136</v>
      </c>
      <c r="G19" s="257">
        <v>2688069</v>
      </c>
      <c r="H19" s="258">
        <f t="shared" si="16"/>
        <v>224005.75</v>
      </c>
      <c r="I19" s="258">
        <f t="shared" si="17"/>
        <v>26134.0041666667</v>
      </c>
      <c r="J19" s="258">
        <v>5000</v>
      </c>
      <c r="K19" s="258"/>
      <c r="L19" s="258"/>
      <c r="M19" s="258">
        <v>2500</v>
      </c>
      <c r="N19" s="258"/>
      <c r="O19" s="258"/>
      <c r="P19" s="258"/>
      <c r="Q19" s="258"/>
      <c r="R19" s="258"/>
      <c r="S19" s="258"/>
      <c r="T19" s="258"/>
      <c r="U19" s="258">
        <v>383.33</v>
      </c>
      <c r="V19" s="258"/>
      <c r="W19" s="265"/>
      <c r="X19" s="258"/>
      <c r="Y19" s="258"/>
      <c r="Z19" s="258"/>
      <c r="AA19" s="258"/>
      <c r="AB19" s="258"/>
      <c r="AC19" s="258"/>
      <c r="AD19" s="270"/>
      <c r="AE19" s="258"/>
      <c r="AF19" s="258">
        <v>500</v>
      </c>
      <c r="AG19" s="270">
        <f t="shared" si="14"/>
        <v>4480.115</v>
      </c>
      <c r="AH19" s="270"/>
      <c r="AI19" s="282">
        <v>1000</v>
      </c>
      <c r="AJ19" s="279"/>
      <c r="AK19" s="279"/>
      <c r="AL19" s="279"/>
      <c r="AM19" s="281">
        <f>19333.33+17500</f>
        <v>36833.33</v>
      </c>
      <c r="AN19" s="258"/>
      <c r="AO19" s="299">
        <v>1500</v>
      </c>
      <c r="AP19" s="299"/>
      <c r="AQ19" s="299"/>
      <c r="AR19" s="299">
        <f t="shared" si="15"/>
        <v>5160.46168333333</v>
      </c>
      <c r="AS19" s="300"/>
      <c r="AT19" s="300"/>
      <c r="AU19" s="299">
        <f t="shared" si="18"/>
        <v>30514.5448066667</v>
      </c>
      <c r="AV19" s="299">
        <f>W19+V19+U19+N19+M19+K19+J19+I19+H19</f>
        <v>258023.084166667</v>
      </c>
      <c r="AW19" s="299">
        <f t="shared" ref="AW19:AW24" si="19">AU19+AR19+AQ19+AO19+AN19+AM19+AK19+AI19+AH19+AG19+AF19+AE19+AD19</f>
        <v>79988.45149</v>
      </c>
      <c r="AX19" s="299"/>
      <c r="AY19" s="299"/>
      <c r="AZ19" s="299">
        <f t="shared" ref="AZ19:AZ50" si="20">AV19-AW19</f>
        <v>178034.632676667</v>
      </c>
      <c r="BA19" s="305">
        <f>AV19*12</f>
        <v>3096277.01</v>
      </c>
      <c r="BB19" s="306">
        <f t="shared" si="1"/>
        <v>819255.402</v>
      </c>
      <c r="BC19" s="307">
        <f>AS19*12</f>
        <v>0</v>
      </c>
      <c r="BD19" s="308">
        <f t="shared" si="2"/>
        <v>819255.402</v>
      </c>
      <c r="BE19" s="313">
        <f t="shared" si="3"/>
        <v>2277021.608</v>
      </c>
      <c r="BF19" s="306"/>
      <c r="BG19" s="307">
        <f t="shared" si="4"/>
        <v>21000</v>
      </c>
      <c r="BH19" s="307">
        <f t="shared" si="5"/>
        <v>33000</v>
      </c>
      <c r="BI19" s="307">
        <f t="shared" si="6"/>
        <v>75000</v>
      </c>
      <c r="BJ19" s="307">
        <f t="shared" si="7"/>
        <v>95000</v>
      </c>
      <c r="BK19" s="307">
        <f t="shared" si="8"/>
        <v>142174.53768</v>
      </c>
      <c r="BL19" s="307" t="str">
        <f t="shared" si="9"/>
        <v/>
      </c>
      <c r="BM19" s="305">
        <f t="shared" si="10"/>
        <v>366174.53768</v>
      </c>
      <c r="BN19" s="320">
        <f t="shared" si="11"/>
        <v>30962.7701</v>
      </c>
      <c r="BO19" s="321">
        <f t="shared" si="12"/>
        <v>366174.53768</v>
      </c>
      <c r="BP19" s="322">
        <f t="shared" si="13"/>
        <v>30514.5448066667</v>
      </c>
      <c r="BQ19" s="323"/>
      <c r="BR19" s="324"/>
      <c r="BS19" s="325"/>
      <c r="BT19" s="326"/>
      <c r="BU19" s="326"/>
      <c r="BV19" s="334"/>
      <c r="BW19" s="335"/>
    </row>
    <row r="20" s="245" customFormat="1" ht="172.5" customHeight="1" spans="1:75">
      <c r="A20" s="255">
        <v>10</v>
      </c>
      <c r="B20" s="70" t="s">
        <v>137</v>
      </c>
      <c r="C20" s="129" t="s">
        <v>143</v>
      </c>
      <c r="D20" s="129" t="s">
        <v>171</v>
      </c>
      <c r="E20" s="256" t="s">
        <v>135</v>
      </c>
      <c r="F20" s="1469" t="s">
        <v>140</v>
      </c>
      <c r="G20" s="257">
        <v>3588849</v>
      </c>
      <c r="H20" s="258">
        <v>296137.42</v>
      </c>
      <c r="I20" s="258">
        <f t="shared" si="17"/>
        <v>34549.3656666667</v>
      </c>
      <c r="J20" s="258">
        <v>5000</v>
      </c>
      <c r="K20" s="258"/>
      <c r="L20" s="258"/>
      <c r="M20" s="258">
        <v>2500</v>
      </c>
      <c r="N20" s="258"/>
      <c r="O20" s="258"/>
      <c r="P20" s="258"/>
      <c r="Q20" s="258"/>
      <c r="R20" s="258"/>
      <c r="S20" s="258"/>
      <c r="T20" s="258"/>
      <c r="U20" s="258">
        <v>383.33</v>
      </c>
      <c r="V20" s="258"/>
      <c r="W20" s="265"/>
      <c r="X20" s="258"/>
      <c r="Y20" s="258"/>
      <c r="Z20" s="258"/>
      <c r="AA20" s="258"/>
      <c r="AB20" s="258"/>
      <c r="AC20" s="258"/>
      <c r="AD20" s="270"/>
      <c r="AE20" s="258"/>
      <c r="AF20" s="258"/>
      <c r="AG20" s="270">
        <f t="shared" si="14"/>
        <v>5922.7484</v>
      </c>
      <c r="AH20" s="270">
        <v>10000</v>
      </c>
      <c r="AI20" s="282">
        <v>1000</v>
      </c>
      <c r="AJ20" s="279"/>
      <c r="AK20" s="279"/>
      <c r="AL20" s="279"/>
      <c r="AM20" s="281">
        <f>106250+12250</f>
        <v>118500</v>
      </c>
      <c r="AN20" s="258">
        <v>15000</v>
      </c>
      <c r="AO20" s="299">
        <v>2000</v>
      </c>
      <c r="AP20" s="299"/>
      <c r="AQ20" s="299"/>
      <c r="AR20" s="299">
        <f t="shared" si="15"/>
        <v>6771.40231333333</v>
      </c>
      <c r="AS20" s="300"/>
      <c r="AT20" s="300"/>
      <c r="AU20" s="299">
        <f t="shared" si="18"/>
        <v>44046.4460986667</v>
      </c>
      <c r="AV20" s="299">
        <f>V20+U20+N20+M20+K20+J20+I20+H20</f>
        <v>338570.115666667</v>
      </c>
      <c r="AW20" s="299">
        <f t="shared" si="19"/>
        <v>203240.596812</v>
      </c>
      <c r="AX20" s="299"/>
      <c r="AY20" s="299"/>
      <c r="AZ20" s="299">
        <f t="shared" si="20"/>
        <v>135329.518854667</v>
      </c>
      <c r="BA20" s="305">
        <f>AV20*12</f>
        <v>4062841.388</v>
      </c>
      <c r="BB20" s="306">
        <f t="shared" si="1"/>
        <v>1012568.2776</v>
      </c>
      <c r="BC20" s="307">
        <f>AS20*12</f>
        <v>0</v>
      </c>
      <c r="BD20" s="308">
        <f t="shared" si="2"/>
        <v>1012568.2776</v>
      </c>
      <c r="BE20" s="313">
        <f t="shared" si="3"/>
        <v>3050273.1104</v>
      </c>
      <c r="BF20" s="306"/>
      <c r="BG20" s="307">
        <f t="shared" si="4"/>
        <v>21000</v>
      </c>
      <c r="BH20" s="307">
        <f t="shared" si="5"/>
        <v>33000</v>
      </c>
      <c r="BI20" s="307">
        <f t="shared" si="6"/>
        <v>75000</v>
      </c>
      <c r="BJ20" s="307">
        <f t="shared" si="7"/>
        <v>95000</v>
      </c>
      <c r="BK20" s="307">
        <f t="shared" si="8"/>
        <v>304557.353184</v>
      </c>
      <c r="BL20" s="307" t="str">
        <f t="shared" si="9"/>
        <v/>
      </c>
      <c r="BM20" s="305">
        <f t="shared" si="10"/>
        <v>528557.353184</v>
      </c>
      <c r="BN20" s="320">
        <f t="shared" si="11"/>
        <v>40628.41388</v>
      </c>
      <c r="BO20" s="321">
        <f t="shared" si="12"/>
        <v>528557.353184</v>
      </c>
      <c r="BP20" s="322">
        <f t="shared" si="13"/>
        <v>44046.4460986667</v>
      </c>
      <c r="BQ20" s="323"/>
      <c r="BR20" s="324"/>
      <c r="BS20" s="325"/>
      <c r="BT20" s="326"/>
      <c r="BU20" s="326"/>
      <c r="BV20" s="334"/>
      <c r="BW20" s="335"/>
    </row>
    <row r="21" s="245" customFormat="1" ht="172.5" customHeight="1" spans="1:75">
      <c r="A21" s="255">
        <v>11</v>
      </c>
      <c r="B21" s="70" t="s">
        <v>147</v>
      </c>
      <c r="C21" s="129" t="s">
        <v>2006</v>
      </c>
      <c r="D21" s="129" t="s">
        <v>171</v>
      </c>
      <c r="E21" s="256" t="s">
        <v>151</v>
      </c>
      <c r="F21" s="256">
        <v>3013002388</v>
      </c>
      <c r="G21" s="257">
        <v>3588849</v>
      </c>
      <c r="H21" s="258">
        <v>296137.42</v>
      </c>
      <c r="I21" s="258">
        <f t="shared" si="17"/>
        <v>34549.3656666667</v>
      </c>
      <c r="J21" s="258">
        <v>5000</v>
      </c>
      <c r="K21" s="258"/>
      <c r="L21" s="258"/>
      <c r="M21" s="258">
        <v>2500</v>
      </c>
      <c r="N21" s="258"/>
      <c r="O21" s="258"/>
      <c r="P21" s="258"/>
      <c r="Q21" s="258"/>
      <c r="R21" s="258"/>
      <c r="S21" s="258"/>
      <c r="T21" s="258"/>
      <c r="U21" s="258">
        <v>383.33</v>
      </c>
      <c r="V21" s="258"/>
      <c r="W21" s="265"/>
      <c r="X21" s="258"/>
      <c r="Y21" s="258"/>
      <c r="Z21" s="258"/>
      <c r="AA21" s="258"/>
      <c r="AB21" s="258"/>
      <c r="AC21" s="258"/>
      <c r="AD21" s="270"/>
      <c r="AE21" s="258"/>
      <c r="AF21" s="258"/>
      <c r="AG21" s="270">
        <f t="shared" si="14"/>
        <v>5922.7484</v>
      </c>
      <c r="AH21" s="270">
        <v>10000</v>
      </c>
      <c r="AI21" s="282">
        <v>1000</v>
      </c>
      <c r="AJ21" s="279"/>
      <c r="AK21" s="279"/>
      <c r="AL21" s="279"/>
      <c r="AM21" s="281"/>
      <c r="AN21" s="258"/>
      <c r="AO21" s="299">
        <v>2000</v>
      </c>
      <c r="AP21" s="299"/>
      <c r="AQ21" s="299"/>
      <c r="AR21" s="299">
        <f t="shared" si="15"/>
        <v>6771.40231333333</v>
      </c>
      <c r="AS21" s="300"/>
      <c r="AT21" s="300"/>
      <c r="AU21" s="299">
        <f>AU20</f>
        <v>44046.4460986667</v>
      </c>
      <c r="AV21" s="299">
        <f>V21+U21+N21+M21+K21+J21+I21+H21</f>
        <v>338570.115666667</v>
      </c>
      <c r="AW21" s="299">
        <f t="shared" si="19"/>
        <v>69740.596812</v>
      </c>
      <c r="AX21" s="299"/>
      <c r="AY21" s="299"/>
      <c r="AZ21" s="299">
        <f t="shared" si="20"/>
        <v>268829.518854667</v>
      </c>
      <c r="BA21" s="305"/>
      <c r="BB21" s="306"/>
      <c r="BC21" s="307"/>
      <c r="BD21" s="308"/>
      <c r="BE21" s="313"/>
      <c r="BF21" s="306"/>
      <c r="BG21" s="307"/>
      <c r="BH21" s="307"/>
      <c r="BI21" s="307"/>
      <c r="BJ21" s="307"/>
      <c r="BK21" s="307"/>
      <c r="BL21" s="307"/>
      <c r="BM21" s="305"/>
      <c r="BN21" s="320"/>
      <c r="BO21" s="321"/>
      <c r="BP21" s="322">
        <f t="shared" si="13"/>
        <v>0</v>
      </c>
      <c r="BQ21" s="323"/>
      <c r="BR21" s="324"/>
      <c r="BS21" s="325"/>
      <c r="BT21" s="326"/>
      <c r="BU21" s="326"/>
      <c r="BV21" s="334"/>
      <c r="BW21" s="335"/>
    </row>
    <row r="22" s="245" customFormat="1" ht="172.5" customHeight="1" spans="1:75">
      <c r="A22" s="255">
        <v>12</v>
      </c>
      <c r="B22" s="70" t="s">
        <v>152</v>
      </c>
      <c r="C22" s="129" t="s">
        <v>130</v>
      </c>
      <c r="D22" s="129" t="s">
        <v>297</v>
      </c>
      <c r="E22" s="256" t="s">
        <v>93</v>
      </c>
      <c r="F22" s="256">
        <v>3041696126</v>
      </c>
      <c r="G22" s="257">
        <v>2688069</v>
      </c>
      <c r="H22" s="258">
        <f t="shared" si="16"/>
        <v>224005.75</v>
      </c>
      <c r="I22" s="258">
        <f t="shared" si="17"/>
        <v>26134.0041666667</v>
      </c>
      <c r="J22" s="258">
        <v>5000</v>
      </c>
      <c r="K22" s="258"/>
      <c r="L22" s="258"/>
      <c r="M22" s="258">
        <v>2500</v>
      </c>
      <c r="N22" s="258"/>
      <c r="O22" s="258"/>
      <c r="P22" s="258"/>
      <c r="Q22" s="258"/>
      <c r="R22" s="258"/>
      <c r="S22" s="258"/>
      <c r="T22" s="258"/>
      <c r="U22" s="258">
        <v>383.33</v>
      </c>
      <c r="V22" s="258"/>
      <c r="W22" s="265"/>
      <c r="X22" s="258"/>
      <c r="Y22" s="258"/>
      <c r="Z22" s="258"/>
      <c r="AA22" s="258"/>
      <c r="AB22" s="258"/>
      <c r="AC22" s="258"/>
      <c r="AD22" s="270"/>
      <c r="AE22" s="258"/>
      <c r="AF22" s="258">
        <v>3750</v>
      </c>
      <c r="AG22" s="270">
        <f t="shared" si="14"/>
        <v>4480.115</v>
      </c>
      <c r="AH22" s="270"/>
      <c r="AI22" s="282">
        <v>1000</v>
      </c>
      <c r="AJ22" s="279"/>
      <c r="AK22" s="279"/>
      <c r="AL22" s="279"/>
      <c r="AM22" s="281">
        <v>10000</v>
      </c>
      <c r="AN22" s="258">
        <v>10000</v>
      </c>
      <c r="AO22" s="299">
        <v>1500</v>
      </c>
      <c r="AP22" s="299">
        <v>2000</v>
      </c>
      <c r="AQ22" s="299"/>
      <c r="AR22" s="299">
        <f t="shared" si="15"/>
        <v>5160.46168333333</v>
      </c>
      <c r="AS22" s="300"/>
      <c r="AT22" s="300"/>
      <c r="AU22" s="299">
        <f t="shared" ref="AU22" si="21">BP22</f>
        <v>30514.5448066667</v>
      </c>
      <c r="AV22" s="299">
        <f>V22+U22+N22+M22+K22+J22+I22+H22</f>
        <v>258023.084166667</v>
      </c>
      <c r="AW22" s="299">
        <f t="shared" si="19"/>
        <v>66405.12149</v>
      </c>
      <c r="AX22" s="299"/>
      <c r="AY22" s="299"/>
      <c r="AZ22" s="299">
        <f t="shared" si="20"/>
        <v>191617.962676667</v>
      </c>
      <c r="BA22" s="305">
        <f t="shared" ref="BA22:BA53" si="22">AV22*12</f>
        <v>3096277.01</v>
      </c>
      <c r="BB22" s="306">
        <f t="shared" ref="BB22" si="23">200000+(0.2*BA22)</f>
        <v>819255.402</v>
      </c>
      <c r="BC22" s="307">
        <f t="shared" ref="BC22:BC53" si="24">AS22*12</f>
        <v>0</v>
      </c>
      <c r="BD22" s="308">
        <f t="shared" ref="BD22" si="25">SUM(BB22:BC22)</f>
        <v>819255.402</v>
      </c>
      <c r="BE22" s="313">
        <f t="shared" ref="BE22" si="26">+BA22-BD22</f>
        <v>2277021.608</v>
      </c>
      <c r="BF22" s="306"/>
      <c r="BG22" s="307">
        <f t="shared" ref="BG22" si="27">IF((BE22&gt;0),(IF((BE22&gt;300000),(300000*7%),(BE22*7%))),(BA22*1%))</f>
        <v>21000</v>
      </c>
      <c r="BH22" s="307">
        <f t="shared" ref="BH22" si="28">IF((BE22-300000)&gt;0,(IF((BE22&gt;600000),(300000*11%),((BE22-300000)*11%))),(""))</f>
        <v>33000</v>
      </c>
      <c r="BI22" s="307">
        <f t="shared" ref="BI22" si="29">IF(((BE22-600000)&gt;0),(IF((BE22&gt;1100000),(500000*15%),((BE22-600000)*15%))),(""))</f>
        <v>75000</v>
      </c>
      <c r="BJ22" s="307">
        <f t="shared" ref="BJ22" si="30">IF(((BE22-(1100000))&gt;0),(IF((BE22&gt;(1600000)),((500000)*19%),((BE22-(1100000))*19%))),(""))</f>
        <v>95000</v>
      </c>
      <c r="BK22" s="307">
        <f t="shared" ref="BK22" si="31">IF(((BE22-(1600000))&gt;0),(IF((BE22&gt;(3200000)),((1600000)*21%),((BE22-(1600000))*21%))),(""))</f>
        <v>142174.53768</v>
      </c>
      <c r="BL22" s="307" t="str">
        <f t="shared" ref="BL22" si="32">IF(((BE22-(3200000))&gt;0),(IF((BE22&gt;(3200000)),((BE22-(3200000))*24%),(0))),(""))</f>
        <v/>
      </c>
      <c r="BM22" s="305">
        <f t="shared" ref="BM22" si="33">SUM(BG22:BL22)</f>
        <v>366174.53768</v>
      </c>
      <c r="BN22" s="320">
        <f t="shared" ref="BN22" si="34">1%*BA22</f>
        <v>30962.7701</v>
      </c>
      <c r="BO22" s="321">
        <f t="shared" ref="BO22" si="35">MAX(BM22:BN22)</f>
        <v>366174.53768</v>
      </c>
      <c r="BP22" s="322">
        <f t="shared" si="13"/>
        <v>30514.5448066667</v>
      </c>
      <c r="BQ22" s="323"/>
      <c r="BR22" s="324"/>
      <c r="BS22" s="325"/>
      <c r="BT22" s="326"/>
      <c r="BU22" s="326"/>
      <c r="BV22" s="334"/>
      <c r="BW22" s="335"/>
    </row>
    <row r="23" s="245" customFormat="1" ht="179" customHeight="1" spans="1:75">
      <c r="A23" s="255">
        <v>13</v>
      </c>
      <c r="B23" s="70" t="s">
        <v>154</v>
      </c>
      <c r="C23" s="129" t="s">
        <v>155</v>
      </c>
      <c r="D23" s="129" t="s">
        <v>134</v>
      </c>
      <c r="E23" s="256" t="s">
        <v>157</v>
      </c>
      <c r="F23" s="1469" t="s">
        <v>158</v>
      </c>
      <c r="G23" s="257">
        <v>2863233</v>
      </c>
      <c r="H23" s="258">
        <f t="shared" si="16"/>
        <v>238602.75</v>
      </c>
      <c r="I23" s="258">
        <f t="shared" si="17"/>
        <v>27836.9875</v>
      </c>
      <c r="J23" s="258">
        <v>5000</v>
      </c>
      <c r="K23" s="258"/>
      <c r="L23" s="258"/>
      <c r="M23" s="258">
        <v>2500</v>
      </c>
      <c r="N23" s="258"/>
      <c r="O23" s="258"/>
      <c r="P23" s="258"/>
      <c r="Q23" s="258"/>
      <c r="R23" s="258"/>
      <c r="S23" s="258"/>
      <c r="T23" s="258"/>
      <c r="U23" s="258">
        <v>383.33</v>
      </c>
      <c r="V23" s="258"/>
      <c r="W23" s="265"/>
      <c r="X23" s="258"/>
      <c r="Y23" s="258"/>
      <c r="Z23" s="258"/>
      <c r="AA23" s="258"/>
      <c r="AB23" s="258"/>
      <c r="AC23" s="258"/>
      <c r="AD23" s="270"/>
      <c r="AE23" s="258"/>
      <c r="AF23" s="258"/>
      <c r="AG23" s="270">
        <f t="shared" si="14"/>
        <v>4772.055</v>
      </c>
      <c r="AH23" s="270"/>
      <c r="AI23" s="282">
        <v>1000</v>
      </c>
      <c r="AJ23" s="279"/>
      <c r="AK23" s="279"/>
      <c r="AL23" s="279"/>
      <c r="AM23" s="281"/>
      <c r="AN23" s="258">
        <v>15000</v>
      </c>
      <c r="AO23" s="299">
        <v>1500</v>
      </c>
      <c r="AP23" s="299"/>
      <c r="AQ23" s="299"/>
      <c r="AR23" s="299">
        <f t="shared" si="15"/>
        <v>5486.46135</v>
      </c>
      <c r="AS23" s="300"/>
      <c r="AT23" s="300"/>
      <c r="AU23" s="299">
        <f t="shared" si="18"/>
        <v>33252.9420066667</v>
      </c>
      <c r="AV23" s="299">
        <f>W23+V23+U23+N23+M23+K23+J23+I23+H23</f>
        <v>274323.0675</v>
      </c>
      <c r="AW23" s="299">
        <f t="shared" si="19"/>
        <v>61011.4583566667</v>
      </c>
      <c r="AX23" s="299"/>
      <c r="AY23" s="299"/>
      <c r="AZ23" s="299">
        <f t="shared" si="20"/>
        <v>213311.609143333</v>
      </c>
      <c r="BA23" s="305">
        <f t="shared" si="22"/>
        <v>3291876.81</v>
      </c>
      <c r="BB23" s="306">
        <f t="shared" si="1"/>
        <v>858375.362</v>
      </c>
      <c r="BC23" s="307">
        <f t="shared" si="24"/>
        <v>0</v>
      </c>
      <c r="BD23" s="308">
        <f t="shared" si="2"/>
        <v>858375.362</v>
      </c>
      <c r="BE23" s="313">
        <f t="shared" si="3"/>
        <v>2433501.448</v>
      </c>
      <c r="BF23" s="306"/>
      <c r="BG23" s="307">
        <f t="shared" si="4"/>
        <v>21000</v>
      </c>
      <c r="BH23" s="307">
        <f t="shared" si="5"/>
        <v>33000</v>
      </c>
      <c r="BI23" s="307">
        <f t="shared" si="6"/>
        <v>75000</v>
      </c>
      <c r="BJ23" s="307">
        <f t="shared" si="7"/>
        <v>95000</v>
      </c>
      <c r="BK23" s="307">
        <f t="shared" si="8"/>
        <v>175035.30408</v>
      </c>
      <c r="BL23" s="307" t="str">
        <f t="shared" si="9"/>
        <v/>
      </c>
      <c r="BM23" s="305">
        <f t="shared" si="10"/>
        <v>399035.30408</v>
      </c>
      <c r="BN23" s="320">
        <f t="shared" si="11"/>
        <v>32918.7681</v>
      </c>
      <c r="BO23" s="321">
        <f t="shared" si="12"/>
        <v>399035.30408</v>
      </c>
      <c r="BP23" s="322">
        <f t="shared" si="13"/>
        <v>33252.9420066667</v>
      </c>
      <c r="BQ23" s="323"/>
      <c r="BR23" s="324"/>
      <c r="BS23" s="325"/>
      <c r="BT23" s="326"/>
      <c r="BU23" s="326"/>
      <c r="BV23" s="334"/>
      <c r="BW23" s="335"/>
    </row>
    <row r="24" s="245" customFormat="1" ht="172.5" customHeight="1" spans="1:75">
      <c r="A24" s="255">
        <v>14</v>
      </c>
      <c r="B24" s="70" t="s">
        <v>2007</v>
      </c>
      <c r="C24" s="129" t="s">
        <v>130</v>
      </c>
      <c r="D24" s="129" t="s">
        <v>161</v>
      </c>
      <c r="E24" s="256" t="s">
        <v>127</v>
      </c>
      <c r="F24" s="1469" t="s">
        <v>2008</v>
      </c>
      <c r="G24" s="257">
        <f>G22</f>
        <v>2688069</v>
      </c>
      <c r="H24" s="258">
        <f t="shared" si="16"/>
        <v>224005.75</v>
      </c>
      <c r="I24" s="258">
        <f t="shared" si="17"/>
        <v>26134.0041666667</v>
      </c>
      <c r="J24" s="258">
        <v>5000</v>
      </c>
      <c r="K24" s="258"/>
      <c r="L24" s="258"/>
      <c r="M24" s="258">
        <v>2500</v>
      </c>
      <c r="N24" s="258"/>
      <c r="O24" s="258"/>
      <c r="P24" s="258"/>
      <c r="Q24" s="258"/>
      <c r="R24" s="258"/>
      <c r="S24" s="258"/>
      <c r="T24" s="258"/>
      <c r="U24" s="258">
        <v>383.33</v>
      </c>
      <c r="V24" s="258"/>
      <c r="W24" s="265"/>
      <c r="X24" s="258"/>
      <c r="Y24" s="258"/>
      <c r="Z24" s="258"/>
      <c r="AA24" s="258"/>
      <c r="AB24" s="258"/>
      <c r="AC24" s="258"/>
      <c r="AD24" s="270"/>
      <c r="AE24" s="258"/>
      <c r="AF24" s="258">
        <v>1250</v>
      </c>
      <c r="AG24" s="270">
        <f t="shared" si="14"/>
        <v>4480.115</v>
      </c>
      <c r="AH24" s="270"/>
      <c r="AI24" s="283">
        <v>1000</v>
      </c>
      <c r="AJ24" s="280"/>
      <c r="AK24" s="280"/>
      <c r="AL24" s="280"/>
      <c r="AM24" s="281"/>
      <c r="AN24" s="258">
        <v>8333.33</v>
      </c>
      <c r="AO24" s="299">
        <v>1500</v>
      </c>
      <c r="AP24" s="299"/>
      <c r="AQ24" s="299"/>
      <c r="AR24" s="299">
        <f t="shared" si="15"/>
        <v>5160.46168333333</v>
      </c>
      <c r="AS24" s="300"/>
      <c r="AT24" s="300"/>
      <c r="AU24" s="299">
        <f t="shared" si="18"/>
        <v>30514.5448066667</v>
      </c>
      <c r="AV24" s="299">
        <f>V24+U24+N24+M24+K24+J24+I24+H24</f>
        <v>258023.084166667</v>
      </c>
      <c r="AW24" s="299">
        <f t="shared" si="19"/>
        <v>52238.45149</v>
      </c>
      <c r="AX24" s="299"/>
      <c r="AY24" s="299"/>
      <c r="AZ24" s="299">
        <f t="shared" si="20"/>
        <v>205784.632676667</v>
      </c>
      <c r="BA24" s="305">
        <f t="shared" si="22"/>
        <v>3096277.01</v>
      </c>
      <c r="BB24" s="306">
        <f t="shared" si="1"/>
        <v>819255.402</v>
      </c>
      <c r="BC24" s="307">
        <f t="shared" si="24"/>
        <v>0</v>
      </c>
      <c r="BD24" s="308">
        <f t="shared" si="2"/>
        <v>819255.402</v>
      </c>
      <c r="BE24" s="313">
        <f t="shared" si="3"/>
        <v>2277021.608</v>
      </c>
      <c r="BF24" s="306"/>
      <c r="BG24" s="307">
        <f t="shared" si="4"/>
        <v>21000</v>
      </c>
      <c r="BH24" s="307">
        <f t="shared" si="5"/>
        <v>33000</v>
      </c>
      <c r="BI24" s="307">
        <f t="shared" si="6"/>
        <v>75000</v>
      </c>
      <c r="BJ24" s="307">
        <f t="shared" si="7"/>
        <v>95000</v>
      </c>
      <c r="BK24" s="307">
        <f t="shared" si="8"/>
        <v>142174.53768</v>
      </c>
      <c r="BL24" s="307" t="str">
        <f t="shared" si="9"/>
        <v/>
      </c>
      <c r="BM24" s="305">
        <f t="shared" si="10"/>
        <v>366174.53768</v>
      </c>
      <c r="BN24" s="320">
        <f t="shared" si="11"/>
        <v>30962.7701</v>
      </c>
      <c r="BO24" s="321">
        <f t="shared" si="12"/>
        <v>366174.53768</v>
      </c>
      <c r="BP24" s="322">
        <f t="shared" si="13"/>
        <v>30514.5448066667</v>
      </c>
      <c r="BQ24" s="323"/>
      <c r="BR24" s="324"/>
      <c r="BS24" s="325"/>
      <c r="BT24" s="326"/>
      <c r="BU24" s="326"/>
      <c r="BV24" s="334"/>
      <c r="BW24" s="335"/>
    </row>
    <row r="25" s="245" customFormat="1" ht="172.5" customHeight="1" spans="1:75">
      <c r="A25" s="255">
        <v>15</v>
      </c>
      <c r="B25" s="70" t="s">
        <v>159</v>
      </c>
      <c r="C25" s="129" t="s">
        <v>204</v>
      </c>
      <c r="D25" s="129" t="s">
        <v>126</v>
      </c>
      <c r="E25" s="128" t="s">
        <v>122</v>
      </c>
      <c r="F25" s="1469" t="s">
        <v>162</v>
      </c>
      <c r="G25" s="257">
        <v>2199496</v>
      </c>
      <c r="H25" s="258">
        <f t="shared" si="16"/>
        <v>183291.333333333</v>
      </c>
      <c r="I25" s="258">
        <f t="shared" si="17"/>
        <v>21383.9888888889</v>
      </c>
      <c r="J25" s="258">
        <v>5000</v>
      </c>
      <c r="K25" s="258"/>
      <c r="L25" s="258"/>
      <c r="M25" s="258">
        <v>2500</v>
      </c>
      <c r="N25" s="258"/>
      <c r="O25" s="258"/>
      <c r="P25" s="258"/>
      <c r="Q25" s="258"/>
      <c r="R25" s="258"/>
      <c r="S25" s="258"/>
      <c r="T25" s="258"/>
      <c r="U25" s="258">
        <v>383.33</v>
      </c>
      <c r="V25" s="258"/>
      <c r="W25" s="265"/>
      <c r="X25" s="258"/>
      <c r="Y25" s="258"/>
      <c r="Z25" s="258"/>
      <c r="AA25" s="258"/>
      <c r="AB25" s="258"/>
      <c r="AC25" s="258"/>
      <c r="AD25" s="270"/>
      <c r="AE25" s="258"/>
      <c r="AF25" s="258">
        <v>2250</v>
      </c>
      <c r="AG25" s="270">
        <f t="shared" si="14"/>
        <v>3665.82666666667</v>
      </c>
      <c r="AH25" s="270"/>
      <c r="AI25" s="278"/>
      <c r="AJ25" s="280"/>
      <c r="AK25" s="280"/>
      <c r="AL25" s="284">
        <v>1000</v>
      </c>
      <c r="AM25" s="281">
        <v>32125</v>
      </c>
      <c r="AN25" s="258"/>
      <c r="AO25" s="299">
        <v>1500</v>
      </c>
      <c r="AP25" s="299"/>
      <c r="AQ25" s="299"/>
      <c r="AR25" s="299">
        <f t="shared" si="15"/>
        <v>4251.17304444444</v>
      </c>
      <c r="AS25" s="300"/>
      <c r="AT25" s="300"/>
      <c r="AU25" s="299">
        <f t="shared" si="18"/>
        <v>22876.52024</v>
      </c>
      <c r="AV25" s="299">
        <f>W25+V25+U25+N25+M25+K25+J25+I25+H25</f>
        <v>212558.652222222</v>
      </c>
      <c r="AW25" s="299">
        <f>AU25+AR25+AO25+AM25+AL25+AG25+AF25</f>
        <v>67668.5199511111</v>
      </c>
      <c r="AX25" s="299"/>
      <c r="AY25" s="299"/>
      <c r="AZ25" s="299">
        <f t="shared" si="20"/>
        <v>144890.132271111</v>
      </c>
      <c r="BA25" s="305">
        <f t="shared" si="22"/>
        <v>2550703.82666667</v>
      </c>
      <c r="BB25" s="306">
        <f t="shared" si="1"/>
        <v>710140.765333334</v>
      </c>
      <c r="BC25" s="307">
        <f t="shared" si="24"/>
        <v>0</v>
      </c>
      <c r="BD25" s="308">
        <f t="shared" si="2"/>
        <v>710140.765333334</v>
      </c>
      <c r="BE25" s="313">
        <f t="shared" si="3"/>
        <v>1840563.06133333</v>
      </c>
      <c r="BF25" s="306"/>
      <c r="BG25" s="307">
        <f t="shared" si="4"/>
        <v>21000</v>
      </c>
      <c r="BH25" s="307">
        <f t="shared" si="5"/>
        <v>33000</v>
      </c>
      <c r="BI25" s="307">
        <f t="shared" si="6"/>
        <v>75000</v>
      </c>
      <c r="BJ25" s="307">
        <f t="shared" si="7"/>
        <v>95000</v>
      </c>
      <c r="BK25" s="307">
        <f t="shared" si="8"/>
        <v>50518.2428800001</v>
      </c>
      <c r="BL25" s="307" t="str">
        <f t="shared" si="9"/>
        <v/>
      </c>
      <c r="BM25" s="305">
        <f t="shared" si="10"/>
        <v>274518.24288</v>
      </c>
      <c r="BN25" s="320">
        <f t="shared" si="11"/>
        <v>25507.0382666667</v>
      </c>
      <c r="BO25" s="321">
        <f t="shared" si="12"/>
        <v>274518.24288</v>
      </c>
      <c r="BP25" s="322">
        <f t="shared" si="13"/>
        <v>22876.52024</v>
      </c>
      <c r="BQ25" s="323"/>
      <c r="BR25" s="324"/>
      <c r="BS25" s="325"/>
      <c r="BT25" s="326"/>
      <c r="BU25" s="326"/>
      <c r="BV25" s="334"/>
      <c r="BW25" s="335"/>
    </row>
    <row r="26" s="245" customFormat="1" ht="172.5" customHeight="1" spans="1:75">
      <c r="A26" s="255">
        <v>16</v>
      </c>
      <c r="B26" s="70" t="s">
        <v>163</v>
      </c>
      <c r="C26" s="129" t="s">
        <v>130</v>
      </c>
      <c r="D26" s="129" t="s">
        <v>161</v>
      </c>
      <c r="E26" s="256" t="s">
        <v>165</v>
      </c>
      <c r="F26" s="256">
        <v>2178561969</v>
      </c>
      <c r="G26" s="257">
        <f>G24</f>
        <v>2688069</v>
      </c>
      <c r="H26" s="258">
        <f t="shared" si="16"/>
        <v>224005.75</v>
      </c>
      <c r="I26" s="258">
        <f t="shared" si="17"/>
        <v>26134.0041666667</v>
      </c>
      <c r="J26" s="258">
        <v>5000</v>
      </c>
      <c r="K26" s="258"/>
      <c r="L26" s="258"/>
      <c r="M26" s="258">
        <v>2500</v>
      </c>
      <c r="N26" s="258"/>
      <c r="O26" s="258"/>
      <c r="P26" s="258"/>
      <c r="Q26" s="258"/>
      <c r="R26" s="258"/>
      <c r="S26" s="258"/>
      <c r="T26" s="258"/>
      <c r="U26" s="258">
        <v>383.33</v>
      </c>
      <c r="V26" s="258"/>
      <c r="W26" s="265"/>
      <c r="X26" s="258"/>
      <c r="Y26" s="258"/>
      <c r="Z26" s="258"/>
      <c r="AA26" s="258"/>
      <c r="AB26" s="258"/>
      <c r="AC26" s="258"/>
      <c r="AD26" s="270"/>
      <c r="AE26" s="258"/>
      <c r="AF26" s="258">
        <v>750</v>
      </c>
      <c r="AG26" s="270">
        <f t="shared" si="14"/>
        <v>4480.115</v>
      </c>
      <c r="AH26" s="270"/>
      <c r="AI26" s="278"/>
      <c r="AJ26" s="280"/>
      <c r="AK26" s="280"/>
      <c r="AL26" s="280"/>
      <c r="AM26" s="281"/>
      <c r="AN26" s="258">
        <v>10000</v>
      </c>
      <c r="AO26" s="299">
        <v>1500</v>
      </c>
      <c r="AP26" s="299"/>
      <c r="AQ26" s="299"/>
      <c r="AR26" s="299">
        <f t="shared" si="15"/>
        <v>5160.46168333333</v>
      </c>
      <c r="AS26" s="300"/>
      <c r="AT26" s="300"/>
      <c r="AU26" s="299">
        <f t="shared" si="18"/>
        <v>30514.5448066667</v>
      </c>
      <c r="AV26" s="299">
        <f>W26+V26+U26+N26+M26+K26+J26+I26+H26</f>
        <v>258023.084166667</v>
      </c>
      <c r="AW26" s="299">
        <f>AU26+AR26+AQ26+AO26+AN26+AM26+AK26+AI26+AH26+AG26+AF26+AE26+AD26</f>
        <v>52405.12149</v>
      </c>
      <c r="AX26" s="299"/>
      <c r="AY26" s="299"/>
      <c r="AZ26" s="299">
        <f t="shared" si="20"/>
        <v>205617.962676667</v>
      </c>
      <c r="BA26" s="305">
        <f t="shared" si="22"/>
        <v>3096277.01</v>
      </c>
      <c r="BB26" s="306">
        <f t="shared" si="1"/>
        <v>819255.402</v>
      </c>
      <c r="BC26" s="307">
        <f t="shared" si="24"/>
        <v>0</v>
      </c>
      <c r="BD26" s="308">
        <f t="shared" si="2"/>
        <v>819255.402</v>
      </c>
      <c r="BE26" s="313">
        <f t="shared" si="3"/>
        <v>2277021.608</v>
      </c>
      <c r="BF26" s="306"/>
      <c r="BG26" s="307">
        <f t="shared" si="4"/>
        <v>21000</v>
      </c>
      <c r="BH26" s="307">
        <f t="shared" si="5"/>
        <v>33000</v>
      </c>
      <c r="BI26" s="307">
        <f t="shared" si="6"/>
        <v>75000</v>
      </c>
      <c r="BJ26" s="307">
        <f t="shared" si="7"/>
        <v>95000</v>
      </c>
      <c r="BK26" s="307">
        <f t="shared" si="8"/>
        <v>142174.53768</v>
      </c>
      <c r="BL26" s="307" t="str">
        <f t="shared" si="9"/>
        <v/>
      </c>
      <c r="BM26" s="305">
        <f t="shared" si="10"/>
        <v>366174.53768</v>
      </c>
      <c r="BN26" s="320">
        <f t="shared" si="11"/>
        <v>30962.7701</v>
      </c>
      <c r="BO26" s="321">
        <f t="shared" si="12"/>
        <v>366174.53768</v>
      </c>
      <c r="BP26" s="322">
        <f t="shared" si="13"/>
        <v>30514.5448066667</v>
      </c>
      <c r="BQ26" s="323"/>
      <c r="BR26" s="324"/>
      <c r="BS26" s="325"/>
      <c r="BT26" s="326"/>
      <c r="BU26" s="326"/>
      <c r="BV26" s="334"/>
      <c r="BW26" s="335"/>
    </row>
    <row r="27" s="245" customFormat="1" ht="172.5" customHeight="1" spans="1:75">
      <c r="A27" s="255">
        <v>17</v>
      </c>
      <c r="B27" s="70" t="s">
        <v>166</v>
      </c>
      <c r="C27" s="129" t="s">
        <v>130</v>
      </c>
      <c r="D27" s="129" t="s">
        <v>2009</v>
      </c>
      <c r="E27" s="256" t="s">
        <v>135</v>
      </c>
      <c r="F27" s="1470" t="str">
        <f>'[10]FEB SALARY, 2022 BANK COPY'!$E$281</f>
        <v>0077210321</v>
      </c>
      <c r="G27" s="257">
        <v>2775651</v>
      </c>
      <c r="H27" s="258">
        <f t="shared" si="16"/>
        <v>231304.25</v>
      </c>
      <c r="I27" s="258">
        <f t="shared" si="17"/>
        <v>26985.4958333333</v>
      </c>
      <c r="J27" s="258">
        <v>5000</v>
      </c>
      <c r="K27" s="258">
        <v>20833.33</v>
      </c>
      <c r="L27" s="258"/>
      <c r="M27" s="258">
        <v>2500</v>
      </c>
      <c r="N27" s="258"/>
      <c r="O27" s="258"/>
      <c r="P27" s="258"/>
      <c r="Q27" s="258"/>
      <c r="R27" s="258"/>
      <c r="S27" s="258"/>
      <c r="T27" s="258"/>
      <c r="U27" s="258">
        <v>383.33</v>
      </c>
      <c r="V27" s="258">
        <v>30000</v>
      </c>
      <c r="W27" s="265"/>
      <c r="X27" s="258"/>
      <c r="Y27" s="258"/>
      <c r="Z27" s="258"/>
      <c r="AA27" s="258"/>
      <c r="AB27" s="258"/>
      <c r="AC27" s="258"/>
      <c r="AD27" s="270"/>
      <c r="AE27" s="258"/>
      <c r="AF27" s="258"/>
      <c r="AG27" s="270">
        <f t="shared" si="14"/>
        <v>4626.085</v>
      </c>
      <c r="AH27" s="270"/>
      <c r="AI27" s="278"/>
      <c r="AJ27" s="280"/>
      <c r="AK27" s="280"/>
      <c r="AL27" s="284">
        <v>1000</v>
      </c>
      <c r="AM27" s="281">
        <f>31875+17500</f>
        <v>49375</v>
      </c>
      <c r="AN27" s="258"/>
      <c r="AO27" s="299">
        <v>1500</v>
      </c>
      <c r="AP27" s="299"/>
      <c r="AQ27" s="299">
        <f>1250*2</f>
        <v>2500</v>
      </c>
      <c r="AR27" s="299">
        <f t="shared" si="15"/>
        <v>6340.12811666667</v>
      </c>
      <c r="AS27" s="300"/>
      <c r="AT27" s="300"/>
      <c r="AU27" s="299">
        <f t="shared" si="18"/>
        <v>40423.7428466667</v>
      </c>
      <c r="AV27" s="299">
        <f>V27+U27+N27+M27+K27+J27+I27+H27</f>
        <v>317006.405833333</v>
      </c>
      <c r="AW27" s="299">
        <f>AU27+AR27+AQ27+AO27+AN27+AM27+AK27+AI27+AH27+AG27+AF27+AE27+AD27+AL27</f>
        <v>105764.955963333</v>
      </c>
      <c r="AX27" s="299"/>
      <c r="AY27" s="299"/>
      <c r="AZ27" s="299">
        <f t="shared" si="20"/>
        <v>211241.44987</v>
      </c>
      <c r="BA27" s="305">
        <f t="shared" si="22"/>
        <v>3804076.87</v>
      </c>
      <c r="BB27" s="306">
        <f t="shared" si="1"/>
        <v>960815.374</v>
      </c>
      <c r="BC27" s="307">
        <f t="shared" si="24"/>
        <v>0</v>
      </c>
      <c r="BD27" s="308">
        <f t="shared" si="2"/>
        <v>960815.374</v>
      </c>
      <c r="BE27" s="313">
        <f t="shared" si="3"/>
        <v>2843261.496</v>
      </c>
      <c r="BF27" s="306"/>
      <c r="BG27" s="307">
        <f t="shared" si="4"/>
        <v>21000</v>
      </c>
      <c r="BH27" s="307">
        <f t="shared" si="5"/>
        <v>33000</v>
      </c>
      <c r="BI27" s="307">
        <f t="shared" si="6"/>
        <v>75000</v>
      </c>
      <c r="BJ27" s="307">
        <f t="shared" si="7"/>
        <v>95000</v>
      </c>
      <c r="BK27" s="307">
        <f t="shared" si="8"/>
        <v>261084.91416</v>
      </c>
      <c r="BL27" s="307" t="str">
        <f t="shared" si="9"/>
        <v/>
      </c>
      <c r="BM27" s="305">
        <f t="shared" si="10"/>
        <v>485084.91416</v>
      </c>
      <c r="BN27" s="320">
        <f t="shared" si="11"/>
        <v>38040.7687</v>
      </c>
      <c r="BO27" s="321">
        <f t="shared" si="12"/>
        <v>485084.91416</v>
      </c>
      <c r="BP27" s="322">
        <f t="shared" si="13"/>
        <v>40423.7428466667</v>
      </c>
      <c r="BQ27" s="323"/>
      <c r="BR27" s="324"/>
      <c r="BS27" s="325"/>
      <c r="BT27" s="326"/>
      <c r="BU27" s="326"/>
      <c r="BV27" s="334"/>
      <c r="BW27" s="335"/>
    </row>
    <row r="28" s="245" customFormat="1" ht="172.5" customHeight="1" spans="1:75">
      <c r="A28" s="255">
        <v>18</v>
      </c>
      <c r="B28" s="70" t="s">
        <v>170</v>
      </c>
      <c r="C28" s="129" t="s">
        <v>204</v>
      </c>
      <c r="D28" s="129" t="s">
        <v>2010</v>
      </c>
      <c r="E28" s="256" t="s">
        <v>127</v>
      </c>
      <c r="F28" s="1470" t="s">
        <v>2011</v>
      </c>
      <c r="G28" s="257">
        <v>2035373</v>
      </c>
      <c r="H28" s="258">
        <f t="shared" si="16"/>
        <v>169614.416666667</v>
      </c>
      <c r="I28" s="258">
        <f t="shared" si="17"/>
        <v>19788.3486111111</v>
      </c>
      <c r="J28" s="258">
        <v>5000</v>
      </c>
      <c r="K28" s="258"/>
      <c r="L28" s="258"/>
      <c r="M28" s="258">
        <v>2500</v>
      </c>
      <c r="N28" s="258"/>
      <c r="O28" s="258"/>
      <c r="P28" s="258"/>
      <c r="Q28" s="258"/>
      <c r="R28" s="258"/>
      <c r="S28" s="258"/>
      <c r="T28" s="258"/>
      <c r="U28" s="258">
        <v>383.33</v>
      </c>
      <c r="V28" s="258"/>
      <c r="W28" s="265"/>
      <c r="X28" s="258"/>
      <c r="Y28" s="258"/>
      <c r="Z28" s="258"/>
      <c r="AA28" s="258"/>
      <c r="AB28" s="258"/>
      <c r="AC28" s="258"/>
      <c r="AD28" s="270"/>
      <c r="AE28" s="258"/>
      <c r="AF28" s="258"/>
      <c r="AG28" s="270">
        <f t="shared" si="14"/>
        <v>3392.28833333333</v>
      </c>
      <c r="AH28" s="270"/>
      <c r="AI28" s="278"/>
      <c r="AJ28" s="280"/>
      <c r="AK28" s="280"/>
      <c r="AL28" s="284">
        <v>1000</v>
      </c>
      <c r="AM28" s="281"/>
      <c r="AN28" s="258"/>
      <c r="AO28" s="299">
        <v>1500</v>
      </c>
      <c r="AP28" s="299"/>
      <c r="AQ28" s="299"/>
      <c r="AR28" s="299">
        <f t="shared" si="15"/>
        <v>3945.72190555556</v>
      </c>
      <c r="AS28" s="300"/>
      <c r="AT28" s="300"/>
      <c r="AU28" s="299">
        <f t="shared" si="18"/>
        <v>20310.7306733333</v>
      </c>
      <c r="AV28" s="299">
        <f>W28+V28+U28+N28+M28+K28+J28+I28+H28</f>
        <v>197286.095277778</v>
      </c>
      <c r="AW28" s="299">
        <f>AU28+AR28+AQ28+AO28+AN28+AM28+AK28+AI28+AH28+AG28+AF28+AE28+AD28+AL28</f>
        <v>30148.7409122222</v>
      </c>
      <c r="AX28" s="299"/>
      <c r="AY28" s="299"/>
      <c r="AZ28" s="299">
        <f t="shared" si="20"/>
        <v>167137.354365556</v>
      </c>
      <c r="BA28" s="305">
        <f t="shared" si="22"/>
        <v>2367433.14333333</v>
      </c>
      <c r="BB28" s="306">
        <f t="shared" si="1"/>
        <v>673486.628666667</v>
      </c>
      <c r="BC28" s="307">
        <f t="shared" si="24"/>
        <v>0</v>
      </c>
      <c r="BD28" s="308">
        <f t="shared" si="2"/>
        <v>673486.628666667</v>
      </c>
      <c r="BE28" s="313">
        <f t="shared" si="3"/>
        <v>1693946.51466667</v>
      </c>
      <c r="BF28" s="306"/>
      <c r="BG28" s="307">
        <f t="shared" si="4"/>
        <v>21000</v>
      </c>
      <c r="BH28" s="307">
        <f t="shared" si="5"/>
        <v>33000</v>
      </c>
      <c r="BI28" s="307">
        <f t="shared" si="6"/>
        <v>75000</v>
      </c>
      <c r="BJ28" s="307">
        <f t="shared" si="7"/>
        <v>95000</v>
      </c>
      <c r="BK28" s="307">
        <f t="shared" si="8"/>
        <v>19728.76808</v>
      </c>
      <c r="BL28" s="307" t="str">
        <f t="shared" si="9"/>
        <v/>
      </c>
      <c r="BM28" s="305">
        <f t="shared" si="10"/>
        <v>243728.76808</v>
      </c>
      <c r="BN28" s="320">
        <f t="shared" si="11"/>
        <v>23674.3314333333</v>
      </c>
      <c r="BO28" s="321">
        <f t="shared" si="12"/>
        <v>243728.76808</v>
      </c>
      <c r="BP28" s="322">
        <f t="shared" si="13"/>
        <v>20310.7306733333</v>
      </c>
      <c r="BQ28" s="323"/>
      <c r="BR28" s="324"/>
      <c r="BS28" s="325"/>
      <c r="BT28" s="326"/>
      <c r="BU28" s="326"/>
      <c r="BV28" s="334"/>
      <c r="BW28" s="335"/>
    </row>
    <row r="29" s="245" customFormat="1" ht="172.5" customHeight="1" spans="1:75">
      <c r="A29" s="255">
        <v>19</v>
      </c>
      <c r="B29" s="70" t="s">
        <v>173</v>
      </c>
      <c r="C29" s="129" t="s">
        <v>2012</v>
      </c>
      <c r="D29" s="129" t="s">
        <v>2013</v>
      </c>
      <c r="E29" s="128" t="s">
        <v>122</v>
      </c>
      <c r="F29" s="1470" t="s">
        <v>175</v>
      </c>
      <c r="G29" s="257">
        <v>1980666</v>
      </c>
      <c r="H29" s="258">
        <f t="shared" si="16"/>
        <v>165055.5</v>
      </c>
      <c r="I29" s="258">
        <f t="shared" si="17"/>
        <v>19256.475</v>
      </c>
      <c r="J29" s="258">
        <v>5000</v>
      </c>
      <c r="K29" s="258"/>
      <c r="L29" s="258"/>
      <c r="M29" s="258">
        <v>2500</v>
      </c>
      <c r="N29" s="258"/>
      <c r="O29" s="258"/>
      <c r="P29" s="258"/>
      <c r="Q29" s="258"/>
      <c r="R29" s="258"/>
      <c r="S29" s="258"/>
      <c r="T29" s="258"/>
      <c r="U29" s="258">
        <v>383.33</v>
      </c>
      <c r="V29" s="258"/>
      <c r="W29" s="265"/>
      <c r="X29" s="258"/>
      <c r="Y29" s="258"/>
      <c r="Z29" s="258"/>
      <c r="AA29" s="258"/>
      <c r="AB29" s="258"/>
      <c r="AC29" s="258"/>
      <c r="AD29" s="270"/>
      <c r="AE29" s="258"/>
      <c r="AF29" s="258">
        <f>3150+500</f>
        <v>3650</v>
      </c>
      <c r="AG29" s="270">
        <f t="shared" si="14"/>
        <v>3301.11</v>
      </c>
      <c r="AH29" s="270"/>
      <c r="AI29" s="278"/>
      <c r="AJ29" s="280"/>
      <c r="AK29" s="280"/>
      <c r="AL29" s="284">
        <v>1000</v>
      </c>
      <c r="AM29" s="281"/>
      <c r="AN29" s="258"/>
      <c r="AO29" s="299">
        <v>1500</v>
      </c>
      <c r="AP29" s="299"/>
      <c r="AQ29" s="299"/>
      <c r="AR29" s="299">
        <f t="shared" si="15"/>
        <v>3843.9061</v>
      </c>
      <c r="AS29" s="300"/>
      <c r="AT29" s="300"/>
      <c r="AU29" s="299">
        <f t="shared" si="18"/>
        <v>19455.4779066667</v>
      </c>
      <c r="AV29" s="299">
        <f>V29+U29+N29+M29+K29+J29+I29+H29</f>
        <v>192195.305</v>
      </c>
      <c r="AW29" s="299">
        <f>AU29+AR29+AQ29+AO29+AN29+AM29+AK29+AI29+AH29+AG29+AF29+AE29+AD29+AL29</f>
        <v>32750.4940066667</v>
      </c>
      <c r="AX29" s="299"/>
      <c r="AY29" s="299"/>
      <c r="AZ29" s="299">
        <f t="shared" si="20"/>
        <v>159444.810993333</v>
      </c>
      <c r="BA29" s="305">
        <f t="shared" si="22"/>
        <v>2306343.66</v>
      </c>
      <c r="BB29" s="306">
        <f t="shared" si="1"/>
        <v>661268.732</v>
      </c>
      <c r="BC29" s="307">
        <f t="shared" si="24"/>
        <v>0</v>
      </c>
      <c r="BD29" s="308">
        <f t="shared" si="2"/>
        <v>661268.732</v>
      </c>
      <c r="BE29" s="313">
        <f t="shared" si="3"/>
        <v>1645074.928</v>
      </c>
      <c r="BF29" s="306"/>
      <c r="BG29" s="307">
        <f t="shared" si="4"/>
        <v>21000</v>
      </c>
      <c r="BH29" s="307">
        <f t="shared" si="5"/>
        <v>33000</v>
      </c>
      <c r="BI29" s="307">
        <f t="shared" si="6"/>
        <v>75000</v>
      </c>
      <c r="BJ29" s="307">
        <f t="shared" si="7"/>
        <v>95000</v>
      </c>
      <c r="BK29" s="307">
        <f t="shared" si="8"/>
        <v>9465.73488000001</v>
      </c>
      <c r="BL29" s="307" t="str">
        <f t="shared" si="9"/>
        <v/>
      </c>
      <c r="BM29" s="305">
        <f t="shared" si="10"/>
        <v>233465.73488</v>
      </c>
      <c r="BN29" s="320">
        <f t="shared" si="11"/>
        <v>23063.4366</v>
      </c>
      <c r="BO29" s="321">
        <f t="shared" si="12"/>
        <v>233465.73488</v>
      </c>
      <c r="BP29" s="322">
        <f t="shared" si="13"/>
        <v>19455.4779066667</v>
      </c>
      <c r="BQ29" s="323"/>
      <c r="BR29" s="324"/>
      <c r="BS29" s="325"/>
      <c r="BT29" s="326"/>
      <c r="BU29" s="326"/>
      <c r="BV29" s="334"/>
      <c r="BW29" s="335"/>
    </row>
    <row r="30" s="245" customFormat="1" ht="172.5" customHeight="1" spans="1:75">
      <c r="A30" s="255">
        <v>20</v>
      </c>
      <c r="B30" s="70" t="s">
        <v>180</v>
      </c>
      <c r="C30" s="129" t="s">
        <v>204</v>
      </c>
      <c r="D30" s="129" t="s">
        <v>2005</v>
      </c>
      <c r="E30" s="256" t="s">
        <v>135</v>
      </c>
      <c r="F30" s="1469" t="s">
        <v>181</v>
      </c>
      <c r="G30" s="257">
        <v>2308911</v>
      </c>
      <c r="H30" s="258">
        <f t="shared" si="16"/>
        <v>192409.25</v>
      </c>
      <c r="I30" s="258">
        <f t="shared" si="17"/>
        <v>22447.7458333333</v>
      </c>
      <c r="J30" s="258">
        <v>5000</v>
      </c>
      <c r="K30" s="258"/>
      <c r="L30" s="258"/>
      <c r="M30" s="258">
        <v>2500</v>
      </c>
      <c r="N30" s="258"/>
      <c r="O30" s="258"/>
      <c r="P30" s="258"/>
      <c r="Q30" s="258"/>
      <c r="R30" s="258"/>
      <c r="S30" s="258"/>
      <c r="T30" s="258"/>
      <c r="U30" s="258">
        <v>383.33</v>
      </c>
      <c r="V30" s="258"/>
      <c r="W30" s="265"/>
      <c r="X30" s="258"/>
      <c r="Y30" s="258"/>
      <c r="Z30" s="258"/>
      <c r="AA30" s="258"/>
      <c r="AB30" s="258"/>
      <c r="AC30" s="258"/>
      <c r="AD30" s="270"/>
      <c r="AE30" s="258"/>
      <c r="AF30" s="258">
        <v>2500</v>
      </c>
      <c r="AG30" s="270">
        <f t="shared" si="14"/>
        <v>3848.185</v>
      </c>
      <c r="AH30" s="270"/>
      <c r="AI30" s="278"/>
      <c r="AJ30" s="280"/>
      <c r="AK30" s="280"/>
      <c r="AL30" s="284">
        <v>1000</v>
      </c>
      <c r="AM30" s="281">
        <v>62441.67</v>
      </c>
      <c r="AN30" s="258"/>
      <c r="AO30" s="299">
        <v>1500</v>
      </c>
      <c r="AP30" s="299"/>
      <c r="AQ30" s="299"/>
      <c r="AR30" s="299">
        <f t="shared" si="15"/>
        <v>4454.80651666667</v>
      </c>
      <c r="AS30" s="300"/>
      <c r="AT30" s="300"/>
      <c r="AU30" s="299">
        <f t="shared" si="18"/>
        <v>24587.0414066667</v>
      </c>
      <c r="AV30" s="299">
        <f>W30+V30+U30+N30+M30+K30+J30+I30+H30</f>
        <v>222740.325833333</v>
      </c>
      <c r="AW30" s="299">
        <f>AU30+AR30+AQ30+AO30+AN30+AM30+AK30+AI30+AH30+AG30+AF30+AE30+AD30+AL30</f>
        <v>100331.702923333</v>
      </c>
      <c r="AX30" s="299"/>
      <c r="AY30" s="299"/>
      <c r="AZ30" s="299">
        <f t="shared" si="20"/>
        <v>122408.62291</v>
      </c>
      <c r="BA30" s="305">
        <f t="shared" si="22"/>
        <v>2672883.91</v>
      </c>
      <c r="BB30" s="306">
        <f t="shared" si="1"/>
        <v>734576.782</v>
      </c>
      <c r="BC30" s="307">
        <f t="shared" si="24"/>
        <v>0</v>
      </c>
      <c r="BD30" s="308">
        <f t="shared" si="2"/>
        <v>734576.782</v>
      </c>
      <c r="BE30" s="313">
        <f t="shared" si="3"/>
        <v>1938307.128</v>
      </c>
      <c r="BF30" s="306"/>
      <c r="BG30" s="307">
        <f t="shared" si="4"/>
        <v>21000</v>
      </c>
      <c r="BH30" s="307">
        <f t="shared" si="5"/>
        <v>33000</v>
      </c>
      <c r="BI30" s="307">
        <f t="shared" si="6"/>
        <v>75000</v>
      </c>
      <c r="BJ30" s="307">
        <f t="shared" si="7"/>
        <v>95000</v>
      </c>
      <c r="BK30" s="307">
        <f t="shared" si="8"/>
        <v>71044.49688</v>
      </c>
      <c r="BL30" s="307" t="str">
        <f t="shared" si="9"/>
        <v/>
      </c>
      <c r="BM30" s="305">
        <f t="shared" si="10"/>
        <v>295044.49688</v>
      </c>
      <c r="BN30" s="320">
        <f t="shared" si="11"/>
        <v>26728.8391</v>
      </c>
      <c r="BO30" s="321">
        <f t="shared" si="12"/>
        <v>295044.49688</v>
      </c>
      <c r="BP30" s="322">
        <f t="shared" si="13"/>
        <v>24587.0414066667</v>
      </c>
      <c r="BQ30" s="323"/>
      <c r="BR30" s="324"/>
      <c r="BS30" s="325"/>
      <c r="BT30" s="326"/>
      <c r="BU30" s="326"/>
      <c r="BV30" s="334"/>
      <c r="BW30" s="335"/>
    </row>
    <row r="31" s="245" customFormat="1" ht="172.5" customHeight="1" spans="1:75">
      <c r="A31" s="255">
        <v>21</v>
      </c>
      <c r="B31" s="70" t="s">
        <v>182</v>
      </c>
      <c r="C31" s="129" t="s">
        <v>130</v>
      </c>
      <c r="D31" s="129" t="s">
        <v>161</v>
      </c>
      <c r="E31" s="256" t="s">
        <v>135</v>
      </c>
      <c r="F31" s="1469" t="s">
        <v>2014</v>
      </c>
      <c r="G31" s="257">
        <v>2688069</v>
      </c>
      <c r="H31" s="258">
        <f t="shared" si="16"/>
        <v>224005.75</v>
      </c>
      <c r="I31" s="258">
        <f t="shared" si="17"/>
        <v>26134.0041666667</v>
      </c>
      <c r="J31" s="258">
        <v>5000</v>
      </c>
      <c r="K31" s="258">
        <f>K27</f>
        <v>20833.33</v>
      </c>
      <c r="L31" s="258"/>
      <c r="M31" s="258">
        <v>2500</v>
      </c>
      <c r="N31" s="258"/>
      <c r="O31" s="258"/>
      <c r="P31" s="258"/>
      <c r="Q31" s="258"/>
      <c r="R31" s="258"/>
      <c r="S31" s="258"/>
      <c r="T31" s="258"/>
      <c r="U31" s="258">
        <v>383.33</v>
      </c>
      <c r="V31" s="258"/>
      <c r="W31" s="265"/>
      <c r="X31" s="258"/>
      <c r="Y31" s="258"/>
      <c r="Z31" s="258"/>
      <c r="AA31" s="258"/>
      <c r="AB31" s="258"/>
      <c r="AC31" s="258"/>
      <c r="AD31" s="270"/>
      <c r="AE31" s="258"/>
      <c r="AF31" s="258">
        <v>500</v>
      </c>
      <c r="AG31" s="270">
        <f t="shared" si="14"/>
        <v>4480.115</v>
      </c>
      <c r="AH31" s="270">
        <f>20000</f>
        <v>20000</v>
      </c>
      <c r="AI31" s="282">
        <v>1000</v>
      </c>
      <c r="AJ31" s="279"/>
      <c r="AK31" s="279"/>
      <c r="AL31" s="279"/>
      <c r="AM31" s="281">
        <f>10000+17500</f>
        <v>27500</v>
      </c>
      <c r="AN31" s="258"/>
      <c r="AO31" s="299">
        <v>1500</v>
      </c>
      <c r="AP31" s="299"/>
      <c r="AQ31" s="299"/>
      <c r="AR31" s="299">
        <f t="shared" si="15"/>
        <v>5577.12828333333</v>
      </c>
      <c r="AS31" s="300"/>
      <c r="AT31" s="300"/>
      <c r="AU31" s="299">
        <f t="shared" si="18"/>
        <v>34014.5442466667</v>
      </c>
      <c r="AV31" s="299">
        <f>W31+V31+U31+N31+M31+K31+J31+I31+H31</f>
        <v>278856.414166667</v>
      </c>
      <c r="AW31" s="299">
        <f>AU31+AR31+AQ31+AO31+AN31+AM31+AK31+AI31+AH31+AG31+AF31+AE31+AD31</f>
        <v>94571.78753</v>
      </c>
      <c r="AX31" s="299"/>
      <c r="AY31" s="299"/>
      <c r="AZ31" s="299">
        <f t="shared" si="20"/>
        <v>184284.626636667</v>
      </c>
      <c r="BA31" s="305">
        <f t="shared" si="22"/>
        <v>3346276.97</v>
      </c>
      <c r="BB31" s="306">
        <f t="shared" si="1"/>
        <v>869255.394</v>
      </c>
      <c r="BC31" s="307">
        <f t="shared" si="24"/>
        <v>0</v>
      </c>
      <c r="BD31" s="308">
        <f t="shared" si="2"/>
        <v>869255.394</v>
      </c>
      <c r="BE31" s="313">
        <f t="shared" si="3"/>
        <v>2477021.576</v>
      </c>
      <c r="BF31" s="306"/>
      <c r="BG31" s="307">
        <f t="shared" si="4"/>
        <v>21000</v>
      </c>
      <c r="BH31" s="307">
        <f t="shared" si="5"/>
        <v>33000</v>
      </c>
      <c r="BI31" s="307">
        <f t="shared" si="6"/>
        <v>75000</v>
      </c>
      <c r="BJ31" s="307">
        <f t="shared" si="7"/>
        <v>95000</v>
      </c>
      <c r="BK31" s="307">
        <f t="shared" si="8"/>
        <v>184174.53096</v>
      </c>
      <c r="BL31" s="307" t="str">
        <f t="shared" si="9"/>
        <v/>
      </c>
      <c r="BM31" s="305">
        <f t="shared" si="10"/>
        <v>408174.53096</v>
      </c>
      <c r="BN31" s="320">
        <f t="shared" si="11"/>
        <v>33462.7697</v>
      </c>
      <c r="BO31" s="321">
        <f t="shared" si="12"/>
        <v>408174.53096</v>
      </c>
      <c r="BP31" s="322">
        <f t="shared" si="13"/>
        <v>34014.5442466667</v>
      </c>
      <c r="BQ31" s="323"/>
      <c r="BR31" s="324"/>
      <c r="BS31" s="325"/>
      <c r="BT31" s="326"/>
      <c r="BU31" s="326"/>
      <c r="BV31" s="334"/>
      <c r="BW31" s="335"/>
    </row>
    <row r="32" s="245" customFormat="1" ht="172.5" customHeight="1" spans="1:75">
      <c r="A32" s="255">
        <v>22</v>
      </c>
      <c r="B32" s="70" t="s">
        <v>184</v>
      </c>
      <c r="C32" s="129" t="s">
        <v>143</v>
      </c>
      <c r="D32" s="129" t="s">
        <v>2015</v>
      </c>
      <c r="E32" s="256" t="s">
        <v>93</v>
      </c>
      <c r="F32" s="256">
        <v>2035909165</v>
      </c>
      <c r="G32" s="257">
        <v>4432861</v>
      </c>
      <c r="H32" s="258">
        <f t="shared" ref="H32:H44" si="36">G32/12</f>
        <v>369405.083333333</v>
      </c>
      <c r="I32" s="258">
        <f t="shared" si="17"/>
        <v>43097.2597222222</v>
      </c>
      <c r="J32" s="258">
        <v>5000</v>
      </c>
      <c r="K32" s="258"/>
      <c r="L32" s="258"/>
      <c r="M32" s="258">
        <v>2500</v>
      </c>
      <c r="N32" s="258"/>
      <c r="O32" s="258"/>
      <c r="P32" s="258"/>
      <c r="Q32" s="258"/>
      <c r="R32" s="258"/>
      <c r="S32" s="258"/>
      <c r="T32" s="258"/>
      <c r="U32" s="258">
        <v>383.33</v>
      </c>
      <c r="V32" s="258"/>
      <c r="W32" s="265"/>
      <c r="X32" s="258"/>
      <c r="Y32" s="258"/>
      <c r="Z32" s="258"/>
      <c r="AA32" s="258"/>
      <c r="AB32" s="258"/>
      <c r="AC32" s="258"/>
      <c r="AD32" s="270"/>
      <c r="AE32" s="258"/>
      <c r="AF32" s="258"/>
      <c r="AG32" s="270">
        <f t="shared" si="14"/>
        <v>7388.10166666667</v>
      </c>
      <c r="AH32" s="270"/>
      <c r="AI32" s="278"/>
      <c r="AJ32" s="279">
        <v>1000</v>
      </c>
      <c r="AK32" s="280"/>
      <c r="AL32" s="280"/>
      <c r="AM32" s="281">
        <v>15000</v>
      </c>
      <c r="AN32" s="258">
        <v>15000</v>
      </c>
      <c r="AO32" s="299">
        <v>2000</v>
      </c>
      <c r="AP32" s="299"/>
      <c r="AQ32" s="299"/>
      <c r="AR32" s="299">
        <f t="shared" si="15"/>
        <v>8407.71346111111</v>
      </c>
      <c r="AS32" s="300"/>
      <c r="AT32" s="300"/>
      <c r="AU32" s="299">
        <f t="shared" si="18"/>
        <v>59380.7158933333</v>
      </c>
      <c r="AV32" s="299">
        <f>V32+U32+N32+M32+K32+J32+I32+H32</f>
        <v>420385.673055556</v>
      </c>
      <c r="AW32" s="299">
        <f>AU32+AR32+AQ32+AO32+AN32+AM32+AK32+AI32+AH32+AG32+AF32+AE32+AD32+AJ32</f>
        <v>108176.531021111</v>
      </c>
      <c r="AX32" s="299"/>
      <c r="AY32" s="299"/>
      <c r="AZ32" s="299">
        <f t="shared" si="20"/>
        <v>312209.142034444</v>
      </c>
      <c r="BA32" s="305">
        <f t="shared" si="22"/>
        <v>5044628.07666667</v>
      </c>
      <c r="BB32" s="306">
        <f t="shared" si="1"/>
        <v>1208925.61533333</v>
      </c>
      <c r="BC32" s="307">
        <f t="shared" si="24"/>
        <v>0</v>
      </c>
      <c r="BD32" s="308">
        <f t="shared" si="2"/>
        <v>1208925.61533333</v>
      </c>
      <c r="BE32" s="313">
        <f t="shared" si="3"/>
        <v>3835702.46133333</v>
      </c>
      <c r="BF32" s="306"/>
      <c r="BG32" s="307">
        <f t="shared" si="4"/>
        <v>21000</v>
      </c>
      <c r="BH32" s="307">
        <f t="shared" si="5"/>
        <v>33000</v>
      </c>
      <c r="BI32" s="307">
        <f t="shared" si="6"/>
        <v>75000</v>
      </c>
      <c r="BJ32" s="307">
        <f t="shared" si="7"/>
        <v>95000</v>
      </c>
      <c r="BK32" s="307">
        <f t="shared" si="8"/>
        <v>336000</v>
      </c>
      <c r="BL32" s="307">
        <f t="shared" si="9"/>
        <v>152568.59072</v>
      </c>
      <c r="BM32" s="305">
        <f t="shared" si="10"/>
        <v>712568.59072</v>
      </c>
      <c r="BN32" s="320">
        <f t="shared" si="11"/>
        <v>50446.2807666667</v>
      </c>
      <c r="BO32" s="321">
        <f t="shared" si="12"/>
        <v>712568.59072</v>
      </c>
      <c r="BP32" s="322">
        <f t="shared" si="13"/>
        <v>59380.7158933333</v>
      </c>
      <c r="BQ32" s="323"/>
      <c r="BR32" s="324"/>
      <c r="BS32" s="325"/>
      <c r="BT32" s="326"/>
      <c r="BU32" s="326"/>
      <c r="BV32" s="334"/>
      <c r="BW32" s="335"/>
    </row>
    <row r="33" s="245" customFormat="1" ht="172.5" customHeight="1" spans="1:75">
      <c r="A33" s="255">
        <v>23</v>
      </c>
      <c r="B33" s="70" t="s">
        <v>187</v>
      </c>
      <c r="C33" s="129" t="s">
        <v>143</v>
      </c>
      <c r="D33" s="129" t="s">
        <v>178</v>
      </c>
      <c r="E33" s="256" t="s">
        <v>135</v>
      </c>
      <c r="F33" s="1469" t="s">
        <v>2016</v>
      </c>
      <c r="G33" s="257">
        <v>3675250</v>
      </c>
      <c r="H33" s="258">
        <f t="shared" si="36"/>
        <v>306270.833333333</v>
      </c>
      <c r="I33" s="258">
        <f t="shared" si="17"/>
        <v>35731.5972222222</v>
      </c>
      <c r="J33" s="258">
        <v>5000</v>
      </c>
      <c r="K33" s="258"/>
      <c r="L33" s="258"/>
      <c r="M33" s="258">
        <v>2500</v>
      </c>
      <c r="N33" s="258"/>
      <c r="O33" s="258"/>
      <c r="P33" s="258"/>
      <c r="Q33" s="258"/>
      <c r="R33" s="258"/>
      <c r="S33" s="258"/>
      <c r="T33" s="258"/>
      <c r="U33" s="258">
        <v>383.33</v>
      </c>
      <c r="V33" s="258"/>
      <c r="W33" s="265"/>
      <c r="X33" s="258"/>
      <c r="Y33" s="258"/>
      <c r="Z33" s="258"/>
      <c r="AA33" s="258"/>
      <c r="AB33" s="258"/>
      <c r="AC33" s="258"/>
      <c r="AD33" s="270"/>
      <c r="AE33" s="258"/>
      <c r="AF33" s="258"/>
      <c r="AG33" s="270">
        <f t="shared" si="14"/>
        <v>6125.41666666667</v>
      </c>
      <c r="AH33" s="270"/>
      <c r="AI33" s="278"/>
      <c r="AJ33" s="280"/>
      <c r="AK33" s="280"/>
      <c r="AL33" s="284">
        <v>1000</v>
      </c>
      <c r="AM33" s="281"/>
      <c r="AN33" s="258">
        <v>7500</v>
      </c>
      <c r="AO33" s="299">
        <v>2000</v>
      </c>
      <c r="AP33" s="299"/>
      <c r="AQ33" s="299"/>
      <c r="AR33" s="299">
        <f t="shared" si="15"/>
        <v>6997.71521111111</v>
      </c>
      <c r="AS33" s="300"/>
      <c r="AT33" s="300"/>
      <c r="AU33" s="299">
        <f t="shared" si="18"/>
        <v>45947.47444</v>
      </c>
      <c r="AV33" s="299">
        <f>W33+V33+U33+N33+M33+K33+J33+I33+H33</f>
        <v>349885.760555556</v>
      </c>
      <c r="AW33" s="299">
        <f>AU33+AR33+AQ33+AO33+AN33+AM33+AK33+AI33+AH33+AG33+AF33+AE33+AD33+AL33</f>
        <v>69570.6063177778</v>
      </c>
      <c r="AX33" s="299"/>
      <c r="AY33" s="299"/>
      <c r="AZ33" s="299">
        <f t="shared" si="20"/>
        <v>280315.154237778</v>
      </c>
      <c r="BA33" s="305">
        <f t="shared" si="22"/>
        <v>4198629.12666667</v>
      </c>
      <c r="BB33" s="306">
        <f t="shared" si="1"/>
        <v>1039725.82533333</v>
      </c>
      <c r="BC33" s="307">
        <f t="shared" si="24"/>
        <v>0</v>
      </c>
      <c r="BD33" s="308">
        <f t="shared" si="2"/>
        <v>1039725.82533333</v>
      </c>
      <c r="BE33" s="313">
        <f t="shared" si="3"/>
        <v>3158903.30133333</v>
      </c>
      <c r="BF33" s="306"/>
      <c r="BG33" s="307">
        <f t="shared" si="4"/>
        <v>21000</v>
      </c>
      <c r="BH33" s="307">
        <f t="shared" si="5"/>
        <v>33000</v>
      </c>
      <c r="BI33" s="307">
        <f t="shared" si="6"/>
        <v>75000</v>
      </c>
      <c r="BJ33" s="307">
        <f t="shared" si="7"/>
        <v>95000</v>
      </c>
      <c r="BK33" s="307">
        <f t="shared" si="8"/>
        <v>327369.69328</v>
      </c>
      <c r="BL33" s="307" t="str">
        <f t="shared" si="9"/>
        <v/>
      </c>
      <c r="BM33" s="305">
        <f t="shared" si="10"/>
        <v>551369.69328</v>
      </c>
      <c r="BN33" s="320">
        <f t="shared" si="11"/>
        <v>41986.2912666667</v>
      </c>
      <c r="BO33" s="321">
        <f t="shared" si="12"/>
        <v>551369.69328</v>
      </c>
      <c r="BP33" s="322">
        <f t="shared" si="13"/>
        <v>45947.47444</v>
      </c>
      <c r="BQ33" s="323"/>
      <c r="BR33" s="324"/>
      <c r="BS33" s="325"/>
      <c r="BT33" s="326"/>
      <c r="BU33" s="326"/>
      <c r="BV33" s="334"/>
      <c r="BW33" s="335"/>
    </row>
    <row r="34" s="245" customFormat="1" ht="176" customHeight="1" spans="1:75">
      <c r="A34" s="255">
        <v>24</v>
      </c>
      <c r="B34" s="70" t="s">
        <v>2017</v>
      </c>
      <c r="C34" s="129" t="s">
        <v>204</v>
      </c>
      <c r="D34" s="129" t="s">
        <v>360</v>
      </c>
      <c r="E34" s="256" t="s">
        <v>313</v>
      </c>
      <c r="F34" s="1469" t="s">
        <v>2018</v>
      </c>
      <c r="G34" s="257">
        <f>G31</f>
        <v>2688069</v>
      </c>
      <c r="H34" s="258">
        <f t="shared" si="36"/>
        <v>224005.75</v>
      </c>
      <c r="I34" s="258">
        <f t="shared" si="17"/>
        <v>26134.0041666667</v>
      </c>
      <c r="J34" s="258">
        <v>5000</v>
      </c>
      <c r="K34" s="258"/>
      <c r="L34" s="258"/>
      <c r="M34" s="258">
        <v>2500</v>
      </c>
      <c r="N34" s="258"/>
      <c r="O34" s="258"/>
      <c r="P34" s="258"/>
      <c r="Q34" s="258"/>
      <c r="R34" s="258"/>
      <c r="S34" s="258"/>
      <c r="T34" s="258"/>
      <c r="U34" s="258">
        <v>383.33</v>
      </c>
      <c r="V34" s="258"/>
      <c r="W34" s="265"/>
      <c r="X34" s="258"/>
      <c r="Y34" s="258"/>
      <c r="Z34" s="258"/>
      <c r="AA34" s="258"/>
      <c r="AB34" s="258"/>
      <c r="AC34" s="258"/>
      <c r="AD34" s="270"/>
      <c r="AE34" s="258"/>
      <c r="AF34" s="258"/>
      <c r="AG34" s="270">
        <f t="shared" si="14"/>
        <v>4480.115</v>
      </c>
      <c r="AH34" s="270"/>
      <c r="AI34" s="285">
        <v>1000</v>
      </c>
      <c r="AJ34" s="286"/>
      <c r="AK34" s="286"/>
      <c r="AL34" s="286"/>
      <c r="AM34" s="281"/>
      <c r="AN34" s="258"/>
      <c r="AO34" s="299">
        <v>1500</v>
      </c>
      <c r="AP34" s="299"/>
      <c r="AQ34" s="299"/>
      <c r="AR34" s="299">
        <f t="shared" si="15"/>
        <v>5160.46168333333</v>
      </c>
      <c r="AS34" s="300"/>
      <c r="AT34" s="300"/>
      <c r="AU34" s="299">
        <f t="shared" si="18"/>
        <v>30514.5448066667</v>
      </c>
      <c r="AV34" s="299">
        <f>W34+V34+U34+N34+M34+K34+J34+I34+H34</f>
        <v>258023.084166667</v>
      </c>
      <c r="AW34" s="299">
        <f>AU34+AR34+AQ34+AO34+AN34+AM34+AK34+AI34+AH34+AG34+AF34+AE34+AD34</f>
        <v>42655.12149</v>
      </c>
      <c r="AX34" s="299"/>
      <c r="AY34" s="299"/>
      <c r="AZ34" s="299">
        <f t="shared" si="20"/>
        <v>215367.962676667</v>
      </c>
      <c r="BA34" s="305">
        <f t="shared" si="22"/>
        <v>3096277.01</v>
      </c>
      <c r="BB34" s="306">
        <f t="shared" si="1"/>
        <v>819255.402</v>
      </c>
      <c r="BC34" s="307">
        <f t="shared" si="24"/>
        <v>0</v>
      </c>
      <c r="BD34" s="308">
        <f t="shared" si="2"/>
        <v>819255.402</v>
      </c>
      <c r="BE34" s="313">
        <f t="shared" si="3"/>
        <v>2277021.608</v>
      </c>
      <c r="BF34" s="306"/>
      <c r="BG34" s="307">
        <f t="shared" si="4"/>
        <v>21000</v>
      </c>
      <c r="BH34" s="307">
        <f t="shared" si="5"/>
        <v>33000</v>
      </c>
      <c r="BI34" s="307">
        <f t="shared" si="6"/>
        <v>75000</v>
      </c>
      <c r="BJ34" s="307">
        <f t="shared" si="7"/>
        <v>95000</v>
      </c>
      <c r="BK34" s="307">
        <f t="shared" si="8"/>
        <v>142174.53768</v>
      </c>
      <c r="BL34" s="307" t="str">
        <f t="shared" si="9"/>
        <v/>
      </c>
      <c r="BM34" s="305">
        <f t="shared" si="10"/>
        <v>366174.53768</v>
      </c>
      <c r="BN34" s="320">
        <f t="shared" si="11"/>
        <v>30962.7701</v>
      </c>
      <c r="BO34" s="321">
        <f t="shared" si="12"/>
        <v>366174.53768</v>
      </c>
      <c r="BP34" s="322">
        <f t="shared" si="13"/>
        <v>30514.5448066667</v>
      </c>
      <c r="BQ34" s="323"/>
      <c r="BR34" s="324"/>
      <c r="BS34" s="325"/>
      <c r="BT34" s="326"/>
      <c r="BU34" s="326"/>
      <c r="BV34" s="334"/>
      <c r="BW34" s="335"/>
    </row>
    <row r="35" s="246" customFormat="1" ht="183" customHeight="1" spans="1:75">
      <c r="A35" s="255">
        <v>25</v>
      </c>
      <c r="B35" s="262" t="s">
        <v>190</v>
      </c>
      <c r="C35" s="263" t="s">
        <v>143</v>
      </c>
      <c r="D35" s="263" t="s">
        <v>276</v>
      </c>
      <c r="E35" s="130" t="s">
        <v>145</v>
      </c>
      <c r="F35" s="1471" t="s">
        <v>192</v>
      </c>
      <c r="G35" s="264">
        <f>G33</f>
        <v>3675250</v>
      </c>
      <c r="H35" s="265">
        <f t="shared" si="36"/>
        <v>306270.833333333</v>
      </c>
      <c r="I35" s="265">
        <f t="shared" si="17"/>
        <v>35731.5972222222</v>
      </c>
      <c r="J35" s="265">
        <v>5000</v>
      </c>
      <c r="K35" s="265">
        <v>41667</v>
      </c>
      <c r="L35" s="265"/>
      <c r="M35" s="265">
        <v>2500</v>
      </c>
      <c r="N35" s="265"/>
      <c r="O35" s="265"/>
      <c r="P35" s="265"/>
      <c r="Q35" s="265"/>
      <c r="R35" s="265"/>
      <c r="S35" s="265"/>
      <c r="T35" s="265"/>
      <c r="U35" s="265">
        <v>383.33</v>
      </c>
      <c r="V35" s="265"/>
      <c r="W35" s="265"/>
      <c r="X35" s="265"/>
      <c r="Y35" s="265"/>
      <c r="Z35" s="265"/>
      <c r="AA35" s="265"/>
      <c r="AB35" s="265"/>
      <c r="AC35" s="265"/>
      <c r="AD35" s="271"/>
      <c r="AE35" s="265"/>
      <c r="AF35" s="265"/>
      <c r="AG35" s="271">
        <f t="shared" si="14"/>
        <v>6125.41666666667</v>
      </c>
      <c r="AH35" s="271"/>
      <c r="AI35" s="287"/>
      <c r="AJ35" s="288">
        <v>2000</v>
      </c>
      <c r="AK35" s="289"/>
      <c r="AL35" s="289"/>
      <c r="AM35" s="290">
        <f>10000+17500</f>
        <v>27500</v>
      </c>
      <c r="AN35" s="265">
        <v>15000</v>
      </c>
      <c r="AO35" s="301">
        <v>2000</v>
      </c>
      <c r="AP35" s="301"/>
      <c r="AQ35" s="301"/>
      <c r="AR35" s="301">
        <f t="shared" si="15"/>
        <v>7831.05521111111</v>
      </c>
      <c r="AS35" s="302"/>
      <c r="AT35" s="302"/>
      <c r="AU35" s="301">
        <f t="shared" si="18"/>
        <v>53844.7966933333</v>
      </c>
      <c r="AV35" s="301">
        <f>V35+U35+N35+M35+K35+J35+I35+H35</f>
        <v>391552.760555556</v>
      </c>
      <c r="AW35" s="301">
        <f>AU35+AR35+AQ35+AO35+AM35+AN35+AK35+AJ35+AI35+AH35+AG35+AF35</f>
        <v>114301.268571111</v>
      </c>
      <c r="AX35" s="301"/>
      <c r="AY35" s="301"/>
      <c r="AZ35" s="301">
        <f t="shared" si="20"/>
        <v>277251.491984444</v>
      </c>
      <c r="BA35" s="309">
        <f t="shared" si="22"/>
        <v>4698633.12666667</v>
      </c>
      <c r="BB35" s="310">
        <f t="shared" si="1"/>
        <v>1139726.62533333</v>
      </c>
      <c r="BC35" s="311">
        <f t="shared" si="24"/>
        <v>0</v>
      </c>
      <c r="BD35" s="312">
        <f t="shared" si="2"/>
        <v>1139726.62533333</v>
      </c>
      <c r="BE35" s="314">
        <f t="shared" si="3"/>
        <v>3558906.50133333</v>
      </c>
      <c r="BF35" s="310"/>
      <c r="BG35" s="311">
        <f t="shared" si="4"/>
        <v>21000</v>
      </c>
      <c r="BH35" s="311">
        <f t="shared" si="5"/>
        <v>33000</v>
      </c>
      <c r="BI35" s="311">
        <f t="shared" si="6"/>
        <v>75000</v>
      </c>
      <c r="BJ35" s="311">
        <f t="shared" si="7"/>
        <v>95000</v>
      </c>
      <c r="BK35" s="311">
        <f t="shared" si="8"/>
        <v>336000</v>
      </c>
      <c r="BL35" s="311">
        <f t="shared" si="9"/>
        <v>86137.5603199998</v>
      </c>
      <c r="BM35" s="309">
        <f t="shared" si="10"/>
        <v>646137.56032</v>
      </c>
      <c r="BN35" s="327">
        <f t="shared" si="11"/>
        <v>46986.3312666667</v>
      </c>
      <c r="BO35" s="328">
        <f t="shared" si="12"/>
        <v>646137.56032</v>
      </c>
      <c r="BP35" s="329">
        <f t="shared" si="13"/>
        <v>53844.7966933333</v>
      </c>
      <c r="BQ35" s="330"/>
      <c r="BR35" s="331"/>
      <c r="BS35" s="332"/>
      <c r="BT35" s="333"/>
      <c r="BU35" s="333"/>
      <c r="BV35" s="337"/>
      <c r="BW35" s="338"/>
    </row>
    <row r="36" s="245" customFormat="1" ht="183" customHeight="1" spans="1:75">
      <c r="A36" s="255">
        <v>26</v>
      </c>
      <c r="B36" s="70" t="s">
        <v>193</v>
      </c>
      <c r="C36" s="129" t="s">
        <v>352</v>
      </c>
      <c r="D36" s="129" t="s">
        <v>353</v>
      </c>
      <c r="E36" s="256" t="s">
        <v>165</v>
      </c>
      <c r="F36" s="256">
        <v>2007556061</v>
      </c>
      <c r="G36" s="257">
        <v>1691938</v>
      </c>
      <c r="H36" s="258">
        <f t="shared" si="36"/>
        <v>140994.833333333</v>
      </c>
      <c r="I36" s="258">
        <f t="shared" si="17"/>
        <v>16449.3972222222</v>
      </c>
      <c r="J36" s="258">
        <v>5000</v>
      </c>
      <c r="K36" s="258"/>
      <c r="L36" s="258"/>
      <c r="M36" s="258">
        <v>2500</v>
      </c>
      <c r="N36" s="258"/>
      <c r="O36" s="258"/>
      <c r="P36" s="258"/>
      <c r="Q36" s="258"/>
      <c r="R36" s="258"/>
      <c r="S36" s="258"/>
      <c r="T36" s="258"/>
      <c r="U36" s="258">
        <v>383.33</v>
      </c>
      <c r="V36" s="258"/>
      <c r="W36" s="265"/>
      <c r="X36" s="258"/>
      <c r="Y36" s="258"/>
      <c r="Z36" s="258"/>
      <c r="AA36" s="258"/>
      <c r="AB36" s="258"/>
      <c r="AC36" s="258"/>
      <c r="AD36" s="270"/>
      <c r="AE36" s="258"/>
      <c r="AF36" s="258">
        <v>750</v>
      </c>
      <c r="AG36" s="270">
        <f t="shared" si="14"/>
        <v>2819.89666666667</v>
      </c>
      <c r="AH36" s="270"/>
      <c r="AI36" s="278"/>
      <c r="AJ36" s="280"/>
      <c r="AK36" s="280"/>
      <c r="AL36" s="280"/>
      <c r="AM36" s="281"/>
      <c r="AN36" s="258">
        <v>15000</v>
      </c>
      <c r="AO36" s="299">
        <v>1000</v>
      </c>
      <c r="AP36" s="299">
        <v>1000</v>
      </c>
      <c r="AQ36" s="299"/>
      <c r="AR36" s="299">
        <f t="shared" si="15"/>
        <v>3306.55121111111</v>
      </c>
      <c r="AS36" s="300"/>
      <c r="AT36" s="300"/>
      <c r="AU36" s="299">
        <f t="shared" si="18"/>
        <v>15296.4558711111</v>
      </c>
      <c r="AV36" s="299">
        <f>W36+V36+U36+N36+M36+K36+J36+I36+H36</f>
        <v>165327.560555556</v>
      </c>
      <c r="AW36" s="299">
        <f>AU36+AR36+AQ36+AO36+AN36+AM36+AK36+AI36+AH36+AG36+AF36+AE36+AD36</f>
        <v>38172.9037488889</v>
      </c>
      <c r="AX36" s="299"/>
      <c r="AY36" s="299"/>
      <c r="AZ36" s="299">
        <f t="shared" si="20"/>
        <v>127154.656806667</v>
      </c>
      <c r="BA36" s="305">
        <f t="shared" si="22"/>
        <v>1983930.72666667</v>
      </c>
      <c r="BB36" s="306">
        <f t="shared" si="1"/>
        <v>596786.145333333</v>
      </c>
      <c r="BC36" s="307">
        <f t="shared" si="24"/>
        <v>0</v>
      </c>
      <c r="BD36" s="308">
        <f t="shared" si="2"/>
        <v>596786.145333333</v>
      </c>
      <c r="BE36" s="313">
        <f t="shared" si="3"/>
        <v>1387144.58133333</v>
      </c>
      <c r="BF36" s="306"/>
      <c r="BG36" s="307">
        <f t="shared" si="4"/>
        <v>21000</v>
      </c>
      <c r="BH36" s="307">
        <f t="shared" si="5"/>
        <v>33000</v>
      </c>
      <c r="BI36" s="307">
        <f t="shared" si="6"/>
        <v>75000</v>
      </c>
      <c r="BJ36" s="307">
        <f t="shared" si="7"/>
        <v>54557.4704533333</v>
      </c>
      <c r="BK36" s="307" t="str">
        <f t="shared" si="8"/>
        <v/>
      </c>
      <c r="BL36" s="307" t="str">
        <f t="shared" si="9"/>
        <v/>
      </c>
      <c r="BM36" s="305">
        <f t="shared" si="10"/>
        <v>183557.470453333</v>
      </c>
      <c r="BN36" s="320">
        <f t="shared" si="11"/>
        <v>19839.3072666667</v>
      </c>
      <c r="BO36" s="321">
        <f t="shared" si="12"/>
        <v>183557.470453333</v>
      </c>
      <c r="BP36" s="322">
        <f t="shared" si="13"/>
        <v>15296.4558711111</v>
      </c>
      <c r="BQ36" s="323"/>
      <c r="BR36" s="324"/>
      <c r="BS36" s="325"/>
      <c r="BT36" s="326"/>
      <c r="BU36" s="326"/>
      <c r="BV36" s="334"/>
      <c r="BW36" s="335"/>
    </row>
    <row r="37" s="245" customFormat="1" ht="183" customHeight="1" spans="1:75">
      <c r="A37" s="255">
        <v>27</v>
      </c>
      <c r="B37" s="70" t="s">
        <v>202</v>
      </c>
      <c r="C37" s="129" t="s">
        <v>204</v>
      </c>
      <c r="D37" s="129" t="s">
        <v>465</v>
      </c>
      <c r="E37" s="256" t="s">
        <v>165</v>
      </c>
      <c r="F37" s="256">
        <v>1002357668</v>
      </c>
      <c r="G37" s="257">
        <v>1691939</v>
      </c>
      <c r="H37" s="258">
        <v>165055.5</v>
      </c>
      <c r="I37" s="258">
        <f t="shared" si="17"/>
        <v>19256.475</v>
      </c>
      <c r="J37" s="258">
        <v>5000</v>
      </c>
      <c r="K37" s="258"/>
      <c r="L37" s="258"/>
      <c r="M37" s="258">
        <v>2500</v>
      </c>
      <c r="N37" s="258"/>
      <c r="O37" s="258"/>
      <c r="P37" s="258"/>
      <c r="Q37" s="258"/>
      <c r="R37" s="258"/>
      <c r="S37" s="258"/>
      <c r="T37" s="258"/>
      <c r="U37" s="258">
        <v>383.33</v>
      </c>
      <c r="V37" s="258"/>
      <c r="W37" s="265"/>
      <c r="X37" s="258"/>
      <c r="Y37" s="258"/>
      <c r="Z37" s="258"/>
      <c r="AA37" s="258"/>
      <c r="AB37" s="258"/>
      <c r="AC37" s="258"/>
      <c r="AD37" s="270"/>
      <c r="AE37" s="258"/>
      <c r="AF37" s="258"/>
      <c r="AG37" s="270">
        <f t="shared" si="14"/>
        <v>3301.11</v>
      </c>
      <c r="AH37" s="270"/>
      <c r="AI37" s="278"/>
      <c r="AJ37" s="284">
        <v>1000</v>
      </c>
      <c r="AK37" s="280"/>
      <c r="AL37" s="280"/>
      <c r="AM37" s="281"/>
      <c r="AN37" s="258"/>
      <c r="AO37" s="299">
        <v>1000</v>
      </c>
      <c r="AP37" s="299"/>
      <c r="AQ37" s="299"/>
      <c r="AR37" s="299">
        <f t="shared" si="15"/>
        <v>3843.9061</v>
      </c>
      <c r="AS37" s="300"/>
      <c r="AT37" s="300"/>
      <c r="AU37" s="299">
        <f t="shared" si="18"/>
        <v>19455.4779066667</v>
      </c>
      <c r="AV37" s="299">
        <f>W37+V37+U37+N37+M37+K37+J37+I37+H37</f>
        <v>192195.305</v>
      </c>
      <c r="AW37" s="299">
        <f>AU37+AR37+AO37+AJ37+AG37</f>
        <v>28600.4940066667</v>
      </c>
      <c r="AX37" s="299"/>
      <c r="AY37" s="299"/>
      <c r="AZ37" s="299">
        <f t="shared" si="20"/>
        <v>163594.810993333</v>
      </c>
      <c r="BA37" s="305">
        <f t="shared" si="22"/>
        <v>2306343.66</v>
      </c>
      <c r="BB37" s="306">
        <f t="shared" si="1"/>
        <v>661268.732</v>
      </c>
      <c r="BC37" s="307">
        <f t="shared" si="24"/>
        <v>0</v>
      </c>
      <c r="BD37" s="308">
        <f t="shared" si="2"/>
        <v>661268.732</v>
      </c>
      <c r="BE37" s="313">
        <f t="shared" si="3"/>
        <v>1645074.928</v>
      </c>
      <c r="BF37" s="306"/>
      <c r="BG37" s="307">
        <f t="shared" si="4"/>
        <v>21000</v>
      </c>
      <c r="BH37" s="307">
        <f t="shared" si="5"/>
        <v>33000</v>
      </c>
      <c r="BI37" s="307">
        <f t="shared" si="6"/>
        <v>75000</v>
      </c>
      <c r="BJ37" s="307">
        <f t="shared" si="7"/>
        <v>95000</v>
      </c>
      <c r="BK37" s="307">
        <f t="shared" si="8"/>
        <v>9465.73488000001</v>
      </c>
      <c r="BL37" s="307" t="str">
        <f t="shared" si="9"/>
        <v/>
      </c>
      <c r="BM37" s="305">
        <f t="shared" si="10"/>
        <v>233465.73488</v>
      </c>
      <c r="BN37" s="320">
        <f t="shared" si="11"/>
        <v>23063.4366</v>
      </c>
      <c r="BO37" s="321">
        <f t="shared" si="12"/>
        <v>233465.73488</v>
      </c>
      <c r="BP37" s="322">
        <f t="shared" si="13"/>
        <v>19455.4779066667</v>
      </c>
      <c r="BQ37" s="323"/>
      <c r="BR37" s="324"/>
      <c r="BS37" s="325"/>
      <c r="BT37" s="326"/>
      <c r="BU37" s="326"/>
      <c r="BV37" s="334"/>
      <c r="BW37" s="335"/>
    </row>
    <row r="38" s="245" customFormat="1" ht="172.5" customHeight="1" spans="1:75">
      <c r="A38" s="255">
        <v>28</v>
      </c>
      <c r="B38" s="70" t="s">
        <v>211</v>
      </c>
      <c r="C38" s="129" t="s">
        <v>216</v>
      </c>
      <c r="D38" s="129" t="s">
        <v>555</v>
      </c>
      <c r="E38" s="256" t="s">
        <v>135</v>
      </c>
      <c r="F38" s="1469" t="s">
        <v>214</v>
      </c>
      <c r="G38" s="257">
        <v>1796468</v>
      </c>
      <c r="H38" s="258">
        <f t="shared" si="36"/>
        <v>149705.666666667</v>
      </c>
      <c r="I38" s="258">
        <f t="shared" si="17"/>
        <v>17465.6611111111</v>
      </c>
      <c r="J38" s="258">
        <v>5000</v>
      </c>
      <c r="K38" s="258"/>
      <c r="L38" s="258"/>
      <c r="M38" s="258">
        <v>2500</v>
      </c>
      <c r="N38" s="258"/>
      <c r="O38" s="258"/>
      <c r="P38" s="258"/>
      <c r="Q38" s="258"/>
      <c r="R38" s="258"/>
      <c r="S38" s="258"/>
      <c r="T38" s="258"/>
      <c r="U38" s="258">
        <v>383.33</v>
      </c>
      <c r="V38" s="258"/>
      <c r="W38" s="265"/>
      <c r="X38" s="258"/>
      <c r="Y38" s="258"/>
      <c r="Z38" s="258"/>
      <c r="AA38" s="258"/>
      <c r="AB38" s="258"/>
      <c r="AC38" s="258"/>
      <c r="AD38" s="270"/>
      <c r="AE38" s="258"/>
      <c r="AF38" s="258"/>
      <c r="AG38" s="270">
        <f t="shared" si="14"/>
        <v>2994.11333333333</v>
      </c>
      <c r="AH38" s="270"/>
      <c r="AI38" s="278"/>
      <c r="AJ38" s="280"/>
      <c r="AK38" s="280"/>
      <c r="AL38" s="280"/>
      <c r="AM38" s="281"/>
      <c r="AN38" s="258">
        <v>7500</v>
      </c>
      <c r="AO38" s="299">
        <v>1000</v>
      </c>
      <c r="AP38" s="299"/>
      <c r="AQ38" s="299"/>
      <c r="AR38" s="299">
        <f t="shared" si="15"/>
        <v>3501.09315555556</v>
      </c>
      <c r="AS38" s="300"/>
      <c r="AT38" s="300"/>
      <c r="AU38" s="299">
        <f>AU109</f>
        <v>16774.9746488889</v>
      </c>
      <c r="AV38" s="299">
        <f>V38+U38+N38+M38+K38+J38+I38+H38</f>
        <v>175054.657777778</v>
      </c>
      <c r="AW38" s="299">
        <f>AU38+AR38+AQ38+AO38+AN38+AM38+AK38+AI38+AH38+AG38+AF38+AE38+AD38</f>
        <v>31770.1811377778</v>
      </c>
      <c r="AX38" s="299"/>
      <c r="AY38" s="299"/>
      <c r="AZ38" s="299">
        <f t="shared" si="20"/>
        <v>143284.47664</v>
      </c>
      <c r="BA38" s="305">
        <f t="shared" si="22"/>
        <v>2100655.89333333</v>
      </c>
      <c r="BB38" s="306">
        <f t="shared" si="1"/>
        <v>620131.178666667</v>
      </c>
      <c r="BC38" s="307">
        <f t="shared" si="24"/>
        <v>0</v>
      </c>
      <c r="BD38" s="308">
        <f t="shared" si="2"/>
        <v>620131.178666667</v>
      </c>
      <c r="BE38" s="313">
        <f t="shared" si="3"/>
        <v>1480524.71466667</v>
      </c>
      <c r="BF38" s="306"/>
      <c r="BG38" s="307">
        <f t="shared" si="4"/>
        <v>21000</v>
      </c>
      <c r="BH38" s="307">
        <f t="shared" si="5"/>
        <v>33000</v>
      </c>
      <c r="BI38" s="307">
        <f t="shared" si="6"/>
        <v>75000</v>
      </c>
      <c r="BJ38" s="307">
        <f t="shared" si="7"/>
        <v>72299.6957866666</v>
      </c>
      <c r="BK38" s="307" t="str">
        <f t="shared" si="8"/>
        <v/>
      </c>
      <c r="BL38" s="307" t="str">
        <f t="shared" si="9"/>
        <v/>
      </c>
      <c r="BM38" s="305">
        <f t="shared" si="10"/>
        <v>201299.695786667</v>
      </c>
      <c r="BN38" s="320">
        <f t="shared" si="11"/>
        <v>21006.5589333333</v>
      </c>
      <c r="BO38" s="321">
        <f t="shared" si="12"/>
        <v>201299.695786667</v>
      </c>
      <c r="BP38" s="322">
        <f t="shared" si="13"/>
        <v>16774.9746488889</v>
      </c>
      <c r="BQ38" s="323"/>
      <c r="BR38" s="324"/>
      <c r="BS38" s="325"/>
      <c r="BT38" s="326"/>
      <c r="BU38" s="326"/>
      <c r="BV38" s="334"/>
      <c r="BW38" s="335"/>
    </row>
    <row r="39" s="245" customFormat="1" ht="184" customHeight="1" spans="1:75">
      <c r="A39" s="255">
        <v>29</v>
      </c>
      <c r="B39" s="70" t="s">
        <v>215</v>
      </c>
      <c r="C39" s="129" t="s">
        <v>216</v>
      </c>
      <c r="D39" s="129" t="s">
        <v>555</v>
      </c>
      <c r="E39" s="256" t="s">
        <v>113</v>
      </c>
      <c r="F39" s="256">
        <v>1018108205</v>
      </c>
      <c r="G39" s="257">
        <v>1796468</v>
      </c>
      <c r="H39" s="258">
        <f t="shared" si="36"/>
        <v>149705.666666667</v>
      </c>
      <c r="I39" s="258">
        <f t="shared" si="17"/>
        <v>17465.6611111111</v>
      </c>
      <c r="J39" s="258">
        <v>5000</v>
      </c>
      <c r="K39" s="258"/>
      <c r="L39" s="258"/>
      <c r="M39" s="258">
        <v>2500</v>
      </c>
      <c r="N39" s="258"/>
      <c r="O39" s="258"/>
      <c r="P39" s="258"/>
      <c r="Q39" s="258"/>
      <c r="R39" s="258"/>
      <c r="S39" s="258"/>
      <c r="T39" s="258"/>
      <c r="U39" s="258">
        <v>383.33</v>
      </c>
      <c r="V39" s="258"/>
      <c r="W39" s="265"/>
      <c r="X39" s="258"/>
      <c r="Y39" s="258"/>
      <c r="Z39" s="258"/>
      <c r="AA39" s="258"/>
      <c r="AB39" s="258"/>
      <c r="AC39" s="258"/>
      <c r="AD39" s="270"/>
      <c r="AE39" s="258"/>
      <c r="AF39" s="258"/>
      <c r="AG39" s="270">
        <f t="shared" si="14"/>
        <v>2994.11333333333</v>
      </c>
      <c r="AH39" s="270"/>
      <c r="AI39" s="278"/>
      <c r="AJ39" s="279">
        <v>1000</v>
      </c>
      <c r="AK39" s="280"/>
      <c r="AL39" s="280"/>
      <c r="AM39" s="281"/>
      <c r="AN39" s="258"/>
      <c r="AO39" s="299">
        <v>1000</v>
      </c>
      <c r="AP39" s="299"/>
      <c r="AQ39" s="299"/>
      <c r="AR39" s="299">
        <f t="shared" si="15"/>
        <v>3501.09315555556</v>
      </c>
      <c r="AS39" s="300"/>
      <c r="AT39" s="300"/>
      <c r="AU39" s="299">
        <f>AU38</f>
        <v>16774.9746488889</v>
      </c>
      <c r="AV39" s="299">
        <f>W39+V39+U39+N39+M39+K39+J39+I39+H39</f>
        <v>175054.657777778</v>
      </c>
      <c r="AW39" s="299">
        <f>AU39+AR39+AO39+AQ39+AN39+AM39+AK39+AJ39+AI39+AH39+AG39+AF39</f>
        <v>25270.1811377778</v>
      </c>
      <c r="AX39" s="299"/>
      <c r="AY39" s="299"/>
      <c r="AZ39" s="299">
        <f t="shared" si="20"/>
        <v>149784.47664</v>
      </c>
      <c r="BA39" s="305">
        <f t="shared" si="22"/>
        <v>2100655.89333333</v>
      </c>
      <c r="BB39" s="306">
        <f t="shared" si="1"/>
        <v>620131.178666667</v>
      </c>
      <c r="BC39" s="307">
        <f t="shared" si="24"/>
        <v>0</v>
      </c>
      <c r="BD39" s="308">
        <f t="shared" si="2"/>
        <v>620131.178666667</v>
      </c>
      <c r="BE39" s="313">
        <f t="shared" si="3"/>
        <v>1480524.71466667</v>
      </c>
      <c r="BF39" s="306"/>
      <c r="BG39" s="307">
        <f t="shared" si="4"/>
        <v>21000</v>
      </c>
      <c r="BH39" s="307">
        <f t="shared" si="5"/>
        <v>33000</v>
      </c>
      <c r="BI39" s="307">
        <f t="shared" si="6"/>
        <v>75000</v>
      </c>
      <c r="BJ39" s="307">
        <f t="shared" si="7"/>
        <v>72299.6957866666</v>
      </c>
      <c r="BK39" s="307" t="str">
        <f t="shared" si="8"/>
        <v/>
      </c>
      <c r="BL39" s="307" t="str">
        <f t="shared" si="9"/>
        <v/>
      </c>
      <c r="BM39" s="305">
        <f t="shared" si="10"/>
        <v>201299.695786667</v>
      </c>
      <c r="BN39" s="320">
        <f t="shared" si="11"/>
        <v>21006.5589333333</v>
      </c>
      <c r="BO39" s="321">
        <f t="shared" si="12"/>
        <v>201299.695786667</v>
      </c>
      <c r="BP39" s="322">
        <f t="shared" si="13"/>
        <v>16774.9746488889</v>
      </c>
      <c r="BQ39" s="323"/>
      <c r="BR39" s="324"/>
      <c r="BS39" s="325"/>
      <c r="BT39" s="326"/>
      <c r="BU39" s="326"/>
      <c r="BV39" s="334"/>
      <c r="BW39" s="335"/>
    </row>
    <row r="40" s="245" customFormat="1" ht="172.5" customHeight="1" spans="1:75">
      <c r="A40" s="255">
        <v>30</v>
      </c>
      <c r="B40" s="70" t="s">
        <v>217</v>
      </c>
      <c r="C40" s="129" t="s">
        <v>204</v>
      </c>
      <c r="D40" s="129" t="s">
        <v>465</v>
      </c>
      <c r="E40" s="256" t="s">
        <v>135</v>
      </c>
      <c r="F40" s="1469" t="s">
        <v>219</v>
      </c>
      <c r="G40" s="257">
        <v>1980666</v>
      </c>
      <c r="H40" s="258">
        <f t="shared" si="36"/>
        <v>165055.5</v>
      </c>
      <c r="I40" s="258">
        <f t="shared" si="17"/>
        <v>19256.475</v>
      </c>
      <c r="J40" s="258">
        <v>5000</v>
      </c>
      <c r="K40" s="258"/>
      <c r="L40" s="258"/>
      <c r="M40" s="258">
        <v>2500</v>
      </c>
      <c r="N40" s="258"/>
      <c r="O40" s="258"/>
      <c r="P40" s="258"/>
      <c r="Q40" s="258"/>
      <c r="R40" s="258"/>
      <c r="S40" s="258"/>
      <c r="T40" s="258"/>
      <c r="U40" s="258">
        <v>383.33</v>
      </c>
      <c r="V40" s="258"/>
      <c r="W40" s="265"/>
      <c r="X40" s="258"/>
      <c r="Y40" s="258"/>
      <c r="Z40" s="258"/>
      <c r="AA40" s="258"/>
      <c r="AB40" s="258"/>
      <c r="AC40" s="258"/>
      <c r="AD40" s="270"/>
      <c r="AE40" s="258"/>
      <c r="AF40" s="258">
        <v>3750</v>
      </c>
      <c r="AG40" s="270">
        <f t="shared" si="14"/>
        <v>3301.11</v>
      </c>
      <c r="AH40" s="270"/>
      <c r="AI40" s="278"/>
      <c r="AJ40" s="279">
        <v>1000</v>
      </c>
      <c r="AK40" s="280"/>
      <c r="AL40" s="280"/>
      <c r="AM40" s="281">
        <v>20000</v>
      </c>
      <c r="AN40" s="258"/>
      <c r="AO40" s="299">
        <v>1000</v>
      </c>
      <c r="AP40" s="299">
        <v>1000</v>
      </c>
      <c r="AQ40" s="299"/>
      <c r="AR40" s="299">
        <f t="shared" si="15"/>
        <v>3843.9061</v>
      </c>
      <c r="AS40" s="300"/>
      <c r="AT40" s="300"/>
      <c r="AU40" s="299">
        <f>AU39</f>
        <v>16774.9746488889</v>
      </c>
      <c r="AV40" s="299">
        <f>W40+V40+U40+N40+M40+K40+J40+I40+H40</f>
        <v>192195.305</v>
      </c>
      <c r="AW40" s="299">
        <f>AU40+AR40+AQ40+AO40+AN40+AM40+AK40+AI40+AH40+AG40+AF40+AE40+AD40+AJ40+AJ40</f>
        <v>50669.9907488889</v>
      </c>
      <c r="AX40" s="299"/>
      <c r="AY40" s="299"/>
      <c r="AZ40" s="299">
        <f t="shared" si="20"/>
        <v>141525.314251111</v>
      </c>
      <c r="BA40" s="305">
        <f t="shared" si="22"/>
        <v>2306343.66</v>
      </c>
      <c r="BB40" s="306">
        <f t="shared" si="1"/>
        <v>661268.732</v>
      </c>
      <c r="BC40" s="307">
        <f t="shared" si="24"/>
        <v>0</v>
      </c>
      <c r="BD40" s="308">
        <f t="shared" si="2"/>
        <v>661268.732</v>
      </c>
      <c r="BE40" s="313">
        <f t="shared" si="3"/>
        <v>1645074.928</v>
      </c>
      <c r="BF40" s="306"/>
      <c r="BG40" s="307">
        <f t="shared" si="4"/>
        <v>21000</v>
      </c>
      <c r="BH40" s="307">
        <f t="shared" si="5"/>
        <v>33000</v>
      </c>
      <c r="BI40" s="307">
        <f t="shared" si="6"/>
        <v>75000</v>
      </c>
      <c r="BJ40" s="307">
        <f t="shared" si="7"/>
        <v>95000</v>
      </c>
      <c r="BK40" s="307">
        <f t="shared" si="8"/>
        <v>9465.73488000001</v>
      </c>
      <c r="BL40" s="307" t="str">
        <f t="shared" si="9"/>
        <v/>
      </c>
      <c r="BM40" s="305">
        <f t="shared" si="10"/>
        <v>233465.73488</v>
      </c>
      <c r="BN40" s="320">
        <f t="shared" si="11"/>
        <v>23063.4366</v>
      </c>
      <c r="BO40" s="321">
        <f t="shared" si="12"/>
        <v>233465.73488</v>
      </c>
      <c r="BP40" s="322">
        <f t="shared" si="13"/>
        <v>19455.4779066667</v>
      </c>
      <c r="BQ40" s="323"/>
      <c r="BR40" s="324"/>
      <c r="BS40" s="325"/>
      <c r="BT40" s="326"/>
      <c r="BU40" s="326"/>
      <c r="BV40" s="334"/>
      <c r="BW40" s="335"/>
    </row>
    <row r="41" s="245" customFormat="1" ht="177" customHeight="1" spans="1:75">
      <c r="A41" s="255">
        <v>31</v>
      </c>
      <c r="B41" s="70" t="s">
        <v>220</v>
      </c>
      <c r="C41" s="129" t="s">
        <v>221</v>
      </c>
      <c r="D41" s="129" t="s">
        <v>495</v>
      </c>
      <c r="E41" s="256" t="s">
        <v>113</v>
      </c>
      <c r="F41" s="256">
        <v>2108025545</v>
      </c>
      <c r="G41" s="257">
        <v>1746118</v>
      </c>
      <c r="H41" s="258">
        <f t="shared" si="36"/>
        <v>145509.833333333</v>
      </c>
      <c r="I41" s="258">
        <f t="shared" si="17"/>
        <v>16976.1472222222</v>
      </c>
      <c r="J41" s="258">
        <v>5000</v>
      </c>
      <c r="K41" s="258"/>
      <c r="L41" s="258"/>
      <c r="M41" s="258">
        <v>2500</v>
      </c>
      <c r="N41" s="258"/>
      <c r="O41" s="258"/>
      <c r="P41" s="258"/>
      <c r="Q41" s="258"/>
      <c r="R41" s="258"/>
      <c r="S41" s="258"/>
      <c r="T41" s="258"/>
      <c r="U41" s="258">
        <v>383.33</v>
      </c>
      <c r="V41" s="258"/>
      <c r="W41" s="265"/>
      <c r="X41" s="258"/>
      <c r="Y41" s="258"/>
      <c r="Z41" s="258"/>
      <c r="AA41" s="258"/>
      <c r="AB41" s="258"/>
      <c r="AC41" s="258"/>
      <c r="AD41" s="270"/>
      <c r="AE41" s="258"/>
      <c r="AF41" s="258"/>
      <c r="AG41" s="270">
        <f t="shared" si="14"/>
        <v>2910.19666666667</v>
      </c>
      <c r="AH41" s="270"/>
      <c r="AI41" s="278"/>
      <c r="AJ41" s="280"/>
      <c r="AK41" s="280"/>
      <c r="AL41" s="280"/>
      <c r="AM41" s="281"/>
      <c r="AN41" s="258"/>
      <c r="AO41" s="299">
        <v>1000</v>
      </c>
      <c r="AP41" s="299"/>
      <c r="AQ41" s="299"/>
      <c r="AR41" s="299">
        <f t="shared" si="15"/>
        <v>3407.38621111111</v>
      </c>
      <c r="AS41" s="300"/>
      <c r="AT41" s="300"/>
      <c r="AU41" s="299">
        <f>AU40</f>
        <v>16774.9746488889</v>
      </c>
      <c r="AV41" s="299">
        <f>W41+V41+U41+N41+M41+K41+J41+I41+H41</f>
        <v>170369.310555556</v>
      </c>
      <c r="AW41" s="299">
        <f>AU41+AR41+AQ41+AO41+AN41+AM41+AK41+AI41+AH41+AG41+AF41+AE41+AD41</f>
        <v>24092.5575266667</v>
      </c>
      <c r="AX41" s="299"/>
      <c r="AY41" s="299"/>
      <c r="AZ41" s="299">
        <f t="shared" si="20"/>
        <v>146276.753028889</v>
      </c>
      <c r="BA41" s="305">
        <f t="shared" si="22"/>
        <v>2044431.72666667</v>
      </c>
      <c r="BB41" s="306">
        <f t="shared" si="1"/>
        <v>608886.345333333</v>
      </c>
      <c r="BC41" s="307">
        <f t="shared" si="24"/>
        <v>0</v>
      </c>
      <c r="BD41" s="308">
        <f t="shared" si="2"/>
        <v>608886.345333333</v>
      </c>
      <c r="BE41" s="313">
        <f t="shared" si="3"/>
        <v>1435545.38133333</v>
      </c>
      <c r="BF41" s="306"/>
      <c r="BG41" s="307">
        <f t="shared" si="4"/>
        <v>21000</v>
      </c>
      <c r="BH41" s="307">
        <f t="shared" si="5"/>
        <v>33000</v>
      </c>
      <c r="BI41" s="307">
        <f t="shared" si="6"/>
        <v>75000</v>
      </c>
      <c r="BJ41" s="307">
        <f t="shared" si="7"/>
        <v>63753.6224533334</v>
      </c>
      <c r="BK41" s="307" t="str">
        <f t="shared" si="8"/>
        <v/>
      </c>
      <c r="BL41" s="307" t="str">
        <f t="shared" si="9"/>
        <v/>
      </c>
      <c r="BM41" s="305">
        <f t="shared" si="10"/>
        <v>192753.622453333</v>
      </c>
      <c r="BN41" s="320">
        <f t="shared" si="11"/>
        <v>20444.3172666667</v>
      </c>
      <c r="BO41" s="321">
        <f t="shared" si="12"/>
        <v>192753.622453333</v>
      </c>
      <c r="BP41" s="322">
        <f t="shared" si="13"/>
        <v>16062.8018711111</v>
      </c>
      <c r="BQ41" s="323"/>
      <c r="BR41" s="324"/>
      <c r="BS41" s="325"/>
      <c r="BT41" s="326"/>
      <c r="BU41" s="326"/>
      <c r="BV41" s="334"/>
      <c r="BW41" s="335"/>
    </row>
    <row r="42" s="245" customFormat="1" ht="172.5" customHeight="1" spans="1:75">
      <c r="A42" s="255">
        <v>32</v>
      </c>
      <c r="B42" s="70" t="s">
        <v>222</v>
      </c>
      <c r="C42" s="129" t="s">
        <v>143</v>
      </c>
      <c r="D42" s="129" t="s">
        <v>338</v>
      </c>
      <c r="E42" s="256" t="s">
        <v>93</v>
      </c>
      <c r="F42" s="256">
        <v>3051864825</v>
      </c>
      <c r="G42" s="257">
        <v>3930454</v>
      </c>
      <c r="H42" s="258">
        <f t="shared" si="36"/>
        <v>327537.833333333</v>
      </c>
      <c r="I42" s="258">
        <f t="shared" si="17"/>
        <v>38212.7472222222</v>
      </c>
      <c r="J42" s="258">
        <v>5000</v>
      </c>
      <c r="K42" s="258">
        <v>20833.33</v>
      </c>
      <c r="L42" s="258"/>
      <c r="M42" s="258">
        <v>2500</v>
      </c>
      <c r="N42" s="258"/>
      <c r="O42" s="258"/>
      <c r="P42" s="258"/>
      <c r="Q42" s="258"/>
      <c r="R42" s="258"/>
      <c r="S42" s="258"/>
      <c r="T42" s="258"/>
      <c r="U42" s="258">
        <v>383.33</v>
      </c>
      <c r="V42" s="258"/>
      <c r="W42" s="265"/>
      <c r="X42" s="258"/>
      <c r="Y42" s="258"/>
      <c r="Z42" s="258"/>
      <c r="AA42" s="258"/>
      <c r="AB42" s="258"/>
      <c r="AC42" s="258"/>
      <c r="AD42" s="270"/>
      <c r="AE42" s="258"/>
      <c r="AF42" s="258">
        <v>1750</v>
      </c>
      <c r="AG42" s="270">
        <f t="shared" si="14"/>
        <v>6550.75666666667</v>
      </c>
      <c r="AH42" s="270"/>
      <c r="AI42" s="278"/>
      <c r="AJ42" s="279">
        <v>1000</v>
      </c>
      <c r="AK42" s="279"/>
      <c r="AL42" s="279"/>
      <c r="AM42" s="279">
        <v>75000</v>
      </c>
      <c r="AN42" s="258">
        <v>8333.33</v>
      </c>
      <c r="AO42" s="299">
        <v>2000</v>
      </c>
      <c r="AP42" s="299"/>
      <c r="AQ42" s="299"/>
      <c r="AR42" s="299">
        <f t="shared" si="15"/>
        <v>7889.34481111111</v>
      </c>
      <c r="AS42" s="300"/>
      <c r="AT42" s="300"/>
      <c r="AU42" s="299">
        <v>52160.29</v>
      </c>
      <c r="AV42" s="299">
        <f>V42+U42+N42+M42+K42+J42+I42+H42</f>
        <v>394467.240555556</v>
      </c>
      <c r="AW42" s="299">
        <f>AU42+AR42+AQ42+AO42+AM42+AN42+AK42+AJ42+AI42+AH42+AG42+AF42</f>
        <v>154683.721477778</v>
      </c>
      <c r="AX42" s="299"/>
      <c r="AY42" s="299"/>
      <c r="AZ42" s="299">
        <f t="shared" si="20"/>
        <v>239783.519077778</v>
      </c>
      <c r="BA42" s="305">
        <f t="shared" si="22"/>
        <v>4733606.88666667</v>
      </c>
      <c r="BB42" s="306">
        <f t="shared" si="1"/>
        <v>1146721.37733333</v>
      </c>
      <c r="BC42" s="307">
        <f t="shared" si="24"/>
        <v>0</v>
      </c>
      <c r="BD42" s="308">
        <f t="shared" si="2"/>
        <v>1146721.37733333</v>
      </c>
      <c r="BE42" s="313">
        <f t="shared" si="3"/>
        <v>3586885.50933333</v>
      </c>
      <c r="BF42" s="306"/>
      <c r="BG42" s="307">
        <f t="shared" si="4"/>
        <v>21000</v>
      </c>
      <c r="BH42" s="307">
        <f t="shared" si="5"/>
        <v>33000</v>
      </c>
      <c r="BI42" s="307">
        <f t="shared" si="6"/>
        <v>75000</v>
      </c>
      <c r="BJ42" s="307">
        <f t="shared" si="7"/>
        <v>95000</v>
      </c>
      <c r="BK42" s="307">
        <f t="shared" si="8"/>
        <v>336000</v>
      </c>
      <c r="BL42" s="307">
        <f t="shared" si="9"/>
        <v>92852.52224</v>
      </c>
      <c r="BM42" s="305">
        <f t="shared" si="10"/>
        <v>652852.52224</v>
      </c>
      <c r="BN42" s="320">
        <f t="shared" si="11"/>
        <v>47336.0688666667</v>
      </c>
      <c r="BO42" s="321">
        <f t="shared" si="12"/>
        <v>652852.52224</v>
      </c>
      <c r="BP42" s="322">
        <f t="shared" si="13"/>
        <v>54404.3768533333</v>
      </c>
      <c r="BQ42" s="323"/>
      <c r="BR42" s="324"/>
      <c r="BS42" s="325"/>
      <c r="BT42" s="326"/>
      <c r="BU42" s="326"/>
      <c r="BV42" s="334"/>
      <c r="BW42" s="335"/>
    </row>
    <row r="43" s="245" customFormat="1" ht="172.5" customHeight="1" spans="1:75">
      <c r="A43" s="255">
        <v>33</v>
      </c>
      <c r="B43" s="70" t="s">
        <v>224</v>
      </c>
      <c r="C43" s="129" t="s">
        <v>138</v>
      </c>
      <c r="D43" s="129" t="s">
        <v>263</v>
      </c>
      <c r="E43" s="256" t="s">
        <v>165</v>
      </c>
      <c r="F43" s="256">
        <v>1005415103</v>
      </c>
      <c r="G43" s="257">
        <v>4479454</v>
      </c>
      <c r="H43" s="258">
        <f t="shared" si="36"/>
        <v>373287.833333333</v>
      </c>
      <c r="I43" s="258">
        <f t="shared" si="17"/>
        <v>43550.2472222222</v>
      </c>
      <c r="J43" s="258">
        <v>5000</v>
      </c>
      <c r="K43" s="258">
        <v>20833.33</v>
      </c>
      <c r="L43" s="258"/>
      <c r="M43" s="258">
        <v>2500</v>
      </c>
      <c r="N43" s="258"/>
      <c r="O43" s="258"/>
      <c r="P43" s="258"/>
      <c r="Q43" s="258"/>
      <c r="R43" s="258"/>
      <c r="S43" s="258"/>
      <c r="T43" s="258"/>
      <c r="U43" s="258">
        <v>383.33</v>
      </c>
      <c r="V43" s="258"/>
      <c r="W43" s="265"/>
      <c r="X43" s="258"/>
      <c r="Y43" s="258"/>
      <c r="Z43" s="258"/>
      <c r="AA43" s="258"/>
      <c r="AB43" s="258"/>
      <c r="AC43" s="258"/>
      <c r="AD43" s="270"/>
      <c r="AE43" s="258"/>
      <c r="AF43" s="258"/>
      <c r="AG43" s="270">
        <f t="shared" si="14"/>
        <v>7465.75666666667</v>
      </c>
      <c r="AH43" s="270"/>
      <c r="AI43" s="278"/>
      <c r="AJ43" s="280"/>
      <c r="AK43" s="280"/>
      <c r="AL43" s="291">
        <v>1000</v>
      </c>
      <c r="AM43" s="281">
        <v>88750</v>
      </c>
      <c r="AN43" s="258">
        <v>25000</v>
      </c>
      <c r="AO43" s="299">
        <v>2500</v>
      </c>
      <c r="AP43" s="299"/>
      <c r="AQ43" s="299"/>
      <c r="AR43" s="299">
        <f t="shared" si="15"/>
        <v>8911.09481111111</v>
      </c>
      <c r="AS43" s="300"/>
      <c r="AT43" s="300"/>
      <c r="AU43" s="299">
        <f t="shared" si="18"/>
        <v>64213.1768533333</v>
      </c>
      <c r="AV43" s="299">
        <f t="shared" ref="AV43:AV54" si="37">W43+V43+U43+N43+M43+K43+J43+I43+H43</f>
        <v>445554.740555556</v>
      </c>
      <c r="AW43" s="299">
        <f t="shared" ref="AW43:AW56" si="38">AU43+AR43+AQ43+AO43+AN43+AM43+AK43+AI43+AH43+AG43+AF43+AE43+AD43</f>
        <v>196840.028331111</v>
      </c>
      <c r="AX43" s="299"/>
      <c r="AY43" s="299"/>
      <c r="AZ43" s="299">
        <f t="shared" si="20"/>
        <v>248714.712224444</v>
      </c>
      <c r="BA43" s="305">
        <f t="shared" si="22"/>
        <v>5346656.88666667</v>
      </c>
      <c r="BB43" s="306">
        <f t="shared" si="1"/>
        <v>1269331.37733333</v>
      </c>
      <c r="BC43" s="307">
        <f t="shared" si="24"/>
        <v>0</v>
      </c>
      <c r="BD43" s="308">
        <f t="shared" si="2"/>
        <v>1269331.37733333</v>
      </c>
      <c r="BE43" s="313">
        <f t="shared" si="3"/>
        <v>4077325.50933333</v>
      </c>
      <c r="BF43" s="306"/>
      <c r="BG43" s="307">
        <f t="shared" si="4"/>
        <v>21000</v>
      </c>
      <c r="BH43" s="307">
        <f t="shared" si="5"/>
        <v>33000</v>
      </c>
      <c r="BI43" s="307">
        <f t="shared" si="6"/>
        <v>75000</v>
      </c>
      <c r="BJ43" s="307">
        <f t="shared" si="7"/>
        <v>95000</v>
      </c>
      <c r="BK43" s="307">
        <f t="shared" si="8"/>
        <v>336000</v>
      </c>
      <c r="BL43" s="307">
        <f t="shared" si="9"/>
        <v>210558.12224</v>
      </c>
      <c r="BM43" s="305">
        <f t="shared" si="10"/>
        <v>770558.12224</v>
      </c>
      <c r="BN43" s="320">
        <f t="shared" si="11"/>
        <v>53466.5688666667</v>
      </c>
      <c r="BO43" s="321">
        <f t="shared" si="12"/>
        <v>770558.12224</v>
      </c>
      <c r="BP43" s="322">
        <f t="shared" si="13"/>
        <v>64213.1768533333</v>
      </c>
      <c r="BQ43" s="323"/>
      <c r="BR43" s="324"/>
      <c r="BS43" s="325"/>
      <c r="BT43" s="326"/>
      <c r="BU43" s="326"/>
      <c r="BV43" s="334"/>
      <c r="BW43" s="335"/>
    </row>
    <row r="44" s="245" customFormat="1" ht="172.5" customHeight="1" spans="1:75">
      <c r="A44" s="255">
        <v>34</v>
      </c>
      <c r="B44" s="70" t="s">
        <v>234</v>
      </c>
      <c r="C44" s="129" t="s">
        <v>111</v>
      </c>
      <c r="D44" s="129" t="s">
        <v>235</v>
      </c>
      <c r="E44" s="256" t="s">
        <v>113</v>
      </c>
      <c r="F44" s="140">
        <v>1005008228</v>
      </c>
      <c r="G44" s="257">
        <v>4479455</v>
      </c>
      <c r="H44" s="258">
        <f t="shared" si="36"/>
        <v>373287.916666667</v>
      </c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65"/>
      <c r="X44" s="258"/>
      <c r="Y44" s="258"/>
      <c r="Z44" s="258"/>
      <c r="AA44" s="258"/>
      <c r="AB44" s="258"/>
      <c r="AC44" s="258"/>
      <c r="AD44" s="270"/>
      <c r="AE44" s="258"/>
      <c r="AF44" s="258"/>
      <c r="AG44" s="270">
        <f t="shared" si="14"/>
        <v>7465.75833333333</v>
      </c>
      <c r="AH44" s="270"/>
      <c r="AI44" s="283">
        <v>2000</v>
      </c>
      <c r="AJ44" s="284"/>
      <c r="AK44" s="280"/>
      <c r="AL44" s="291"/>
      <c r="AM44" s="281"/>
      <c r="AN44" s="258"/>
      <c r="AO44" s="299">
        <v>3500</v>
      </c>
      <c r="AP44" s="299"/>
      <c r="AQ44" s="299"/>
      <c r="AR44" s="299">
        <f t="shared" si="15"/>
        <v>7465.75833333333</v>
      </c>
      <c r="AS44" s="300"/>
      <c r="AT44" s="300"/>
      <c r="AU44" s="299">
        <f t="shared" si="18"/>
        <v>50337.9466666667</v>
      </c>
      <c r="AV44" s="299">
        <f t="shared" si="37"/>
        <v>373287.916666667</v>
      </c>
      <c r="AW44" s="299">
        <f t="shared" si="38"/>
        <v>70769.4633333333</v>
      </c>
      <c r="AX44" s="299"/>
      <c r="AY44" s="299"/>
      <c r="AZ44" s="299">
        <f t="shared" si="20"/>
        <v>302518.453333333</v>
      </c>
      <c r="BA44" s="305">
        <f t="shared" si="22"/>
        <v>4479455</v>
      </c>
      <c r="BB44" s="306">
        <f t="shared" si="1"/>
        <v>1095891</v>
      </c>
      <c r="BC44" s="307">
        <f t="shared" si="24"/>
        <v>0</v>
      </c>
      <c r="BD44" s="308">
        <f t="shared" si="2"/>
        <v>1095891</v>
      </c>
      <c r="BE44" s="313">
        <f t="shared" si="3"/>
        <v>3383564</v>
      </c>
      <c r="BF44" s="306"/>
      <c r="BG44" s="307">
        <f t="shared" si="4"/>
        <v>21000</v>
      </c>
      <c r="BH44" s="307">
        <f t="shared" si="5"/>
        <v>33000</v>
      </c>
      <c r="BI44" s="307">
        <f t="shared" si="6"/>
        <v>75000</v>
      </c>
      <c r="BJ44" s="307">
        <f t="shared" si="7"/>
        <v>95000</v>
      </c>
      <c r="BK44" s="307">
        <f t="shared" si="8"/>
        <v>336000</v>
      </c>
      <c r="BL44" s="307">
        <f t="shared" si="9"/>
        <v>44055.36</v>
      </c>
      <c r="BM44" s="305">
        <f t="shared" si="10"/>
        <v>604055.36</v>
      </c>
      <c r="BN44" s="320">
        <f t="shared" si="11"/>
        <v>44794.55</v>
      </c>
      <c r="BO44" s="321">
        <f t="shared" si="12"/>
        <v>604055.36</v>
      </c>
      <c r="BP44" s="322">
        <f t="shared" si="13"/>
        <v>50337.9466666667</v>
      </c>
      <c r="BQ44" s="323"/>
      <c r="BR44" s="324"/>
      <c r="BS44" s="325"/>
      <c r="BT44" s="326"/>
      <c r="BU44" s="326"/>
      <c r="BV44" s="334"/>
      <c r="BW44" s="335"/>
    </row>
    <row r="45" s="245" customFormat="1" ht="172.5" customHeight="1" spans="1:75">
      <c r="A45" s="255">
        <v>35</v>
      </c>
      <c r="B45" s="70" t="s">
        <v>2019</v>
      </c>
      <c r="C45" s="129" t="s">
        <v>255</v>
      </c>
      <c r="D45" s="129" t="s">
        <v>291</v>
      </c>
      <c r="E45" s="256" t="s">
        <v>127</v>
      </c>
      <c r="F45" s="1469" t="s">
        <v>2020</v>
      </c>
      <c r="G45" s="257">
        <f>H45*12</f>
        <v>1553152.56</v>
      </c>
      <c r="H45" s="258">
        <v>129429.38</v>
      </c>
      <c r="I45" s="258"/>
      <c r="J45" s="258"/>
      <c r="K45" s="258"/>
      <c r="L45" s="258"/>
      <c r="M45" s="258">
        <v>2500</v>
      </c>
      <c r="N45" s="258"/>
      <c r="O45" s="258"/>
      <c r="P45" s="258"/>
      <c r="Q45" s="258"/>
      <c r="R45" s="258"/>
      <c r="S45" s="258"/>
      <c r="T45" s="258"/>
      <c r="U45" s="258">
        <v>383.33</v>
      </c>
      <c r="V45" s="258"/>
      <c r="W45" s="265"/>
      <c r="X45" s="258"/>
      <c r="Y45" s="258"/>
      <c r="Z45" s="258"/>
      <c r="AA45" s="258"/>
      <c r="AB45" s="258"/>
      <c r="AC45" s="258"/>
      <c r="AD45" s="270"/>
      <c r="AE45" s="258"/>
      <c r="AF45" s="258"/>
      <c r="AG45" s="270">
        <f t="shared" si="14"/>
        <v>2588.5876</v>
      </c>
      <c r="AH45" s="270"/>
      <c r="AI45" s="282">
        <v>1000</v>
      </c>
      <c r="AJ45" s="279"/>
      <c r="AK45" s="279"/>
      <c r="AL45" s="279"/>
      <c r="AM45" s="281"/>
      <c r="AN45" s="258"/>
      <c r="AO45" s="299">
        <v>2000</v>
      </c>
      <c r="AP45" s="299"/>
      <c r="AQ45" s="299"/>
      <c r="AR45" s="299">
        <f t="shared" si="15"/>
        <v>2646.2542</v>
      </c>
      <c r="AS45" s="300"/>
      <c r="AT45" s="300"/>
      <c r="AU45" s="299">
        <f t="shared" si="18"/>
        <v>10377.5252</v>
      </c>
      <c r="AV45" s="299">
        <f t="shared" si="37"/>
        <v>132312.71</v>
      </c>
      <c r="AW45" s="299">
        <f t="shared" si="38"/>
        <v>18612.367</v>
      </c>
      <c r="AX45" s="299"/>
      <c r="AY45" s="299"/>
      <c r="AZ45" s="299">
        <f t="shared" si="20"/>
        <v>113700.343</v>
      </c>
      <c r="BA45" s="305">
        <f t="shared" si="22"/>
        <v>1587752.52</v>
      </c>
      <c r="BB45" s="306">
        <f t="shared" si="1"/>
        <v>517550.504</v>
      </c>
      <c r="BC45" s="307">
        <f t="shared" si="24"/>
        <v>0</v>
      </c>
      <c r="BD45" s="308">
        <f t="shared" si="2"/>
        <v>517550.504</v>
      </c>
      <c r="BE45" s="313">
        <f t="shared" si="3"/>
        <v>1070202.016</v>
      </c>
      <c r="BF45" s="306"/>
      <c r="BG45" s="307">
        <f t="shared" si="4"/>
        <v>21000</v>
      </c>
      <c r="BH45" s="307">
        <f t="shared" si="5"/>
        <v>33000</v>
      </c>
      <c r="BI45" s="307">
        <f t="shared" si="6"/>
        <v>70530.3024</v>
      </c>
      <c r="BJ45" s="307" t="str">
        <f t="shared" si="7"/>
        <v/>
      </c>
      <c r="BK45" s="307" t="str">
        <f t="shared" si="8"/>
        <v/>
      </c>
      <c r="BL45" s="307" t="str">
        <f t="shared" si="9"/>
        <v/>
      </c>
      <c r="BM45" s="305">
        <f t="shared" si="10"/>
        <v>124530.3024</v>
      </c>
      <c r="BN45" s="320">
        <f t="shared" si="11"/>
        <v>15877.5252</v>
      </c>
      <c r="BO45" s="321">
        <f t="shared" si="12"/>
        <v>124530.3024</v>
      </c>
      <c r="BP45" s="322">
        <f t="shared" si="13"/>
        <v>10377.5252</v>
      </c>
      <c r="BQ45" s="323"/>
      <c r="BR45" s="324"/>
      <c r="BS45" s="325"/>
      <c r="BT45" s="326"/>
      <c r="BU45" s="326"/>
      <c r="BV45" s="334"/>
      <c r="BW45" s="335"/>
    </row>
    <row r="46" s="245" customFormat="1" ht="172.5" customHeight="1" spans="1:75">
      <c r="A46" s="255">
        <v>36</v>
      </c>
      <c r="B46" s="70" t="s">
        <v>2021</v>
      </c>
      <c r="C46" s="129" t="s">
        <v>255</v>
      </c>
      <c r="D46" s="129" t="s">
        <v>291</v>
      </c>
      <c r="E46" s="256" t="s">
        <v>93</v>
      </c>
      <c r="F46" s="256">
        <v>3053689736</v>
      </c>
      <c r="G46" s="257">
        <f>H46*12</f>
        <v>4975123.44</v>
      </c>
      <c r="H46" s="258">
        <v>414593.62</v>
      </c>
      <c r="I46" s="258"/>
      <c r="J46" s="258"/>
      <c r="K46" s="258"/>
      <c r="L46" s="258"/>
      <c r="M46" s="258">
        <v>2500</v>
      </c>
      <c r="N46" s="258"/>
      <c r="O46" s="258"/>
      <c r="P46" s="258"/>
      <c r="Q46" s="258"/>
      <c r="R46" s="258"/>
      <c r="S46" s="258"/>
      <c r="T46" s="258"/>
      <c r="U46" s="258">
        <v>383.33</v>
      </c>
      <c r="V46" s="258"/>
      <c r="W46" s="265"/>
      <c r="X46" s="258"/>
      <c r="Y46" s="258"/>
      <c r="Z46" s="258"/>
      <c r="AA46" s="258"/>
      <c r="AB46" s="258"/>
      <c r="AC46" s="258"/>
      <c r="AD46" s="270"/>
      <c r="AE46" s="258"/>
      <c r="AF46" s="258">
        <v>750</v>
      </c>
      <c r="AG46" s="270">
        <f t="shared" si="14"/>
        <v>8291.8724</v>
      </c>
      <c r="AH46" s="270"/>
      <c r="AI46" s="282">
        <f>1000*2</f>
        <v>2000</v>
      </c>
      <c r="AJ46" s="279"/>
      <c r="AK46" s="279"/>
      <c r="AL46" s="279"/>
      <c r="AM46" s="281"/>
      <c r="AN46" s="258"/>
      <c r="AO46" s="299">
        <v>4000</v>
      </c>
      <c r="AP46" s="299"/>
      <c r="AQ46" s="299"/>
      <c r="AR46" s="299">
        <f t="shared" si="15"/>
        <v>8349.539</v>
      </c>
      <c r="AS46" s="300"/>
      <c r="AT46" s="300"/>
      <c r="AU46" s="299">
        <f t="shared" si="18"/>
        <v>58822.2410666667</v>
      </c>
      <c r="AV46" s="299">
        <f t="shared" si="37"/>
        <v>417476.95</v>
      </c>
      <c r="AW46" s="299">
        <f t="shared" si="38"/>
        <v>82213.6524666667</v>
      </c>
      <c r="AX46" s="299"/>
      <c r="AY46" s="299"/>
      <c r="AZ46" s="299">
        <f t="shared" si="20"/>
        <v>335263.297533333</v>
      </c>
      <c r="BA46" s="305">
        <f t="shared" si="22"/>
        <v>5009723.4</v>
      </c>
      <c r="BB46" s="306">
        <f t="shared" si="1"/>
        <v>1201944.68</v>
      </c>
      <c r="BC46" s="307">
        <f t="shared" si="24"/>
        <v>0</v>
      </c>
      <c r="BD46" s="308">
        <f t="shared" si="2"/>
        <v>1201944.68</v>
      </c>
      <c r="BE46" s="313">
        <f t="shared" si="3"/>
        <v>3807778.72</v>
      </c>
      <c r="BF46" s="306"/>
      <c r="BG46" s="307">
        <f t="shared" si="4"/>
        <v>21000</v>
      </c>
      <c r="BH46" s="307">
        <f t="shared" si="5"/>
        <v>33000</v>
      </c>
      <c r="BI46" s="307">
        <f t="shared" si="6"/>
        <v>75000</v>
      </c>
      <c r="BJ46" s="307">
        <f t="shared" si="7"/>
        <v>95000</v>
      </c>
      <c r="BK46" s="307">
        <f t="shared" si="8"/>
        <v>336000</v>
      </c>
      <c r="BL46" s="307">
        <f t="shared" si="9"/>
        <v>145866.8928</v>
      </c>
      <c r="BM46" s="305">
        <f t="shared" si="10"/>
        <v>705866.8928</v>
      </c>
      <c r="BN46" s="320">
        <f t="shared" si="11"/>
        <v>50097.234</v>
      </c>
      <c r="BO46" s="321">
        <f t="shared" si="12"/>
        <v>705866.8928</v>
      </c>
      <c r="BP46" s="322">
        <f t="shared" si="13"/>
        <v>58822.2410666667</v>
      </c>
      <c r="BQ46" s="323"/>
      <c r="BR46" s="324"/>
      <c r="BS46" s="325"/>
      <c r="BT46" s="326"/>
      <c r="BU46" s="326"/>
      <c r="BV46" s="334"/>
      <c r="BW46" s="335"/>
    </row>
    <row r="47" s="245" customFormat="1" ht="172.5" customHeight="1" spans="1:75">
      <c r="A47" s="255">
        <v>37</v>
      </c>
      <c r="B47" s="70" t="s">
        <v>2022</v>
      </c>
      <c r="C47" s="129" t="s">
        <v>242</v>
      </c>
      <c r="D47" s="129" t="s">
        <v>394</v>
      </c>
      <c r="E47" s="1469" t="s">
        <v>127</v>
      </c>
      <c r="F47" s="1469" t="s">
        <v>2023</v>
      </c>
      <c r="G47" s="257">
        <f>H47*12</f>
        <v>3553648.92</v>
      </c>
      <c r="H47" s="258">
        <v>296137.41</v>
      </c>
      <c r="I47" s="258"/>
      <c r="J47" s="258"/>
      <c r="K47" s="258"/>
      <c r="L47" s="258"/>
      <c r="M47" s="258">
        <v>2500</v>
      </c>
      <c r="N47" s="258"/>
      <c r="O47" s="258"/>
      <c r="P47" s="258"/>
      <c r="Q47" s="258"/>
      <c r="R47" s="258"/>
      <c r="S47" s="258"/>
      <c r="T47" s="258"/>
      <c r="U47" s="258">
        <v>383.33</v>
      </c>
      <c r="V47" s="258"/>
      <c r="W47" s="265"/>
      <c r="X47" s="258"/>
      <c r="Y47" s="258"/>
      <c r="Z47" s="258"/>
      <c r="AA47" s="258"/>
      <c r="AB47" s="258"/>
      <c r="AC47" s="258"/>
      <c r="AD47" s="270"/>
      <c r="AE47" s="258"/>
      <c r="AF47" s="258"/>
      <c r="AG47" s="270">
        <f t="shared" si="14"/>
        <v>5922.7482</v>
      </c>
      <c r="AH47" s="270"/>
      <c r="AI47" s="282">
        <f>1000*2</f>
        <v>2000</v>
      </c>
      <c r="AJ47" s="279"/>
      <c r="AK47" s="279"/>
      <c r="AL47" s="279"/>
      <c r="AM47" s="281"/>
      <c r="AN47" s="258"/>
      <c r="AO47" s="299">
        <v>4000</v>
      </c>
      <c r="AP47" s="299">
        <v>4000</v>
      </c>
      <c r="AQ47" s="299"/>
      <c r="AR47" s="299">
        <f t="shared" si="15"/>
        <v>5980.4148</v>
      </c>
      <c r="AS47" s="300"/>
      <c r="AT47" s="300"/>
      <c r="AU47" s="299">
        <f t="shared" si="18"/>
        <v>37402.1509866667</v>
      </c>
      <c r="AV47" s="299">
        <f t="shared" si="37"/>
        <v>299020.74</v>
      </c>
      <c r="AW47" s="299">
        <f t="shared" si="38"/>
        <v>55305.3139866667</v>
      </c>
      <c r="AX47" s="299"/>
      <c r="AY47" s="299"/>
      <c r="AZ47" s="299">
        <f t="shared" si="20"/>
        <v>243715.426013333</v>
      </c>
      <c r="BA47" s="305">
        <f t="shared" si="22"/>
        <v>3588248.88</v>
      </c>
      <c r="BB47" s="306">
        <f t="shared" si="1"/>
        <v>917649.776</v>
      </c>
      <c r="BC47" s="307">
        <f t="shared" si="24"/>
        <v>0</v>
      </c>
      <c r="BD47" s="308">
        <f t="shared" si="2"/>
        <v>917649.776</v>
      </c>
      <c r="BE47" s="313">
        <f t="shared" si="3"/>
        <v>2670599.104</v>
      </c>
      <c r="BF47" s="306"/>
      <c r="BG47" s="307">
        <f t="shared" si="4"/>
        <v>21000</v>
      </c>
      <c r="BH47" s="307">
        <f t="shared" si="5"/>
        <v>33000</v>
      </c>
      <c r="BI47" s="307">
        <f t="shared" si="6"/>
        <v>75000</v>
      </c>
      <c r="BJ47" s="307">
        <f t="shared" si="7"/>
        <v>95000</v>
      </c>
      <c r="BK47" s="307">
        <f t="shared" si="8"/>
        <v>224825.81184</v>
      </c>
      <c r="BL47" s="307" t="str">
        <f t="shared" si="9"/>
        <v/>
      </c>
      <c r="BM47" s="305">
        <f t="shared" si="10"/>
        <v>448825.81184</v>
      </c>
      <c r="BN47" s="320">
        <f t="shared" si="11"/>
        <v>35882.4888</v>
      </c>
      <c r="BO47" s="321">
        <f t="shared" si="12"/>
        <v>448825.81184</v>
      </c>
      <c r="BP47" s="322">
        <f t="shared" si="13"/>
        <v>37402.1509866667</v>
      </c>
      <c r="BQ47" s="323"/>
      <c r="BR47" s="324"/>
      <c r="BS47" s="325"/>
      <c r="BT47" s="326"/>
      <c r="BU47" s="326"/>
      <c r="BV47" s="334"/>
      <c r="BW47" s="335"/>
    </row>
    <row r="48" s="245" customFormat="1" ht="183" customHeight="1" spans="1:75">
      <c r="A48" s="255">
        <v>38</v>
      </c>
      <c r="B48" s="70" t="s">
        <v>237</v>
      </c>
      <c r="C48" s="129" t="s">
        <v>242</v>
      </c>
      <c r="D48" s="129" t="s">
        <v>291</v>
      </c>
      <c r="E48" s="256" t="s">
        <v>127</v>
      </c>
      <c r="F48" s="1469" t="s">
        <v>239</v>
      </c>
      <c r="G48" s="257">
        <f>H48*12</f>
        <v>4269364.56</v>
      </c>
      <c r="H48" s="258">
        <v>355780.38</v>
      </c>
      <c r="I48" s="258"/>
      <c r="J48" s="258"/>
      <c r="K48" s="258"/>
      <c r="L48" s="258"/>
      <c r="M48" s="258">
        <v>2500</v>
      </c>
      <c r="N48" s="258"/>
      <c r="O48" s="258"/>
      <c r="P48" s="258"/>
      <c r="Q48" s="258"/>
      <c r="R48" s="258"/>
      <c r="S48" s="258"/>
      <c r="T48" s="258"/>
      <c r="U48" s="258">
        <v>383.33</v>
      </c>
      <c r="V48" s="258"/>
      <c r="W48" s="265"/>
      <c r="X48" s="258"/>
      <c r="Y48" s="258"/>
      <c r="Z48" s="258"/>
      <c r="AA48" s="258"/>
      <c r="AB48" s="258"/>
      <c r="AC48" s="258"/>
      <c r="AD48" s="270"/>
      <c r="AE48" s="258"/>
      <c r="AF48" s="258"/>
      <c r="AG48" s="270">
        <f t="shared" si="14"/>
        <v>7115.6076</v>
      </c>
      <c r="AH48" s="270"/>
      <c r="AI48" s="282">
        <f>1000*2</f>
        <v>2000</v>
      </c>
      <c r="AJ48" s="279"/>
      <c r="AK48" s="279"/>
      <c r="AL48" s="279"/>
      <c r="AM48" s="281"/>
      <c r="AN48" s="258"/>
      <c r="AO48" s="299">
        <v>4000</v>
      </c>
      <c r="AP48" s="299"/>
      <c r="AQ48" s="299"/>
      <c r="AR48" s="299">
        <f t="shared" si="15"/>
        <v>7173.2742</v>
      </c>
      <c r="AS48" s="300"/>
      <c r="AT48" s="300"/>
      <c r="AU48" s="299">
        <f t="shared" si="18"/>
        <v>47530.0989866667</v>
      </c>
      <c r="AV48" s="299">
        <f t="shared" si="37"/>
        <v>358663.71</v>
      </c>
      <c r="AW48" s="299">
        <f t="shared" si="38"/>
        <v>67818.9807866667</v>
      </c>
      <c r="AX48" s="299"/>
      <c r="AY48" s="299"/>
      <c r="AZ48" s="299">
        <f t="shared" si="20"/>
        <v>290844.729213333</v>
      </c>
      <c r="BA48" s="305">
        <f t="shared" si="22"/>
        <v>4303964.52</v>
      </c>
      <c r="BB48" s="306">
        <f t="shared" si="1"/>
        <v>1060792.904</v>
      </c>
      <c r="BC48" s="307">
        <f t="shared" si="24"/>
        <v>0</v>
      </c>
      <c r="BD48" s="308">
        <f t="shared" si="2"/>
        <v>1060792.904</v>
      </c>
      <c r="BE48" s="313">
        <f t="shared" si="3"/>
        <v>3243171.616</v>
      </c>
      <c r="BF48" s="306"/>
      <c r="BG48" s="307">
        <f t="shared" si="4"/>
        <v>21000</v>
      </c>
      <c r="BH48" s="307">
        <f t="shared" si="5"/>
        <v>33000</v>
      </c>
      <c r="BI48" s="307">
        <f t="shared" si="6"/>
        <v>75000</v>
      </c>
      <c r="BJ48" s="307">
        <f t="shared" si="7"/>
        <v>95000</v>
      </c>
      <c r="BK48" s="307">
        <f t="shared" si="8"/>
        <v>336000</v>
      </c>
      <c r="BL48" s="307">
        <f t="shared" si="9"/>
        <v>10361.1878400001</v>
      </c>
      <c r="BM48" s="305">
        <f t="shared" si="10"/>
        <v>570361.18784</v>
      </c>
      <c r="BN48" s="320">
        <f t="shared" si="11"/>
        <v>43039.6452</v>
      </c>
      <c r="BO48" s="321">
        <f t="shared" si="12"/>
        <v>570361.18784</v>
      </c>
      <c r="BP48" s="322">
        <f t="shared" si="13"/>
        <v>47530.0989866667</v>
      </c>
      <c r="BQ48" s="323"/>
      <c r="BR48" s="324"/>
      <c r="BS48" s="325"/>
      <c r="BT48" s="326"/>
      <c r="BU48" s="326"/>
      <c r="BV48" s="334"/>
      <c r="BW48" s="335"/>
    </row>
    <row r="49" s="245" customFormat="1" ht="172.5" customHeight="1" spans="1:75">
      <c r="A49" s="255">
        <v>39</v>
      </c>
      <c r="B49" s="70" t="s">
        <v>2024</v>
      </c>
      <c r="C49" s="129" t="s">
        <v>255</v>
      </c>
      <c r="D49" s="129" t="s">
        <v>333</v>
      </c>
      <c r="E49" s="256" t="s">
        <v>113</v>
      </c>
      <c r="F49" s="256">
        <v>1012602172</v>
      </c>
      <c r="G49" s="257">
        <f>285275.37/2*12</f>
        <v>1711652.22</v>
      </c>
      <c r="H49" s="258">
        <v>285275.37</v>
      </c>
      <c r="I49" s="258"/>
      <c r="J49" s="258"/>
      <c r="K49" s="258"/>
      <c r="L49" s="258"/>
      <c r="M49" s="258">
        <v>5000</v>
      </c>
      <c r="N49" s="258"/>
      <c r="O49" s="258"/>
      <c r="P49" s="258"/>
      <c r="Q49" s="258"/>
      <c r="R49" s="258"/>
      <c r="S49" s="258"/>
      <c r="T49" s="258"/>
      <c r="U49" s="258">
        <f t="shared" ref="U49:U54" si="39">383.33*2</f>
        <v>766.66</v>
      </c>
      <c r="V49" s="258"/>
      <c r="W49" s="265"/>
      <c r="X49" s="258"/>
      <c r="Y49" s="258"/>
      <c r="Z49" s="258"/>
      <c r="AA49" s="258"/>
      <c r="AB49" s="258"/>
      <c r="AC49" s="258"/>
      <c r="AD49" s="270"/>
      <c r="AE49" s="258"/>
      <c r="AF49" s="258"/>
      <c r="AG49" s="270">
        <f t="shared" si="14"/>
        <v>5705.5074</v>
      </c>
      <c r="AH49" s="270"/>
      <c r="AI49" s="282">
        <f>1000*2</f>
        <v>2000</v>
      </c>
      <c r="AJ49" s="279"/>
      <c r="AK49" s="279"/>
      <c r="AL49" s="279"/>
      <c r="AM49" s="281"/>
      <c r="AN49" s="258"/>
      <c r="AO49" s="299">
        <v>4000</v>
      </c>
      <c r="AP49" s="299"/>
      <c r="AQ49" s="299"/>
      <c r="AR49" s="299">
        <f t="shared" si="15"/>
        <v>5820.8406</v>
      </c>
      <c r="AS49" s="300"/>
      <c r="AT49" s="300"/>
      <c r="AU49" s="299">
        <f t="shared" si="18"/>
        <v>36061.7277066667</v>
      </c>
      <c r="AV49" s="299">
        <f t="shared" si="37"/>
        <v>291042.03</v>
      </c>
      <c r="AW49" s="299">
        <f t="shared" si="38"/>
        <v>53588.0757066667</v>
      </c>
      <c r="AX49" s="299"/>
      <c r="AY49" s="299"/>
      <c r="AZ49" s="299">
        <f t="shared" si="20"/>
        <v>237453.954293333</v>
      </c>
      <c r="BA49" s="305">
        <f t="shared" si="22"/>
        <v>3492504.36</v>
      </c>
      <c r="BB49" s="306">
        <f t="shared" si="1"/>
        <v>898500.872</v>
      </c>
      <c r="BC49" s="307">
        <f t="shared" si="24"/>
        <v>0</v>
      </c>
      <c r="BD49" s="308">
        <f t="shared" si="2"/>
        <v>898500.872</v>
      </c>
      <c r="BE49" s="313">
        <f t="shared" si="3"/>
        <v>2594003.488</v>
      </c>
      <c r="BF49" s="306"/>
      <c r="BG49" s="307">
        <f t="shared" si="4"/>
        <v>21000</v>
      </c>
      <c r="BH49" s="307">
        <f t="shared" si="5"/>
        <v>33000</v>
      </c>
      <c r="BI49" s="307">
        <f t="shared" si="6"/>
        <v>75000</v>
      </c>
      <c r="BJ49" s="307">
        <f t="shared" si="7"/>
        <v>95000</v>
      </c>
      <c r="BK49" s="307">
        <f t="shared" si="8"/>
        <v>208740.73248</v>
      </c>
      <c r="BL49" s="307" t="str">
        <f t="shared" si="9"/>
        <v/>
      </c>
      <c r="BM49" s="305">
        <f t="shared" si="10"/>
        <v>432740.73248</v>
      </c>
      <c r="BN49" s="320">
        <f t="shared" si="11"/>
        <v>34925.0436</v>
      </c>
      <c r="BO49" s="321">
        <f t="shared" si="12"/>
        <v>432740.73248</v>
      </c>
      <c r="BP49" s="322">
        <f t="shared" si="13"/>
        <v>36061.7277066667</v>
      </c>
      <c r="BQ49" s="323"/>
      <c r="BR49" s="324"/>
      <c r="BS49" s="325"/>
      <c r="BT49" s="326"/>
      <c r="BU49" s="326"/>
      <c r="BV49" s="334"/>
      <c r="BW49" s="335"/>
    </row>
    <row r="50" s="245" customFormat="1" ht="172.5" customHeight="1" spans="1:75">
      <c r="A50" s="255">
        <v>40</v>
      </c>
      <c r="B50" s="70" t="s">
        <v>226</v>
      </c>
      <c r="C50" s="129" t="s">
        <v>255</v>
      </c>
      <c r="D50" s="129" t="s">
        <v>338</v>
      </c>
      <c r="E50" s="256" t="s">
        <v>97</v>
      </c>
      <c r="F50" s="1469" t="s">
        <v>229</v>
      </c>
      <c r="G50" s="257">
        <f>H50*12/2</f>
        <v>2485971.3</v>
      </c>
      <c r="H50" s="258">
        <v>414328.55</v>
      </c>
      <c r="I50" s="258"/>
      <c r="J50" s="258"/>
      <c r="K50" s="258"/>
      <c r="L50" s="258"/>
      <c r="M50" s="258">
        <v>5000</v>
      </c>
      <c r="N50" s="258"/>
      <c r="O50" s="258"/>
      <c r="P50" s="258"/>
      <c r="Q50" s="258"/>
      <c r="R50" s="258"/>
      <c r="S50" s="258"/>
      <c r="T50" s="258"/>
      <c r="U50" s="258">
        <f t="shared" si="39"/>
        <v>766.66</v>
      </c>
      <c r="V50" s="258"/>
      <c r="W50" s="265"/>
      <c r="X50" s="258"/>
      <c r="Y50" s="258"/>
      <c r="Z50" s="258"/>
      <c r="AA50" s="258"/>
      <c r="AB50" s="258"/>
      <c r="AC50" s="258"/>
      <c r="AD50" s="270"/>
      <c r="AE50" s="258"/>
      <c r="AF50" s="258"/>
      <c r="AG50" s="270">
        <f t="shared" si="14"/>
        <v>8286.571</v>
      </c>
      <c r="AH50" s="270"/>
      <c r="AI50" s="282"/>
      <c r="AJ50" s="279"/>
      <c r="AK50" s="279"/>
      <c r="AL50" s="279"/>
      <c r="AM50" s="281"/>
      <c r="AN50" s="258"/>
      <c r="AO50" s="299">
        <v>4000</v>
      </c>
      <c r="AP50" s="299"/>
      <c r="AQ50" s="299"/>
      <c r="AR50" s="299">
        <f t="shared" si="15"/>
        <v>8401.9042</v>
      </c>
      <c r="AS50" s="300"/>
      <c r="AT50" s="300"/>
      <c r="AU50" s="299">
        <f t="shared" si="18"/>
        <v>59324.9469866667</v>
      </c>
      <c r="AV50" s="299">
        <f t="shared" si="37"/>
        <v>420095.21</v>
      </c>
      <c r="AW50" s="299">
        <f t="shared" si="38"/>
        <v>80013.4221866667</v>
      </c>
      <c r="AX50" s="299"/>
      <c r="AY50" s="299"/>
      <c r="AZ50" s="299">
        <f t="shared" si="20"/>
        <v>340081.787813333</v>
      </c>
      <c r="BA50" s="305">
        <f t="shared" si="22"/>
        <v>5041142.52</v>
      </c>
      <c r="BB50" s="306">
        <f t="shared" si="1"/>
        <v>1208228.504</v>
      </c>
      <c r="BC50" s="307">
        <f t="shared" si="24"/>
        <v>0</v>
      </c>
      <c r="BD50" s="308">
        <f t="shared" si="2"/>
        <v>1208228.504</v>
      </c>
      <c r="BE50" s="313">
        <f t="shared" si="3"/>
        <v>3832914.016</v>
      </c>
      <c r="BF50" s="306"/>
      <c r="BG50" s="307">
        <f t="shared" si="4"/>
        <v>21000</v>
      </c>
      <c r="BH50" s="307">
        <f t="shared" si="5"/>
        <v>33000</v>
      </c>
      <c r="BI50" s="307">
        <f t="shared" si="6"/>
        <v>75000</v>
      </c>
      <c r="BJ50" s="307">
        <f t="shared" si="7"/>
        <v>95000</v>
      </c>
      <c r="BK50" s="307">
        <f t="shared" si="8"/>
        <v>336000</v>
      </c>
      <c r="BL50" s="307">
        <f t="shared" si="9"/>
        <v>151899.36384</v>
      </c>
      <c r="BM50" s="305">
        <f t="shared" si="10"/>
        <v>711899.36384</v>
      </c>
      <c r="BN50" s="320">
        <f t="shared" si="11"/>
        <v>50411.4252</v>
      </c>
      <c r="BO50" s="321">
        <f t="shared" si="12"/>
        <v>711899.36384</v>
      </c>
      <c r="BP50" s="322">
        <f t="shared" si="13"/>
        <v>59324.9469866667</v>
      </c>
      <c r="BQ50" s="323"/>
      <c r="BR50" s="324"/>
      <c r="BS50" s="325"/>
      <c r="BT50" s="326"/>
      <c r="BU50" s="326"/>
      <c r="BV50" s="334"/>
      <c r="BW50" s="335"/>
    </row>
    <row r="51" s="245" customFormat="1" ht="172.5" customHeight="1" spans="1:75">
      <c r="A51" s="255">
        <v>41</v>
      </c>
      <c r="B51" s="70" t="s">
        <v>2025</v>
      </c>
      <c r="C51" s="129" t="s">
        <v>242</v>
      </c>
      <c r="D51" s="129" t="s">
        <v>243</v>
      </c>
      <c r="E51" s="256" t="s">
        <v>422</v>
      </c>
      <c r="F51" s="256">
        <v>1760341894</v>
      </c>
      <c r="G51" s="257">
        <f>H51*12/2</f>
        <v>2235153</v>
      </c>
      <c r="H51" s="258">
        <v>372525.5</v>
      </c>
      <c r="I51" s="258"/>
      <c r="J51" s="258"/>
      <c r="K51" s="258"/>
      <c r="L51" s="258"/>
      <c r="M51" s="258">
        <v>5000</v>
      </c>
      <c r="N51" s="258"/>
      <c r="O51" s="258"/>
      <c r="P51" s="258"/>
      <c r="Q51" s="258"/>
      <c r="R51" s="258"/>
      <c r="S51" s="258"/>
      <c r="T51" s="258"/>
      <c r="U51" s="258">
        <f t="shared" si="39"/>
        <v>766.66</v>
      </c>
      <c r="V51" s="258"/>
      <c r="W51" s="265"/>
      <c r="X51" s="258"/>
      <c r="Y51" s="258"/>
      <c r="Z51" s="258"/>
      <c r="AA51" s="258"/>
      <c r="AB51" s="258"/>
      <c r="AC51" s="258"/>
      <c r="AD51" s="270"/>
      <c r="AE51" s="258"/>
      <c r="AF51" s="258"/>
      <c r="AG51" s="270">
        <f t="shared" si="14"/>
        <v>7450.51</v>
      </c>
      <c r="AH51" s="270"/>
      <c r="AI51" s="282"/>
      <c r="AJ51" s="279"/>
      <c r="AK51" s="279"/>
      <c r="AL51" s="279"/>
      <c r="AM51" s="281"/>
      <c r="AN51" s="258"/>
      <c r="AO51" s="299">
        <v>4000</v>
      </c>
      <c r="AP51" s="299">
        <v>7000</v>
      </c>
      <c r="AQ51" s="299"/>
      <c r="AR51" s="299">
        <f t="shared" si="15"/>
        <v>7565.8432</v>
      </c>
      <c r="AS51" s="300"/>
      <c r="AT51" s="300"/>
      <c r="AU51" s="299">
        <f t="shared" si="18"/>
        <v>51298.7613866667</v>
      </c>
      <c r="AV51" s="299">
        <f t="shared" si="37"/>
        <v>378292.16</v>
      </c>
      <c r="AW51" s="299">
        <f t="shared" si="38"/>
        <v>70315.1145866667</v>
      </c>
      <c r="AX51" s="299"/>
      <c r="AY51" s="299"/>
      <c r="AZ51" s="299">
        <f t="shared" ref="AZ51:AZ82" si="40">AV51-AW51</f>
        <v>307977.045413333</v>
      </c>
      <c r="BA51" s="305">
        <f t="shared" si="22"/>
        <v>4539505.92</v>
      </c>
      <c r="BB51" s="306">
        <f t="shared" si="1"/>
        <v>1107901.184</v>
      </c>
      <c r="BC51" s="307">
        <f t="shared" si="24"/>
        <v>0</v>
      </c>
      <c r="BD51" s="308">
        <f t="shared" si="2"/>
        <v>1107901.184</v>
      </c>
      <c r="BE51" s="313">
        <f t="shared" si="3"/>
        <v>3431604.736</v>
      </c>
      <c r="BF51" s="306"/>
      <c r="BG51" s="307">
        <f t="shared" si="4"/>
        <v>21000</v>
      </c>
      <c r="BH51" s="307">
        <f t="shared" si="5"/>
        <v>33000</v>
      </c>
      <c r="BI51" s="307">
        <f t="shared" si="6"/>
        <v>75000</v>
      </c>
      <c r="BJ51" s="307">
        <f t="shared" si="7"/>
        <v>95000</v>
      </c>
      <c r="BK51" s="307">
        <f t="shared" si="8"/>
        <v>336000</v>
      </c>
      <c r="BL51" s="307">
        <f t="shared" si="9"/>
        <v>55585.13664</v>
      </c>
      <c r="BM51" s="305">
        <f t="shared" si="10"/>
        <v>615585.13664</v>
      </c>
      <c r="BN51" s="320">
        <f t="shared" si="11"/>
        <v>45395.0592</v>
      </c>
      <c r="BO51" s="321">
        <f t="shared" si="12"/>
        <v>615585.13664</v>
      </c>
      <c r="BP51" s="322">
        <f t="shared" si="13"/>
        <v>51298.7613866667</v>
      </c>
      <c r="BQ51" s="323"/>
      <c r="BR51" s="324"/>
      <c r="BS51" s="325"/>
      <c r="BT51" s="326"/>
      <c r="BU51" s="326"/>
      <c r="BV51" s="334"/>
      <c r="BW51" s="335"/>
    </row>
    <row r="52" s="245" customFormat="1" ht="172.5" customHeight="1" spans="1:75">
      <c r="A52" s="255">
        <v>42</v>
      </c>
      <c r="B52" s="70" t="s">
        <v>240</v>
      </c>
      <c r="C52" s="129" t="s">
        <v>242</v>
      </c>
      <c r="D52" s="129" t="s">
        <v>243</v>
      </c>
      <c r="E52" s="128" t="s">
        <v>122</v>
      </c>
      <c r="F52" s="256">
        <v>9200480279</v>
      </c>
      <c r="G52" s="257">
        <f>H52*12/2</f>
        <v>2235153</v>
      </c>
      <c r="H52" s="258">
        <v>372525.5</v>
      </c>
      <c r="I52" s="258"/>
      <c r="J52" s="258"/>
      <c r="K52" s="258"/>
      <c r="L52" s="258"/>
      <c r="M52" s="258">
        <v>5000</v>
      </c>
      <c r="N52" s="258"/>
      <c r="O52" s="258"/>
      <c r="P52" s="258"/>
      <c r="Q52" s="258"/>
      <c r="R52" s="258"/>
      <c r="S52" s="258"/>
      <c r="T52" s="258"/>
      <c r="U52" s="258">
        <f t="shared" si="39"/>
        <v>766.66</v>
      </c>
      <c r="V52" s="258"/>
      <c r="W52" s="265"/>
      <c r="X52" s="258"/>
      <c r="Y52" s="258"/>
      <c r="Z52" s="258"/>
      <c r="AA52" s="258"/>
      <c r="AB52" s="258"/>
      <c r="AC52" s="258"/>
      <c r="AD52" s="270"/>
      <c r="AE52" s="258"/>
      <c r="AF52" s="258"/>
      <c r="AG52" s="270">
        <f t="shared" si="14"/>
        <v>7450.51</v>
      </c>
      <c r="AH52" s="270"/>
      <c r="AI52" s="282"/>
      <c r="AJ52" s="279"/>
      <c r="AK52" s="279"/>
      <c r="AL52" s="279"/>
      <c r="AM52" s="281"/>
      <c r="AN52" s="258"/>
      <c r="AO52" s="299">
        <v>4000</v>
      </c>
      <c r="AP52" s="299"/>
      <c r="AQ52" s="299"/>
      <c r="AR52" s="299">
        <f t="shared" si="15"/>
        <v>7565.8432</v>
      </c>
      <c r="AS52" s="300"/>
      <c r="AT52" s="300"/>
      <c r="AU52" s="299">
        <f t="shared" si="18"/>
        <v>51298.7613866667</v>
      </c>
      <c r="AV52" s="299">
        <f t="shared" si="37"/>
        <v>378292.16</v>
      </c>
      <c r="AW52" s="299">
        <f t="shared" si="38"/>
        <v>70315.1145866667</v>
      </c>
      <c r="AX52" s="299"/>
      <c r="AY52" s="299"/>
      <c r="AZ52" s="299">
        <f t="shared" si="40"/>
        <v>307977.045413333</v>
      </c>
      <c r="BA52" s="305">
        <f t="shared" si="22"/>
        <v>4539505.92</v>
      </c>
      <c r="BB52" s="306">
        <f t="shared" si="1"/>
        <v>1107901.184</v>
      </c>
      <c r="BC52" s="307">
        <f t="shared" si="24"/>
        <v>0</v>
      </c>
      <c r="BD52" s="308">
        <f t="shared" si="2"/>
        <v>1107901.184</v>
      </c>
      <c r="BE52" s="313">
        <f t="shared" si="3"/>
        <v>3431604.736</v>
      </c>
      <c r="BF52" s="306"/>
      <c r="BG52" s="307">
        <f t="shared" si="4"/>
        <v>21000</v>
      </c>
      <c r="BH52" s="307">
        <f t="shared" si="5"/>
        <v>33000</v>
      </c>
      <c r="BI52" s="307">
        <f t="shared" si="6"/>
        <v>75000</v>
      </c>
      <c r="BJ52" s="307">
        <f t="shared" si="7"/>
        <v>95000</v>
      </c>
      <c r="BK52" s="307">
        <f t="shared" si="8"/>
        <v>336000</v>
      </c>
      <c r="BL52" s="307">
        <f t="shared" si="9"/>
        <v>55585.13664</v>
      </c>
      <c r="BM52" s="305">
        <f t="shared" si="10"/>
        <v>615585.13664</v>
      </c>
      <c r="BN52" s="320">
        <f t="shared" si="11"/>
        <v>45395.0592</v>
      </c>
      <c r="BO52" s="321">
        <f t="shared" si="12"/>
        <v>615585.13664</v>
      </c>
      <c r="BP52" s="322">
        <f t="shared" si="13"/>
        <v>51298.7613866667</v>
      </c>
      <c r="BQ52" s="323"/>
      <c r="BR52" s="324"/>
      <c r="BS52" s="325"/>
      <c r="BT52" s="326"/>
      <c r="BU52" s="326"/>
      <c r="BV52" s="334"/>
      <c r="BW52" s="335"/>
    </row>
    <row r="53" s="245" customFormat="1" ht="177" customHeight="1" spans="1:75">
      <c r="A53" s="255">
        <v>43</v>
      </c>
      <c r="B53" s="70" t="s">
        <v>2026</v>
      </c>
      <c r="C53" s="129" t="s">
        <v>242</v>
      </c>
      <c r="D53" s="129" t="s">
        <v>394</v>
      </c>
      <c r="E53" s="256" t="s">
        <v>145</v>
      </c>
      <c r="F53" s="1469" t="s">
        <v>2027</v>
      </c>
      <c r="G53" s="257">
        <f>H53*12/2</f>
        <v>1776824.52</v>
      </c>
      <c r="H53" s="258">
        <v>296137.42</v>
      </c>
      <c r="I53" s="258"/>
      <c r="J53" s="258"/>
      <c r="K53" s="258"/>
      <c r="L53" s="258"/>
      <c r="M53" s="258">
        <v>5000</v>
      </c>
      <c r="N53" s="258"/>
      <c r="O53" s="258"/>
      <c r="P53" s="258"/>
      <c r="Q53" s="258"/>
      <c r="R53" s="258"/>
      <c r="S53" s="258"/>
      <c r="T53" s="258"/>
      <c r="U53" s="258">
        <f t="shared" si="39"/>
        <v>766.66</v>
      </c>
      <c r="V53" s="258"/>
      <c r="W53" s="265"/>
      <c r="X53" s="258"/>
      <c r="Y53" s="258"/>
      <c r="Z53" s="258"/>
      <c r="AA53" s="258"/>
      <c r="AB53" s="258"/>
      <c r="AC53" s="258"/>
      <c r="AD53" s="270"/>
      <c r="AE53" s="258"/>
      <c r="AF53" s="258"/>
      <c r="AG53" s="270">
        <f t="shared" si="14"/>
        <v>5922.7484</v>
      </c>
      <c r="AH53" s="270"/>
      <c r="AI53" s="282">
        <v>2000</v>
      </c>
      <c r="AJ53" s="279"/>
      <c r="AK53" s="279"/>
      <c r="AL53" s="279"/>
      <c r="AM53" s="281"/>
      <c r="AN53" s="258"/>
      <c r="AO53" s="299">
        <v>4000</v>
      </c>
      <c r="AP53" s="299"/>
      <c r="AQ53" s="299"/>
      <c r="AR53" s="299">
        <f t="shared" si="15"/>
        <v>6038.0816</v>
      </c>
      <c r="AS53" s="300"/>
      <c r="AT53" s="300"/>
      <c r="AU53" s="299">
        <f t="shared" si="18"/>
        <v>37886.5521066667</v>
      </c>
      <c r="AV53" s="299">
        <f t="shared" si="37"/>
        <v>301904.08</v>
      </c>
      <c r="AW53" s="299">
        <f t="shared" si="38"/>
        <v>55847.3821066667</v>
      </c>
      <c r="AX53" s="299"/>
      <c r="AY53" s="299"/>
      <c r="AZ53" s="299">
        <f t="shared" si="40"/>
        <v>246056.697893333</v>
      </c>
      <c r="BA53" s="305">
        <f t="shared" si="22"/>
        <v>3622848.96</v>
      </c>
      <c r="BB53" s="306">
        <f t="shared" si="1"/>
        <v>924569.792</v>
      </c>
      <c r="BC53" s="307">
        <f t="shared" si="24"/>
        <v>0</v>
      </c>
      <c r="BD53" s="308">
        <f t="shared" si="2"/>
        <v>924569.792</v>
      </c>
      <c r="BE53" s="313">
        <f t="shared" si="3"/>
        <v>2698279.168</v>
      </c>
      <c r="BF53" s="306"/>
      <c r="BG53" s="307">
        <f t="shared" si="4"/>
        <v>21000</v>
      </c>
      <c r="BH53" s="307">
        <f t="shared" si="5"/>
        <v>33000</v>
      </c>
      <c r="BI53" s="307">
        <f t="shared" si="6"/>
        <v>75000</v>
      </c>
      <c r="BJ53" s="307">
        <f t="shared" si="7"/>
        <v>95000</v>
      </c>
      <c r="BK53" s="307">
        <f t="shared" si="8"/>
        <v>230638.62528</v>
      </c>
      <c r="BL53" s="307" t="str">
        <f t="shared" si="9"/>
        <v/>
      </c>
      <c r="BM53" s="305">
        <f t="shared" si="10"/>
        <v>454638.62528</v>
      </c>
      <c r="BN53" s="320">
        <f t="shared" si="11"/>
        <v>36228.4896</v>
      </c>
      <c r="BO53" s="321">
        <f t="shared" si="12"/>
        <v>454638.62528</v>
      </c>
      <c r="BP53" s="322">
        <f t="shared" si="13"/>
        <v>37886.5521066667</v>
      </c>
      <c r="BQ53" s="323"/>
      <c r="BR53" s="324"/>
      <c r="BS53" s="325"/>
      <c r="BT53" s="326"/>
      <c r="BU53" s="326"/>
      <c r="BV53" s="334"/>
      <c r="BW53" s="335"/>
    </row>
    <row r="54" s="245" customFormat="1" ht="172.5" customHeight="1" spans="1:75">
      <c r="A54" s="255">
        <v>44</v>
      </c>
      <c r="B54" s="70" t="s">
        <v>244</v>
      </c>
      <c r="C54" s="129" t="s">
        <v>242</v>
      </c>
      <c r="D54" s="129" t="s">
        <v>276</v>
      </c>
      <c r="E54" s="256" t="s">
        <v>127</v>
      </c>
      <c r="F54" s="1469" t="s">
        <v>247</v>
      </c>
      <c r="G54" s="257">
        <f>H54*12/2</f>
        <v>2272826.88</v>
      </c>
      <c r="H54" s="258">
        <v>378804.48</v>
      </c>
      <c r="I54" s="258"/>
      <c r="J54" s="258"/>
      <c r="K54" s="258"/>
      <c r="L54" s="258"/>
      <c r="M54" s="258">
        <v>5000</v>
      </c>
      <c r="N54" s="258"/>
      <c r="O54" s="258"/>
      <c r="P54" s="258"/>
      <c r="Q54" s="258"/>
      <c r="R54" s="258"/>
      <c r="S54" s="258"/>
      <c r="T54" s="258"/>
      <c r="U54" s="258">
        <f t="shared" si="39"/>
        <v>766.66</v>
      </c>
      <c r="V54" s="258"/>
      <c r="W54" s="265"/>
      <c r="X54" s="258"/>
      <c r="Y54" s="258"/>
      <c r="Z54" s="258"/>
      <c r="AA54" s="258"/>
      <c r="AB54" s="258"/>
      <c r="AC54" s="258"/>
      <c r="AD54" s="270"/>
      <c r="AE54" s="258"/>
      <c r="AF54" s="258"/>
      <c r="AG54" s="270">
        <f t="shared" si="14"/>
        <v>7576.0896</v>
      </c>
      <c r="AH54" s="270"/>
      <c r="AI54" s="282">
        <v>2000</v>
      </c>
      <c r="AJ54" s="279"/>
      <c r="AK54" s="279"/>
      <c r="AL54" s="279"/>
      <c r="AM54" s="281"/>
      <c r="AN54" s="258"/>
      <c r="AO54" s="299">
        <v>4000</v>
      </c>
      <c r="AP54" s="299"/>
      <c r="AQ54" s="299"/>
      <c r="AR54" s="299">
        <f t="shared" si="15"/>
        <v>7691.4228</v>
      </c>
      <c r="AS54" s="300"/>
      <c r="AT54" s="300"/>
      <c r="AU54" s="299">
        <f t="shared" si="18"/>
        <v>52504.3255466667</v>
      </c>
      <c r="AV54" s="299">
        <f t="shared" si="37"/>
        <v>384571.14</v>
      </c>
      <c r="AW54" s="299">
        <f t="shared" si="38"/>
        <v>73771.8379466667</v>
      </c>
      <c r="AX54" s="299"/>
      <c r="AY54" s="299"/>
      <c r="AZ54" s="299">
        <f t="shared" si="40"/>
        <v>310799.302053333</v>
      </c>
      <c r="BA54" s="305">
        <f t="shared" ref="BA54:BA85" si="41">AV54*12</f>
        <v>4614853.68</v>
      </c>
      <c r="BB54" s="306">
        <f t="shared" si="1"/>
        <v>1122970.736</v>
      </c>
      <c r="BC54" s="307">
        <f t="shared" ref="BC54:BC85" si="42">AS54*12</f>
        <v>0</v>
      </c>
      <c r="BD54" s="308">
        <f t="shared" si="2"/>
        <v>1122970.736</v>
      </c>
      <c r="BE54" s="313">
        <f t="shared" si="3"/>
        <v>3491882.944</v>
      </c>
      <c r="BF54" s="306"/>
      <c r="BG54" s="307">
        <f t="shared" si="4"/>
        <v>21000</v>
      </c>
      <c r="BH54" s="307">
        <f t="shared" si="5"/>
        <v>33000</v>
      </c>
      <c r="BI54" s="307">
        <f t="shared" si="6"/>
        <v>75000</v>
      </c>
      <c r="BJ54" s="307">
        <f t="shared" si="7"/>
        <v>95000</v>
      </c>
      <c r="BK54" s="307">
        <f t="shared" si="8"/>
        <v>336000</v>
      </c>
      <c r="BL54" s="307">
        <f t="shared" si="9"/>
        <v>70051.9065599999</v>
      </c>
      <c r="BM54" s="305">
        <f t="shared" si="10"/>
        <v>630051.90656</v>
      </c>
      <c r="BN54" s="320">
        <f t="shared" si="11"/>
        <v>46148.5368</v>
      </c>
      <c r="BO54" s="321">
        <f t="shared" si="12"/>
        <v>630051.90656</v>
      </c>
      <c r="BP54" s="322">
        <f t="shared" si="13"/>
        <v>52504.3255466667</v>
      </c>
      <c r="BQ54" s="323"/>
      <c r="BR54" s="324"/>
      <c r="BS54" s="325"/>
      <c r="BT54" s="326"/>
      <c r="BU54" s="326"/>
      <c r="BV54" s="334"/>
      <c r="BW54" s="335"/>
    </row>
    <row r="55" s="245" customFormat="1" ht="197" customHeight="1" spans="1:75">
      <c r="A55" s="255">
        <v>45</v>
      </c>
      <c r="B55" s="70" t="s">
        <v>248</v>
      </c>
      <c r="C55" s="129" t="s">
        <v>250</v>
      </c>
      <c r="D55" s="129" t="s">
        <v>2028</v>
      </c>
      <c r="E55" s="256" t="s">
        <v>127</v>
      </c>
      <c r="F55" s="1469" t="s">
        <v>252</v>
      </c>
      <c r="G55" s="257">
        <v>6310662</v>
      </c>
      <c r="H55" s="258">
        <f>G55/12</f>
        <v>525888.5</v>
      </c>
      <c r="I55" s="258">
        <f>H55*0.35/3</f>
        <v>61353.6583333333</v>
      </c>
      <c r="J55" s="258">
        <v>6666.67</v>
      </c>
      <c r="K55" s="258">
        <v>41667</v>
      </c>
      <c r="L55" s="258"/>
      <c r="M55" s="258">
        <v>2500</v>
      </c>
      <c r="N55" s="258"/>
      <c r="O55" s="258"/>
      <c r="P55" s="258"/>
      <c r="Q55" s="258"/>
      <c r="R55" s="258"/>
      <c r="S55" s="258"/>
      <c r="T55" s="258"/>
      <c r="U55" s="258">
        <v>383.33</v>
      </c>
      <c r="V55" s="258"/>
      <c r="W55" s="265"/>
      <c r="X55" s="258"/>
      <c r="Y55" s="258"/>
      <c r="Z55" s="258"/>
      <c r="AA55" s="258"/>
      <c r="AB55" s="258"/>
      <c r="AC55" s="258"/>
      <c r="AD55" s="270"/>
      <c r="AE55" s="258"/>
      <c r="AF55" s="258"/>
      <c r="AG55" s="270">
        <f t="shared" si="14"/>
        <v>10517.77</v>
      </c>
      <c r="AH55" s="270"/>
      <c r="AI55" s="278"/>
      <c r="AJ55" s="280"/>
      <c r="AK55" s="280"/>
      <c r="AL55" s="280"/>
      <c r="AM55" s="281"/>
      <c r="AN55" s="258">
        <v>10000</v>
      </c>
      <c r="AO55" s="299">
        <v>3500</v>
      </c>
      <c r="AP55" s="299"/>
      <c r="AQ55" s="299"/>
      <c r="AR55" s="299">
        <f t="shared" si="15"/>
        <v>12769.1831666667</v>
      </c>
      <c r="AS55" s="300"/>
      <c r="AT55" s="300"/>
      <c r="AU55" s="299">
        <f t="shared" si="18"/>
        <v>101250.825066667</v>
      </c>
      <c r="AV55" s="299">
        <f>V55+U55+N55+M55+K55+J55+I55+H55</f>
        <v>638459.158333333</v>
      </c>
      <c r="AW55" s="299">
        <f t="shared" si="38"/>
        <v>138037.778233333</v>
      </c>
      <c r="AX55" s="299"/>
      <c r="AY55" s="299"/>
      <c r="AZ55" s="299">
        <f t="shared" si="40"/>
        <v>500421.3801</v>
      </c>
      <c r="BA55" s="305">
        <f t="shared" si="41"/>
        <v>7661509.9</v>
      </c>
      <c r="BB55" s="306">
        <f t="shared" si="1"/>
        <v>1732301.98</v>
      </c>
      <c r="BC55" s="307">
        <f t="shared" si="42"/>
        <v>0</v>
      </c>
      <c r="BD55" s="308">
        <f t="shared" si="2"/>
        <v>1732301.98</v>
      </c>
      <c r="BE55" s="313">
        <f t="shared" si="3"/>
        <v>5929207.92</v>
      </c>
      <c r="BF55" s="306"/>
      <c r="BG55" s="307">
        <f t="shared" si="4"/>
        <v>21000</v>
      </c>
      <c r="BH55" s="307">
        <f t="shared" si="5"/>
        <v>33000</v>
      </c>
      <c r="BI55" s="307">
        <f t="shared" si="6"/>
        <v>75000</v>
      </c>
      <c r="BJ55" s="307">
        <f t="shared" si="7"/>
        <v>95000</v>
      </c>
      <c r="BK55" s="307">
        <f t="shared" si="8"/>
        <v>336000</v>
      </c>
      <c r="BL55" s="307">
        <f t="shared" si="9"/>
        <v>655009.9008</v>
      </c>
      <c r="BM55" s="305">
        <f t="shared" si="10"/>
        <v>1215009.9008</v>
      </c>
      <c r="BN55" s="320">
        <f t="shared" si="11"/>
        <v>76615.099</v>
      </c>
      <c r="BO55" s="321">
        <f t="shared" si="12"/>
        <v>1215009.9008</v>
      </c>
      <c r="BP55" s="322">
        <f t="shared" si="13"/>
        <v>101250.825066667</v>
      </c>
      <c r="BQ55" s="323"/>
      <c r="BR55" s="324"/>
      <c r="BS55" s="325"/>
      <c r="BT55" s="326"/>
      <c r="BU55" s="326"/>
      <c r="BV55" s="334"/>
      <c r="BW55" s="335"/>
    </row>
    <row r="56" s="245" customFormat="1" ht="183" customHeight="1" spans="1:75">
      <c r="A56" s="255">
        <v>46</v>
      </c>
      <c r="B56" s="70" t="s">
        <v>253</v>
      </c>
      <c r="C56" s="129" t="s">
        <v>2029</v>
      </c>
      <c r="D56" s="129" t="s">
        <v>243</v>
      </c>
      <c r="E56" s="256" t="s">
        <v>93</v>
      </c>
      <c r="F56" s="256">
        <v>2019013002</v>
      </c>
      <c r="G56" s="257">
        <v>4935269</v>
      </c>
      <c r="H56" s="258">
        <f>G56/12</f>
        <v>411272.416666667</v>
      </c>
      <c r="I56" s="258">
        <f>H56*0.35/3</f>
        <v>47981.7819444444</v>
      </c>
      <c r="J56" s="258">
        <v>6666.67</v>
      </c>
      <c r="K56" s="258"/>
      <c r="L56" s="258"/>
      <c r="M56" s="258">
        <v>2500</v>
      </c>
      <c r="N56" s="258"/>
      <c r="O56" s="258"/>
      <c r="P56" s="258"/>
      <c r="Q56" s="258"/>
      <c r="R56" s="258"/>
      <c r="S56" s="258"/>
      <c r="T56" s="258"/>
      <c r="U56" s="258">
        <v>383.33</v>
      </c>
      <c r="V56" s="258"/>
      <c r="W56" s="265"/>
      <c r="X56" s="258"/>
      <c r="Y56" s="258"/>
      <c r="Z56" s="258"/>
      <c r="AA56" s="258"/>
      <c r="AB56" s="258"/>
      <c r="AC56" s="258"/>
      <c r="AD56" s="270"/>
      <c r="AE56" s="258"/>
      <c r="AF56" s="258"/>
      <c r="AG56" s="270">
        <f t="shared" si="14"/>
        <v>8225.44833333333</v>
      </c>
      <c r="AH56" s="292"/>
      <c r="AI56" s="293"/>
      <c r="AJ56" s="294">
        <v>1000</v>
      </c>
      <c r="AK56" s="280"/>
      <c r="AL56" s="280"/>
      <c r="AM56" s="281"/>
      <c r="AN56" s="258"/>
      <c r="AO56" s="299">
        <v>3500</v>
      </c>
      <c r="AP56" s="299"/>
      <c r="AQ56" s="299"/>
      <c r="AR56" s="299">
        <f t="shared" si="15"/>
        <v>9376.08397222222</v>
      </c>
      <c r="AS56" s="300"/>
      <c r="AT56" s="300"/>
      <c r="AU56" s="299">
        <f t="shared" si="18"/>
        <v>68677.0728</v>
      </c>
      <c r="AV56" s="299">
        <f>V56+U56+N56+M56+K56+J56+I56+H56</f>
        <v>468804.198611111</v>
      </c>
      <c r="AW56" s="299">
        <f t="shared" si="38"/>
        <v>89778.6051055556</v>
      </c>
      <c r="AX56" s="299"/>
      <c r="AY56" s="299"/>
      <c r="AZ56" s="299">
        <f t="shared" si="40"/>
        <v>379025.593505556</v>
      </c>
      <c r="BA56" s="305">
        <f t="shared" si="41"/>
        <v>5625650.38333333</v>
      </c>
      <c r="BB56" s="306">
        <f t="shared" si="1"/>
        <v>1325130.07666667</v>
      </c>
      <c r="BC56" s="307">
        <f t="shared" si="42"/>
        <v>0</v>
      </c>
      <c r="BD56" s="308">
        <f t="shared" si="2"/>
        <v>1325130.07666667</v>
      </c>
      <c r="BE56" s="313">
        <f t="shared" si="3"/>
        <v>4300520.30666667</v>
      </c>
      <c r="BF56" s="306"/>
      <c r="BG56" s="307">
        <f t="shared" si="4"/>
        <v>21000</v>
      </c>
      <c r="BH56" s="307">
        <f t="shared" si="5"/>
        <v>33000</v>
      </c>
      <c r="BI56" s="307">
        <f t="shared" si="6"/>
        <v>75000</v>
      </c>
      <c r="BJ56" s="307">
        <f t="shared" si="7"/>
        <v>95000</v>
      </c>
      <c r="BK56" s="307">
        <f t="shared" si="8"/>
        <v>336000</v>
      </c>
      <c r="BL56" s="307">
        <f t="shared" si="9"/>
        <v>264124.8736</v>
      </c>
      <c r="BM56" s="305">
        <f t="shared" si="10"/>
        <v>824124.8736</v>
      </c>
      <c r="BN56" s="320">
        <f t="shared" si="11"/>
        <v>56256.5038333333</v>
      </c>
      <c r="BO56" s="321">
        <f t="shared" si="12"/>
        <v>824124.8736</v>
      </c>
      <c r="BP56" s="322">
        <f t="shared" si="13"/>
        <v>68677.0728</v>
      </c>
      <c r="BQ56" s="323"/>
      <c r="BR56" s="324"/>
      <c r="BS56" s="325"/>
      <c r="BT56" s="326"/>
      <c r="BU56" s="326"/>
      <c r="BV56" s="334"/>
      <c r="BW56" s="335"/>
    </row>
    <row r="57" s="245" customFormat="1" ht="172.5" customHeight="1" spans="1:75">
      <c r="A57" s="255">
        <v>47</v>
      </c>
      <c r="B57" s="70" t="s">
        <v>2030</v>
      </c>
      <c r="C57" s="129" t="s">
        <v>105</v>
      </c>
      <c r="D57" s="129" t="s">
        <v>2031</v>
      </c>
      <c r="E57" s="256" t="s">
        <v>113</v>
      </c>
      <c r="F57" s="266">
        <v>2088596893</v>
      </c>
      <c r="G57" s="257">
        <f>H57*12</f>
        <v>5235065.88</v>
      </c>
      <c r="H57" s="258">
        <v>436255.49</v>
      </c>
      <c r="I57" s="258"/>
      <c r="J57" s="258"/>
      <c r="K57" s="258"/>
      <c r="L57" s="258"/>
      <c r="M57" s="258">
        <v>5000</v>
      </c>
      <c r="N57" s="258"/>
      <c r="O57" s="258"/>
      <c r="P57" s="258"/>
      <c r="Q57" s="258"/>
      <c r="R57" s="258"/>
      <c r="S57" s="258"/>
      <c r="T57" s="258"/>
      <c r="U57" s="258">
        <f>383.33*2</f>
        <v>766.66</v>
      </c>
      <c r="V57" s="258"/>
      <c r="W57" s="265"/>
      <c r="X57" s="258"/>
      <c r="Y57" s="258"/>
      <c r="Z57" s="258"/>
      <c r="AA57" s="258"/>
      <c r="AB57" s="258"/>
      <c r="AC57" s="258"/>
      <c r="AD57" s="270"/>
      <c r="AE57" s="258"/>
      <c r="AF57" s="258"/>
      <c r="AG57" s="270">
        <f t="shared" si="14"/>
        <v>8725.1098</v>
      </c>
      <c r="AH57" s="295"/>
      <c r="AI57" s="296">
        <v>2000</v>
      </c>
      <c r="AJ57" s="294"/>
      <c r="AK57" s="280"/>
      <c r="AL57" s="280"/>
      <c r="AM57" s="281"/>
      <c r="AN57" s="258"/>
      <c r="AO57" s="299">
        <v>3500</v>
      </c>
      <c r="AP57" s="299"/>
      <c r="AQ57" s="299"/>
      <c r="AR57" s="299">
        <f t="shared" si="15"/>
        <v>8840.443</v>
      </c>
      <c r="AS57" s="300"/>
      <c r="AT57" s="300"/>
      <c r="AU57" s="299">
        <f t="shared" si="18"/>
        <v>63534.9194666667</v>
      </c>
      <c r="AV57" s="299">
        <f>V57+U57+N57+M57+K57+J57+I57+H57</f>
        <v>442022.15</v>
      </c>
      <c r="AW57" s="299">
        <f>AU57+AR57+AQ57+AO57+AN57+AM57+AK57+AI57+AH57+AG57+AF57+AE57+AD57+AJ57</f>
        <v>86600.4722666667</v>
      </c>
      <c r="AX57" s="299"/>
      <c r="AY57" s="299"/>
      <c r="AZ57" s="299">
        <f t="shared" si="40"/>
        <v>355421.677733333</v>
      </c>
      <c r="BA57" s="305">
        <f t="shared" si="41"/>
        <v>5304265.8</v>
      </c>
      <c r="BB57" s="306">
        <f t="shared" si="1"/>
        <v>1260853.16</v>
      </c>
      <c r="BC57" s="307">
        <f t="shared" si="42"/>
        <v>0</v>
      </c>
      <c r="BD57" s="308">
        <f t="shared" si="2"/>
        <v>1260853.16</v>
      </c>
      <c r="BE57" s="313">
        <f t="shared" si="3"/>
        <v>4043412.64</v>
      </c>
      <c r="BF57" s="306"/>
      <c r="BG57" s="307">
        <f t="shared" si="4"/>
        <v>21000</v>
      </c>
      <c r="BH57" s="307">
        <f t="shared" si="5"/>
        <v>33000</v>
      </c>
      <c r="BI57" s="307">
        <f t="shared" si="6"/>
        <v>75000</v>
      </c>
      <c r="BJ57" s="307">
        <f t="shared" si="7"/>
        <v>95000</v>
      </c>
      <c r="BK57" s="307">
        <f t="shared" si="8"/>
        <v>336000</v>
      </c>
      <c r="BL57" s="307">
        <f t="shared" si="9"/>
        <v>202419.0336</v>
      </c>
      <c r="BM57" s="305">
        <f t="shared" si="10"/>
        <v>762419.0336</v>
      </c>
      <c r="BN57" s="320">
        <f t="shared" si="11"/>
        <v>53042.658</v>
      </c>
      <c r="BO57" s="321">
        <f t="shared" si="12"/>
        <v>762419.0336</v>
      </c>
      <c r="BP57" s="322">
        <f t="shared" si="13"/>
        <v>63534.9194666667</v>
      </c>
      <c r="BQ57" s="323"/>
      <c r="BR57" s="324"/>
      <c r="BS57" s="325"/>
      <c r="BT57" s="326"/>
      <c r="BU57" s="326"/>
      <c r="BV57" s="334"/>
      <c r="BW57" s="335"/>
    </row>
    <row r="58" s="245" customFormat="1" ht="172.5" customHeight="1" spans="1:75">
      <c r="A58" s="255">
        <v>48</v>
      </c>
      <c r="B58" s="70" t="s">
        <v>2032</v>
      </c>
      <c r="C58" s="129" t="s">
        <v>105</v>
      </c>
      <c r="D58" s="129" t="s">
        <v>2031</v>
      </c>
      <c r="E58" s="256" t="s">
        <v>313</v>
      </c>
      <c r="F58" s="1472" t="s">
        <v>2033</v>
      </c>
      <c r="G58" s="257">
        <f>H58*12</f>
        <v>5235065.88</v>
      </c>
      <c r="H58" s="258">
        <v>436255.49</v>
      </c>
      <c r="I58" s="258"/>
      <c r="J58" s="258"/>
      <c r="K58" s="258"/>
      <c r="L58" s="258"/>
      <c r="M58" s="258">
        <v>5000</v>
      </c>
      <c r="N58" s="258"/>
      <c r="O58" s="258"/>
      <c r="P58" s="258"/>
      <c r="Q58" s="258"/>
      <c r="R58" s="258"/>
      <c r="S58" s="258"/>
      <c r="T58" s="258"/>
      <c r="U58" s="258">
        <f>383.33*2</f>
        <v>766.66</v>
      </c>
      <c r="V58" s="258"/>
      <c r="W58" s="265"/>
      <c r="X58" s="258"/>
      <c r="Y58" s="258"/>
      <c r="Z58" s="258"/>
      <c r="AA58" s="258"/>
      <c r="AB58" s="258"/>
      <c r="AC58" s="258"/>
      <c r="AD58" s="270"/>
      <c r="AE58" s="258"/>
      <c r="AF58" s="258"/>
      <c r="AG58" s="270">
        <f t="shared" si="14"/>
        <v>8725.1098</v>
      </c>
      <c r="AH58" s="295"/>
      <c r="AI58" s="296">
        <v>2000</v>
      </c>
      <c r="AJ58" s="294"/>
      <c r="AK58" s="280"/>
      <c r="AL58" s="280"/>
      <c r="AM58" s="281"/>
      <c r="AN58" s="258"/>
      <c r="AO58" s="299">
        <v>3500</v>
      </c>
      <c r="AP58" s="299"/>
      <c r="AQ58" s="299"/>
      <c r="AR58" s="299">
        <f t="shared" si="15"/>
        <v>8840.443</v>
      </c>
      <c r="AS58" s="300"/>
      <c r="AT58" s="300"/>
      <c r="AU58" s="299">
        <f t="shared" si="18"/>
        <v>63534.9194666667</v>
      </c>
      <c r="AV58" s="299">
        <f>V58+U58+N58+M58+K58+J58+I58+H58</f>
        <v>442022.15</v>
      </c>
      <c r="AW58" s="299">
        <f>AU58+AR58+AQ58+AO58+AN58+AM58+AK58+AI58+AH58+AG58+AF58+AE58+AD58+AJ58</f>
        <v>86600.4722666667</v>
      </c>
      <c r="AX58" s="299"/>
      <c r="AY58" s="299"/>
      <c r="AZ58" s="299">
        <f t="shared" si="40"/>
        <v>355421.677733333</v>
      </c>
      <c r="BA58" s="305">
        <f t="shared" si="41"/>
        <v>5304265.8</v>
      </c>
      <c r="BB58" s="306">
        <f t="shared" si="1"/>
        <v>1260853.16</v>
      </c>
      <c r="BC58" s="307">
        <f t="shared" si="42"/>
        <v>0</v>
      </c>
      <c r="BD58" s="308">
        <f t="shared" si="2"/>
        <v>1260853.16</v>
      </c>
      <c r="BE58" s="313">
        <f t="shared" si="3"/>
        <v>4043412.64</v>
      </c>
      <c r="BF58" s="306"/>
      <c r="BG58" s="307">
        <f t="shared" si="4"/>
        <v>21000</v>
      </c>
      <c r="BH58" s="307">
        <f t="shared" si="5"/>
        <v>33000</v>
      </c>
      <c r="BI58" s="307">
        <f t="shared" si="6"/>
        <v>75000</v>
      </c>
      <c r="BJ58" s="307">
        <f t="shared" si="7"/>
        <v>95000</v>
      </c>
      <c r="BK58" s="307">
        <f t="shared" si="8"/>
        <v>336000</v>
      </c>
      <c r="BL58" s="307">
        <f t="shared" si="9"/>
        <v>202419.0336</v>
      </c>
      <c r="BM58" s="305">
        <f t="shared" si="10"/>
        <v>762419.0336</v>
      </c>
      <c r="BN58" s="320">
        <f t="shared" si="11"/>
        <v>53042.658</v>
      </c>
      <c r="BO58" s="321">
        <f t="shared" si="12"/>
        <v>762419.0336</v>
      </c>
      <c r="BP58" s="322">
        <f t="shared" si="13"/>
        <v>63534.9194666667</v>
      </c>
      <c r="BQ58" s="323"/>
      <c r="BR58" s="324"/>
      <c r="BS58" s="325"/>
      <c r="BT58" s="326"/>
      <c r="BU58" s="326"/>
      <c r="BV58" s="334"/>
      <c r="BW58" s="335"/>
    </row>
    <row r="59" s="245" customFormat="1" ht="172.5" customHeight="1" spans="1:75">
      <c r="A59" s="255">
        <v>49</v>
      </c>
      <c r="B59" s="70" t="s">
        <v>256</v>
      </c>
      <c r="C59" s="129" t="s">
        <v>143</v>
      </c>
      <c r="D59" s="129" t="s">
        <v>243</v>
      </c>
      <c r="E59" s="256" t="s">
        <v>259</v>
      </c>
      <c r="F59" s="256">
        <v>4021365312</v>
      </c>
      <c r="G59" s="257">
        <v>4935269</v>
      </c>
      <c r="H59" s="258">
        <f t="shared" ref="H59:H71" si="43">G59/12</f>
        <v>411272.416666667</v>
      </c>
      <c r="I59" s="258">
        <f>H59*0.35/3</f>
        <v>47981.7819444444</v>
      </c>
      <c r="J59" s="258">
        <v>6666.67</v>
      </c>
      <c r="K59" s="258">
        <f>K55</f>
        <v>41667</v>
      </c>
      <c r="L59" s="258"/>
      <c r="M59" s="258">
        <v>2500</v>
      </c>
      <c r="N59" s="258"/>
      <c r="O59" s="258"/>
      <c r="P59" s="258"/>
      <c r="Q59" s="258"/>
      <c r="R59" s="258"/>
      <c r="S59" s="258"/>
      <c r="T59" s="258"/>
      <c r="U59" s="258">
        <v>383.33</v>
      </c>
      <c r="V59" s="258"/>
      <c r="W59" s="265"/>
      <c r="X59" s="258"/>
      <c r="Y59" s="258"/>
      <c r="Z59" s="258"/>
      <c r="AA59" s="258"/>
      <c r="AB59" s="258"/>
      <c r="AC59" s="258"/>
      <c r="AD59" s="270"/>
      <c r="AE59" s="258"/>
      <c r="AF59" s="258"/>
      <c r="AG59" s="270">
        <f t="shared" si="14"/>
        <v>8225.44833333333</v>
      </c>
      <c r="AH59" s="297"/>
      <c r="AI59" s="298"/>
      <c r="AJ59" s="279">
        <v>2000</v>
      </c>
      <c r="AK59" s="279"/>
      <c r="AL59" s="279"/>
      <c r="AM59" s="281">
        <v>50000</v>
      </c>
      <c r="AN59" s="258"/>
      <c r="AO59" s="299">
        <v>2000</v>
      </c>
      <c r="AP59" s="299"/>
      <c r="AQ59" s="299"/>
      <c r="AR59" s="299">
        <f t="shared" si="15"/>
        <v>10209.4239722222</v>
      </c>
      <c r="AS59" s="300"/>
      <c r="AT59" s="300"/>
      <c r="AU59" s="299">
        <f>'[11]SOFT COPY'!$AN$46</f>
        <v>0</v>
      </c>
      <c r="AV59" s="299">
        <f>W59+V59+U59+N59+M59+K59+J59+I59+H59</f>
        <v>510471.198611111</v>
      </c>
      <c r="AW59" s="299">
        <f>AU59+AR59+AQ59+AO59+AN59+AM59+AK59+AI59+AH59+AG59+AF59+AE59+AD59+AJ59</f>
        <v>72434.8723055556</v>
      </c>
      <c r="AX59" s="299"/>
      <c r="AY59" s="299"/>
      <c r="AZ59" s="299">
        <f t="shared" si="40"/>
        <v>438036.326305556</v>
      </c>
      <c r="BA59" s="305">
        <f t="shared" si="41"/>
        <v>6125654.38333333</v>
      </c>
      <c r="BB59" s="306">
        <f t="shared" si="1"/>
        <v>1425130.87666667</v>
      </c>
      <c r="BC59" s="307">
        <f t="shared" si="42"/>
        <v>0</v>
      </c>
      <c r="BD59" s="308">
        <f t="shared" si="2"/>
        <v>1425130.87666667</v>
      </c>
      <c r="BE59" s="313">
        <f t="shared" si="3"/>
        <v>4700523.50666667</v>
      </c>
      <c r="BF59" s="306"/>
      <c r="BG59" s="307">
        <f t="shared" si="4"/>
        <v>21000</v>
      </c>
      <c r="BH59" s="307">
        <f t="shared" si="5"/>
        <v>33000</v>
      </c>
      <c r="BI59" s="307">
        <f t="shared" si="6"/>
        <v>75000</v>
      </c>
      <c r="BJ59" s="307">
        <f t="shared" si="7"/>
        <v>95000</v>
      </c>
      <c r="BK59" s="307">
        <f t="shared" si="8"/>
        <v>336000</v>
      </c>
      <c r="BL59" s="307">
        <f t="shared" si="9"/>
        <v>360125.6416</v>
      </c>
      <c r="BM59" s="305">
        <f t="shared" si="10"/>
        <v>920125.6416</v>
      </c>
      <c r="BN59" s="320">
        <f t="shared" si="11"/>
        <v>61256.5438333333</v>
      </c>
      <c r="BO59" s="321">
        <f t="shared" si="12"/>
        <v>920125.6416</v>
      </c>
      <c r="BP59" s="322">
        <f t="shared" si="13"/>
        <v>76677.1368</v>
      </c>
      <c r="BQ59" s="323"/>
      <c r="BR59" s="324"/>
      <c r="BS59" s="325"/>
      <c r="BT59" s="326"/>
      <c r="BU59" s="326"/>
      <c r="BV59" s="334"/>
      <c r="BW59" s="335"/>
    </row>
    <row r="60" s="245" customFormat="1" ht="172.5" customHeight="1" spans="1:75">
      <c r="A60" s="255">
        <v>50</v>
      </c>
      <c r="B60" s="70" t="s">
        <v>260</v>
      </c>
      <c r="C60" s="129" t="s">
        <v>120</v>
      </c>
      <c r="D60" s="129" t="s">
        <v>287</v>
      </c>
      <c r="E60" s="256" t="s">
        <v>93</v>
      </c>
      <c r="F60" s="256">
        <v>2003315491</v>
      </c>
      <c r="G60" s="257">
        <v>4181658</v>
      </c>
      <c r="H60" s="258">
        <f t="shared" si="43"/>
        <v>348471.5</v>
      </c>
      <c r="I60" s="258">
        <f t="shared" ref="I60:I91" si="44">H60*0.35/3</f>
        <v>40655.0083333333</v>
      </c>
      <c r="J60" s="258">
        <v>5000</v>
      </c>
      <c r="K60" s="258">
        <v>20833.33</v>
      </c>
      <c r="L60" s="258"/>
      <c r="M60" s="258">
        <v>2500</v>
      </c>
      <c r="N60" s="258"/>
      <c r="O60" s="258"/>
      <c r="P60" s="258"/>
      <c r="Q60" s="258"/>
      <c r="R60" s="258"/>
      <c r="S60" s="258"/>
      <c r="T60" s="258"/>
      <c r="U60" s="258">
        <v>383.33</v>
      </c>
      <c r="V60" s="258"/>
      <c r="W60" s="265"/>
      <c r="X60" s="258"/>
      <c r="Y60" s="258"/>
      <c r="Z60" s="258"/>
      <c r="AA60" s="258"/>
      <c r="AB60" s="258"/>
      <c r="AC60" s="258"/>
      <c r="AD60" s="270">
        <v>25000</v>
      </c>
      <c r="AE60" s="258"/>
      <c r="AF60" s="258">
        <v>250</v>
      </c>
      <c r="AG60" s="270">
        <f t="shared" si="14"/>
        <v>6969.43</v>
      </c>
      <c r="AH60" s="270"/>
      <c r="AI60" s="282">
        <v>1000</v>
      </c>
      <c r="AJ60" s="279"/>
      <c r="AK60" s="279"/>
      <c r="AL60" s="279"/>
      <c r="AM60" s="281">
        <v>110209</v>
      </c>
      <c r="AN60" s="258">
        <v>10000</v>
      </c>
      <c r="AO60" s="299">
        <v>2000</v>
      </c>
      <c r="AP60" s="299"/>
      <c r="AQ60" s="299"/>
      <c r="AR60" s="299">
        <f t="shared" si="15"/>
        <v>8356.86336666667</v>
      </c>
      <c r="AS60" s="300"/>
      <c r="AT60" s="300"/>
      <c r="AU60" s="299">
        <f t="shared" ref="AU60:AU123" si="45">BP60</f>
        <v>58892.5549866667</v>
      </c>
      <c r="AV60" s="299">
        <f>V60+U60+N60+M60+K60+J60+I60+H60</f>
        <v>417843.168333333</v>
      </c>
      <c r="AW60" s="299">
        <f>AU60+AR60+AQ60+AO60+AN60+AM60+AK60+AI60+AH60+AG60+AF60+AE60+AD60</f>
        <v>222677.848353333</v>
      </c>
      <c r="AX60" s="299"/>
      <c r="AY60" s="299"/>
      <c r="AZ60" s="299">
        <f t="shared" si="40"/>
        <v>195165.31998</v>
      </c>
      <c r="BA60" s="305">
        <f t="shared" si="41"/>
        <v>5014118.02</v>
      </c>
      <c r="BB60" s="306">
        <f t="shared" si="1"/>
        <v>1202823.604</v>
      </c>
      <c r="BC60" s="307">
        <f t="shared" si="42"/>
        <v>0</v>
      </c>
      <c r="BD60" s="308">
        <f t="shared" si="2"/>
        <v>1202823.604</v>
      </c>
      <c r="BE60" s="313">
        <f t="shared" si="3"/>
        <v>3811294.416</v>
      </c>
      <c r="BF60" s="306"/>
      <c r="BG60" s="307">
        <f t="shared" si="4"/>
        <v>21000</v>
      </c>
      <c r="BH60" s="307">
        <f t="shared" si="5"/>
        <v>33000</v>
      </c>
      <c r="BI60" s="307">
        <f t="shared" si="6"/>
        <v>75000</v>
      </c>
      <c r="BJ60" s="307">
        <f t="shared" si="7"/>
        <v>95000</v>
      </c>
      <c r="BK60" s="307">
        <f t="shared" si="8"/>
        <v>336000</v>
      </c>
      <c r="BL60" s="307">
        <f t="shared" si="9"/>
        <v>146710.65984</v>
      </c>
      <c r="BM60" s="305">
        <f t="shared" si="10"/>
        <v>706710.65984</v>
      </c>
      <c r="BN60" s="320">
        <f t="shared" si="11"/>
        <v>50141.1802</v>
      </c>
      <c r="BO60" s="321">
        <f t="shared" si="12"/>
        <v>706710.65984</v>
      </c>
      <c r="BP60" s="322">
        <f t="shared" si="13"/>
        <v>58892.5549866667</v>
      </c>
      <c r="BQ60" s="323"/>
      <c r="BR60" s="324"/>
      <c r="BS60" s="325"/>
      <c r="BT60" s="326"/>
      <c r="BU60" s="326"/>
      <c r="BV60" s="334"/>
      <c r="BW60" s="335"/>
    </row>
    <row r="61" s="245" customFormat="1" ht="172.5" customHeight="1" spans="1:75">
      <c r="A61" s="255">
        <v>51</v>
      </c>
      <c r="B61" s="70" t="s">
        <v>261</v>
      </c>
      <c r="C61" s="129" t="s">
        <v>2034</v>
      </c>
      <c r="D61" s="129" t="s">
        <v>225</v>
      </c>
      <c r="E61" s="256" t="s">
        <v>113</v>
      </c>
      <c r="F61" s="256">
        <v>2031755814</v>
      </c>
      <c r="G61" s="257">
        <v>4783091</v>
      </c>
      <c r="H61" s="258">
        <f t="shared" si="43"/>
        <v>398590.916666667</v>
      </c>
      <c r="I61" s="258">
        <f t="shared" si="44"/>
        <v>46502.2736111111</v>
      </c>
      <c r="J61" s="258">
        <v>5000</v>
      </c>
      <c r="K61" s="258"/>
      <c r="L61" s="258"/>
      <c r="M61" s="258">
        <v>2500</v>
      </c>
      <c r="N61" s="258"/>
      <c r="O61" s="258"/>
      <c r="P61" s="258"/>
      <c r="Q61" s="258"/>
      <c r="R61" s="258"/>
      <c r="S61" s="258"/>
      <c r="T61" s="258"/>
      <c r="U61" s="258">
        <v>383.33</v>
      </c>
      <c r="V61" s="258"/>
      <c r="W61" s="265"/>
      <c r="X61" s="258"/>
      <c r="Y61" s="258"/>
      <c r="Z61" s="258"/>
      <c r="AA61" s="258"/>
      <c r="AB61" s="258"/>
      <c r="AC61" s="258"/>
      <c r="AD61" s="270"/>
      <c r="AE61" s="258"/>
      <c r="AF61" s="258"/>
      <c r="AG61" s="270">
        <f t="shared" si="14"/>
        <v>7971.81833333333</v>
      </c>
      <c r="AH61" s="270"/>
      <c r="AI61" s="282"/>
      <c r="AJ61" s="279">
        <v>1000</v>
      </c>
      <c r="AK61" s="279"/>
      <c r="AL61" s="279"/>
      <c r="AM61" s="281"/>
      <c r="AN61" s="258"/>
      <c r="AO61" s="299">
        <v>2500</v>
      </c>
      <c r="AP61" s="299"/>
      <c r="AQ61" s="299"/>
      <c r="AR61" s="299">
        <f t="shared" si="15"/>
        <v>9059.53040555556</v>
      </c>
      <c r="AS61" s="300"/>
      <c r="AT61" s="300"/>
      <c r="AU61" s="299">
        <f t="shared" si="45"/>
        <v>65638.15856</v>
      </c>
      <c r="AV61" s="299">
        <f>V61+U61+N61+M61+K61+J61+I61+H61</f>
        <v>452976.520277778</v>
      </c>
      <c r="AW61" s="299">
        <f>AU61+AR61+AQ61+AO61+AN61+AM61+AK61+AI61+AH61+AG61+AF61+AE61+AD61</f>
        <v>85169.5072988889</v>
      </c>
      <c r="AX61" s="299"/>
      <c r="AY61" s="299"/>
      <c r="AZ61" s="299">
        <f t="shared" si="40"/>
        <v>367807.012978889</v>
      </c>
      <c r="BA61" s="305">
        <f t="shared" si="41"/>
        <v>5435718.24333333</v>
      </c>
      <c r="BB61" s="306">
        <f t="shared" si="1"/>
        <v>1287143.64866667</v>
      </c>
      <c r="BC61" s="307">
        <f t="shared" si="42"/>
        <v>0</v>
      </c>
      <c r="BD61" s="308">
        <f t="shared" si="2"/>
        <v>1287143.64866667</v>
      </c>
      <c r="BE61" s="313">
        <f t="shared" si="3"/>
        <v>4148574.59466667</v>
      </c>
      <c r="BF61" s="306"/>
      <c r="BG61" s="307">
        <f t="shared" si="4"/>
        <v>21000</v>
      </c>
      <c r="BH61" s="307">
        <f t="shared" si="5"/>
        <v>33000</v>
      </c>
      <c r="BI61" s="307">
        <f t="shared" si="6"/>
        <v>75000</v>
      </c>
      <c r="BJ61" s="307">
        <f t="shared" si="7"/>
        <v>95000</v>
      </c>
      <c r="BK61" s="307">
        <f t="shared" si="8"/>
        <v>336000</v>
      </c>
      <c r="BL61" s="307">
        <f t="shared" si="9"/>
        <v>227657.90272</v>
      </c>
      <c r="BM61" s="305">
        <f t="shared" si="10"/>
        <v>787657.90272</v>
      </c>
      <c r="BN61" s="320">
        <f t="shared" si="11"/>
        <v>54357.1824333333</v>
      </c>
      <c r="BO61" s="321">
        <f t="shared" si="12"/>
        <v>787657.90272</v>
      </c>
      <c r="BP61" s="322">
        <f t="shared" si="13"/>
        <v>65638.15856</v>
      </c>
      <c r="BQ61" s="323"/>
      <c r="BR61" s="324"/>
      <c r="BS61" s="325"/>
      <c r="BT61" s="326"/>
      <c r="BU61" s="326"/>
      <c r="BV61" s="334"/>
      <c r="BW61" s="335"/>
    </row>
    <row r="62" s="245" customFormat="1" ht="189" customHeight="1" spans="1:75">
      <c r="A62" s="255">
        <v>52</v>
      </c>
      <c r="B62" s="70" t="s">
        <v>262</v>
      </c>
      <c r="C62" s="129" t="s">
        <v>143</v>
      </c>
      <c r="D62" s="129" t="s">
        <v>338</v>
      </c>
      <c r="E62" s="256" t="s">
        <v>127</v>
      </c>
      <c r="F62" s="1469" t="s">
        <v>264</v>
      </c>
      <c r="G62" s="257">
        <v>3950454</v>
      </c>
      <c r="H62" s="258">
        <f t="shared" si="43"/>
        <v>329204.5</v>
      </c>
      <c r="I62" s="258">
        <f t="shared" si="44"/>
        <v>38407.1916666667</v>
      </c>
      <c r="J62" s="258">
        <v>5000</v>
      </c>
      <c r="K62" s="258">
        <v>20833.33</v>
      </c>
      <c r="L62" s="258"/>
      <c r="M62" s="258">
        <v>2500</v>
      </c>
      <c r="N62" s="258"/>
      <c r="O62" s="258"/>
      <c r="P62" s="258"/>
      <c r="Q62" s="258"/>
      <c r="R62" s="258"/>
      <c r="S62" s="258"/>
      <c r="T62" s="258"/>
      <c r="U62" s="258">
        <v>383.33</v>
      </c>
      <c r="V62" s="258"/>
      <c r="W62" s="265"/>
      <c r="X62" s="258"/>
      <c r="Y62" s="258"/>
      <c r="Z62" s="258"/>
      <c r="AA62" s="258"/>
      <c r="AB62" s="258"/>
      <c r="AC62" s="258"/>
      <c r="AD62" s="270"/>
      <c r="AE62" s="258"/>
      <c r="AF62" s="258">
        <v>5000</v>
      </c>
      <c r="AG62" s="270">
        <f t="shared" si="14"/>
        <v>6584.09</v>
      </c>
      <c r="AH62" s="270"/>
      <c r="AI62" s="278"/>
      <c r="AJ62" s="280"/>
      <c r="AK62" s="280"/>
      <c r="AL62" s="284">
        <v>1000</v>
      </c>
      <c r="AM62" s="281">
        <v>83750</v>
      </c>
      <c r="AN62" s="258">
        <v>7500</v>
      </c>
      <c r="AO62" s="299">
        <v>2000</v>
      </c>
      <c r="AP62" s="299"/>
      <c r="AQ62" s="299"/>
      <c r="AR62" s="299">
        <f t="shared" si="15"/>
        <v>7926.56703333333</v>
      </c>
      <c r="AS62" s="300"/>
      <c r="AT62" s="300"/>
      <c r="AU62" s="299">
        <f t="shared" si="45"/>
        <v>54761.7101866667</v>
      </c>
      <c r="AV62" s="299">
        <f>W62+V62+U62+N62+M62+K62+J62+I62+H62</f>
        <v>396328.351666667</v>
      </c>
      <c r="AW62" s="299">
        <f>AU62+AR62+AQ62+AO62+AN62+AM62+AK62+AI62+AH62+AG62+AF62+AE62+AD62+AL62</f>
        <v>168522.36722</v>
      </c>
      <c r="AX62" s="299"/>
      <c r="AY62" s="299"/>
      <c r="AZ62" s="299">
        <f t="shared" si="40"/>
        <v>227805.984446667</v>
      </c>
      <c r="BA62" s="305">
        <f t="shared" si="41"/>
        <v>4755940.22</v>
      </c>
      <c r="BB62" s="306">
        <f t="shared" si="1"/>
        <v>1151188.044</v>
      </c>
      <c r="BC62" s="307">
        <f t="shared" si="42"/>
        <v>0</v>
      </c>
      <c r="BD62" s="308">
        <f t="shared" si="2"/>
        <v>1151188.044</v>
      </c>
      <c r="BE62" s="313">
        <f t="shared" si="3"/>
        <v>3604752.176</v>
      </c>
      <c r="BF62" s="306"/>
      <c r="BG62" s="307">
        <f t="shared" si="4"/>
        <v>21000</v>
      </c>
      <c r="BH62" s="307">
        <f t="shared" si="5"/>
        <v>33000</v>
      </c>
      <c r="BI62" s="307">
        <f t="shared" si="6"/>
        <v>75000</v>
      </c>
      <c r="BJ62" s="307">
        <f t="shared" si="7"/>
        <v>95000</v>
      </c>
      <c r="BK62" s="307">
        <f t="shared" si="8"/>
        <v>336000</v>
      </c>
      <c r="BL62" s="307">
        <f t="shared" si="9"/>
        <v>97140.5222400001</v>
      </c>
      <c r="BM62" s="305">
        <f t="shared" si="10"/>
        <v>657140.52224</v>
      </c>
      <c r="BN62" s="320">
        <f t="shared" si="11"/>
        <v>47559.4022</v>
      </c>
      <c r="BO62" s="321">
        <f t="shared" si="12"/>
        <v>657140.52224</v>
      </c>
      <c r="BP62" s="322">
        <f t="shared" si="13"/>
        <v>54761.7101866667</v>
      </c>
      <c r="BQ62" s="323"/>
      <c r="BR62" s="324"/>
      <c r="BS62" s="325"/>
      <c r="BT62" s="326"/>
      <c r="BU62" s="326"/>
      <c r="BV62" s="334"/>
      <c r="BW62" s="335"/>
    </row>
    <row r="63" s="245" customFormat="1" ht="181" customHeight="1" spans="1:75">
      <c r="A63" s="255">
        <v>53</v>
      </c>
      <c r="B63" s="70" t="s">
        <v>265</v>
      </c>
      <c r="C63" s="129" t="s">
        <v>143</v>
      </c>
      <c r="D63" s="129" t="s">
        <v>144</v>
      </c>
      <c r="E63" s="256" t="s">
        <v>113</v>
      </c>
      <c r="F63" s="256">
        <v>2008477330</v>
      </c>
      <c r="G63" s="257">
        <v>4432861</v>
      </c>
      <c r="H63" s="258">
        <f t="shared" si="43"/>
        <v>369405.083333333</v>
      </c>
      <c r="I63" s="258">
        <f t="shared" si="44"/>
        <v>43097.2597222222</v>
      </c>
      <c r="J63" s="258">
        <v>5000</v>
      </c>
      <c r="K63" s="258">
        <f>K62</f>
        <v>20833.33</v>
      </c>
      <c r="L63" s="258"/>
      <c r="M63" s="258">
        <v>2500</v>
      </c>
      <c r="N63" s="258"/>
      <c r="O63" s="258"/>
      <c r="P63" s="258"/>
      <c r="Q63" s="258"/>
      <c r="R63" s="258"/>
      <c r="S63" s="258"/>
      <c r="T63" s="258"/>
      <c r="U63" s="258">
        <v>383.33</v>
      </c>
      <c r="V63" s="258">
        <v>30000</v>
      </c>
      <c r="W63" s="265"/>
      <c r="X63" s="258"/>
      <c r="Y63" s="258"/>
      <c r="Z63" s="258"/>
      <c r="AA63" s="258"/>
      <c r="AB63" s="258"/>
      <c r="AC63" s="258"/>
      <c r="AD63" s="270"/>
      <c r="AE63" s="258"/>
      <c r="AF63" s="258">
        <v>250</v>
      </c>
      <c r="AG63" s="270">
        <f t="shared" si="14"/>
        <v>7388.10166666667</v>
      </c>
      <c r="AH63" s="270"/>
      <c r="AI63" s="278"/>
      <c r="AJ63" s="280"/>
      <c r="AK63" s="279"/>
      <c r="AL63" s="279">
        <v>1000</v>
      </c>
      <c r="AM63" s="281">
        <f>30000+35000</f>
        <v>65000</v>
      </c>
      <c r="AN63" s="258"/>
      <c r="AO63" s="299">
        <v>2000</v>
      </c>
      <c r="AP63" s="299"/>
      <c r="AQ63" s="299"/>
      <c r="AR63" s="299">
        <f t="shared" si="15"/>
        <v>9424.38006111111</v>
      </c>
      <c r="AS63" s="300"/>
      <c r="AT63" s="300"/>
      <c r="AU63" s="299">
        <f t="shared" si="45"/>
        <v>69140.7152533333</v>
      </c>
      <c r="AV63" s="299">
        <f>W63+V63+U63+N63+M63+K63+J63+I63+H63</f>
        <v>471219.003055556</v>
      </c>
      <c r="AW63" s="299">
        <f>AU63+AR63+AQ63+AO63+AN63+AM63+AK63+AI63+AH63+AG63+AF63+AE63+AD63+AL63</f>
        <v>154203.196981111</v>
      </c>
      <c r="AX63" s="299"/>
      <c r="AY63" s="299"/>
      <c r="AZ63" s="299">
        <f t="shared" si="40"/>
        <v>317015.806074444</v>
      </c>
      <c r="BA63" s="305">
        <f t="shared" si="41"/>
        <v>5654628.03666667</v>
      </c>
      <c r="BB63" s="306">
        <f t="shared" si="1"/>
        <v>1330925.60733333</v>
      </c>
      <c r="BC63" s="307">
        <f t="shared" si="42"/>
        <v>0</v>
      </c>
      <c r="BD63" s="308">
        <f t="shared" si="2"/>
        <v>1330925.60733333</v>
      </c>
      <c r="BE63" s="313">
        <f t="shared" si="3"/>
        <v>4323702.42933333</v>
      </c>
      <c r="BF63" s="306"/>
      <c r="BG63" s="307">
        <f t="shared" si="4"/>
        <v>21000</v>
      </c>
      <c r="BH63" s="307">
        <f t="shared" si="5"/>
        <v>33000</v>
      </c>
      <c r="BI63" s="307">
        <f t="shared" si="6"/>
        <v>75000</v>
      </c>
      <c r="BJ63" s="307">
        <f t="shared" si="7"/>
        <v>95000</v>
      </c>
      <c r="BK63" s="307">
        <f t="shared" si="8"/>
        <v>336000</v>
      </c>
      <c r="BL63" s="307">
        <f t="shared" si="9"/>
        <v>269688.58304</v>
      </c>
      <c r="BM63" s="305">
        <f t="shared" si="10"/>
        <v>829688.58304</v>
      </c>
      <c r="BN63" s="320">
        <f t="shared" si="11"/>
        <v>56546.2803666667</v>
      </c>
      <c r="BO63" s="321">
        <f t="shared" si="12"/>
        <v>829688.58304</v>
      </c>
      <c r="BP63" s="322">
        <f t="shared" si="13"/>
        <v>69140.7152533333</v>
      </c>
      <c r="BQ63" s="323"/>
      <c r="BR63" s="324"/>
      <c r="BS63" s="325"/>
      <c r="BT63" s="326"/>
      <c r="BU63" s="326"/>
      <c r="BV63" s="334"/>
      <c r="BW63" s="335"/>
    </row>
    <row r="64" s="245" customFormat="1" ht="172.5" customHeight="1" spans="1:75">
      <c r="A64" s="255">
        <v>54</v>
      </c>
      <c r="B64" s="70" t="s">
        <v>268</v>
      </c>
      <c r="C64" s="129" t="s">
        <v>130</v>
      </c>
      <c r="D64" s="129" t="s">
        <v>272</v>
      </c>
      <c r="E64" s="256" t="s">
        <v>127</v>
      </c>
      <c r="F64" s="1469" t="s">
        <v>270</v>
      </c>
      <c r="G64" s="257">
        <v>2254203</v>
      </c>
      <c r="H64" s="258">
        <f>H67</f>
        <v>216707.166666667</v>
      </c>
      <c r="I64" s="258">
        <f t="shared" si="44"/>
        <v>25282.5027777778</v>
      </c>
      <c r="J64" s="258">
        <v>5000</v>
      </c>
      <c r="K64" s="258">
        <f>K63</f>
        <v>20833.33</v>
      </c>
      <c r="L64" s="258"/>
      <c r="M64" s="258">
        <v>2500</v>
      </c>
      <c r="N64" s="258"/>
      <c r="O64" s="258"/>
      <c r="P64" s="258"/>
      <c r="Q64" s="258"/>
      <c r="R64" s="258"/>
      <c r="S64" s="258"/>
      <c r="T64" s="258"/>
      <c r="U64" s="258">
        <v>383.33</v>
      </c>
      <c r="V64" s="258"/>
      <c r="W64" s="265"/>
      <c r="X64" s="258"/>
      <c r="Y64" s="258"/>
      <c r="Z64" s="258"/>
      <c r="AA64" s="258"/>
      <c r="AB64" s="258"/>
      <c r="AC64" s="258"/>
      <c r="AD64" s="270"/>
      <c r="AE64" s="258"/>
      <c r="AF64" s="258">
        <v>500</v>
      </c>
      <c r="AG64" s="270">
        <f t="shared" si="14"/>
        <v>4334.14333333333</v>
      </c>
      <c r="AH64" s="270"/>
      <c r="AI64" s="278"/>
      <c r="AJ64" s="279">
        <v>1000</v>
      </c>
      <c r="AK64" s="280"/>
      <c r="AL64" s="280"/>
      <c r="AM64" s="281"/>
      <c r="AN64" s="258"/>
      <c r="AO64" s="299">
        <v>1500</v>
      </c>
      <c r="AP64" s="299"/>
      <c r="AQ64" s="299"/>
      <c r="AR64" s="299">
        <f t="shared" si="15"/>
        <v>5414.12658888889</v>
      </c>
      <c r="AS64" s="300"/>
      <c r="AT64" s="300"/>
      <c r="AU64" s="299">
        <f t="shared" si="45"/>
        <v>32645.3300133333</v>
      </c>
      <c r="AV64" s="299">
        <f>V64+U64+N64+M64+K64+J64+I64+H64</f>
        <v>270706.329444444</v>
      </c>
      <c r="AW64" s="299">
        <f>AU64+AR64+AQ64+AO64+AN64+AM64+AK64+AI64+AH64+AG64+AF64+AE64+AD64+AJ64</f>
        <v>45393.5999355555</v>
      </c>
      <c r="AX64" s="299"/>
      <c r="AY64" s="299"/>
      <c r="AZ64" s="299">
        <f t="shared" si="40"/>
        <v>225312.729508889</v>
      </c>
      <c r="BA64" s="305">
        <f t="shared" si="41"/>
        <v>3248475.95333333</v>
      </c>
      <c r="BB64" s="306">
        <f t="shared" si="1"/>
        <v>849695.190666667</v>
      </c>
      <c r="BC64" s="307">
        <f t="shared" si="42"/>
        <v>0</v>
      </c>
      <c r="BD64" s="308">
        <f t="shared" si="2"/>
        <v>849695.190666667</v>
      </c>
      <c r="BE64" s="313">
        <f t="shared" si="3"/>
        <v>2398780.76266667</v>
      </c>
      <c r="BF64" s="306"/>
      <c r="BG64" s="307">
        <f t="shared" si="4"/>
        <v>21000</v>
      </c>
      <c r="BH64" s="307">
        <f t="shared" si="5"/>
        <v>33000</v>
      </c>
      <c r="BI64" s="307">
        <f t="shared" si="6"/>
        <v>75000</v>
      </c>
      <c r="BJ64" s="307">
        <f t="shared" si="7"/>
        <v>95000</v>
      </c>
      <c r="BK64" s="307">
        <f t="shared" si="8"/>
        <v>167743.96016</v>
      </c>
      <c r="BL64" s="307" t="str">
        <f t="shared" si="9"/>
        <v/>
      </c>
      <c r="BM64" s="305">
        <f t="shared" si="10"/>
        <v>391743.96016</v>
      </c>
      <c r="BN64" s="320">
        <f t="shared" si="11"/>
        <v>32484.7595333333</v>
      </c>
      <c r="BO64" s="321">
        <f t="shared" si="12"/>
        <v>391743.96016</v>
      </c>
      <c r="BP64" s="322">
        <f t="shared" si="13"/>
        <v>32645.3300133333</v>
      </c>
      <c r="BQ64" s="323"/>
      <c r="BR64" s="324"/>
      <c r="BS64" s="325"/>
      <c r="BT64" s="326"/>
      <c r="BU64" s="326"/>
      <c r="BV64" s="334"/>
      <c r="BW64" s="335"/>
    </row>
    <row r="65" s="245" customFormat="1" ht="172.5" customHeight="1" spans="1:75">
      <c r="A65" s="255">
        <v>55</v>
      </c>
      <c r="B65" s="70" t="s">
        <v>2035</v>
      </c>
      <c r="C65" s="129" t="s">
        <v>130</v>
      </c>
      <c r="D65" s="129" t="s">
        <v>272</v>
      </c>
      <c r="E65" s="256" t="s">
        <v>127</v>
      </c>
      <c r="F65" s="1469" t="s">
        <v>2036</v>
      </c>
      <c r="G65" s="257">
        <f>H65*12</f>
        <v>2600486.04</v>
      </c>
      <c r="H65" s="258">
        <v>216707.17</v>
      </c>
      <c r="I65" s="258">
        <f t="shared" si="44"/>
        <v>25282.5031666667</v>
      </c>
      <c r="J65" s="258">
        <v>5000</v>
      </c>
      <c r="K65" s="258"/>
      <c r="L65" s="258"/>
      <c r="M65" s="258">
        <v>2500</v>
      </c>
      <c r="N65" s="258"/>
      <c r="O65" s="258"/>
      <c r="P65" s="258"/>
      <c r="Q65" s="258"/>
      <c r="R65" s="258"/>
      <c r="S65" s="258"/>
      <c r="T65" s="258"/>
      <c r="U65" s="258">
        <v>383.33</v>
      </c>
      <c r="V65" s="258"/>
      <c r="W65" s="265"/>
      <c r="X65" s="258"/>
      <c r="Y65" s="258"/>
      <c r="Z65" s="258"/>
      <c r="AA65" s="258"/>
      <c r="AB65" s="258"/>
      <c r="AC65" s="258"/>
      <c r="AD65" s="270"/>
      <c r="AE65" s="258"/>
      <c r="AF65" s="258">
        <v>2250</v>
      </c>
      <c r="AG65" s="270">
        <f t="shared" si="14"/>
        <v>4334.1434</v>
      </c>
      <c r="AH65" s="270"/>
      <c r="AI65" s="278"/>
      <c r="AJ65" s="280"/>
      <c r="AK65" s="280"/>
      <c r="AL65" s="284">
        <v>1000</v>
      </c>
      <c r="AM65" s="281">
        <v>10000</v>
      </c>
      <c r="AN65" s="258"/>
      <c r="AO65" s="299">
        <v>1500</v>
      </c>
      <c r="AP65" s="299"/>
      <c r="AQ65" s="299"/>
      <c r="AR65" s="299">
        <f t="shared" si="15"/>
        <v>4997.46006333333</v>
      </c>
      <c r="AS65" s="300"/>
      <c r="AT65" s="300"/>
      <c r="AU65" s="299">
        <f t="shared" si="45"/>
        <v>29145.3311986667</v>
      </c>
      <c r="AV65" s="299">
        <f>W65+V65+U65+N65+M65+K65+J65+I65+H65</f>
        <v>249873.003166667</v>
      </c>
      <c r="AW65" s="299">
        <f>AU65+AR65+AQ65+AO65+AN65+AM65+AK65+AI65+AH65+AG65+AF65+AE65+AD65</f>
        <v>52226.934662</v>
      </c>
      <c r="AX65" s="299"/>
      <c r="AY65" s="299"/>
      <c r="AZ65" s="299">
        <f t="shared" si="40"/>
        <v>197646.068504667</v>
      </c>
      <c r="BA65" s="305">
        <f t="shared" si="41"/>
        <v>2998476.038</v>
      </c>
      <c r="BB65" s="306">
        <f t="shared" si="1"/>
        <v>799695.2076</v>
      </c>
      <c r="BC65" s="307">
        <f t="shared" si="42"/>
        <v>0</v>
      </c>
      <c r="BD65" s="308">
        <f t="shared" si="2"/>
        <v>799695.2076</v>
      </c>
      <c r="BE65" s="313">
        <f t="shared" si="3"/>
        <v>2198780.8304</v>
      </c>
      <c r="BF65" s="306"/>
      <c r="BG65" s="307">
        <f t="shared" si="4"/>
        <v>21000</v>
      </c>
      <c r="BH65" s="307">
        <f t="shared" si="5"/>
        <v>33000</v>
      </c>
      <c r="BI65" s="307">
        <f t="shared" si="6"/>
        <v>75000</v>
      </c>
      <c r="BJ65" s="307">
        <f t="shared" si="7"/>
        <v>95000</v>
      </c>
      <c r="BK65" s="307">
        <f t="shared" si="8"/>
        <v>125743.974384</v>
      </c>
      <c r="BL65" s="307" t="str">
        <f t="shared" si="9"/>
        <v/>
      </c>
      <c r="BM65" s="305">
        <f t="shared" si="10"/>
        <v>349743.974384</v>
      </c>
      <c r="BN65" s="320">
        <f t="shared" si="11"/>
        <v>29984.76038</v>
      </c>
      <c r="BO65" s="321">
        <f t="shared" si="12"/>
        <v>349743.974384</v>
      </c>
      <c r="BP65" s="322">
        <f t="shared" si="13"/>
        <v>29145.3311986667</v>
      </c>
      <c r="BQ65" s="323"/>
      <c r="BR65" s="324"/>
      <c r="BS65" s="325"/>
      <c r="BT65" s="326"/>
      <c r="BU65" s="326"/>
      <c r="BV65" s="334"/>
      <c r="BW65" s="335"/>
    </row>
    <row r="66" s="245" customFormat="1" ht="184" customHeight="1" spans="1:75">
      <c r="A66" s="255">
        <v>56</v>
      </c>
      <c r="B66" s="70" t="s">
        <v>271</v>
      </c>
      <c r="C66" s="129" t="s">
        <v>130</v>
      </c>
      <c r="D66" s="129" t="s">
        <v>272</v>
      </c>
      <c r="E66" s="256" t="s">
        <v>145</v>
      </c>
      <c r="F66" s="1469" t="s">
        <v>273</v>
      </c>
      <c r="G66" s="257">
        <f>H66*12</f>
        <v>2600486.04</v>
      </c>
      <c r="H66" s="258">
        <v>216707.17</v>
      </c>
      <c r="I66" s="258">
        <f t="shared" si="44"/>
        <v>25282.5031666667</v>
      </c>
      <c r="J66" s="258">
        <v>5000</v>
      </c>
      <c r="K66" s="258"/>
      <c r="L66" s="258"/>
      <c r="M66" s="258">
        <v>2500</v>
      </c>
      <c r="N66" s="258"/>
      <c r="O66" s="258"/>
      <c r="P66" s="258"/>
      <c r="Q66" s="258"/>
      <c r="R66" s="258"/>
      <c r="S66" s="258"/>
      <c r="T66" s="258"/>
      <c r="U66" s="258">
        <v>383.33</v>
      </c>
      <c r="V66" s="258"/>
      <c r="W66" s="265"/>
      <c r="X66" s="258"/>
      <c r="Y66" s="258"/>
      <c r="Z66" s="258"/>
      <c r="AA66" s="258"/>
      <c r="AB66" s="258"/>
      <c r="AC66" s="258"/>
      <c r="AD66" s="270"/>
      <c r="AE66" s="258"/>
      <c r="AF66" s="258"/>
      <c r="AG66" s="270">
        <f t="shared" si="14"/>
        <v>4334.1434</v>
      </c>
      <c r="AH66" s="270"/>
      <c r="AI66" s="278"/>
      <c r="AJ66" s="280"/>
      <c r="AK66" s="280"/>
      <c r="AL66" s="284">
        <v>1000</v>
      </c>
      <c r="AM66" s="281">
        <f>44709+10700</f>
        <v>55409</v>
      </c>
      <c r="AN66" s="258">
        <v>7500</v>
      </c>
      <c r="AO66" s="299">
        <v>1500</v>
      </c>
      <c r="AP66" s="299"/>
      <c r="AQ66" s="299"/>
      <c r="AR66" s="299">
        <f t="shared" si="15"/>
        <v>4997.46006333333</v>
      </c>
      <c r="AS66" s="300"/>
      <c r="AT66" s="300"/>
      <c r="AU66" s="299">
        <f t="shared" si="45"/>
        <v>29145.3311986667</v>
      </c>
      <c r="AV66" s="299">
        <f>W66+V66+U66+N66+M66+K66+J66+I66+H66</f>
        <v>249873.003166667</v>
      </c>
      <c r="AW66" s="299">
        <f>AU66+AR66+AQ66+AO66+AN66+AM66+AK66+AI66+AH66+AG66+AF66+AE66+AD66+AL66</f>
        <v>103885.934662</v>
      </c>
      <c r="AX66" s="299"/>
      <c r="AY66" s="299"/>
      <c r="AZ66" s="299">
        <f t="shared" si="40"/>
        <v>145987.068504667</v>
      </c>
      <c r="BA66" s="305">
        <f t="shared" si="41"/>
        <v>2998476.038</v>
      </c>
      <c r="BB66" s="306">
        <f t="shared" si="1"/>
        <v>799695.2076</v>
      </c>
      <c r="BC66" s="307">
        <f t="shared" si="42"/>
        <v>0</v>
      </c>
      <c r="BD66" s="308">
        <f t="shared" si="2"/>
        <v>799695.2076</v>
      </c>
      <c r="BE66" s="313">
        <f t="shared" si="3"/>
        <v>2198780.8304</v>
      </c>
      <c r="BF66" s="306"/>
      <c r="BG66" s="307">
        <f t="shared" si="4"/>
        <v>21000</v>
      </c>
      <c r="BH66" s="307">
        <f t="shared" si="5"/>
        <v>33000</v>
      </c>
      <c r="BI66" s="307">
        <f t="shared" si="6"/>
        <v>75000</v>
      </c>
      <c r="BJ66" s="307">
        <f t="shared" si="7"/>
        <v>95000</v>
      </c>
      <c r="BK66" s="307">
        <f t="shared" si="8"/>
        <v>125743.974384</v>
      </c>
      <c r="BL66" s="307" t="str">
        <f t="shared" si="9"/>
        <v/>
      </c>
      <c r="BM66" s="305">
        <f t="shared" si="10"/>
        <v>349743.974384</v>
      </c>
      <c r="BN66" s="320">
        <f t="shared" si="11"/>
        <v>29984.76038</v>
      </c>
      <c r="BO66" s="321">
        <f t="shared" si="12"/>
        <v>349743.974384</v>
      </c>
      <c r="BP66" s="322">
        <f t="shared" si="13"/>
        <v>29145.3311986667</v>
      </c>
      <c r="BQ66" s="323"/>
      <c r="BR66" s="324"/>
      <c r="BS66" s="325"/>
      <c r="BT66" s="326"/>
      <c r="BU66" s="326"/>
      <c r="BV66" s="334"/>
      <c r="BW66" s="335"/>
    </row>
    <row r="67" s="245" customFormat="1" ht="172.5" customHeight="1" spans="1:75">
      <c r="A67" s="255">
        <v>57</v>
      </c>
      <c r="B67" s="70" t="s">
        <v>274</v>
      </c>
      <c r="C67" s="129" t="s">
        <v>130</v>
      </c>
      <c r="D67" s="129" t="s">
        <v>272</v>
      </c>
      <c r="E67" s="256" t="s">
        <v>127</v>
      </c>
      <c r="F67" s="1469" t="s">
        <v>277</v>
      </c>
      <c r="G67" s="257">
        <f>G86</f>
        <v>2600486</v>
      </c>
      <c r="H67" s="258">
        <f t="shared" si="43"/>
        <v>216707.166666667</v>
      </c>
      <c r="I67" s="258">
        <f t="shared" si="44"/>
        <v>25282.5027777778</v>
      </c>
      <c r="J67" s="258">
        <v>5000</v>
      </c>
      <c r="K67" s="258"/>
      <c r="L67" s="258"/>
      <c r="M67" s="258">
        <v>2500</v>
      </c>
      <c r="N67" s="258"/>
      <c r="O67" s="258"/>
      <c r="P67" s="258"/>
      <c r="Q67" s="258"/>
      <c r="R67" s="258"/>
      <c r="S67" s="258"/>
      <c r="T67" s="258"/>
      <c r="U67" s="258">
        <v>383.33</v>
      </c>
      <c r="V67" s="258"/>
      <c r="W67" s="265"/>
      <c r="X67" s="258"/>
      <c r="Y67" s="258"/>
      <c r="Z67" s="258"/>
      <c r="AA67" s="258"/>
      <c r="AB67" s="258"/>
      <c r="AC67" s="258"/>
      <c r="AD67" s="270"/>
      <c r="AE67" s="258"/>
      <c r="AF67" s="258">
        <v>4000</v>
      </c>
      <c r="AG67" s="270">
        <f t="shared" si="14"/>
        <v>4334.14333333333</v>
      </c>
      <c r="AH67" s="270"/>
      <c r="AI67" s="278"/>
      <c r="AJ67" s="280"/>
      <c r="AK67" s="280"/>
      <c r="AL67" s="284">
        <v>1000</v>
      </c>
      <c r="AM67" s="281">
        <v>85625</v>
      </c>
      <c r="AN67" s="258">
        <v>10000</v>
      </c>
      <c r="AO67" s="299">
        <v>1500</v>
      </c>
      <c r="AP67" s="299"/>
      <c r="AQ67" s="299"/>
      <c r="AR67" s="299">
        <f t="shared" si="15"/>
        <v>4997.45998888889</v>
      </c>
      <c r="AS67" s="300"/>
      <c r="AT67" s="300"/>
      <c r="AU67" s="299">
        <f t="shared" si="45"/>
        <v>29145.3305733333</v>
      </c>
      <c r="AV67" s="299">
        <f>V67+U67+N67+M67+K67+J67+I67+H67</f>
        <v>249872.999444444</v>
      </c>
      <c r="AW67" s="299">
        <f>AU67+AR67+AQ67+AO67+AN67+AM67+AK67+AI67+AH67+AG67+AF67+AE67+AD67+AL67</f>
        <v>140601.933895556</v>
      </c>
      <c r="AX67" s="299"/>
      <c r="AY67" s="299"/>
      <c r="AZ67" s="299">
        <f t="shared" si="40"/>
        <v>109271.065548889</v>
      </c>
      <c r="BA67" s="305">
        <f t="shared" si="41"/>
        <v>2998475.99333333</v>
      </c>
      <c r="BB67" s="306">
        <f t="shared" si="1"/>
        <v>799695.198666667</v>
      </c>
      <c r="BC67" s="307">
        <f t="shared" si="42"/>
        <v>0</v>
      </c>
      <c r="BD67" s="308">
        <f t="shared" si="2"/>
        <v>799695.198666667</v>
      </c>
      <c r="BE67" s="313">
        <f t="shared" si="3"/>
        <v>2198780.79466667</v>
      </c>
      <c r="BF67" s="306"/>
      <c r="BG67" s="307">
        <f t="shared" si="4"/>
        <v>21000</v>
      </c>
      <c r="BH67" s="307">
        <f t="shared" si="5"/>
        <v>33000</v>
      </c>
      <c r="BI67" s="307">
        <f t="shared" si="6"/>
        <v>75000</v>
      </c>
      <c r="BJ67" s="307">
        <f t="shared" si="7"/>
        <v>95000</v>
      </c>
      <c r="BK67" s="307">
        <f t="shared" si="8"/>
        <v>125743.96688</v>
      </c>
      <c r="BL67" s="307" t="str">
        <f t="shared" si="9"/>
        <v/>
      </c>
      <c r="BM67" s="305">
        <f t="shared" si="10"/>
        <v>349743.96688</v>
      </c>
      <c r="BN67" s="320">
        <f t="shared" si="11"/>
        <v>29984.7599333333</v>
      </c>
      <c r="BO67" s="321">
        <f t="shared" si="12"/>
        <v>349743.96688</v>
      </c>
      <c r="BP67" s="322">
        <f t="shared" si="13"/>
        <v>29145.3305733333</v>
      </c>
      <c r="BQ67" s="323"/>
      <c r="BR67" s="324"/>
      <c r="BS67" s="325"/>
      <c r="BT67" s="326"/>
      <c r="BU67" s="326"/>
      <c r="BV67" s="334"/>
      <c r="BW67" s="335"/>
    </row>
    <row r="68" s="245" customFormat="1" ht="172.5" customHeight="1" spans="1:75">
      <c r="A68" s="255">
        <v>58</v>
      </c>
      <c r="B68" s="70" t="s">
        <v>278</v>
      </c>
      <c r="C68" s="129" t="s">
        <v>221</v>
      </c>
      <c r="D68" s="129" t="s">
        <v>430</v>
      </c>
      <c r="E68" s="256" t="s">
        <v>127</v>
      </c>
      <c r="F68" s="1469" t="s">
        <v>281</v>
      </c>
      <c r="G68" s="257">
        <v>2048214</v>
      </c>
      <c r="H68" s="258">
        <f t="shared" si="43"/>
        <v>170684.5</v>
      </c>
      <c r="I68" s="258">
        <f t="shared" si="44"/>
        <v>19913.1916666667</v>
      </c>
      <c r="J68" s="258">
        <v>5000</v>
      </c>
      <c r="K68" s="258"/>
      <c r="L68" s="258"/>
      <c r="M68" s="258">
        <v>2500</v>
      </c>
      <c r="N68" s="258"/>
      <c r="O68" s="258"/>
      <c r="P68" s="258"/>
      <c r="Q68" s="258"/>
      <c r="R68" s="258"/>
      <c r="S68" s="258"/>
      <c r="T68" s="258"/>
      <c r="U68" s="258">
        <v>383.33</v>
      </c>
      <c r="V68" s="258"/>
      <c r="W68" s="265"/>
      <c r="X68" s="258"/>
      <c r="Y68" s="258"/>
      <c r="Z68" s="258"/>
      <c r="AA68" s="258"/>
      <c r="AB68" s="258"/>
      <c r="AC68" s="258"/>
      <c r="AD68" s="270"/>
      <c r="AE68" s="258"/>
      <c r="AF68" s="258">
        <v>4500</v>
      </c>
      <c r="AG68" s="270">
        <f t="shared" si="14"/>
        <v>3413.69</v>
      </c>
      <c r="AH68" s="270"/>
      <c r="AI68" s="278"/>
      <c r="AJ68" s="280"/>
      <c r="AK68" s="280"/>
      <c r="AL68" s="280"/>
      <c r="AM68" s="281">
        <f>10000+22750</f>
        <v>32750</v>
      </c>
      <c r="AN68" s="258"/>
      <c r="AO68" s="299">
        <v>1000</v>
      </c>
      <c r="AP68" s="299"/>
      <c r="AQ68" s="299"/>
      <c r="AR68" s="299">
        <f t="shared" si="15"/>
        <v>3969.62043333333</v>
      </c>
      <c r="AS68" s="300"/>
      <c r="AT68" s="300"/>
      <c r="AU68" s="299">
        <f t="shared" si="45"/>
        <v>20511.4783066667</v>
      </c>
      <c r="AV68" s="299">
        <f>W68+V68+U68+N68+M68+K68+J68+I68+H68</f>
        <v>198481.021666667</v>
      </c>
      <c r="AW68" s="299">
        <f>AU68+AR68+AQ68+AO68+AN68+AM68+AK68+AI68+AH68+AG68+AF68+AE68+AD68</f>
        <v>66144.78874</v>
      </c>
      <c r="AX68" s="299"/>
      <c r="AY68" s="299"/>
      <c r="AZ68" s="299">
        <f t="shared" si="40"/>
        <v>132336.232926667</v>
      </c>
      <c r="BA68" s="305">
        <f t="shared" si="41"/>
        <v>2381772.26</v>
      </c>
      <c r="BB68" s="306">
        <f t="shared" si="1"/>
        <v>676354.452</v>
      </c>
      <c r="BC68" s="307">
        <f t="shared" si="42"/>
        <v>0</v>
      </c>
      <c r="BD68" s="308">
        <f t="shared" si="2"/>
        <v>676354.452</v>
      </c>
      <c r="BE68" s="313">
        <f t="shared" si="3"/>
        <v>1705417.808</v>
      </c>
      <c r="BF68" s="306"/>
      <c r="BG68" s="307">
        <f t="shared" si="4"/>
        <v>21000</v>
      </c>
      <c r="BH68" s="307">
        <f t="shared" si="5"/>
        <v>33000</v>
      </c>
      <c r="BI68" s="307">
        <f t="shared" si="6"/>
        <v>75000</v>
      </c>
      <c r="BJ68" s="307">
        <f t="shared" si="7"/>
        <v>95000</v>
      </c>
      <c r="BK68" s="307">
        <f t="shared" si="8"/>
        <v>22137.7396799999</v>
      </c>
      <c r="BL68" s="307" t="str">
        <f t="shared" si="9"/>
        <v/>
      </c>
      <c r="BM68" s="305">
        <f t="shared" si="10"/>
        <v>246137.73968</v>
      </c>
      <c r="BN68" s="320">
        <f t="shared" si="11"/>
        <v>23817.7226</v>
      </c>
      <c r="BO68" s="321">
        <f t="shared" si="12"/>
        <v>246137.73968</v>
      </c>
      <c r="BP68" s="322">
        <f t="shared" si="13"/>
        <v>20511.4783066667</v>
      </c>
      <c r="BQ68" s="323"/>
      <c r="BR68" s="324"/>
      <c r="BS68" s="325"/>
      <c r="BT68" s="326"/>
      <c r="BU68" s="326"/>
      <c r="BV68" s="334"/>
      <c r="BW68" s="335"/>
    </row>
    <row r="69" s="245" customFormat="1" ht="172.5" customHeight="1" spans="1:75">
      <c r="A69" s="255">
        <v>59</v>
      </c>
      <c r="B69" s="70" t="s">
        <v>282</v>
      </c>
      <c r="C69" s="129" t="s">
        <v>130</v>
      </c>
      <c r="D69" s="129" t="s">
        <v>272</v>
      </c>
      <c r="E69" s="256" t="s">
        <v>97</v>
      </c>
      <c r="F69" s="1469" t="s">
        <v>2037</v>
      </c>
      <c r="G69" s="257">
        <f>G67</f>
        <v>2600486</v>
      </c>
      <c r="H69" s="258">
        <f t="shared" si="43"/>
        <v>216707.166666667</v>
      </c>
      <c r="I69" s="258">
        <f t="shared" si="44"/>
        <v>25282.5027777778</v>
      </c>
      <c r="J69" s="258">
        <v>5000</v>
      </c>
      <c r="K69" s="258"/>
      <c r="L69" s="258"/>
      <c r="M69" s="258">
        <v>2500</v>
      </c>
      <c r="N69" s="258"/>
      <c r="O69" s="258"/>
      <c r="P69" s="258"/>
      <c r="Q69" s="258"/>
      <c r="R69" s="258"/>
      <c r="S69" s="258"/>
      <c r="T69" s="258"/>
      <c r="U69" s="258">
        <v>383.33</v>
      </c>
      <c r="V69" s="258"/>
      <c r="W69" s="265"/>
      <c r="X69" s="258"/>
      <c r="Y69" s="258"/>
      <c r="Z69" s="258"/>
      <c r="AA69" s="258"/>
      <c r="AB69" s="258"/>
      <c r="AC69" s="258"/>
      <c r="AD69" s="270"/>
      <c r="AE69" s="258"/>
      <c r="AF69" s="258">
        <v>3010</v>
      </c>
      <c r="AG69" s="270">
        <f t="shared" si="14"/>
        <v>4334.14333333333</v>
      </c>
      <c r="AH69" s="270">
        <f>10000</f>
        <v>10000</v>
      </c>
      <c r="AI69" s="278"/>
      <c r="AJ69" s="280"/>
      <c r="AK69" s="280"/>
      <c r="AL69" s="284">
        <v>1000</v>
      </c>
      <c r="AM69" s="281">
        <f>12500+26250+109375</f>
        <v>148125</v>
      </c>
      <c r="AN69" s="258">
        <v>7500</v>
      </c>
      <c r="AO69" s="299">
        <v>1500</v>
      </c>
      <c r="AP69" s="299"/>
      <c r="AQ69" s="299"/>
      <c r="AR69" s="299">
        <f t="shared" si="15"/>
        <v>4997.45998888889</v>
      </c>
      <c r="AS69" s="300"/>
      <c r="AT69" s="300"/>
      <c r="AU69" s="299">
        <f t="shared" si="45"/>
        <v>29145.3305733333</v>
      </c>
      <c r="AV69" s="299">
        <f>W69+V69+U69+N69+M69+K69+J69+I69+H69</f>
        <v>249872.999444444</v>
      </c>
      <c r="AW69" s="299">
        <f>AU69+AR69+AQ69+AO69+AN69+AM69+AK69+AI69+AH69+AG69+AF69+AE69+AD69+AL69</f>
        <v>209611.933895556</v>
      </c>
      <c r="AX69" s="299"/>
      <c r="AY69" s="299"/>
      <c r="AZ69" s="299">
        <f t="shared" si="40"/>
        <v>40261.0655488889</v>
      </c>
      <c r="BA69" s="305">
        <f t="shared" si="41"/>
        <v>2998475.99333333</v>
      </c>
      <c r="BB69" s="306">
        <f t="shared" si="1"/>
        <v>799695.198666667</v>
      </c>
      <c r="BC69" s="307">
        <f t="shared" si="42"/>
        <v>0</v>
      </c>
      <c r="BD69" s="308">
        <f t="shared" si="2"/>
        <v>799695.198666667</v>
      </c>
      <c r="BE69" s="313">
        <f t="shared" si="3"/>
        <v>2198780.79466667</v>
      </c>
      <c r="BF69" s="306"/>
      <c r="BG69" s="307">
        <f t="shared" si="4"/>
        <v>21000</v>
      </c>
      <c r="BH69" s="307">
        <f t="shared" si="5"/>
        <v>33000</v>
      </c>
      <c r="BI69" s="307">
        <f t="shared" si="6"/>
        <v>75000</v>
      </c>
      <c r="BJ69" s="307">
        <f t="shared" si="7"/>
        <v>95000</v>
      </c>
      <c r="BK69" s="307">
        <f t="shared" si="8"/>
        <v>125743.96688</v>
      </c>
      <c r="BL69" s="307" t="str">
        <f t="shared" si="9"/>
        <v/>
      </c>
      <c r="BM69" s="305">
        <f t="shared" si="10"/>
        <v>349743.96688</v>
      </c>
      <c r="BN69" s="320">
        <f t="shared" si="11"/>
        <v>29984.7599333333</v>
      </c>
      <c r="BO69" s="321">
        <f t="shared" si="12"/>
        <v>349743.96688</v>
      </c>
      <c r="BP69" s="322">
        <f t="shared" si="13"/>
        <v>29145.3305733333</v>
      </c>
      <c r="BQ69" s="323"/>
      <c r="BR69" s="324"/>
      <c r="BS69" s="325"/>
      <c r="BT69" s="326"/>
      <c r="BU69" s="326"/>
      <c r="BV69" s="334"/>
      <c r="BW69" s="335"/>
    </row>
    <row r="70" s="245" customFormat="1" ht="180" customHeight="1" spans="1:75">
      <c r="A70" s="255">
        <v>60</v>
      </c>
      <c r="B70" s="70" t="s">
        <v>285</v>
      </c>
      <c r="C70" s="129" t="s">
        <v>155</v>
      </c>
      <c r="D70" s="129" t="s">
        <v>2038</v>
      </c>
      <c r="E70" s="256" t="s">
        <v>135</v>
      </c>
      <c r="F70" s="1469" t="s">
        <v>288</v>
      </c>
      <c r="G70" s="257">
        <v>3125980</v>
      </c>
      <c r="H70" s="258">
        <f t="shared" si="43"/>
        <v>260498.333333333</v>
      </c>
      <c r="I70" s="258">
        <f t="shared" si="44"/>
        <v>30391.4722222222</v>
      </c>
      <c r="J70" s="258">
        <v>5000</v>
      </c>
      <c r="K70" s="258"/>
      <c r="L70" s="258"/>
      <c r="M70" s="258">
        <v>2500</v>
      </c>
      <c r="N70" s="258"/>
      <c r="O70" s="258"/>
      <c r="P70" s="258"/>
      <c r="Q70" s="258"/>
      <c r="R70" s="258"/>
      <c r="S70" s="258"/>
      <c r="T70" s="258"/>
      <c r="U70" s="258">
        <v>383.33</v>
      </c>
      <c r="V70" s="258"/>
      <c r="W70" s="265"/>
      <c r="X70" s="258"/>
      <c r="Y70" s="258"/>
      <c r="Z70" s="258"/>
      <c r="AA70" s="258"/>
      <c r="AB70" s="258"/>
      <c r="AC70" s="258"/>
      <c r="AD70" s="270"/>
      <c r="AE70" s="258"/>
      <c r="AF70" s="258">
        <v>750</v>
      </c>
      <c r="AG70" s="270">
        <f t="shared" si="14"/>
        <v>5209.96666666667</v>
      </c>
      <c r="AH70" s="270"/>
      <c r="AI70" s="278"/>
      <c r="AJ70" s="278"/>
      <c r="AK70" s="278"/>
      <c r="AL70" s="284">
        <v>1000</v>
      </c>
      <c r="AM70" s="281">
        <v>56250</v>
      </c>
      <c r="AN70" s="258">
        <v>15000</v>
      </c>
      <c r="AO70" s="299">
        <v>1500</v>
      </c>
      <c r="AP70" s="299"/>
      <c r="AQ70" s="299"/>
      <c r="AR70" s="299">
        <f t="shared" si="15"/>
        <v>5975.46271111111</v>
      </c>
      <c r="AS70" s="300"/>
      <c r="AT70" s="300"/>
      <c r="AU70" s="299">
        <f t="shared" si="45"/>
        <v>37360.55344</v>
      </c>
      <c r="AV70" s="299">
        <f>V70+U70+N70+M70+K70+J70+I70+H70</f>
        <v>298773.135555556</v>
      </c>
      <c r="AW70" s="299">
        <f>AU70+AR70+AO70+AN70+AM70+AL70</f>
        <v>117086.016151111</v>
      </c>
      <c r="AX70" s="299"/>
      <c r="AY70" s="299"/>
      <c r="AZ70" s="299">
        <f t="shared" si="40"/>
        <v>181687.119404444</v>
      </c>
      <c r="BA70" s="305">
        <f t="shared" si="41"/>
        <v>3585277.62666667</v>
      </c>
      <c r="BB70" s="306">
        <f t="shared" si="1"/>
        <v>917055.525333333</v>
      </c>
      <c r="BC70" s="307">
        <f t="shared" si="42"/>
        <v>0</v>
      </c>
      <c r="BD70" s="308">
        <f t="shared" si="2"/>
        <v>917055.525333333</v>
      </c>
      <c r="BE70" s="313">
        <f t="shared" si="3"/>
        <v>2668222.10133333</v>
      </c>
      <c r="BF70" s="306"/>
      <c r="BG70" s="307">
        <f t="shared" si="4"/>
        <v>21000</v>
      </c>
      <c r="BH70" s="307">
        <f t="shared" si="5"/>
        <v>33000</v>
      </c>
      <c r="BI70" s="307">
        <f t="shared" si="6"/>
        <v>75000</v>
      </c>
      <c r="BJ70" s="307">
        <f t="shared" si="7"/>
        <v>95000</v>
      </c>
      <c r="BK70" s="307">
        <f t="shared" si="8"/>
        <v>224326.64128</v>
      </c>
      <c r="BL70" s="307" t="str">
        <f t="shared" si="9"/>
        <v/>
      </c>
      <c r="BM70" s="305">
        <f t="shared" si="10"/>
        <v>448326.64128</v>
      </c>
      <c r="BN70" s="320">
        <f t="shared" si="11"/>
        <v>35852.7762666667</v>
      </c>
      <c r="BO70" s="321">
        <f t="shared" si="12"/>
        <v>448326.64128</v>
      </c>
      <c r="BP70" s="322">
        <f t="shared" si="13"/>
        <v>37360.55344</v>
      </c>
      <c r="BQ70" s="323"/>
      <c r="BR70" s="324"/>
      <c r="BS70" s="325"/>
      <c r="BT70" s="326"/>
      <c r="BU70" s="326"/>
      <c r="BV70" s="334"/>
      <c r="BW70" s="335"/>
    </row>
    <row r="71" s="245" customFormat="1" ht="184" customHeight="1" spans="1:75">
      <c r="A71" s="255">
        <v>61</v>
      </c>
      <c r="B71" s="70" t="s">
        <v>289</v>
      </c>
      <c r="C71" s="129" t="s">
        <v>130</v>
      </c>
      <c r="D71" s="129" t="s">
        <v>272</v>
      </c>
      <c r="E71" s="256" t="s">
        <v>113</v>
      </c>
      <c r="F71" s="256">
        <v>2022811512</v>
      </c>
      <c r="G71" s="257">
        <v>2600486</v>
      </c>
      <c r="H71" s="258">
        <f t="shared" si="43"/>
        <v>216707.166666667</v>
      </c>
      <c r="I71" s="258">
        <f t="shared" si="44"/>
        <v>25282.5027777778</v>
      </c>
      <c r="J71" s="258">
        <v>5000</v>
      </c>
      <c r="K71" s="258"/>
      <c r="L71" s="258"/>
      <c r="M71" s="258">
        <v>2500</v>
      </c>
      <c r="N71" s="258"/>
      <c r="O71" s="258"/>
      <c r="P71" s="258"/>
      <c r="Q71" s="258"/>
      <c r="R71" s="258"/>
      <c r="S71" s="258"/>
      <c r="T71" s="258"/>
      <c r="U71" s="258">
        <v>383.33</v>
      </c>
      <c r="V71" s="258"/>
      <c r="W71" s="265"/>
      <c r="X71" s="258"/>
      <c r="Y71" s="258"/>
      <c r="Z71" s="258"/>
      <c r="AA71" s="258"/>
      <c r="AB71" s="258"/>
      <c r="AC71" s="258"/>
      <c r="AD71" s="270"/>
      <c r="AE71" s="258"/>
      <c r="AF71" s="258"/>
      <c r="AG71" s="270">
        <f t="shared" si="14"/>
        <v>4334.14333333333</v>
      </c>
      <c r="AH71" s="270"/>
      <c r="AI71" s="285">
        <v>1000</v>
      </c>
      <c r="AJ71" s="286"/>
      <c r="AK71" s="286"/>
      <c r="AL71" s="286"/>
      <c r="AM71" s="281"/>
      <c r="AN71" s="258"/>
      <c r="AO71" s="299">
        <v>1500</v>
      </c>
      <c r="AP71" s="299"/>
      <c r="AQ71" s="299"/>
      <c r="AR71" s="299">
        <f t="shared" si="15"/>
        <v>4997.45998888889</v>
      </c>
      <c r="AS71" s="300"/>
      <c r="AT71" s="300"/>
      <c r="AU71" s="299">
        <f t="shared" si="45"/>
        <v>29145.3305733333</v>
      </c>
      <c r="AV71" s="299">
        <f>W71+V71+U71+N71+M71+K71+J71+I71+H71</f>
        <v>249872.999444444</v>
      </c>
      <c r="AW71" s="299">
        <f>AU71+AR71+AQ71+AO71+AN71+AM71+AK71+AI71+AH71+AG71+AF71+AE71+AD71</f>
        <v>40976.9338955556</v>
      </c>
      <c r="AX71" s="299"/>
      <c r="AY71" s="299"/>
      <c r="AZ71" s="299">
        <f t="shared" si="40"/>
        <v>208896.065548889</v>
      </c>
      <c r="BA71" s="305">
        <f t="shared" si="41"/>
        <v>2998475.99333333</v>
      </c>
      <c r="BB71" s="306">
        <f t="shared" si="1"/>
        <v>799695.198666667</v>
      </c>
      <c r="BC71" s="307">
        <f t="shared" si="42"/>
        <v>0</v>
      </c>
      <c r="BD71" s="308">
        <f t="shared" si="2"/>
        <v>799695.198666667</v>
      </c>
      <c r="BE71" s="313">
        <f t="shared" si="3"/>
        <v>2198780.79466667</v>
      </c>
      <c r="BF71" s="306"/>
      <c r="BG71" s="307">
        <f t="shared" si="4"/>
        <v>21000</v>
      </c>
      <c r="BH71" s="307">
        <f t="shared" si="5"/>
        <v>33000</v>
      </c>
      <c r="BI71" s="307">
        <f t="shared" si="6"/>
        <v>75000</v>
      </c>
      <c r="BJ71" s="307">
        <f t="shared" si="7"/>
        <v>95000</v>
      </c>
      <c r="BK71" s="307">
        <f t="shared" si="8"/>
        <v>125743.96688</v>
      </c>
      <c r="BL71" s="307" t="str">
        <f t="shared" si="9"/>
        <v/>
      </c>
      <c r="BM71" s="305">
        <f t="shared" si="10"/>
        <v>349743.96688</v>
      </c>
      <c r="BN71" s="320">
        <f t="shared" si="11"/>
        <v>29984.7599333333</v>
      </c>
      <c r="BO71" s="321">
        <f t="shared" si="12"/>
        <v>349743.96688</v>
      </c>
      <c r="BP71" s="322">
        <f t="shared" si="13"/>
        <v>29145.3305733333</v>
      </c>
      <c r="BQ71" s="323"/>
      <c r="BR71" s="324"/>
      <c r="BS71" s="325"/>
      <c r="BT71" s="326"/>
      <c r="BU71" s="326"/>
      <c r="BV71" s="334"/>
      <c r="BW71" s="335"/>
    </row>
    <row r="72" s="245" customFormat="1" ht="172.5" customHeight="1" spans="1:75">
      <c r="A72" s="255">
        <v>62</v>
      </c>
      <c r="B72" s="70" t="s">
        <v>290</v>
      </c>
      <c r="C72" s="129" t="s">
        <v>130</v>
      </c>
      <c r="D72" s="129" t="s">
        <v>272</v>
      </c>
      <c r="E72" s="256" t="s">
        <v>145</v>
      </c>
      <c r="F72" s="1469" t="s">
        <v>292</v>
      </c>
      <c r="G72" s="257">
        <v>2254203</v>
      </c>
      <c r="H72" s="258">
        <v>216707.17</v>
      </c>
      <c r="I72" s="258">
        <f t="shared" si="44"/>
        <v>25282.5031666667</v>
      </c>
      <c r="J72" s="258">
        <v>5000</v>
      </c>
      <c r="K72" s="258"/>
      <c r="L72" s="258"/>
      <c r="M72" s="258">
        <v>2500</v>
      </c>
      <c r="N72" s="258"/>
      <c r="O72" s="258"/>
      <c r="P72" s="258"/>
      <c r="Q72" s="258"/>
      <c r="R72" s="258"/>
      <c r="S72" s="258"/>
      <c r="T72" s="258"/>
      <c r="U72" s="258">
        <v>383.33</v>
      </c>
      <c r="V72" s="258"/>
      <c r="W72" s="265"/>
      <c r="X72" s="258"/>
      <c r="Y72" s="258"/>
      <c r="Z72" s="258"/>
      <c r="AA72" s="258"/>
      <c r="AB72" s="258"/>
      <c r="AC72" s="258"/>
      <c r="AD72" s="270"/>
      <c r="AE72" s="258"/>
      <c r="AF72" s="258"/>
      <c r="AG72" s="270">
        <f t="shared" si="14"/>
        <v>4334.1434</v>
      </c>
      <c r="AH72" s="270"/>
      <c r="AI72" s="278"/>
      <c r="AJ72" s="280"/>
      <c r="AK72" s="345"/>
      <c r="AL72" s="284">
        <v>1000</v>
      </c>
      <c r="AM72" s="281"/>
      <c r="AN72" s="258">
        <v>7500</v>
      </c>
      <c r="AO72" s="299">
        <v>1500</v>
      </c>
      <c r="AP72" s="299"/>
      <c r="AQ72" s="299"/>
      <c r="AR72" s="299">
        <f t="shared" si="15"/>
        <v>4997.46006333333</v>
      </c>
      <c r="AS72" s="300"/>
      <c r="AT72" s="300"/>
      <c r="AU72" s="299">
        <f t="shared" si="45"/>
        <v>29145.3311986667</v>
      </c>
      <c r="AV72" s="299">
        <f>W72+V72+U72+N72+M72+K72+J72+I72+H72</f>
        <v>249873.003166667</v>
      </c>
      <c r="AW72" s="299">
        <f>AU72+AR72+AQ72+AO72+AN72+AM72+AK72+AI72+AH72+AG72+AF72+AE72+AD72+AL72</f>
        <v>48476.934662</v>
      </c>
      <c r="AX72" s="299"/>
      <c r="AY72" s="299"/>
      <c r="AZ72" s="299">
        <f t="shared" si="40"/>
        <v>201396.068504667</v>
      </c>
      <c r="BA72" s="305">
        <f t="shared" si="41"/>
        <v>2998476.038</v>
      </c>
      <c r="BB72" s="306">
        <f t="shared" si="1"/>
        <v>799695.2076</v>
      </c>
      <c r="BC72" s="307">
        <f t="shared" si="42"/>
        <v>0</v>
      </c>
      <c r="BD72" s="308">
        <f t="shared" si="2"/>
        <v>799695.2076</v>
      </c>
      <c r="BE72" s="313">
        <f t="shared" si="3"/>
        <v>2198780.8304</v>
      </c>
      <c r="BF72" s="306"/>
      <c r="BG72" s="307">
        <f t="shared" si="4"/>
        <v>21000</v>
      </c>
      <c r="BH72" s="307">
        <f t="shared" si="5"/>
        <v>33000</v>
      </c>
      <c r="BI72" s="307">
        <f t="shared" si="6"/>
        <v>75000</v>
      </c>
      <c r="BJ72" s="307">
        <f t="shared" si="7"/>
        <v>95000</v>
      </c>
      <c r="BK72" s="307">
        <f t="shared" si="8"/>
        <v>125743.974384</v>
      </c>
      <c r="BL72" s="307" t="str">
        <f t="shared" si="9"/>
        <v/>
      </c>
      <c r="BM72" s="305">
        <f t="shared" si="10"/>
        <v>349743.974384</v>
      </c>
      <c r="BN72" s="320">
        <f t="shared" si="11"/>
        <v>29984.76038</v>
      </c>
      <c r="BO72" s="321">
        <f t="shared" si="12"/>
        <v>349743.974384</v>
      </c>
      <c r="BP72" s="322">
        <f t="shared" si="13"/>
        <v>29145.3311986667</v>
      </c>
      <c r="BQ72" s="323"/>
      <c r="BR72" s="324"/>
      <c r="BS72" s="325"/>
      <c r="BT72" s="326"/>
      <c r="BU72" s="326"/>
      <c r="BV72" s="334"/>
      <c r="BW72" s="335"/>
    </row>
    <row r="73" s="245" customFormat="1" ht="182" customHeight="1" spans="1:75">
      <c r="A73" s="255">
        <v>63</v>
      </c>
      <c r="B73" s="70" t="s">
        <v>293</v>
      </c>
      <c r="C73" s="129" t="s">
        <v>204</v>
      </c>
      <c r="D73" s="129" t="s">
        <v>208</v>
      </c>
      <c r="E73" s="256" t="s">
        <v>135</v>
      </c>
      <c r="F73" s="1469" t="s">
        <v>295</v>
      </c>
      <c r="G73" s="257">
        <v>2035373</v>
      </c>
      <c r="H73" s="258">
        <f t="shared" ref="H73:H90" si="46">G73/12</f>
        <v>169614.416666667</v>
      </c>
      <c r="I73" s="258">
        <f t="shared" si="44"/>
        <v>19788.3486111111</v>
      </c>
      <c r="J73" s="258">
        <v>5000</v>
      </c>
      <c r="K73" s="258"/>
      <c r="L73" s="258"/>
      <c r="M73" s="258">
        <v>2500</v>
      </c>
      <c r="N73" s="258">
        <v>3125.67</v>
      </c>
      <c r="O73" s="258"/>
      <c r="P73" s="258"/>
      <c r="Q73" s="258"/>
      <c r="R73" s="258"/>
      <c r="S73" s="258"/>
      <c r="T73" s="258"/>
      <c r="U73" s="258">
        <v>383.33</v>
      </c>
      <c r="V73" s="258"/>
      <c r="W73" s="265"/>
      <c r="X73" s="258"/>
      <c r="Y73" s="258"/>
      <c r="Z73" s="258"/>
      <c r="AA73" s="258"/>
      <c r="AB73" s="258"/>
      <c r="AC73" s="258"/>
      <c r="AD73" s="270"/>
      <c r="AE73" s="258"/>
      <c r="AF73" s="258">
        <v>750</v>
      </c>
      <c r="AG73" s="270">
        <f t="shared" si="14"/>
        <v>3392.28833333333</v>
      </c>
      <c r="AH73" s="270"/>
      <c r="AI73" s="278"/>
      <c r="AJ73" s="280"/>
      <c r="AK73" s="280"/>
      <c r="AL73" s="284">
        <v>1000</v>
      </c>
      <c r="AM73" s="281">
        <f>88292+26250</f>
        <v>114542</v>
      </c>
      <c r="AN73" s="258"/>
      <c r="AO73" s="299">
        <v>1500</v>
      </c>
      <c r="AP73" s="299"/>
      <c r="AQ73" s="299"/>
      <c r="AR73" s="299">
        <f t="shared" si="15"/>
        <v>4008.23530555556</v>
      </c>
      <c r="AS73" s="300"/>
      <c r="AT73" s="300"/>
      <c r="AU73" s="299">
        <f t="shared" si="45"/>
        <v>20835.8432333333</v>
      </c>
      <c r="AV73" s="299">
        <f>V73+U73+N73+M73+K73+J73+I73+H73</f>
        <v>200411.765277778</v>
      </c>
      <c r="AW73" s="299">
        <f>AU73+AR73+AQ73+AO73+AN73+AM73+AK73+AI73+AH73+AG73+AF73+AE73+AD73+AL73</f>
        <v>146028.366872222</v>
      </c>
      <c r="AX73" s="299"/>
      <c r="AY73" s="299"/>
      <c r="AZ73" s="299">
        <f t="shared" si="40"/>
        <v>54383.3984055555</v>
      </c>
      <c r="BA73" s="305">
        <f t="shared" si="41"/>
        <v>2404941.18333333</v>
      </c>
      <c r="BB73" s="306">
        <f t="shared" si="1"/>
        <v>680988.236666667</v>
      </c>
      <c r="BC73" s="307">
        <f t="shared" si="42"/>
        <v>0</v>
      </c>
      <c r="BD73" s="308">
        <f t="shared" si="2"/>
        <v>680988.236666667</v>
      </c>
      <c r="BE73" s="313">
        <f t="shared" si="3"/>
        <v>1723952.94666667</v>
      </c>
      <c r="BF73" s="306"/>
      <c r="BG73" s="307">
        <f t="shared" si="4"/>
        <v>21000</v>
      </c>
      <c r="BH73" s="307">
        <f t="shared" si="5"/>
        <v>33000</v>
      </c>
      <c r="BI73" s="307">
        <f t="shared" si="6"/>
        <v>75000</v>
      </c>
      <c r="BJ73" s="307">
        <f t="shared" si="7"/>
        <v>95000</v>
      </c>
      <c r="BK73" s="307">
        <f t="shared" si="8"/>
        <v>26030.1188</v>
      </c>
      <c r="BL73" s="307" t="str">
        <f t="shared" si="9"/>
        <v/>
      </c>
      <c r="BM73" s="305">
        <f t="shared" si="10"/>
        <v>250030.1188</v>
      </c>
      <c r="BN73" s="320">
        <f t="shared" si="11"/>
        <v>24049.4118333333</v>
      </c>
      <c r="BO73" s="321">
        <f t="shared" si="12"/>
        <v>250030.1188</v>
      </c>
      <c r="BP73" s="322">
        <f t="shared" si="13"/>
        <v>20835.8432333333</v>
      </c>
      <c r="BQ73" s="323"/>
      <c r="BR73" s="324"/>
      <c r="BS73" s="325"/>
      <c r="BT73" s="326"/>
      <c r="BU73" s="326"/>
      <c r="BV73" s="334"/>
      <c r="BW73" s="335"/>
    </row>
    <row r="74" s="245" customFormat="1" ht="174" customHeight="1" spans="1:75">
      <c r="A74" s="255">
        <v>64</v>
      </c>
      <c r="B74" s="70" t="s">
        <v>296</v>
      </c>
      <c r="C74" s="129" t="s">
        <v>204</v>
      </c>
      <c r="D74" s="129" t="s">
        <v>2039</v>
      </c>
      <c r="E74" s="256" t="s">
        <v>127</v>
      </c>
      <c r="F74" s="1469" t="s">
        <v>298</v>
      </c>
      <c r="G74" s="257">
        <v>2254203</v>
      </c>
      <c r="H74" s="258">
        <f t="shared" si="46"/>
        <v>187850.25</v>
      </c>
      <c r="I74" s="258">
        <f t="shared" si="44"/>
        <v>21915.8625</v>
      </c>
      <c r="J74" s="258">
        <v>5000</v>
      </c>
      <c r="K74" s="258"/>
      <c r="L74" s="258"/>
      <c r="M74" s="258">
        <v>2500</v>
      </c>
      <c r="N74" s="258"/>
      <c r="O74" s="258"/>
      <c r="P74" s="258"/>
      <c r="Q74" s="258"/>
      <c r="R74" s="258"/>
      <c r="S74" s="258"/>
      <c r="T74" s="258"/>
      <c r="U74" s="258">
        <v>383.33</v>
      </c>
      <c r="V74" s="258"/>
      <c r="W74" s="265"/>
      <c r="X74" s="258"/>
      <c r="Y74" s="258"/>
      <c r="Z74" s="258"/>
      <c r="AA74" s="258"/>
      <c r="AB74" s="258"/>
      <c r="AC74" s="258"/>
      <c r="AD74" s="270"/>
      <c r="AE74" s="258"/>
      <c r="AF74" s="258">
        <v>1500</v>
      </c>
      <c r="AG74" s="270">
        <f t="shared" si="14"/>
        <v>3757.005</v>
      </c>
      <c r="AH74" s="270"/>
      <c r="AI74" s="282">
        <v>1000</v>
      </c>
      <c r="AJ74" s="279"/>
      <c r="AK74" s="279"/>
      <c r="AL74" s="279"/>
      <c r="AM74" s="281"/>
      <c r="AN74" s="258"/>
      <c r="AO74" s="299">
        <v>1500</v>
      </c>
      <c r="AP74" s="299"/>
      <c r="AQ74" s="299"/>
      <c r="AR74" s="299">
        <f t="shared" si="15"/>
        <v>4352.98885</v>
      </c>
      <c r="AS74" s="300"/>
      <c r="AT74" s="300"/>
      <c r="AU74" s="299">
        <f t="shared" si="45"/>
        <v>23731.7730066667</v>
      </c>
      <c r="AV74" s="299">
        <f>W74+V74+U74+N74+M74+K74+J74+I74+H74</f>
        <v>217649.4425</v>
      </c>
      <c r="AW74" s="299">
        <f>AU74+AR74+AQ74+AO74+AN74+AM74+AK74+AI74+AH74+AG74+AF74+AE74+AD74</f>
        <v>35841.7668566667</v>
      </c>
      <c r="AX74" s="299"/>
      <c r="AY74" s="299"/>
      <c r="AZ74" s="299">
        <f t="shared" si="40"/>
        <v>181807.675643333</v>
      </c>
      <c r="BA74" s="305">
        <f t="shared" si="41"/>
        <v>2611793.31</v>
      </c>
      <c r="BB74" s="306">
        <f t="shared" si="1"/>
        <v>722358.662</v>
      </c>
      <c r="BC74" s="307">
        <f t="shared" si="42"/>
        <v>0</v>
      </c>
      <c r="BD74" s="308">
        <f t="shared" si="2"/>
        <v>722358.662</v>
      </c>
      <c r="BE74" s="313">
        <f t="shared" si="3"/>
        <v>1889434.648</v>
      </c>
      <c r="BF74" s="306"/>
      <c r="BG74" s="307">
        <f t="shared" si="4"/>
        <v>21000</v>
      </c>
      <c r="BH74" s="307">
        <f t="shared" si="5"/>
        <v>33000</v>
      </c>
      <c r="BI74" s="307">
        <f t="shared" si="6"/>
        <v>75000</v>
      </c>
      <c r="BJ74" s="307">
        <f t="shared" si="7"/>
        <v>95000</v>
      </c>
      <c r="BK74" s="307">
        <f t="shared" si="8"/>
        <v>60781.27608</v>
      </c>
      <c r="BL74" s="307" t="str">
        <f t="shared" si="9"/>
        <v/>
      </c>
      <c r="BM74" s="305">
        <f t="shared" si="10"/>
        <v>284781.27608</v>
      </c>
      <c r="BN74" s="320">
        <f t="shared" si="11"/>
        <v>26117.9331</v>
      </c>
      <c r="BO74" s="321">
        <f t="shared" si="12"/>
        <v>284781.27608</v>
      </c>
      <c r="BP74" s="322">
        <f t="shared" si="13"/>
        <v>23731.7730066667</v>
      </c>
      <c r="BQ74" s="323"/>
      <c r="BR74" s="324"/>
      <c r="BS74" s="325"/>
      <c r="BT74" s="326"/>
      <c r="BU74" s="326"/>
      <c r="BV74" s="334"/>
      <c r="BW74" s="335"/>
    </row>
    <row r="75" s="245" customFormat="1" ht="172.5" customHeight="1" spans="1:75">
      <c r="A75" s="255">
        <v>65</v>
      </c>
      <c r="B75" s="70" t="s">
        <v>299</v>
      </c>
      <c r="C75" s="129" t="s">
        <v>204</v>
      </c>
      <c r="D75" s="129" t="s">
        <v>2040</v>
      </c>
      <c r="E75" s="256" t="s">
        <v>93</v>
      </c>
      <c r="F75" s="256">
        <v>3050764643</v>
      </c>
      <c r="G75" s="257">
        <v>2199106</v>
      </c>
      <c r="H75" s="258">
        <f t="shared" si="46"/>
        <v>183258.833333333</v>
      </c>
      <c r="I75" s="258">
        <f t="shared" si="44"/>
        <v>21380.1972222222</v>
      </c>
      <c r="J75" s="258">
        <v>5000</v>
      </c>
      <c r="K75" s="258"/>
      <c r="L75" s="258"/>
      <c r="M75" s="258">
        <v>2500</v>
      </c>
      <c r="N75" s="258"/>
      <c r="O75" s="258"/>
      <c r="P75" s="258"/>
      <c r="Q75" s="258"/>
      <c r="R75" s="258"/>
      <c r="S75" s="258"/>
      <c r="T75" s="258"/>
      <c r="U75" s="258">
        <v>383.33</v>
      </c>
      <c r="V75" s="258"/>
      <c r="W75" s="258"/>
      <c r="X75" s="258"/>
      <c r="Y75" s="258"/>
      <c r="Z75" s="258"/>
      <c r="AA75" s="258"/>
      <c r="AB75" s="258"/>
      <c r="AC75" s="258"/>
      <c r="AD75" s="270"/>
      <c r="AE75" s="258"/>
      <c r="AF75" s="258">
        <v>2500</v>
      </c>
      <c r="AG75" s="270">
        <f t="shared" si="14"/>
        <v>3665.17666666667</v>
      </c>
      <c r="AH75" s="270"/>
      <c r="AI75" s="278"/>
      <c r="AJ75" s="279">
        <v>1000</v>
      </c>
      <c r="AK75" s="280"/>
      <c r="AL75" s="280"/>
      <c r="AM75" s="281"/>
      <c r="AN75" s="258"/>
      <c r="AO75" s="299">
        <v>1500</v>
      </c>
      <c r="AP75" s="299"/>
      <c r="AQ75" s="299"/>
      <c r="AR75" s="299">
        <f t="shared" si="15"/>
        <v>4250.44721111111</v>
      </c>
      <c r="AS75" s="300"/>
      <c r="AT75" s="300"/>
      <c r="AU75" s="299">
        <f t="shared" si="45"/>
        <v>22870.42324</v>
      </c>
      <c r="AV75" s="299">
        <f>W75+V75+U75+N75+M75+K75+J75+I75+H75</f>
        <v>212522.360555556</v>
      </c>
      <c r="AW75" s="299">
        <f>AU75+AR75+AQ75+AO75+AN75+AM75+AK75+AI75+AH75+AG75+AF75+AE75+AD75+AO75</f>
        <v>36286.0471177778</v>
      </c>
      <c r="AX75" s="299"/>
      <c r="AY75" s="299"/>
      <c r="AZ75" s="299">
        <f t="shared" si="40"/>
        <v>176236.313437778</v>
      </c>
      <c r="BA75" s="305">
        <f t="shared" si="41"/>
        <v>2550268.32666667</v>
      </c>
      <c r="BB75" s="306">
        <f t="shared" ref="BB75:BB138" si="47">200000+(0.2*BA75)</f>
        <v>710053.665333333</v>
      </c>
      <c r="BC75" s="307">
        <f t="shared" si="42"/>
        <v>0</v>
      </c>
      <c r="BD75" s="308">
        <f t="shared" ref="BD75:BD138" si="48">SUM(BB75:BC75)</f>
        <v>710053.665333333</v>
      </c>
      <c r="BE75" s="313">
        <f t="shared" ref="BE75:BE138" si="49">+BA75-BD75</f>
        <v>1840214.66133333</v>
      </c>
      <c r="BF75" s="306"/>
      <c r="BG75" s="307">
        <f t="shared" ref="BG75:BG138" si="50">IF((BE75&gt;0),(IF((BE75&gt;300000),(300000*7%),(BE75*7%))),(BA75*1%))</f>
        <v>21000</v>
      </c>
      <c r="BH75" s="307">
        <f t="shared" ref="BH75:BH138" si="51">IF((BE75-300000)&gt;0,(IF((BE75&gt;600000),(300000*11%),((BE75-300000)*11%))),(""))</f>
        <v>33000</v>
      </c>
      <c r="BI75" s="307">
        <f t="shared" ref="BI75:BI138" si="52">IF(((BE75-600000)&gt;0),(IF((BE75&gt;1100000),(500000*15%),((BE75-600000)*15%))),(""))</f>
        <v>75000</v>
      </c>
      <c r="BJ75" s="307">
        <f t="shared" ref="BJ75:BJ138" si="53">IF(((BE75-(1100000))&gt;0),(IF((BE75&gt;(1600000)),((500000)*19%),((BE75-(1100000))*19%))),(""))</f>
        <v>95000</v>
      </c>
      <c r="BK75" s="307">
        <f t="shared" ref="BK75:BK138" si="54">IF(((BE75-(1600000))&gt;0),(IF((BE75&gt;(3200000)),((1600000)*21%),((BE75-(1600000))*21%))),(""))</f>
        <v>50445.07888</v>
      </c>
      <c r="BL75" s="307" t="str">
        <f t="shared" ref="BL75:BL138" si="55">IF(((BE75-(3200000))&gt;0),(IF((BE75&gt;(3200000)),((BE75-(3200000))*24%),(0))),(""))</f>
        <v/>
      </c>
      <c r="BM75" s="305">
        <f t="shared" ref="BM75:BM138" si="56">SUM(BG75:BL75)</f>
        <v>274445.07888</v>
      </c>
      <c r="BN75" s="320">
        <f t="shared" ref="BN75:BN138" si="57">1%*BA75</f>
        <v>25502.6832666667</v>
      </c>
      <c r="BO75" s="321">
        <f t="shared" ref="BO75:BO138" si="58">MAX(BM75:BN75)</f>
        <v>274445.07888</v>
      </c>
      <c r="BP75" s="322">
        <f t="shared" ref="BP75:BP138" si="59">+BO75/12</f>
        <v>22870.42324</v>
      </c>
      <c r="BQ75" s="323"/>
      <c r="BR75" s="324"/>
      <c r="BS75" s="325"/>
      <c r="BT75" s="326"/>
      <c r="BU75" s="326"/>
      <c r="BV75" s="334"/>
      <c r="BW75" s="335"/>
    </row>
    <row r="76" s="245" customFormat="1" ht="181" customHeight="1" spans="1:75">
      <c r="A76" s="255">
        <v>66</v>
      </c>
      <c r="B76" s="70" t="s">
        <v>300</v>
      </c>
      <c r="C76" s="129" t="s">
        <v>130</v>
      </c>
      <c r="D76" s="129" t="s">
        <v>2038</v>
      </c>
      <c r="E76" s="256" t="s">
        <v>127</v>
      </c>
      <c r="F76" s="1469" t="s">
        <v>301</v>
      </c>
      <c r="G76" s="257">
        <v>3125980</v>
      </c>
      <c r="H76" s="258">
        <f t="shared" si="46"/>
        <v>260498.333333333</v>
      </c>
      <c r="I76" s="258">
        <f t="shared" si="44"/>
        <v>30391.4722222222</v>
      </c>
      <c r="J76" s="258">
        <v>5000</v>
      </c>
      <c r="K76" s="258"/>
      <c r="L76" s="258"/>
      <c r="M76" s="258">
        <v>2500</v>
      </c>
      <c r="N76" s="258"/>
      <c r="O76" s="258"/>
      <c r="P76" s="258"/>
      <c r="Q76" s="258"/>
      <c r="R76" s="258"/>
      <c r="S76" s="258"/>
      <c r="T76" s="258"/>
      <c r="U76" s="258">
        <v>383.33</v>
      </c>
      <c r="V76" s="258"/>
      <c r="W76" s="265"/>
      <c r="X76" s="258"/>
      <c r="Y76" s="258"/>
      <c r="Z76" s="258"/>
      <c r="AA76" s="258"/>
      <c r="AB76" s="258"/>
      <c r="AC76" s="258"/>
      <c r="AD76" s="270"/>
      <c r="AE76" s="258"/>
      <c r="AF76" s="258"/>
      <c r="AG76" s="270">
        <f t="shared" si="14"/>
        <v>5209.96666666667</v>
      </c>
      <c r="AH76" s="270">
        <v>100000</v>
      </c>
      <c r="AI76" s="278"/>
      <c r="AJ76" s="279">
        <v>1000</v>
      </c>
      <c r="AK76" s="280"/>
      <c r="AL76" s="280"/>
      <c r="AM76" s="281">
        <v>20000</v>
      </c>
      <c r="AN76" s="258">
        <v>25000</v>
      </c>
      <c r="AO76" s="299">
        <v>1500</v>
      </c>
      <c r="AP76" s="299"/>
      <c r="AQ76" s="299"/>
      <c r="AR76" s="299">
        <f t="shared" si="15"/>
        <v>5975.46271111111</v>
      </c>
      <c r="AS76" s="300"/>
      <c r="AT76" s="300"/>
      <c r="AU76" s="299">
        <f t="shared" si="45"/>
        <v>37360.55344</v>
      </c>
      <c r="AV76" s="299">
        <f>V76+U76+N76+M76+K76+J76+I76+H76</f>
        <v>298773.135555556</v>
      </c>
      <c r="AW76" s="299">
        <f>AU76+AR76+AQ76+AO76+AN76+AM76+AK76+AJ76+AI76+AH76+AG76+AF76</f>
        <v>196045.982817778</v>
      </c>
      <c r="AX76" s="299"/>
      <c r="AY76" s="299"/>
      <c r="AZ76" s="299">
        <f t="shared" si="40"/>
        <v>102727.152737778</v>
      </c>
      <c r="BA76" s="305">
        <f t="shared" si="41"/>
        <v>3585277.62666667</v>
      </c>
      <c r="BB76" s="306">
        <f t="shared" si="47"/>
        <v>917055.525333333</v>
      </c>
      <c r="BC76" s="307">
        <f t="shared" si="42"/>
        <v>0</v>
      </c>
      <c r="BD76" s="308">
        <f t="shared" si="48"/>
        <v>917055.525333333</v>
      </c>
      <c r="BE76" s="313">
        <f t="shared" si="49"/>
        <v>2668222.10133333</v>
      </c>
      <c r="BF76" s="306"/>
      <c r="BG76" s="307">
        <f t="shared" si="50"/>
        <v>21000</v>
      </c>
      <c r="BH76" s="307">
        <f t="shared" si="51"/>
        <v>33000</v>
      </c>
      <c r="BI76" s="307">
        <f t="shared" si="52"/>
        <v>75000</v>
      </c>
      <c r="BJ76" s="307">
        <f t="shared" si="53"/>
        <v>95000</v>
      </c>
      <c r="BK76" s="307">
        <f t="shared" si="54"/>
        <v>224326.64128</v>
      </c>
      <c r="BL76" s="307" t="str">
        <f t="shared" si="55"/>
        <v/>
      </c>
      <c r="BM76" s="305">
        <f t="shared" si="56"/>
        <v>448326.64128</v>
      </c>
      <c r="BN76" s="320">
        <f t="shared" si="57"/>
        <v>35852.7762666667</v>
      </c>
      <c r="BO76" s="321">
        <f t="shared" si="58"/>
        <v>448326.64128</v>
      </c>
      <c r="BP76" s="322">
        <f t="shared" si="59"/>
        <v>37360.55344</v>
      </c>
      <c r="BQ76" s="323"/>
      <c r="BR76" s="324"/>
      <c r="BS76" s="325"/>
      <c r="BT76" s="326"/>
      <c r="BU76" s="326"/>
      <c r="BV76" s="334"/>
      <c r="BW76" s="335"/>
    </row>
    <row r="77" s="245" customFormat="1" ht="181" customHeight="1" spans="1:75">
      <c r="A77" s="255">
        <v>67</v>
      </c>
      <c r="B77" s="70" t="s">
        <v>310</v>
      </c>
      <c r="C77" s="129" t="s">
        <v>130</v>
      </c>
      <c r="D77" s="129" t="s">
        <v>294</v>
      </c>
      <c r="E77" s="256" t="s">
        <v>127</v>
      </c>
      <c r="F77" s="1469" t="s">
        <v>311</v>
      </c>
      <c r="G77" s="257">
        <v>2425322</v>
      </c>
      <c r="H77" s="258">
        <f t="shared" si="46"/>
        <v>202110.166666667</v>
      </c>
      <c r="I77" s="258">
        <f t="shared" si="44"/>
        <v>23579.5194444444</v>
      </c>
      <c r="J77" s="258">
        <v>5000</v>
      </c>
      <c r="K77" s="258"/>
      <c r="L77" s="258"/>
      <c r="M77" s="258">
        <v>2500</v>
      </c>
      <c r="N77" s="258"/>
      <c r="O77" s="258"/>
      <c r="P77" s="258"/>
      <c r="Q77" s="258"/>
      <c r="R77" s="258"/>
      <c r="S77" s="258"/>
      <c r="T77" s="258"/>
      <c r="U77" s="258">
        <v>383.33</v>
      </c>
      <c r="V77" s="258"/>
      <c r="W77" s="265"/>
      <c r="X77" s="258"/>
      <c r="Y77" s="258"/>
      <c r="Z77" s="258"/>
      <c r="AA77" s="258"/>
      <c r="AB77" s="258"/>
      <c r="AC77" s="258"/>
      <c r="AD77" s="270"/>
      <c r="AE77" s="258"/>
      <c r="AF77" s="258"/>
      <c r="AG77" s="270">
        <f t="shared" si="14"/>
        <v>4042.20333333333</v>
      </c>
      <c r="AH77" s="270"/>
      <c r="AI77" s="278"/>
      <c r="AJ77" s="280"/>
      <c r="AK77" s="280"/>
      <c r="AL77" s="280"/>
      <c r="AM77" s="281">
        <f>41500+10500</f>
        <v>52000</v>
      </c>
      <c r="AN77" s="258">
        <v>15000</v>
      </c>
      <c r="AO77" s="299">
        <v>1500</v>
      </c>
      <c r="AP77" s="299"/>
      <c r="AQ77" s="299"/>
      <c r="AR77" s="299">
        <f t="shared" si="15"/>
        <v>4671.46032222222</v>
      </c>
      <c r="AS77" s="300"/>
      <c r="AT77" s="300"/>
      <c r="AU77" s="299">
        <f t="shared" si="45"/>
        <v>26406.9333733333</v>
      </c>
      <c r="AV77" s="299">
        <f>W77+V77+U77+N77+M77+K77+J77+I77+H77</f>
        <v>233573.016111111</v>
      </c>
      <c r="AW77" s="299">
        <f>AU77+AR77+AQ77+AO77+AN77+AM77+AK77+AI77+AH77+AG77+AF77+AE77+AD77</f>
        <v>103620.597028889</v>
      </c>
      <c r="AX77" s="299"/>
      <c r="AY77" s="299"/>
      <c r="AZ77" s="299">
        <f t="shared" si="40"/>
        <v>129952.419082222</v>
      </c>
      <c r="BA77" s="305">
        <f t="shared" si="41"/>
        <v>2802876.19333333</v>
      </c>
      <c r="BB77" s="306">
        <f t="shared" si="47"/>
        <v>760575.238666667</v>
      </c>
      <c r="BC77" s="307">
        <f t="shared" si="42"/>
        <v>0</v>
      </c>
      <c r="BD77" s="308">
        <f t="shared" si="48"/>
        <v>760575.238666667</v>
      </c>
      <c r="BE77" s="313">
        <f t="shared" si="49"/>
        <v>2042300.95466667</v>
      </c>
      <c r="BF77" s="306"/>
      <c r="BG77" s="307">
        <f t="shared" si="50"/>
        <v>21000</v>
      </c>
      <c r="BH77" s="307">
        <f t="shared" si="51"/>
        <v>33000</v>
      </c>
      <c r="BI77" s="307">
        <f t="shared" si="52"/>
        <v>75000</v>
      </c>
      <c r="BJ77" s="307">
        <f t="shared" si="53"/>
        <v>95000</v>
      </c>
      <c r="BK77" s="307">
        <f t="shared" si="54"/>
        <v>92883.20048</v>
      </c>
      <c r="BL77" s="307" t="str">
        <f t="shared" si="55"/>
        <v/>
      </c>
      <c r="BM77" s="305">
        <f t="shared" si="56"/>
        <v>316883.20048</v>
      </c>
      <c r="BN77" s="320">
        <f t="shared" si="57"/>
        <v>28028.7619333333</v>
      </c>
      <c r="BO77" s="321">
        <f t="shared" si="58"/>
        <v>316883.20048</v>
      </c>
      <c r="BP77" s="322">
        <f t="shared" si="59"/>
        <v>26406.9333733333</v>
      </c>
      <c r="BQ77" s="323"/>
      <c r="BR77" s="324"/>
      <c r="BS77" s="325"/>
      <c r="BT77" s="326"/>
      <c r="BU77" s="326"/>
      <c r="BV77" s="334"/>
      <c r="BW77" s="335"/>
    </row>
    <row r="78" s="245" customFormat="1" ht="172.5" customHeight="1" spans="1:75">
      <c r="A78" s="255">
        <v>68</v>
      </c>
      <c r="B78" s="70" t="s">
        <v>314</v>
      </c>
      <c r="C78" s="129" t="s">
        <v>204</v>
      </c>
      <c r="D78" s="129" t="s">
        <v>2039</v>
      </c>
      <c r="E78" s="256" t="s">
        <v>2041</v>
      </c>
      <c r="F78" s="256">
        <v>1909306179</v>
      </c>
      <c r="G78" s="257">
        <v>2254203</v>
      </c>
      <c r="H78" s="258">
        <f t="shared" si="46"/>
        <v>187850.25</v>
      </c>
      <c r="I78" s="258">
        <f t="shared" si="44"/>
        <v>21915.8625</v>
      </c>
      <c r="J78" s="258">
        <v>5000</v>
      </c>
      <c r="K78" s="258"/>
      <c r="L78" s="258"/>
      <c r="M78" s="258">
        <v>2500</v>
      </c>
      <c r="N78" s="258"/>
      <c r="O78" s="258"/>
      <c r="P78" s="258"/>
      <c r="Q78" s="258"/>
      <c r="R78" s="258"/>
      <c r="S78" s="258"/>
      <c r="T78" s="258"/>
      <c r="U78" s="258">
        <v>383.33</v>
      </c>
      <c r="V78" s="258"/>
      <c r="W78" s="265"/>
      <c r="X78" s="258"/>
      <c r="Y78" s="258"/>
      <c r="Z78" s="258"/>
      <c r="AA78" s="258"/>
      <c r="AB78" s="258"/>
      <c r="AC78" s="258"/>
      <c r="AD78" s="270"/>
      <c r="AE78" s="258"/>
      <c r="AF78" s="258">
        <v>3250</v>
      </c>
      <c r="AG78" s="270">
        <f t="shared" si="14"/>
        <v>3757.005</v>
      </c>
      <c r="AH78" s="270"/>
      <c r="AI78" s="282">
        <v>1000</v>
      </c>
      <c r="AJ78" s="279"/>
      <c r="AK78" s="279"/>
      <c r="AL78" s="279"/>
      <c r="AM78" s="281"/>
      <c r="AN78" s="258"/>
      <c r="AO78" s="299">
        <v>1500</v>
      </c>
      <c r="AP78" s="299"/>
      <c r="AQ78" s="299"/>
      <c r="AR78" s="299">
        <f t="shared" si="15"/>
        <v>4352.98885</v>
      </c>
      <c r="AS78" s="300"/>
      <c r="AT78" s="300"/>
      <c r="AU78" s="299">
        <f t="shared" si="45"/>
        <v>23731.7730066667</v>
      </c>
      <c r="AV78" s="299">
        <f>W78+V78+U78+N78+M78+K78+J78+I78+H78</f>
        <v>217649.4425</v>
      </c>
      <c r="AW78" s="299">
        <f>AU78+AR78+AQ78+AO78+AN78+AM78+AK78+AI78+AH78+AG78+AF78+AE78+AD78</f>
        <v>37591.7668566667</v>
      </c>
      <c r="AX78" s="299"/>
      <c r="AY78" s="299"/>
      <c r="AZ78" s="299">
        <f t="shared" si="40"/>
        <v>180057.675643333</v>
      </c>
      <c r="BA78" s="305">
        <f t="shared" si="41"/>
        <v>2611793.31</v>
      </c>
      <c r="BB78" s="306">
        <f t="shared" si="47"/>
        <v>722358.662</v>
      </c>
      <c r="BC78" s="307">
        <f t="shared" si="42"/>
        <v>0</v>
      </c>
      <c r="BD78" s="308">
        <f t="shared" si="48"/>
        <v>722358.662</v>
      </c>
      <c r="BE78" s="313">
        <f t="shared" si="49"/>
        <v>1889434.648</v>
      </c>
      <c r="BF78" s="306"/>
      <c r="BG78" s="307">
        <f t="shared" si="50"/>
        <v>21000</v>
      </c>
      <c r="BH78" s="307">
        <f t="shared" si="51"/>
        <v>33000</v>
      </c>
      <c r="BI78" s="307">
        <f t="shared" si="52"/>
        <v>75000</v>
      </c>
      <c r="BJ78" s="307">
        <f t="shared" si="53"/>
        <v>95000</v>
      </c>
      <c r="BK78" s="307">
        <f t="shared" si="54"/>
        <v>60781.27608</v>
      </c>
      <c r="BL78" s="307" t="str">
        <f t="shared" si="55"/>
        <v/>
      </c>
      <c r="BM78" s="305">
        <f t="shared" si="56"/>
        <v>284781.27608</v>
      </c>
      <c r="BN78" s="320">
        <f t="shared" si="57"/>
        <v>26117.9331</v>
      </c>
      <c r="BO78" s="321">
        <f t="shared" si="58"/>
        <v>284781.27608</v>
      </c>
      <c r="BP78" s="322">
        <f t="shared" si="59"/>
        <v>23731.7730066667</v>
      </c>
      <c r="BQ78" s="323"/>
      <c r="BR78" s="324"/>
      <c r="BS78" s="325"/>
      <c r="BT78" s="326"/>
      <c r="BU78" s="326"/>
      <c r="BV78" s="334"/>
      <c r="BW78" s="335"/>
    </row>
    <row r="79" s="245" customFormat="1" ht="172.5" customHeight="1" spans="1:75">
      <c r="A79" s="255">
        <v>69</v>
      </c>
      <c r="B79" s="70" t="s">
        <v>316</v>
      </c>
      <c r="C79" s="129" t="s">
        <v>130</v>
      </c>
      <c r="D79" s="129" t="s">
        <v>272</v>
      </c>
      <c r="E79" s="256" t="s">
        <v>135</v>
      </c>
      <c r="F79" s="1469" t="s">
        <v>2042</v>
      </c>
      <c r="G79" s="257">
        <f>H79*12</f>
        <v>2600486</v>
      </c>
      <c r="H79" s="258">
        <f>H80</f>
        <v>216707.166666667</v>
      </c>
      <c r="I79" s="258">
        <f t="shared" si="44"/>
        <v>25282.5027777778</v>
      </c>
      <c r="J79" s="258">
        <v>5000</v>
      </c>
      <c r="K79" s="258"/>
      <c r="L79" s="258"/>
      <c r="M79" s="258">
        <v>2500</v>
      </c>
      <c r="N79" s="258"/>
      <c r="O79" s="258"/>
      <c r="P79" s="258"/>
      <c r="Q79" s="258"/>
      <c r="R79" s="258"/>
      <c r="S79" s="258"/>
      <c r="T79" s="258"/>
      <c r="U79" s="258">
        <v>383.33</v>
      </c>
      <c r="V79" s="258"/>
      <c r="W79" s="265"/>
      <c r="X79" s="258"/>
      <c r="Y79" s="258"/>
      <c r="Z79" s="258"/>
      <c r="AA79" s="258"/>
      <c r="AB79" s="258"/>
      <c r="AC79" s="258"/>
      <c r="AD79" s="270"/>
      <c r="AE79" s="258"/>
      <c r="AF79" s="258"/>
      <c r="AG79" s="270">
        <f t="shared" si="14"/>
        <v>4334.14333333333</v>
      </c>
      <c r="AH79" s="270"/>
      <c r="AI79" s="278"/>
      <c r="AJ79" s="280"/>
      <c r="AK79" s="280"/>
      <c r="AL79" s="284">
        <v>1000</v>
      </c>
      <c r="AM79" s="281">
        <v>5000</v>
      </c>
      <c r="AN79" s="258">
        <v>15000</v>
      </c>
      <c r="AO79" s="299">
        <v>1500</v>
      </c>
      <c r="AP79" s="299"/>
      <c r="AQ79" s="299"/>
      <c r="AR79" s="299">
        <f t="shared" si="15"/>
        <v>4997.45998888889</v>
      </c>
      <c r="AS79" s="300"/>
      <c r="AT79" s="300"/>
      <c r="AU79" s="299">
        <f t="shared" si="45"/>
        <v>29145.3305733333</v>
      </c>
      <c r="AV79" s="299">
        <f>V79+U79+N79+M79+K79+J79+I79+H79</f>
        <v>249872.999444444</v>
      </c>
      <c r="AW79" s="299">
        <f>AU79+AR79+AQ79+AO79+AN79+AM79+AK79+AI79+AH79+AG79+AF79+AE79+AD79+AL79</f>
        <v>60976.9338955556</v>
      </c>
      <c r="AX79" s="299"/>
      <c r="AY79" s="299"/>
      <c r="AZ79" s="299">
        <f t="shared" si="40"/>
        <v>188896.065548889</v>
      </c>
      <c r="BA79" s="305">
        <f t="shared" si="41"/>
        <v>2998475.99333333</v>
      </c>
      <c r="BB79" s="306">
        <f t="shared" si="47"/>
        <v>799695.198666667</v>
      </c>
      <c r="BC79" s="307">
        <f t="shared" si="42"/>
        <v>0</v>
      </c>
      <c r="BD79" s="308">
        <f t="shared" si="48"/>
        <v>799695.198666667</v>
      </c>
      <c r="BE79" s="313">
        <f t="shared" si="49"/>
        <v>2198780.79466667</v>
      </c>
      <c r="BF79" s="306"/>
      <c r="BG79" s="307">
        <f t="shared" si="50"/>
        <v>21000</v>
      </c>
      <c r="BH79" s="307">
        <f t="shared" si="51"/>
        <v>33000</v>
      </c>
      <c r="BI79" s="307">
        <f t="shared" si="52"/>
        <v>75000</v>
      </c>
      <c r="BJ79" s="307">
        <f t="shared" si="53"/>
        <v>95000</v>
      </c>
      <c r="BK79" s="307">
        <f t="shared" si="54"/>
        <v>125743.96688</v>
      </c>
      <c r="BL79" s="307" t="str">
        <f t="shared" si="55"/>
        <v/>
      </c>
      <c r="BM79" s="305">
        <f t="shared" si="56"/>
        <v>349743.96688</v>
      </c>
      <c r="BN79" s="320">
        <f t="shared" si="57"/>
        <v>29984.7599333333</v>
      </c>
      <c r="BO79" s="321">
        <f t="shared" si="58"/>
        <v>349743.96688</v>
      </c>
      <c r="BP79" s="322">
        <f t="shared" si="59"/>
        <v>29145.3305733333</v>
      </c>
      <c r="BQ79" s="323"/>
      <c r="BR79" s="324"/>
      <c r="BS79" s="325"/>
      <c r="BT79" s="326"/>
      <c r="BU79" s="326"/>
      <c r="BV79" s="334"/>
      <c r="BW79" s="335"/>
    </row>
    <row r="80" s="245" customFormat="1" ht="172.5" customHeight="1" spans="1:75">
      <c r="A80" s="255">
        <v>70</v>
      </c>
      <c r="B80" s="70" t="s">
        <v>318</v>
      </c>
      <c r="C80" s="129" t="s">
        <v>130</v>
      </c>
      <c r="D80" s="129" t="s">
        <v>272</v>
      </c>
      <c r="E80" s="256" t="s">
        <v>127</v>
      </c>
      <c r="F80" s="1469" t="s">
        <v>319</v>
      </c>
      <c r="G80" s="257">
        <v>2600486</v>
      </c>
      <c r="H80" s="258">
        <f t="shared" si="46"/>
        <v>216707.166666667</v>
      </c>
      <c r="I80" s="258">
        <f t="shared" si="44"/>
        <v>25282.5027777778</v>
      </c>
      <c r="J80" s="258">
        <v>5000</v>
      </c>
      <c r="K80" s="258"/>
      <c r="L80" s="258"/>
      <c r="M80" s="258">
        <v>2500</v>
      </c>
      <c r="N80" s="258"/>
      <c r="O80" s="258"/>
      <c r="P80" s="258"/>
      <c r="Q80" s="258"/>
      <c r="R80" s="258"/>
      <c r="S80" s="258"/>
      <c r="T80" s="258"/>
      <c r="U80" s="258">
        <v>383.33</v>
      </c>
      <c r="V80" s="258"/>
      <c r="W80" s="265"/>
      <c r="X80" s="258"/>
      <c r="Y80" s="258"/>
      <c r="Z80" s="258"/>
      <c r="AA80" s="258"/>
      <c r="AB80" s="258"/>
      <c r="AC80" s="258"/>
      <c r="AD80" s="270"/>
      <c r="AE80" s="258"/>
      <c r="AF80" s="258">
        <v>4750</v>
      </c>
      <c r="AG80" s="270">
        <f t="shared" si="14"/>
        <v>4334.14333333333</v>
      </c>
      <c r="AH80" s="270"/>
      <c r="AI80" s="282">
        <v>1000</v>
      </c>
      <c r="AJ80" s="279"/>
      <c r="AK80" s="279"/>
      <c r="AL80" s="279"/>
      <c r="AM80" s="281"/>
      <c r="AN80" s="258"/>
      <c r="AO80" s="299">
        <v>1500</v>
      </c>
      <c r="AP80" s="299"/>
      <c r="AQ80" s="299"/>
      <c r="AR80" s="299">
        <f t="shared" si="15"/>
        <v>4997.45998888889</v>
      </c>
      <c r="AS80" s="300"/>
      <c r="AT80" s="300"/>
      <c r="AU80" s="299">
        <f t="shared" si="45"/>
        <v>29145.3305733333</v>
      </c>
      <c r="AV80" s="299">
        <f>W80+V80+U80+N80+M80+K80+J80+I80+H80</f>
        <v>249872.999444444</v>
      </c>
      <c r="AW80" s="299">
        <f>AU80+AR80+AQ80+AO80+AN80+AM80+AK80+AI80+AH80+AG80+AF80+AE80+AD80</f>
        <v>45726.9338955556</v>
      </c>
      <c r="AX80" s="299"/>
      <c r="AY80" s="299"/>
      <c r="AZ80" s="299">
        <f t="shared" si="40"/>
        <v>204146.065548889</v>
      </c>
      <c r="BA80" s="305">
        <f t="shared" si="41"/>
        <v>2998475.99333333</v>
      </c>
      <c r="BB80" s="306">
        <f t="shared" si="47"/>
        <v>799695.198666667</v>
      </c>
      <c r="BC80" s="307">
        <f t="shared" si="42"/>
        <v>0</v>
      </c>
      <c r="BD80" s="308">
        <f t="shared" si="48"/>
        <v>799695.198666667</v>
      </c>
      <c r="BE80" s="313">
        <f t="shared" si="49"/>
        <v>2198780.79466667</v>
      </c>
      <c r="BF80" s="306"/>
      <c r="BG80" s="307">
        <f t="shared" si="50"/>
        <v>21000</v>
      </c>
      <c r="BH80" s="307">
        <f t="shared" si="51"/>
        <v>33000</v>
      </c>
      <c r="BI80" s="307">
        <f t="shared" si="52"/>
        <v>75000</v>
      </c>
      <c r="BJ80" s="307">
        <f t="shared" si="53"/>
        <v>95000</v>
      </c>
      <c r="BK80" s="307">
        <f t="shared" si="54"/>
        <v>125743.96688</v>
      </c>
      <c r="BL80" s="307" t="str">
        <f t="shared" si="55"/>
        <v/>
      </c>
      <c r="BM80" s="305">
        <f t="shared" si="56"/>
        <v>349743.96688</v>
      </c>
      <c r="BN80" s="320">
        <f t="shared" si="57"/>
        <v>29984.7599333333</v>
      </c>
      <c r="BO80" s="321">
        <f t="shared" si="58"/>
        <v>349743.96688</v>
      </c>
      <c r="BP80" s="322">
        <f t="shared" si="59"/>
        <v>29145.3305733333</v>
      </c>
      <c r="BQ80" s="323"/>
      <c r="BR80" s="324"/>
      <c r="BS80" s="325"/>
      <c r="BT80" s="326"/>
      <c r="BU80" s="326"/>
      <c r="BV80" s="334"/>
      <c r="BW80" s="335"/>
    </row>
    <row r="81" s="245" customFormat="1" ht="172.5" customHeight="1" spans="1:75">
      <c r="A81" s="255">
        <v>71</v>
      </c>
      <c r="B81" s="70" t="s">
        <v>320</v>
      </c>
      <c r="C81" s="129" t="s">
        <v>204</v>
      </c>
      <c r="D81" s="129" t="s">
        <v>2039</v>
      </c>
      <c r="E81" s="256" t="s">
        <v>93</v>
      </c>
      <c r="F81" s="256">
        <v>3053511556</v>
      </c>
      <c r="G81" s="257">
        <v>2254203</v>
      </c>
      <c r="H81" s="258">
        <f t="shared" si="46"/>
        <v>187850.25</v>
      </c>
      <c r="I81" s="258">
        <f t="shared" si="44"/>
        <v>21915.8625</v>
      </c>
      <c r="J81" s="258">
        <v>5000</v>
      </c>
      <c r="K81" s="258"/>
      <c r="L81" s="258"/>
      <c r="M81" s="258">
        <v>2500</v>
      </c>
      <c r="N81" s="258"/>
      <c r="O81" s="258"/>
      <c r="P81" s="258"/>
      <c r="Q81" s="258"/>
      <c r="R81" s="258"/>
      <c r="S81" s="258"/>
      <c r="T81" s="258"/>
      <c r="U81" s="258">
        <v>383.33</v>
      </c>
      <c r="V81" s="258"/>
      <c r="W81" s="265"/>
      <c r="X81" s="258"/>
      <c r="Y81" s="258"/>
      <c r="Z81" s="258"/>
      <c r="AA81" s="258"/>
      <c r="AB81" s="258"/>
      <c r="AC81" s="258"/>
      <c r="AD81" s="270"/>
      <c r="AE81" s="258"/>
      <c r="AF81" s="258">
        <f>500+750</f>
        <v>1250</v>
      </c>
      <c r="AG81" s="270">
        <f t="shared" si="14"/>
        <v>3757.005</v>
      </c>
      <c r="AH81" s="270">
        <f>5000</f>
        <v>5000</v>
      </c>
      <c r="AI81" s="278"/>
      <c r="AJ81" s="280"/>
      <c r="AK81" s="280"/>
      <c r="AL81" s="280"/>
      <c r="AM81" s="281">
        <f>36250+10500</f>
        <v>46750</v>
      </c>
      <c r="AN81" s="258">
        <v>15000</v>
      </c>
      <c r="AO81" s="299">
        <v>1500</v>
      </c>
      <c r="AP81" s="299"/>
      <c r="AQ81" s="299"/>
      <c r="AR81" s="299">
        <f t="shared" si="15"/>
        <v>4352.98885</v>
      </c>
      <c r="AS81" s="300"/>
      <c r="AT81" s="300"/>
      <c r="AU81" s="299">
        <f t="shared" si="45"/>
        <v>23731.7730066667</v>
      </c>
      <c r="AV81" s="299">
        <f>W81+V81+U81+N81+M81+K81+J81+I81+H81</f>
        <v>217649.4425</v>
      </c>
      <c r="AW81" s="299">
        <f>AU81+AR81+AQ81+AO81+AN81+AM81+AK81+AI81+AH81+AG81+AF81+AE81+AD81</f>
        <v>101341.766856667</v>
      </c>
      <c r="AX81" s="299"/>
      <c r="AY81" s="299"/>
      <c r="AZ81" s="299">
        <f t="shared" si="40"/>
        <v>116307.675643333</v>
      </c>
      <c r="BA81" s="305">
        <f t="shared" si="41"/>
        <v>2611793.31</v>
      </c>
      <c r="BB81" s="306">
        <f t="shared" si="47"/>
        <v>722358.662</v>
      </c>
      <c r="BC81" s="307">
        <f t="shared" si="42"/>
        <v>0</v>
      </c>
      <c r="BD81" s="308">
        <f t="shared" si="48"/>
        <v>722358.662</v>
      </c>
      <c r="BE81" s="313">
        <f t="shared" si="49"/>
        <v>1889434.648</v>
      </c>
      <c r="BF81" s="306"/>
      <c r="BG81" s="307">
        <f t="shared" si="50"/>
        <v>21000</v>
      </c>
      <c r="BH81" s="307">
        <f t="shared" si="51"/>
        <v>33000</v>
      </c>
      <c r="BI81" s="307">
        <f t="shared" si="52"/>
        <v>75000</v>
      </c>
      <c r="BJ81" s="307">
        <f t="shared" si="53"/>
        <v>95000</v>
      </c>
      <c r="BK81" s="307">
        <f t="shared" si="54"/>
        <v>60781.27608</v>
      </c>
      <c r="BL81" s="307" t="str">
        <f t="shared" si="55"/>
        <v/>
      </c>
      <c r="BM81" s="305">
        <f t="shared" si="56"/>
        <v>284781.27608</v>
      </c>
      <c r="BN81" s="320">
        <f t="shared" si="57"/>
        <v>26117.9331</v>
      </c>
      <c r="BO81" s="321">
        <f t="shared" si="58"/>
        <v>284781.27608</v>
      </c>
      <c r="BP81" s="322">
        <f t="shared" si="59"/>
        <v>23731.7730066667</v>
      </c>
      <c r="BQ81" s="323"/>
      <c r="BR81" s="324"/>
      <c r="BS81" s="325"/>
      <c r="BT81" s="326"/>
      <c r="BU81" s="326"/>
      <c r="BV81" s="334"/>
      <c r="BW81" s="335"/>
    </row>
    <row r="82" s="245" customFormat="1" ht="172.5" customHeight="1" spans="1:75">
      <c r="A82" s="255">
        <v>72</v>
      </c>
      <c r="B82" s="70" t="s">
        <v>321</v>
      </c>
      <c r="C82" s="129" t="s">
        <v>204</v>
      </c>
      <c r="D82" s="129" t="s">
        <v>2039</v>
      </c>
      <c r="E82" s="256" t="s">
        <v>127</v>
      </c>
      <c r="F82" s="1469" t="s">
        <v>322</v>
      </c>
      <c r="G82" s="257">
        <f t="shared" ref="G82" si="60">G81</f>
        <v>2254203</v>
      </c>
      <c r="H82" s="258">
        <f t="shared" si="46"/>
        <v>187850.25</v>
      </c>
      <c r="I82" s="258">
        <f t="shared" si="44"/>
        <v>21915.8625</v>
      </c>
      <c r="J82" s="258">
        <v>5000</v>
      </c>
      <c r="K82" s="258"/>
      <c r="L82" s="258"/>
      <c r="M82" s="258">
        <v>2500</v>
      </c>
      <c r="N82" s="258"/>
      <c r="O82" s="258"/>
      <c r="P82" s="258"/>
      <c r="Q82" s="258"/>
      <c r="R82" s="258"/>
      <c r="S82" s="258"/>
      <c r="T82" s="258"/>
      <c r="U82" s="258">
        <v>383.33</v>
      </c>
      <c r="V82" s="258"/>
      <c r="W82" s="265"/>
      <c r="X82" s="258"/>
      <c r="Y82" s="258"/>
      <c r="Z82" s="258"/>
      <c r="AA82" s="258"/>
      <c r="AB82" s="258"/>
      <c r="AC82" s="258"/>
      <c r="AD82" s="270"/>
      <c r="AE82" s="258"/>
      <c r="AF82" s="258"/>
      <c r="AG82" s="270">
        <f t="shared" si="14"/>
        <v>3757.005</v>
      </c>
      <c r="AH82" s="270"/>
      <c r="AI82" s="282">
        <v>1000</v>
      </c>
      <c r="AJ82" s="279"/>
      <c r="AK82" s="279"/>
      <c r="AL82" s="279"/>
      <c r="AM82" s="281"/>
      <c r="AN82" s="258">
        <v>10000</v>
      </c>
      <c r="AO82" s="299">
        <v>1500</v>
      </c>
      <c r="AP82" s="299"/>
      <c r="AQ82" s="299"/>
      <c r="AR82" s="299">
        <f t="shared" si="15"/>
        <v>4352.98885</v>
      </c>
      <c r="AS82" s="300"/>
      <c r="AT82" s="300"/>
      <c r="AU82" s="299">
        <f t="shared" si="45"/>
        <v>23731.7730066667</v>
      </c>
      <c r="AV82" s="299">
        <f>V82+U82+N82+M82+K82+J82+I82+H82</f>
        <v>217649.4425</v>
      </c>
      <c r="AW82" s="299">
        <f>AU82+AR82+AQ82+AO82+AN82+AM82+AK82+AI82+AH82+AG82+AF82+AE82+AD82</f>
        <v>44341.7668566667</v>
      </c>
      <c r="AX82" s="299"/>
      <c r="AY82" s="299"/>
      <c r="AZ82" s="299">
        <f t="shared" si="40"/>
        <v>173307.675643333</v>
      </c>
      <c r="BA82" s="305">
        <f t="shared" si="41"/>
        <v>2611793.31</v>
      </c>
      <c r="BB82" s="306">
        <f t="shared" si="47"/>
        <v>722358.662</v>
      </c>
      <c r="BC82" s="307">
        <f t="shared" si="42"/>
        <v>0</v>
      </c>
      <c r="BD82" s="308">
        <f t="shared" si="48"/>
        <v>722358.662</v>
      </c>
      <c r="BE82" s="313">
        <f t="shared" si="49"/>
        <v>1889434.648</v>
      </c>
      <c r="BF82" s="306"/>
      <c r="BG82" s="307">
        <f t="shared" si="50"/>
        <v>21000</v>
      </c>
      <c r="BH82" s="307">
        <f t="shared" si="51"/>
        <v>33000</v>
      </c>
      <c r="BI82" s="307">
        <f t="shared" si="52"/>
        <v>75000</v>
      </c>
      <c r="BJ82" s="307">
        <f t="shared" si="53"/>
        <v>95000</v>
      </c>
      <c r="BK82" s="307">
        <f t="shared" si="54"/>
        <v>60781.27608</v>
      </c>
      <c r="BL82" s="307" t="str">
        <f t="shared" si="55"/>
        <v/>
      </c>
      <c r="BM82" s="305">
        <f t="shared" si="56"/>
        <v>284781.27608</v>
      </c>
      <c r="BN82" s="320">
        <f t="shared" si="57"/>
        <v>26117.9331</v>
      </c>
      <c r="BO82" s="321">
        <f t="shared" si="58"/>
        <v>284781.27608</v>
      </c>
      <c r="BP82" s="322">
        <f t="shared" si="59"/>
        <v>23731.7730066667</v>
      </c>
      <c r="BQ82" s="323"/>
      <c r="BR82" s="324"/>
      <c r="BS82" s="325"/>
      <c r="BT82" s="326"/>
      <c r="BU82" s="326"/>
      <c r="BV82" s="334"/>
      <c r="BW82" s="335"/>
    </row>
    <row r="83" s="245" customFormat="1" ht="172.5" customHeight="1" spans="1:75">
      <c r="A83" s="255">
        <v>73</v>
      </c>
      <c r="B83" s="70" t="s">
        <v>323</v>
      </c>
      <c r="C83" s="129" t="s">
        <v>130</v>
      </c>
      <c r="D83" s="129" t="s">
        <v>272</v>
      </c>
      <c r="E83" s="256" t="s">
        <v>93</v>
      </c>
      <c r="F83" s="256">
        <v>3068164624</v>
      </c>
      <c r="G83" s="257">
        <v>2600486</v>
      </c>
      <c r="H83" s="258">
        <f t="shared" si="46"/>
        <v>216707.166666667</v>
      </c>
      <c r="I83" s="258">
        <f t="shared" si="44"/>
        <v>25282.5027777778</v>
      </c>
      <c r="J83" s="258">
        <v>5000</v>
      </c>
      <c r="K83" s="258"/>
      <c r="L83" s="258"/>
      <c r="M83" s="258">
        <v>2500</v>
      </c>
      <c r="N83" s="258"/>
      <c r="O83" s="258"/>
      <c r="P83" s="258"/>
      <c r="Q83" s="258"/>
      <c r="R83" s="258"/>
      <c r="S83" s="258"/>
      <c r="T83" s="258"/>
      <c r="U83" s="258">
        <v>383.33</v>
      </c>
      <c r="V83" s="258"/>
      <c r="W83" s="265"/>
      <c r="X83" s="258"/>
      <c r="Y83" s="258"/>
      <c r="Z83" s="258"/>
      <c r="AA83" s="258"/>
      <c r="AB83" s="258"/>
      <c r="AC83" s="258"/>
      <c r="AD83" s="270"/>
      <c r="AE83" s="258"/>
      <c r="AF83" s="258"/>
      <c r="AG83" s="270">
        <f t="shared" si="14"/>
        <v>4334.14333333333</v>
      </c>
      <c r="AH83" s="270"/>
      <c r="AI83" s="278"/>
      <c r="AJ83" s="279">
        <v>1000</v>
      </c>
      <c r="AK83" s="280"/>
      <c r="AL83" s="280"/>
      <c r="AM83" s="281">
        <f>41875+17500</f>
        <v>59375</v>
      </c>
      <c r="AN83" s="258"/>
      <c r="AO83" s="299">
        <v>1500</v>
      </c>
      <c r="AP83" s="299"/>
      <c r="AQ83" s="299"/>
      <c r="AR83" s="299">
        <f t="shared" si="15"/>
        <v>4997.45998888889</v>
      </c>
      <c r="AS83" s="300"/>
      <c r="AT83" s="300"/>
      <c r="AU83" s="299">
        <f t="shared" si="45"/>
        <v>29145.3305733333</v>
      </c>
      <c r="AV83" s="299">
        <f>W83+V83+U83+N83+M83+K83+J83+I83+H83</f>
        <v>249872.999444444</v>
      </c>
      <c r="AW83" s="299">
        <f>AU83+AR83+AQ83+AO83+AN83+AM83+AK83+AJ83+AI83+AH83+AG83</f>
        <v>100351.933895556</v>
      </c>
      <c r="AX83" s="299"/>
      <c r="AY83" s="299"/>
      <c r="AZ83" s="299">
        <f t="shared" ref="AZ83:AZ114" si="61">AV83-AW83</f>
        <v>149521.065548889</v>
      </c>
      <c r="BA83" s="305">
        <f t="shared" si="41"/>
        <v>2998475.99333333</v>
      </c>
      <c r="BB83" s="306">
        <f t="shared" si="47"/>
        <v>799695.198666667</v>
      </c>
      <c r="BC83" s="307">
        <f t="shared" si="42"/>
        <v>0</v>
      </c>
      <c r="BD83" s="308">
        <f t="shared" si="48"/>
        <v>799695.198666667</v>
      </c>
      <c r="BE83" s="313">
        <f t="shared" si="49"/>
        <v>2198780.79466667</v>
      </c>
      <c r="BF83" s="306"/>
      <c r="BG83" s="307">
        <f t="shared" si="50"/>
        <v>21000</v>
      </c>
      <c r="BH83" s="307">
        <f t="shared" si="51"/>
        <v>33000</v>
      </c>
      <c r="BI83" s="307">
        <f t="shared" si="52"/>
        <v>75000</v>
      </c>
      <c r="BJ83" s="307">
        <f t="shared" si="53"/>
        <v>95000</v>
      </c>
      <c r="BK83" s="307">
        <f t="shared" si="54"/>
        <v>125743.96688</v>
      </c>
      <c r="BL83" s="307" t="str">
        <f t="shared" si="55"/>
        <v/>
      </c>
      <c r="BM83" s="305">
        <f t="shared" si="56"/>
        <v>349743.96688</v>
      </c>
      <c r="BN83" s="320">
        <f t="shared" si="57"/>
        <v>29984.7599333333</v>
      </c>
      <c r="BO83" s="321">
        <f t="shared" si="58"/>
        <v>349743.96688</v>
      </c>
      <c r="BP83" s="322">
        <f t="shared" si="59"/>
        <v>29145.3305733333</v>
      </c>
      <c r="BQ83" s="323"/>
      <c r="BR83" s="324"/>
      <c r="BS83" s="325"/>
      <c r="BT83" s="326"/>
      <c r="BU83" s="326"/>
      <c r="BV83" s="334"/>
      <c r="BW83" s="335"/>
    </row>
    <row r="84" s="245" customFormat="1" ht="172.5" customHeight="1" spans="1:75">
      <c r="A84" s="255">
        <v>74</v>
      </c>
      <c r="B84" s="70" t="s">
        <v>324</v>
      </c>
      <c r="C84" s="129" t="s">
        <v>155</v>
      </c>
      <c r="D84" s="129" t="s">
        <v>269</v>
      </c>
      <c r="E84" s="256" t="s">
        <v>113</v>
      </c>
      <c r="F84" s="1469" t="s">
        <v>2043</v>
      </c>
      <c r="G84" s="257">
        <v>2775651</v>
      </c>
      <c r="H84" s="258">
        <f t="shared" si="46"/>
        <v>231304.25</v>
      </c>
      <c r="I84" s="258">
        <f t="shared" si="44"/>
        <v>26985.4958333333</v>
      </c>
      <c r="J84" s="258">
        <v>5000</v>
      </c>
      <c r="K84" s="258"/>
      <c r="L84" s="258"/>
      <c r="M84" s="258">
        <v>2500</v>
      </c>
      <c r="N84" s="258"/>
      <c r="O84" s="258"/>
      <c r="P84" s="258"/>
      <c r="Q84" s="258"/>
      <c r="R84" s="258"/>
      <c r="S84" s="258"/>
      <c r="T84" s="258"/>
      <c r="U84" s="258">
        <v>383.33</v>
      </c>
      <c r="V84" s="258"/>
      <c r="W84" s="265"/>
      <c r="X84" s="258"/>
      <c r="Y84" s="258"/>
      <c r="Z84" s="258"/>
      <c r="AA84" s="258"/>
      <c r="AB84" s="258"/>
      <c r="AC84" s="258"/>
      <c r="AD84" s="270"/>
      <c r="AE84" s="258"/>
      <c r="AF84" s="258">
        <v>2500</v>
      </c>
      <c r="AG84" s="270">
        <f t="shared" si="14"/>
        <v>4626.085</v>
      </c>
      <c r="AH84" s="270">
        <f>20000</f>
        <v>20000</v>
      </c>
      <c r="AI84" s="278"/>
      <c r="AJ84" s="279">
        <v>1000</v>
      </c>
      <c r="AK84" s="280"/>
      <c r="AL84" s="280"/>
      <c r="AM84" s="281"/>
      <c r="AN84" s="258"/>
      <c r="AO84" s="299">
        <v>1500</v>
      </c>
      <c r="AP84" s="299"/>
      <c r="AQ84" s="299"/>
      <c r="AR84" s="299">
        <f t="shared" si="15"/>
        <v>5323.46151666667</v>
      </c>
      <c r="AS84" s="300"/>
      <c r="AT84" s="300"/>
      <c r="AU84" s="299">
        <f t="shared" si="45"/>
        <v>31883.7434066667</v>
      </c>
      <c r="AV84" s="299">
        <f>W84+V84+U84+N84+M84+K84+J84+I84+H84</f>
        <v>266173.075833333</v>
      </c>
      <c r="AW84" s="299">
        <f>AU84+AR84+AQ84+AO84+AN84+AM84+AK84+AJ84+AI84+AH84+AG84+AF84</f>
        <v>66833.2899233333</v>
      </c>
      <c r="AX84" s="299"/>
      <c r="AY84" s="299"/>
      <c r="AZ84" s="299">
        <f t="shared" si="61"/>
        <v>199339.78591</v>
      </c>
      <c r="BA84" s="305">
        <f t="shared" si="41"/>
        <v>3194076.91</v>
      </c>
      <c r="BB84" s="306">
        <f t="shared" si="47"/>
        <v>838815.382</v>
      </c>
      <c r="BC84" s="307">
        <f t="shared" si="42"/>
        <v>0</v>
      </c>
      <c r="BD84" s="308">
        <f t="shared" si="48"/>
        <v>838815.382</v>
      </c>
      <c r="BE84" s="313">
        <f t="shared" si="49"/>
        <v>2355261.528</v>
      </c>
      <c r="BF84" s="306"/>
      <c r="BG84" s="307">
        <f t="shared" si="50"/>
        <v>21000</v>
      </c>
      <c r="BH84" s="307">
        <f t="shared" si="51"/>
        <v>33000</v>
      </c>
      <c r="BI84" s="307">
        <f t="shared" si="52"/>
        <v>75000</v>
      </c>
      <c r="BJ84" s="307">
        <f t="shared" si="53"/>
        <v>95000</v>
      </c>
      <c r="BK84" s="307">
        <f t="shared" si="54"/>
        <v>158604.92088</v>
      </c>
      <c r="BL84" s="307" t="str">
        <f t="shared" si="55"/>
        <v/>
      </c>
      <c r="BM84" s="305">
        <f t="shared" si="56"/>
        <v>382604.92088</v>
      </c>
      <c r="BN84" s="320">
        <f t="shared" si="57"/>
        <v>31940.7691</v>
      </c>
      <c r="BO84" s="321">
        <f t="shared" si="58"/>
        <v>382604.92088</v>
      </c>
      <c r="BP84" s="322">
        <f t="shared" si="59"/>
        <v>31883.7434066667</v>
      </c>
      <c r="BQ84" s="323"/>
      <c r="BR84" s="324"/>
      <c r="BS84" s="325"/>
      <c r="BT84" s="326"/>
      <c r="BU84" s="326"/>
      <c r="BV84" s="334"/>
      <c r="BW84" s="335"/>
    </row>
    <row r="85" s="245" customFormat="1" ht="176" customHeight="1" spans="1:75">
      <c r="A85" s="255">
        <v>75</v>
      </c>
      <c r="B85" s="70" t="s">
        <v>326</v>
      </c>
      <c r="C85" s="129" t="s">
        <v>130</v>
      </c>
      <c r="D85" s="129" t="s">
        <v>2038</v>
      </c>
      <c r="E85" s="256" t="s">
        <v>165</v>
      </c>
      <c r="F85" s="256">
        <v>2048397326</v>
      </c>
      <c r="G85" s="257">
        <v>3125980</v>
      </c>
      <c r="H85" s="258">
        <f t="shared" si="46"/>
        <v>260498.333333333</v>
      </c>
      <c r="I85" s="258">
        <f t="shared" si="44"/>
        <v>30391.4722222222</v>
      </c>
      <c r="J85" s="258">
        <v>5000</v>
      </c>
      <c r="K85" s="258"/>
      <c r="L85" s="258"/>
      <c r="M85" s="258">
        <v>2500</v>
      </c>
      <c r="N85" s="258"/>
      <c r="O85" s="258"/>
      <c r="P85" s="258"/>
      <c r="Q85" s="258"/>
      <c r="R85" s="258"/>
      <c r="S85" s="258"/>
      <c r="T85" s="258"/>
      <c r="U85" s="258">
        <v>383.33</v>
      </c>
      <c r="V85" s="258"/>
      <c r="W85" s="265"/>
      <c r="X85" s="258"/>
      <c r="Y85" s="258"/>
      <c r="Z85" s="258"/>
      <c r="AA85" s="258"/>
      <c r="AB85" s="258"/>
      <c r="AC85" s="258"/>
      <c r="AD85" s="270"/>
      <c r="AE85" s="258"/>
      <c r="AF85" s="258"/>
      <c r="AG85" s="270">
        <f t="shared" si="14"/>
        <v>5209.96666666667</v>
      </c>
      <c r="AH85" s="270">
        <f>10000</f>
        <v>10000</v>
      </c>
      <c r="AI85" s="278"/>
      <c r="AJ85" s="279">
        <v>1000</v>
      </c>
      <c r="AK85" s="278"/>
      <c r="AL85" s="278"/>
      <c r="AM85" s="258">
        <v>79538.3</v>
      </c>
      <c r="AN85" s="258">
        <v>10000</v>
      </c>
      <c r="AO85" s="299">
        <v>1500</v>
      </c>
      <c r="AP85" s="299"/>
      <c r="AQ85" s="299"/>
      <c r="AR85" s="299">
        <f t="shared" si="15"/>
        <v>5975.46271111111</v>
      </c>
      <c r="AS85" s="300"/>
      <c r="AT85" s="300"/>
      <c r="AU85" s="299">
        <f t="shared" si="45"/>
        <v>37360.55344</v>
      </c>
      <c r="AV85" s="299">
        <f>V85+U85+N85+M85+K85+J85+I85+H85</f>
        <v>298773.135555556</v>
      </c>
      <c r="AW85" s="299">
        <f>AU85+AR85+AO85+AN85+AM85+AJ85+AI85+AH85+AG85</f>
        <v>150584.282817778</v>
      </c>
      <c r="AX85" s="299"/>
      <c r="AY85" s="299"/>
      <c r="AZ85" s="299">
        <f t="shared" si="61"/>
        <v>148188.852737778</v>
      </c>
      <c r="BA85" s="305">
        <f t="shared" si="41"/>
        <v>3585277.62666667</v>
      </c>
      <c r="BB85" s="306">
        <f t="shared" si="47"/>
        <v>917055.525333333</v>
      </c>
      <c r="BC85" s="307">
        <f t="shared" si="42"/>
        <v>0</v>
      </c>
      <c r="BD85" s="308">
        <f t="shared" si="48"/>
        <v>917055.525333333</v>
      </c>
      <c r="BE85" s="313">
        <f t="shared" si="49"/>
        <v>2668222.10133333</v>
      </c>
      <c r="BF85" s="306"/>
      <c r="BG85" s="307">
        <f t="shared" si="50"/>
        <v>21000</v>
      </c>
      <c r="BH85" s="307">
        <f t="shared" si="51"/>
        <v>33000</v>
      </c>
      <c r="BI85" s="307">
        <f t="shared" si="52"/>
        <v>75000</v>
      </c>
      <c r="BJ85" s="307">
        <f t="shared" si="53"/>
        <v>95000</v>
      </c>
      <c r="BK85" s="307">
        <f t="shared" si="54"/>
        <v>224326.64128</v>
      </c>
      <c r="BL85" s="307" t="str">
        <f t="shared" si="55"/>
        <v/>
      </c>
      <c r="BM85" s="305">
        <f t="shared" si="56"/>
        <v>448326.64128</v>
      </c>
      <c r="BN85" s="320">
        <f t="shared" si="57"/>
        <v>35852.7762666667</v>
      </c>
      <c r="BO85" s="321">
        <f t="shared" si="58"/>
        <v>448326.64128</v>
      </c>
      <c r="BP85" s="322">
        <f t="shared" si="59"/>
        <v>37360.55344</v>
      </c>
      <c r="BQ85" s="323"/>
      <c r="BR85" s="324"/>
      <c r="BS85" s="325"/>
      <c r="BT85" s="326"/>
      <c r="BU85" s="326"/>
      <c r="BV85" s="334"/>
      <c r="BW85" s="335"/>
    </row>
    <row r="86" s="245" customFormat="1" ht="186" customHeight="1" spans="1:75">
      <c r="A86" s="255">
        <v>76</v>
      </c>
      <c r="B86" s="70" t="s">
        <v>327</v>
      </c>
      <c r="C86" s="129" t="s">
        <v>130</v>
      </c>
      <c r="D86" s="129" t="s">
        <v>272</v>
      </c>
      <c r="E86" s="256" t="s">
        <v>135</v>
      </c>
      <c r="F86" s="1469" t="s">
        <v>328</v>
      </c>
      <c r="G86" s="257">
        <v>2600486</v>
      </c>
      <c r="H86" s="258">
        <f t="shared" si="46"/>
        <v>216707.166666667</v>
      </c>
      <c r="I86" s="258">
        <f t="shared" si="44"/>
        <v>25282.5027777778</v>
      </c>
      <c r="J86" s="258">
        <v>5000</v>
      </c>
      <c r="K86" s="258"/>
      <c r="L86" s="258"/>
      <c r="M86" s="258">
        <v>2500</v>
      </c>
      <c r="N86" s="258"/>
      <c r="O86" s="258"/>
      <c r="P86" s="258"/>
      <c r="Q86" s="258"/>
      <c r="R86" s="258"/>
      <c r="S86" s="258"/>
      <c r="T86" s="258"/>
      <c r="U86" s="258">
        <v>383.33</v>
      </c>
      <c r="V86" s="258"/>
      <c r="W86" s="265"/>
      <c r="X86" s="258"/>
      <c r="Y86" s="258"/>
      <c r="Z86" s="258"/>
      <c r="AA86" s="258"/>
      <c r="AB86" s="258"/>
      <c r="AC86" s="258"/>
      <c r="AD86" s="270"/>
      <c r="AE86" s="258"/>
      <c r="AF86" s="258">
        <v>1000</v>
      </c>
      <c r="AG86" s="270">
        <f>H86*0.02</f>
        <v>4334.14333333333</v>
      </c>
      <c r="AH86" s="270">
        <f>5000</f>
        <v>5000</v>
      </c>
      <c r="AI86" s="278"/>
      <c r="AJ86" s="280"/>
      <c r="AK86" s="346">
        <v>20000</v>
      </c>
      <c r="AL86" s="346"/>
      <c r="AM86" s="281">
        <v>10000</v>
      </c>
      <c r="AN86" s="281">
        <v>7500</v>
      </c>
      <c r="AO86" s="299">
        <v>1500</v>
      </c>
      <c r="AP86" s="299"/>
      <c r="AQ86" s="299"/>
      <c r="AR86" s="299">
        <f t="shared" si="15"/>
        <v>4997.45998888889</v>
      </c>
      <c r="AS86" s="300"/>
      <c r="AT86" s="300"/>
      <c r="AU86" s="299">
        <f t="shared" si="45"/>
        <v>29145.3305733333</v>
      </c>
      <c r="AV86" s="299">
        <f>W86+V86+U86+N86+M86+K86+J86+I86+H86</f>
        <v>249872.999444444</v>
      </c>
      <c r="AW86" s="299">
        <f>AU86+AR86+AQ86+AO86+AN86+AM86+AK86+AI86+AH86+AG86+AF86+AE86+AD86</f>
        <v>83476.9338955556</v>
      </c>
      <c r="AX86" s="299"/>
      <c r="AY86" s="299"/>
      <c r="AZ86" s="299">
        <f t="shared" si="61"/>
        <v>166396.065548889</v>
      </c>
      <c r="BA86" s="305">
        <f t="shared" ref="BA86:BA117" si="62">AV86*12</f>
        <v>2998475.99333333</v>
      </c>
      <c r="BB86" s="306">
        <f t="shared" si="47"/>
        <v>799695.198666667</v>
      </c>
      <c r="BC86" s="307">
        <f t="shared" ref="BC86:BC117" si="63">AS86*12</f>
        <v>0</v>
      </c>
      <c r="BD86" s="308">
        <f t="shared" si="48"/>
        <v>799695.198666667</v>
      </c>
      <c r="BE86" s="313">
        <f t="shared" si="49"/>
        <v>2198780.79466667</v>
      </c>
      <c r="BF86" s="306"/>
      <c r="BG86" s="307">
        <f t="shared" si="50"/>
        <v>21000</v>
      </c>
      <c r="BH86" s="307">
        <f t="shared" si="51"/>
        <v>33000</v>
      </c>
      <c r="BI86" s="307">
        <f t="shared" si="52"/>
        <v>75000</v>
      </c>
      <c r="BJ86" s="307">
        <f t="shared" si="53"/>
        <v>95000</v>
      </c>
      <c r="BK86" s="307">
        <f t="shared" si="54"/>
        <v>125743.96688</v>
      </c>
      <c r="BL86" s="307" t="str">
        <f t="shared" si="55"/>
        <v/>
      </c>
      <c r="BM86" s="305">
        <f t="shared" si="56"/>
        <v>349743.96688</v>
      </c>
      <c r="BN86" s="320">
        <f t="shared" si="57"/>
        <v>29984.7599333333</v>
      </c>
      <c r="BO86" s="321">
        <f t="shared" si="58"/>
        <v>349743.96688</v>
      </c>
      <c r="BP86" s="322">
        <f t="shared" si="59"/>
        <v>29145.3305733333</v>
      </c>
      <c r="BQ86" s="323"/>
      <c r="BR86" s="324"/>
      <c r="BS86" s="325"/>
      <c r="BT86" s="326"/>
      <c r="BU86" s="326"/>
      <c r="BV86" s="334"/>
      <c r="BW86" s="335"/>
    </row>
    <row r="87" s="245" customFormat="1" ht="172.5" customHeight="1" spans="1:75">
      <c r="A87" s="255">
        <v>77</v>
      </c>
      <c r="B87" s="70" t="s">
        <v>330</v>
      </c>
      <c r="C87" s="129" t="s">
        <v>138</v>
      </c>
      <c r="D87" s="129" t="s">
        <v>225</v>
      </c>
      <c r="E87" s="256" t="s">
        <v>135</v>
      </c>
      <c r="F87" s="1469" t="s">
        <v>331</v>
      </c>
      <c r="G87" s="257">
        <v>4783091</v>
      </c>
      <c r="H87" s="258">
        <f t="shared" si="46"/>
        <v>398590.916666667</v>
      </c>
      <c r="I87" s="258">
        <f t="shared" si="44"/>
        <v>46502.2736111111</v>
      </c>
      <c r="J87" s="258">
        <v>6666.67</v>
      </c>
      <c r="K87" s="258">
        <v>41667</v>
      </c>
      <c r="L87" s="258"/>
      <c r="M87" s="258">
        <v>2500</v>
      </c>
      <c r="N87" s="258"/>
      <c r="O87" s="258"/>
      <c r="P87" s="258"/>
      <c r="Q87" s="258"/>
      <c r="R87" s="258"/>
      <c r="S87" s="258"/>
      <c r="T87" s="258"/>
      <c r="U87" s="258">
        <v>383.33</v>
      </c>
      <c r="V87" s="258"/>
      <c r="W87" s="265"/>
      <c r="X87" s="258"/>
      <c r="Y87" s="258"/>
      <c r="Z87" s="258"/>
      <c r="AA87" s="258"/>
      <c r="AB87" s="258"/>
      <c r="AC87" s="258"/>
      <c r="AD87" s="270"/>
      <c r="AE87" s="258"/>
      <c r="AF87" s="258"/>
      <c r="AG87" s="270">
        <f t="shared" si="14"/>
        <v>7971.81833333333</v>
      </c>
      <c r="AH87" s="270">
        <f>30000</f>
        <v>30000</v>
      </c>
      <c r="AI87" s="278"/>
      <c r="AJ87" s="279">
        <v>1000</v>
      </c>
      <c r="AK87" s="280"/>
      <c r="AL87" s="280"/>
      <c r="AM87" s="281">
        <f>80000+140000</f>
        <v>220000</v>
      </c>
      <c r="AN87" s="258">
        <v>25000</v>
      </c>
      <c r="AO87" s="299">
        <v>2500</v>
      </c>
      <c r="AP87" s="299"/>
      <c r="AQ87" s="299"/>
      <c r="AR87" s="299">
        <f t="shared" si="15"/>
        <v>9926.20380555556</v>
      </c>
      <c r="AS87" s="300"/>
      <c r="AT87" s="300"/>
      <c r="AU87" s="299">
        <f t="shared" si="45"/>
        <v>73958.2232</v>
      </c>
      <c r="AV87" s="299">
        <f>W87+V87+U87+N87+M87+K87+J87+I87+H87</f>
        <v>496310.190277778</v>
      </c>
      <c r="AW87" s="299">
        <f>AU87+AR87+AQ87+AO87+AN87+AM87+AK87+AI87+AH87+AG87+AF87+AE87+AD87+AJ87</f>
        <v>370356.245338889</v>
      </c>
      <c r="AX87" s="299"/>
      <c r="AY87" s="299"/>
      <c r="AZ87" s="299">
        <f t="shared" si="61"/>
        <v>125953.944938889</v>
      </c>
      <c r="BA87" s="305">
        <f t="shared" si="62"/>
        <v>5955722.28333333</v>
      </c>
      <c r="BB87" s="306">
        <f t="shared" si="47"/>
        <v>1391144.45666667</v>
      </c>
      <c r="BC87" s="307">
        <f t="shared" si="63"/>
        <v>0</v>
      </c>
      <c r="BD87" s="308">
        <f t="shared" si="48"/>
        <v>1391144.45666667</v>
      </c>
      <c r="BE87" s="313">
        <f t="shared" si="49"/>
        <v>4564577.82666667</v>
      </c>
      <c r="BF87" s="306"/>
      <c r="BG87" s="307">
        <f t="shared" si="50"/>
        <v>21000</v>
      </c>
      <c r="BH87" s="307">
        <f t="shared" si="51"/>
        <v>33000</v>
      </c>
      <c r="BI87" s="307">
        <f t="shared" si="52"/>
        <v>75000</v>
      </c>
      <c r="BJ87" s="307">
        <f t="shared" si="53"/>
        <v>95000</v>
      </c>
      <c r="BK87" s="307">
        <f t="shared" si="54"/>
        <v>336000</v>
      </c>
      <c r="BL87" s="307">
        <f t="shared" si="55"/>
        <v>327498.6784</v>
      </c>
      <c r="BM87" s="305">
        <f t="shared" si="56"/>
        <v>887498.6784</v>
      </c>
      <c r="BN87" s="320">
        <f t="shared" si="57"/>
        <v>59557.2228333333</v>
      </c>
      <c r="BO87" s="321">
        <f t="shared" si="58"/>
        <v>887498.6784</v>
      </c>
      <c r="BP87" s="322">
        <f t="shared" si="59"/>
        <v>73958.2232</v>
      </c>
      <c r="BQ87" s="323"/>
      <c r="BR87" s="324"/>
      <c r="BS87" s="325"/>
      <c r="BT87" s="326"/>
      <c r="BU87" s="326"/>
      <c r="BV87" s="334"/>
      <c r="BW87" s="335"/>
    </row>
    <row r="88" s="245" customFormat="1" ht="187" customHeight="1" spans="1:75">
      <c r="A88" s="255">
        <v>78</v>
      </c>
      <c r="B88" s="70" t="s">
        <v>332</v>
      </c>
      <c r="C88" s="129" t="s">
        <v>2044</v>
      </c>
      <c r="D88" s="129" t="s">
        <v>333</v>
      </c>
      <c r="E88" s="256" t="s">
        <v>259</v>
      </c>
      <c r="F88" s="256">
        <v>6230686439</v>
      </c>
      <c r="G88" s="257">
        <v>3804852</v>
      </c>
      <c r="H88" s="258">
        <f t="shared" si="46"/>
        <v>317071</v>
      </c>
      <c r="I88" s="258">
        <f t="shared" si="44"/>
        <v>36991.6166666667</v>
      </c>
      <c r="J88" s="258">
        <v>6666.67</v>
      </c>
      <c r="K88" s="258"/>
      <c r="L88" s="258"/>
      <c r="M88" s="258">
        <v>2500</v>
      </c>
      <c r="N88" s="258"/>
      <c r="O88" s="258"/>
      <c r="P88" s="258"/>
      <c r="Q88" s="258"/>
      <c r="R88" s="258"/>
      <c r="S88" s="258"/>
      <c r="T88" s="258"/>
      <c r="U88" s="258">
        <v>383.33</v>
      </c>
      <c r="V88" s="258"/>
      <c r="W88" s="265"/>
      <c r="X88" s="258"/>
      <c r="Y88" s="258"/>
      <c r="Z88" s="258"/>
      <c r="AA88" s="258"/>
      <c r="AB88" s="258"/>
      <c r="AC88" s="258"/>
      <c r="AD88" s="270"/>
      <c r="AE88" s="258"/>
      <c r="AF88" s="258"/>
      <c r="AG88" s="270">
        <f t="shared" si="14"/>
        <v>6341.42</v>
      </c>
      <c r="AH88" s="270"/>
      <c r="AI88" s="278"/>
      <c r="AJ88" s="280"/>
      <c r="AK88" s="280"/>
      <c r="AL88" s="280"/>
      <c r="AM88" s="281"/>
      <c r="AN88" s="258"/>
      <c r="AO88" s="299">
        <v>2000</v>
      </c>
      <c r="AP88" s="299"/>
      <c r="AQ88" s="299"/>
      <c r="AR88" s="299">
        <f t="shared" si="15"/>
        <v>7272.25233333333</v>
      </c>
      <c r="AS88" s="300"/>
      <c r="AT88" s="300"/>
      <c r="AU88" s="299">
        <f t="shared" si="45"/>
        <v>48480.2890666667</v>
      </c>
      <c r="AV88" s="299">
        <f>W88+V88+U88+N88+M88+K88+J88+I88+H88</f>
        <v>363612.616666667</v>
      </c>
      <c r="AW88" s="299">
        <f>AU88+AR88+AQ88+AO88+AN88+AM88+AK88+AI88+AH88+AG88+AF88+AE88+AD88</f>
        <v>64093.9614</v>
      </c>
      <c r="AX88" s="299"/>
      <c r="AY88" s="299"/>
      <c r="AZ88" s="299">
        <f t="shared" si="61"/>
        <v>299518.655266667</v>
      </c>
      <c r="BA88" s="305">
        <f t="shared" si="62"/>
        <v>4363351.4</v>
      </c>
      <c r="BB88" s="306">
        <f t="shared" si="47"/>
        <v>1072670.28</v>
      </c>
      <c r="BC88" s="307">
        <f t="shared" si="63"/>
        <v>0</v>
      </c>
      <c r="BD88" s="308">
        <f t="shared" si="48"/>
        <v>1072670.28</v>
      </c>
      <c r="BE88" s="313">
        <f t="shared" si="49"/>
        <v>3290681.12</v>
      </c>
      <c r="BF88" s="306"/>
      <c r="BG88" s="307">
        <f t="shared" si="50"/>
        <v>21000</v>
      </c>
      <c r="BH88" s="307">
        <f t="shared" si="51"/>
        <v>33000</v>
      </c>
      <c r="BI88" s="307">
        <f t="shared" si="52"/>
        <v>75000</v>
      </c>
      <c r="BJ88" s="307">
        <f t="shared" si="53"/>
        <v>95000</v>
      </c>
      <c r="BK88" s="307">
        <f t="shared" si="54"/>
        <v>336000</v>
      </c>
      <c r="BL88" s="307">
        <f t="shared" si="55"/>
        <v>21763.4687999999</v>
      </c>
      <c r="BM88" s="305">
        <f t="shared" si="56"/>
        <v>581763.4688</v>
      </c>
      <c r="BN88" s="320">
        <f t="shared" si="57"/>
        <v>43633.514</v>
      </c>
      <c r="BO88" s="321">
        <f t="shared" si="58"/>
        <v>581763.4688</v>
      </c>
      <c r="BP88" s="322">
        <f t="shared" si="59"/>
        <v>48480.2890666667</v>
      </c>
      <c r="BQ88" s="323"/>
      <c r="BR88" s="324"/>
      <c r="BS88" s="325"/>
      <c r="BT88" s="326"/>
      <c r="BU88" s="326"/>
      <c r="BV88" s="334"/>
      <c r="BW88" s="335"/>
    </row>
    <row r="89" s="245" customFormat="1" ht="172.5" customHeight="1" spans="1:75">
      <c r="A89" s="255">
        <v>79</v>
      </c>
      <c r="B89" s="70" t="s">
        <v>334</v>
      </c>
      <c r="C89" s="129" t="s">
        <v>2045</v>
      </c>
      <c r="D89" s="129" t="s">
        <v>246</v>
      </c>
      <c r="E89" s="256" t="s">
        <v>135</v>
      </c>
      <c r="F89" s="1469" t="s">
        <v>336</v>
      </c>
      <c r="G89" s="257">
        <v>4327636</v>
      </c>
      <c r="H89" s="258">
        <f t="shared" si="46"/>
        <v>360636.333333333</v>
      </c>
      <c r="I89" s="258">
        <f t="shared" si="44"/>
        <v>42074.2388888889</v>
      </c>
      <c r="J89" s="258">
        <v>6666.67</v>
      </c>
      <c r="K89" s="258">
        <v>41667</v>
      </c>
      <c r="L89" s="258"/>
      <c r="M89" s="258">
        <v>2500</v>
      </c>
      <c r="N89" s="258"/>
      <c r="O89" s="258"/>
      <c r="P89" s="258"/>
      <c r="Q89" s="258"/>
      <c r="R89" s="258"/>
      <c r="S89" s="258"/>
      <c r="T89" s="258"/>
      <c r="U89" s="258">
        <v>383.33</v>
      </c>
      <c r="V89" s="258"/>
      <c r="W89" s="265"/>
      <c r="X89" s="258"/>
      <c r="Y89" s="258"/>
      <c r="Z89" s="258"/>
      <c r="AA89" s="258"/>
      <c r="AB89" s="258"/>
      <c r="AC89" s="258"/>
      <c r="AD89" s="270"/>
      <c r="AE89" s="258"/>
      <c r="AF89" s="258"/>
      <c r="AG89" s="270">
        <f t="shared" si="14"/>
        <v>7212.72666666667</v>
      </c>
      <c r="AH89" s="270"/>
      <c r="AI89" s="278"/>
      <c r="AJ89" s="280"/>
      <c r="AK89" s="280"/>
      <c r="AL89" s="284">
        <v>1000</v>
      </c>
      <c r="AM89" s="281"/>
      <c r="AN89" s="258">
        <v>15000</v>
      </c>
      <c r="AO89" s="299">
        <v>2500</v>
      </c>
      <c r="AP89" s="299"/>
      <c r="AQ89" s="299"/>
      <c r="AR89" s="299">
        <f t="shared" si="15"/>
        <v>9078.55144444445</v>
      </c>
      <c r="AS89" s="300"/>
      <c r="AT89" s="300"/>
      <c r="AU89" s="299">
        <f t="shared" si="45"/>
        <v>65820.7605333333</v>
      </c>
      <c r="AV89" s="299">
        <f>V89+U89+N89+M89+K89+J89+I89+H89</f>
        <v>453927.572222222</v>
      </c>
      <c r="AW89" s="299">
        <f>AU89+AR89+AQ89+AO89+AN89+AM89+AK89+AI89+AH89+AG89+AF89+AE89+AD89+AL89</f>
        <v>100612.038644444</v>
      </c>
      <c r="AX89" s="299"/>
      <c r="AY89" s="299"/>
      <c r="AZ89" s="299">
        <f t="shared" si="61"/>
        <v>353315.533577778</v>
      </c>
      <c r="BA89" s="305">
        <f t="shared" si="62"/>
        <v>5447130.86666667</v>
      </c>
      <c r="BB89" s="306">
        <f t="shared" si="47"/>
        <v>1289426.17333333</v>
      </c>
      <c r="BC89" s="307">
        <f t="shared" si="63"/>
        <v>0</v>
      </c>
      <c r="BD89" s="308">
        <f t="shared" si="48"/>
        <v>1289426.17333333</v>
      </c>
      <c r="BE89" s="313">
        <f t="shared" si="49"/>
        <v>4157704.69333333</v>
      </c>
      <c r="BF89" s="306"/>
      <c r="BG89" s="307">
        <f t="shared" si="50"/>
        <v>21000</v>
      </c>
      <c r="BH89" s="307">
        <f t="shared" si="51"/>
        <v>33000</v>
      </c>
      <c r="BI89" s="307">
        <f t="shared" si="52"/>
        <v>75000</v>
      </c>
      <c r="BJ89" s="307">
        <f t="shared" si="53"/>
        <v>95000</v>
      </c>
      <c r="BK89" s="307">
        <f t="shared" si="54"/>
        <v>336000</v>
      </c>
      <c r="BL89" s="307">
        <f t="shared" si="55"/>
        <v>229849.1264</v>
      </c>
      <c r="BM89" s="305">
        <f t="shared" si="56"/>
        <v>789849.1264</v>
      </c>
      <c r="BN89" s="320">
        <f t="shared" si="57"/>
        <v>54471.3086666667</v>
      </c>
      <c r="BO89" s="321">
        <f t="shared" si="58"/>
        <v>789849.1264</v>
      </c>
      <c r="BP89" s="322">
        <f t="shared" si="59"/>
        <v>65820.7605333333</v>
      </c>
      <c r="BQ89" s="323"/>
      <c r="BR89" s="324"/>
      <c r="BS89" s="325"/>
      <c r="BT89" s="326"/>
      <c r="BU89" s="326"/>
      <c r="BV89" s="334"/>
      <c r="BW89" s="335"/>
    </row>
    <row r="90" s="245" customFormat="1" ht="172.5" customHeight="1" spans="1:75">
      <c r="A90" s="255">
        <v>80</v>
      </c>
      <c r="B90" s="70" t="s">
        <v>337</v>
      </c>
      <c r="C90" s="129" t="s">
        <v>143</v>
      </c>
      <c r="D90" s="129" t="s">
        <v>276</v>
      </c>
      <c r="E90" s="256" t="s">
        <v>93</v>
      </c>
      <c r="F90" s="256">
        <v>2022988252</v>
      </c>
      <c r="G90" s="257">
        <v>3679250</v>
      </c>
      <c r="H90" s="258">
        <f t="shared" si="46"/>
        <v>306604.166666667</v>
      </c>
      <c r="I90" s="258">
        <f t="shared" si="44"/>
        <v>35770.4861111111</v>
      </c>
      <c r="J90" s="258">
        <f>6666.67</f>
        <v>6666.67</v>
      </c>
      <c r="K90" s="258">
        <v>20833.33</v>
      </c>
      <c r="L90" s="258"/>
      <c r="M90" s="258">
        <f>2500</f>
        <v>2500</v>
      </c>
      <c r="N90" s="258"/>
      <c r="O90" s="258"/>
      <c r="P90" s="258"/>
      <c r="Q90" s="258"/>
      <c r="R90" s="258"/>
      <c r="S90" s="258"/>
      <c r="T90" s="258"/>
      <c r="U90" s="258">
        <f>383.33</f>
        <v>383.33</v>
      </c>
      <c r="V90" s="258"/>
      <c r="W90" s="265"/>
      <c r="X90" s="258"/>
      <c r="Y90" s="258"/>
      <c r="Z90" s="258"/>
      <c r="AA90" s="258"/>
      <c r="AB90" s="258"/>
      <c r="AC90" s="258"/>
      <c r="AD90" s="270"/>
      <c r="AE90" s="258"/>
      <c r="AF90" s="258"/>
      <c r="AG90" s="270">
        <f t="shared" ref="AG90:AG153" si="64">H90*0.02</f>
        <v>6132.08333333333</v>
      </c>
      <c r="AH90" s="270"/>
      <c r="AI90" s="282">
        <v>1000</v>
      </c>
      <c r="AJ90" s="279"/>
      <c r="AK90" s="279"/>
      <c r="AL90" s="279"/>
      <c r="AM90" s="281">
        <v>20000</v>
      </c>
      <c r="AN90" s="258">
        <v>8333.33</v>
      </c>
      <c r="AO90" s="299">
        <v>2000</v>
      </c>
      <c r="AP90" s="299"/>
      <c r="AQ90" s="299"/>
      <c r="AR90" s="299">
        <f t="shared" ref="AR90:AR153" si="65">AV90*0.02</f>
        <v>7455.15965555556</v>
      </c>
      <c r="AS90" s="300"/>
      <c r="AT90" s="300"/>
      <c r="AU90" s="299">
        <f t="shared" si="45"/>
        <v>50236.19936</v>
      </c>
      <c r="AV90" s="299">
        <f>W90+V90+U90+N90+M90+K90+J90+I90+H90</f>
        <v>372757.982777778</v>
      </c>
      <c r="AW90" s="299">
        <f>AU90+AR90+AQ90+AO90+AN90+AM90+AK90+AI90+AH90+AG90+AF90+AE90+AD90</f>
        <v>95156.7723488889</v>
      </c>
      <c r="AX90" s="299"/>
      <c r="AY90" s="299"/>
      <c r="AZ90" s="299">
        <f t="shared" si="61"/>
        <v>277601.210428889</v>
      </c>
      <c r="BA90" s="305">
        <f t="shared" si="62"/>
        <v>4473095.79333333</v>
      </c>
      <c r="BB90" s="306">
        <f t="shared" si="47"/>
        <v>1094619.15866667</v>
      </c>
      <c r="BC90" s="307">
        <f t="shared" si="63"/>
        <v>0</v>
      </c>
      <c r="BD90" s="308">
        <f t="shared" si="48"/>
        <v>1094619.15866667</v>
      </c>
      <c r="BE90" s="313">
        <f t="shared" si="49"/>
        <v>3378476.63466667</v>
      </c>
      <c r="BF90" s="306"/>
      <c r="BG90" s="307">
        <f t="shared" si="50"/>
        <v>21000</v>
      </c>
      <c r="BH90" s="307">
        <f t="shared" si="51"/>
        <v>33000</v>
      </c>
      <c r="BI90" s="307">
        <f t="shared" si="52"/>
        <v>75000</v>
      </c>
      <c r="BJ90" s="307">
        <f t="shared" si="53"/>
        <v>95000</v>
      </c>
      <c r="BK90" s="307">
        <f t="shared" si="54"/>
        <v>336000</v>
      </c>
      <c r="BL90" s="307">
        <f t="shared" si="55"/>
        <v>42834.3923200002</v>
      </c>
      <c r="BM90" s="305">
        <f t="shared" si="56"/>
        <v>602834.39232</v>
      </c>
      <c r="BN90" s="320">
        <f t="shared" si="57"/>
        <v>44730.9579333333</v>
      </c>
      <c r="BO90" s="321">
        <f t="shared" si="58"/>
        <v>602834.39232</v>
      </c>
      <c r="BP90" s="322">
        <f t="shared" si="59"/>
        <v>50236.19936</v>
      </c>
      <c r="BQ90" s="323"/>
      <c r="BR90" s="324"/>
      <c r="BS90" s="325"/>
      <c r="BT90" s="326"/>
      <c r="BU90" s="326"/>
      <c r="BV90" s="334"/>
      <c r="BW90" s="335"/>
    </row>
    <row r="91" s="245" customFormat="1" ht="172.5" customHeight="1" spans="1:75">
      <c r="A91" s="255">
        <v>81</v>
      </c>
      <c r="B91" s="70" t="s">
        <v>2046</v>
      </c>
      <c r="C91" s="129" t="s">
        <v>2047</v>
      </c>
      <c r="D91" s="129" t="s">
        <v>223</v>
      </c>
      <c r="E91" s="256" t="s">
        <v>127</v>
      </c>
      <c r="F91" s="1469" t="s">
        <v>2048</v>
      </c>
      <c r="G91" s="257">
        <f>H91*12</f>
        <v>4631271.96</v>
      </c>
      <c r="H91" s="258">
        <v>385939.33</v>
      </c>
      <c r="I91" s="258">
        <f t="shared" si="44"/>
        <v>45026.2551666667</v>
      </c>
      <c r="J91" s="258">
        <f>6666.67</f>
        <v>6666.67</v>
      </c>
      <c r="K91" s="258">
        <v>20833.33</v>
      </c>
      <c r="L91" s="258"/>
      <c r="M91" s="258">
        <v>2500</v>
      </c>
      <c r="N91" s="258"/>
      <c r="O91" s="258"/>
      <c r="P91" s="258"/>
      <c r="Q91" s="258"/>
      <c r="R91" s="258"/>
      <c r="S91" s="258"/>
      <c r="T91" s="258"/>
      <c r="U91" s="258">
        <f>U90</f>
        <v>383.33</v>
      </c>
      <c r="V91" s="258"/>
      <c r="W91" s="265"/>
      <c r="X91" s="258"/>
      <c r="Y91" s="258"/>
      <c r="Z91" s="258"/>
      <c r="AA91" s="258"/>
      <c r="AB91" s="258"/>
      <c r="AC91" s="258"/>
      <c r="AD91" s="270"/>
      <c r="AE91" s="258"/>
      <c r="AF91" s="258"/>
      <c r="AG91" s="270">
        <f t="shared" si="64"/>
        <v>7718.7866</v>
      </c>
      <c r="AH91" s="270"/>
      <c r="AI91" s="278"/>
      <c r="AJ91" s="280"/>
      <c r="AK91" s="280"/>
      <c r="AL91" s="280"/>
      <c r="AM91" s="281"/>
      <c r="AN91" s="258"/>
      <c r="AO91" s="299">
        <v>2500</v>
      </c>
      <c r="AP91" s="299"/>
      <c r="AQ91" s="299"/>
      <c r="AR91" s="299">
        <f t="shared" si="65"/>
        <v>9226.97830333333</v>
      </c>
      <c r="AS91" s="300"/>
      <c r="AT91" s="300"/>
      <c r="AU91" s="299">
        <f t="shared" si="45"/>
        <v>67245.6583786667</v>
      </c>
      <c r="AV91" s="299">
        <f>W91+V91+U91+N91+M91+K91+J91+I91+H91</f>
        <v>461348.915166667</v>
      </c>
      <c r="AW91" s="299">
        <f>AU91+AR91+AQ91+AO91+AN91+AM91+AK91+AI91+AH91+AG91+AF91+AE91+AD91</f>
        <v>86691.423282</v>
      </c>
      <c r="AX91" s="299"/>
      <c r="AY91" s="299"/>
      <c r="AZ91" s="299">
        <f t="shared" si="61"/>
        <v>374657.491884667</v>
      </c>
      <c r="BA91" s="305">
        <f t="shared" si="62"/>
        <v>5536186.982</v>
      </c>
      <c r="BB91" s="306">
        <f t="shared" si="47"/>
        <v>1307237.3964</v>
      </c>
      <c r="BC91" s="307">
        <f t="shared" si="63"/>
        <v>0</v>
      </c>
      <c r="BD91" s="308">
        <f t="shared" si="48"/>
        <v>1307237.3964</v>
      </c>
      <c r="BE91" s="313">
        <f t="shared" si="49"/>
        <v>4228949.5856</v>
      </c>
      <c r="BF91" s="306"/>
      <c r="BG91" s="307">
        <f t="shared" si="50"/>
        <v>21000</v>
      </c>
      <c r="BH91" s="307">
        <f t="shared" si="51"/>
        <v>33000</v>
      </c>
      <c r="BI91" s="307">
        <f t="shared" si="52"/>
        <v>75000</v>
      </c>
      <c r="BJ91" s="307">
        <f t="shared" si="53"/>
        <v>95000</v>
      </c>
      <c r="BK91" s="307">
        <f t="shared" si="54"/>
        <v>336000</v>
      </c>
      <c r="BL91" s="307">
        <f t="shared" si="55"/>
        <v>246947.900544</v>
      </c>
      <c r="BM91" s="305">
        <f t="shared" si="56"/>
        <v>806947.900544</v>
      </c>
      <c r="BN91" s="320">
        <f t="shared" si="57"/>
        <v>55361.86982</v>
      </c>
      <c r="BO91" s="321">
        <f t="shared" si="58"/>
        <v>806947.900544</v>
      </c>
      <c r="BP91" s="322">
        <f t="shared" si="59"/>
        <v>67245.6583786667</v>
      </c>
      <c r="BQ91" s="323"/>
      <c r="BR91" s="324"/>
      <c r="BS91" s="325"/>
      <c r="BT91" s="326"/>
      <c r="BU91" s="326"/>
      <c r="BV91" s="334"/>
      <c r="BW91" s="335"/>
    </row>
    <row r="92" s="245" customFormat="1" ht="175" customHeight="1" spans="1:75">
      <c r="A92" s="255">
        <v>82</v>
      </c>
      <c r="B92" s="70" t="s">
        <v>339</v>
      </c>
      <c r="C92" s="129" t="s">
        <v>340</v>
      </c>
      <c r="D92" s="129" t="s">
        <v>251</v>
      </c>
      <c r="E92" s="256" t="s">
        <v>135</v>
      </c>
      <c r="F92" s="1469" t="s">
        <v>341</v>
      </c>
      <c r="G92" s="257">
        <f>H92*12</f>
        <v>9356702.4</v>
      </c>
      <c r="H92" s="258">
        <f>H2</f>
        <v>779725.2</v>
      </c>
      <c r="I92" s="258">
        <f t="shared" ref="I92:I109" si="66">H92*0.35/3</f>
        <v>90967.94</v>
      </c>
      <c r="J92" s="258">
        <f>J2</f>
        <v>8333.33</v>
      </c>
      <c r="K92" s="258">
        <v>41667</v>
      </c>
      <c r="L92" s="258"/>
      <c r="M92" s="258">
        <v>2500</v>
      </c>
      <c r="N92" s="258"/>
      <c r="O92" s="258"/>
      <c r="P92" s="258"/>
      <c r="Q92" s="258"/>
      <c r="R92" s="258"/>
      <c r="S92" s="258"/>
      <c r="T92" s="258"/>
      <c r="U92" s="258">
        <v>383.33</v>
      </c>
      <c r="V92" s="258"/>
      <c r="W92" s="265"/>
      <c r="X92" s="258"/>
      <c r="Y92" s="258"/>
      <c r="Z92" s="258"/>
      <c r="AA92" s="258"/>
      <c r="AB92" s="258"/>
      <c r="AC92" s="258"/>
      <c r="AD92" s="270"/>
      <c r="AE92" s="258"/>
      <c r="AF92" s="258"/>
      <c r="AG92" s="270">
        <f t="shared" si="64"/>
        <v>15594.504</v>
      </c>
      <c r="AH92" s="270"/>
      <c r="AI92" s="282">
        <v>1000</v>
      </c>
      <c r="AJ92" s="279"/>
      <c r="AK92" s="279"/>
      <c r="AL92" s="279"/>
      <c r="AM92" s="281">
        <f>218333+17500</f>
        <v>235833</v>
      </c>
      <c r="AN92" s="258">
        <v>25000</v>
      </c>
      <c r="AO92" s="299">
        <v>3500</v>
      </c>
      <c r="AP92" s="299"/>
      <c r="AQ92" s="299"/>
      <c r="AR92" s="299">
        <f t="shared" si="65"/>
        <v>18471.536</v>
      </c>
      <c r="AS92" s="300"/>
      <c r="AT92" s="300"/>
      <c r="AU92" s="299">
        <f t="shared" si="45"/>
        <v>155993.412266667</v>
      </c>
      <c r="AV92" s="299">
        <f>W92+V92+U92+N92+M92+K92+J92+I92+H92</f>
        <v>923576.8</v>
      </c>
      <c r="AW92" s="299">
        <f>AU92+AR92+AQ92+AO92+AN92+AM92+AK92+AI92+AH92+AG92+AF92+AE92+AD92</f>
        <v>455392.452266667</v>
      </c>
      <c r="AX92" s="299"/>
      <c r="AY92" s="299"/>
      <c r="AZ92" s="299">
        <f t="shared" si="61"/>
        <v>468184.347733333</v>
      </c>
      <c r="BA92" s="305">
        <f t="shared" si="62"/>
        <v>11082921.6</v>
      </c>
      <c r="BB92" s="306">
        <f t="shared" si="47"/>
        <v>2416584.32</v>
      </c>
      <c r="BC92" s="307">
        <f t="shared" si="63"/>
        <v>0</v>
      </c>
      <c r="BD92" s="308">
        <f t="shared" si="48"/>
        <v>2416584.32</v>
      </c>
      <c r="BE92" s="313">
        <f t="shared" si="49"/>
        <v>8666337.28</v>
      </c>
      <c r="BF92" s="306"/>
      <c r="BG92" s="307">
        <f t="shared" si="50"/>
        <v>21000</v>
      </c>
      <c r="BH92" s="307">
        <f t="shared" si="51"/>
        <v>33000</v>
      </c>
      <c r="BI92" s="307">
        <f t="shared" si="52"/>
        <v>75000</v>
      </c>
      <c r="BJ92" s="307">
        <f t="shared" si="53"/>
        <v>95000</v>
      </c>
      <c r="BK92" s="307">
        <f t="shared" si="54"/>
        <v>336000</v>
      </c>
      <c r="BL92" s="307">
        <f t="shared" si="55"/>
        <v>1311920.9472</v>
      </c>
      <c r="BM92" s="305">
        <f t="shared" si="56"/>
        <v>1871920.9472</v>
      </c>
      <c r="BN92" s="320">
        <f t="shared" si="57"/>
        <v>110829.216</v>
      </c>
      <c r="BO92" s="321">
        <f t="shared" si="58"/>
        <v>1871920.9472</v>
      </c>
      <c r="BP92" s="322">
        <f t="shared" si="59"/>
        <v>155993.412266667</v>
      </c>
      <c r="BQ92" s="323"/>
      <c r="BR92" s="324"/>
      <c r="BS92" s="325"/>
      <c r="BT92" s="326"/>
      <c r="BU92" s="326"/>
      <c r="BV92" s="334"/>
      <c r="BW92" s="335"/>
    </row>
    <row r="93" s="245" customFormat="1" ht="172.5" customHeight="1" spans="1:75">
      <c r="A93" s="255">
        <v>83</v>
      </c>
      <c r="B93" s="70" t="s">
        <v>345</v>
      </c>
      <c r="C93" s="129" t="s">
        <v>138</v>
      </c>
      <c r="D93" s="129" t="s">
        <v>223</v>
      </c>
      <c r="E93" s="256" t="s">
        <v>127</v>
      </c>
      <c r="F93" s="1469" t="s">
        <v>348</v>
      </c>
      <c r="G93" s="257">
        <v>4631272</v>
      </c>
      <c r="H93" s="258">
        <f t="shared" ref="H93:H99" si="67">G93/12</f>
        <v>385939.333333333</v>
      </c>
      <c r="I93" s="258">
        <f t="shared" si="66"/>
        <v>45026.2555555556</v>
      </c>
      <c r="J93" s="258">
        <v>6666.67</v>
      </c>
      <c r="K93" s="258">
        <f>K64</f>
        <v>20833.33</v>
      </c>
      <c r="L93" s="258"/>
      <c r="M93" s="258">
        <v>2500</v>
      </c>
      <c r="N93" s="258"/>
      <c r="O93" s="258"/>
      <c r="P93" s="258"/>
      <c r="Q93" s="258"/>
      <c r="R93" s="258"/>
      <c r="S93" s="258"/>
      <c r="T93" s="258"/>
      <c r="U93" s="258">
        <v>383.33</v>
      </c>
      <c r="V93" s="258"/>
      <c r="W93" s="265"/>
      <c r="X93" s="258"/>
      <c r="Y93" s="258"/>
      <c r="Z93" s="258"/>
      <c r="AA93" s="258"/>
      <c r="AB93" s="258"/>
      <c r="AC93" s="258"/>
      <c r="AD93" s="270"/>
      <c r="AE93" s="258"/>
      <c r="AF93" s="258"/>
      <c r="AG93" s="270">
        <f t="shared" si="64"/>
        <v>7718.78666666667</v>
      </c>
      <c r="AH93" s="270"/>
      <c r="AI93" s="278"/>
      <c r="AJ93" s="280"/>
      <c r="AK93" s="280"/>
      <c r="AL93" s="284">
        <v>1000</v>
      </c>
      <c r="AM93" s="281">
        <f>25000+26250+22292</f>
        <v>73542</v>
      </c>
      <c r="AN93" s="258">
        <v>25000</v>
      </c>
      <c r="AO93" s="299">
        <v>2500</v>
      </c>
      <c r="AP93" s="299"/>
      <c r="AQ93" s="299"/>
      <c r="AR93" s="299">
        <f t="shared" si="65"/>
        <v>9226.97837777778</v>
      </c>
      <c r="AS93" s="300"/>
      <c r="AT93" s="300"/>
      <c r="AU93" s="299">
        <f t="shared" si="45"/>
        <v>67245.6590933333</v>
      </c>
      <c r="AV93" s="299">
        <f>V93+U93+N93+M93+K93+J93+I93+H93</f>
        <v>461348.918888889</v>
      </c>
      <c r="AW93" s="299">
        <f>AU93+AR93+AO93+AM93+AN93+AL93+AG93</f>
        <v>186233.424137778</v>
      </c>
      <c r="AX93" s="299"/>
      <c r="AY93" s="299"/>
      <c r="AZ93" s="299">
        <f t="shared" si="61"/>
        <v>275115.494751111</v>
      </c>
      <c r="BA93" s="305">
        <f t="shared" si="62"/>
        <v>5536187.02666667</v>
      </c>
      <c r="BB93" s="306">
        <f t="shared" si="47"/>
        <v>1307237.40533333</v>
      </c>
      <c r="BC93" s="307">
        <f t="shared" si="63"/>
        <v>0</v>
      </c>
      <c r="BD93" s="308">
        <f t="shared" si="48"/>
        <v>1307237.40533333</v>
      </c>
      <c r="BE93" s="313">
        <f t="shared" si="49"/>
        <v>4228949.62133333</v>
      </c>
      <c r="BF93" s="306"/>
      <c r="BG93" s="307">
        <f t="shared" si="50"/>
        <v>21000</v>
      </c>
      <c r="BH93" s="307">
        <f t="shared" si="51"/>
        <v>33000</v>
      </c>
      <c r="BI93" s="307">
        <f t="shared" si="52"/>
        <v>75000</v>
      </c>
      <c r="BJ93" s="307">
        <f t="shared" si="53"/>
        <v>95000</v>
      </c>
      <c r="BK93" s="307">
        <f t="shared" si="54"/>
        <v>336000</v>
      </c>
      <c r="BL93" s="307">
        <f t="shared" si="55"/>
        <v>246947.90912</v>
      </c>
      <c r="BM93" s="305">
        <f t="shared" si="56"/>
        <v>806947.90912</v>
      </c>
      <c r="BN93" s="320">
        <f t="shared" si="57"/>
        <v>55361.8702666667</v>
      </c>
      <c r="BO93" s="321">
        <f t="shared" si="58"/>
        <v>806947.90912</v>
      </c>
      <c r="BP93" s="322">
        <f t="shared" si="59"/>
        <v>67245.6590933333</v>
      </c>
      <c r="BQ93" s="323"/>
      <c r="BR93" s="324"/>
      <c r="BS93" s="325"/>
      <c r="BT93" s="326"/>
      <c r="BU93" s="326"/>
      <c r="BV93" s="334"/>
      <c r="BW93" s="335"/>
    </row>
    <row r="94" s="245" customFormat="1" ht="172.5" customHeight="1" spans="1:75">
      <c r="A94" s="255">
        <v>84</v>
      </c>
      <c r="B94" s="70" t="s">
        <v>349</v>
      </c>
      <c r="C94" s="129" t="s">
        <v>130</v>
      </c>
      <c r="D94" s="129" t="s">
        <v>272</v>
      </c>
      <c r="E94" s="256" t="s">
        <v>135</v>
      </c>
      <c r="F94" s="1469" t="s">
        <v>350</v>
      </c>
      <c r="G94" s="257">
        <f>H94*12</f>
        <v>2600486</v>
      </c>
      <c r="H94" s="258">
        <f>H69</f>
        <v>216707.166666667</v>
      </c>
      <c r="I94" s="258">
        <f t="shared" si="66"/>
        <v>25282.5027777778</v>
      </c>
      <c r="J94" s="258">
        <v>5000</v>
      </c>
      <c r="K94" s="258"/>
      <c r="L94" s="258"/>
      <c r="M94" s="258">
        <v>2500</v>
      </c>
      <c r="N94" s="258"/>
      <c r="O94" s="258"/>
      <c r="P94" s="258"/>
      <c r="Q94" s="258"/>
      <c r="R94" s="258"/>
      <c r="S94" s="258"/>
      <c r="T94" s="258"/>
      <c r="U94" s="258">
        <v>383.33</v>
      </c>
      <c r="V94" s="258"/>
      <c r="W94" s="265"/>
      <c r="X94" s="258"/>
      <c r="Y94" s="258"/>
      <c r="Z94" s="258"/>
      <c r="AA94" s="258"/>
      <c r="AB94" s="258"/>
      <c r="AC94" s="258"/>
      <c r="AD94" s="270"/>
      <c r="AE94" s="258"/>
      <c r="AF94" s="258">
        <v>4750</v>
      </c>
      <c r="AG94" s="270">
        <f t="shared" si="64"/>
        <v>4334.14333333333</v>
      </c>
      <c r="AH94" s="270"/>
      <c r="AI94" s="278"/>
      <c r="AJ94" s="279">
        <v>1000</v>
      </c>
      <c r="AK94" s="280"/>
      <c r="AL94" s="280"/>
      <c r="AM94" s="281"/>
      <c r="AN94" s="258"/>
      <c r="AO94" s="299">
        <v>1500</v>
      </c>
      <c r="AP94" s="299"/>
      <c r="AQ94" s="299"/>
      <c r="AR94" s="299">
        <f t="shared" si="65"/>
        <v>4997.45998888889</v>
      </c>
      <c r="AS94" s="300"/>
      <c r="AT94" s="300"/>
      <c r="AU94" s="299">
        <f t="shared" si="45"/>
        <v>29145.3305733333</v>
      </c>
      <c r="AV94" s="299">
        <f>W94+V94+U94+N94+M94+K94+J94+I94+H94</f>
        <v>249872.999444444</v>
      </c>
      <c r="AW94" s="299">
        <f>AU94+AR94+AQ94+AO94+AN94+AM94+AK94+AI94+AH94+AG94+AF94+AE94+AD94+AJ94</f>
        <v>45726.9338955556</v>
      </c>
      <c r="AX94" s="299"/>
      <c r="AY94" s="299"/>
      <c r="AZ94" s="299">
        <f t="shared" si="61"/>
        <v>204146.065548889</v>
      </c>
      <c r="BA94" s="305">
        <f t="shared" si="62"/>
        <v>2998475.99333333</v>
      </c>
      <c r="BB94" s="306">
        <f t="shared" si="47"/>
        <v>799695.198666667</v>
      </c>
      <c r="BC94" s="307">
        <f t="shared" si="63"/>
        <v>0</v>
      </c>
      <c r="BD94" s="308">
        <f t="shared" si="48"/>
        <v>799695.198666667</v>
      </c>
      <c r="BE94" s="313">
        <f t="shared" si="49"/>
        <v>2198780.79466667</v>
      </c>
      <c r="BF94" s="306"/>
      <c r="BG94" s="307">
        <f t="shared" si="50"/>
        <v>21000</v>
      </c>
      <c r="BH94" s="307">
        <f t="shared" si="51"/>
        <v>33000</v>
      </c>
      <c r="BI94" s="307">
        <f t="shared" si="52"/>
        <v>75000</v>
      </c>
      <c r="BJ94" s="307">
        <f t="shared" si="53"/>
        <v>95000</v>
      </c>
      <c r="BK94" s="307">
        <f t="shared" si="54"/>
        <v>125743.96688</v>
      </c>
      <c r="BL94" s="307" t="str">
        <f t="shared" si="55"/>
        <v/>
      </c>
      <c r="BM94" s="305">
        <f t="shared" si="56"/>
        <v>349743.96688</v>
      </c>
      <c r="BN94" s="320">
        <f t="shared" si="57"/>
        <v>29984.7599333333</v>
      </c>
      <c r="BO94" s="321">
        <f t="shared" si="58"/>
        <v>349743.96688</v>
      </c>
      <c r="BP94" s="322">
        <f t="shared" si="59"/>
        <v>29145.3305733333</v>
      </c>
      <c r="BQ94" s="323"/>
      <c r="BR94" s="324"/>
      <c r="BS94" s="325"/>
      <c r="BT94" s="326"/>
      <c r="BU94" s="326"/>
      <c r="BV94" s="334"/>
      <c r="BW94" s="335"/>
    </row>
    <row r="95" s="245" customFormat="1" ht="177" customHeight="1" spans="1:75">
      <c r="A95" s="255">
        <v>85</v>
      </c>
      <c r="B95" s="70" t="s">
        <v>351</v>
      </c>
      <c r="C95" s="129" t="s">
        <v>352</v>
      </c>
      <c r="D95" s="129" t="s">
        <v>353</v>
      </c>
      <c r="E95" s="256" t="s">
        <v>354</v>
      </c>
      <c r="F95" s="256">
        <v>6016293250</v>
      </c>
      <c r="G95" s="257">
        <v>1691938</v>
      </c>
      <c r="H95" s="258">
        <f t="shared" si="67"/>
        <v>140994.833333333</v>
      </c>
      <c r="I95" s="258">
        <f t="shared" si="66"/>
        <v>16449.3972222222</v>
      </c>
      <c r="J95" s="258">
        <v>5000</v>
      </c>
      <c r="K95" s="258"/>
      <c r="L95" s="258"/>
      <c r="M95" s="258">
        <v>2500</v>
      </c>
      <c r="N95" s="258"/>
      <c r="O95" s="258"/>
      <c r="P95" s="258"/>
      <c r="Q95" s="258"/>
      <c r="R95" s="258"/>
      <c r="S95" s="258"/>
      <c r="T95" s="258"/>
      <c r="U95" s="258">
        <v>383.33</v>
      </c>
      <c r="V95" s="258"/>
      <c r="W95" s="265"/>
      <c r="X95" s="258"/>
      <c r="Y95" s="258"/>
      <c r="Z95" s="258"/>
      <c r="AA95" s="258"/>
      <c r="AB95" s="258"/>
      <c r="AC95" s="258"/>
      <c r="AD95" s="270"/>
      <c r="AE95" s="258"/>
      <c r="AF95" s="258">
        <v>500</v>
      </c>
      <c r="AG95" s="270">
        <f t="shared" si="64"/>
        <v>2819.89666666667</v>
      </c>
      <c r="AH95" s="270"/>
      <c r="AI95" s="278"/>
      <c r="AJ95" s="280"/>
      <c r="AK95" s="280"/>
      <c r="AL95" s="280"/>
      <c r="AM95" s="281">
        <v>10000</v>
      </c>
      <c r="AN95" s="258">
        <v>10000</v>
      </c>
      <c r="AO95" s="299">
        <v>1000</v>
      </c>
      <c r="AP95" s="299"/>
      <c r="AQ95" s="299"/>
      <c r="AR95" s="299">
        <f t="shared" si="65"/>
        <v>3306.55121111111</v>
      </c>
      <c r="AS95" s="300"/>
      <c r="AT95" s="300"/>
      <c r="AU95" s="299">
        <f t="shared" si="45"/>
        <v>15296.4558711111</v>
      </c>
      <c r="AV95" s="299">
        <f>W95+V95+U95+N95+M95+K95+J95+I95+H95</f>
        <v>165327.560555556</v>
      </c>
      <c r="AW95" s="299">
        <f>AU95+AR95+AQ95+AO95+AN95+AM95+AK95+AI95+AH95+AG95+AF95+AE95+AD95</f>
        <v>42922.9037488889</v>
      </c>
      <c r="AX95" s="299"/>
      <c r="AY95" s="299"/>
      <c r="AZ95" s="299">
        <f t="shared" si="61"/>
        <v>122404.656806667</v>
      </c>
      <c r="BA95" s="305">
        <f t="shared" si="62"/>
        <v>1983930.72666667</v>
      </c>
      <c r="BB95" s="306">
        <f t="shared" si="47"/>
        <v>596786.145333333</v>
      </c>
      <c r="BC95" s="307">
        <f t="shared" si="63"/>
        <v>0</v>
      </c>
      <c r="BD95" s="308">
        <f t="shared" si="48"/>
        <v>596786.145333333</v>
      </c>
      <c r="BE95" s="313">
        <f t="shared" si="49"/>
        <v>1387144.58133333</v>
      </c>
      <c r="BF95" s="306"/>
      <c r="BG95" s="307">
        <f t="shared" si="50"/>
        <v>21000</v>
      </c>
      <c r="BH95" s="307">
        <f t="shared" si="51"/>
        <v>33000</v>
      </c>
      <c r="BI95" s="307">
        <f t="shared" si="52"/>
        <v>75000</v>
      </c>
      <c r="BJ95" s="307">
        <f t="shared" si="53"/>
        <v>54557.4704533333</v>
      </c>
      <c r="BK95" s="307" t="str">
        <f t="shared" si="54"/>
        <v/>
      </c>
      <c r="BL95" s="307" t="str">
        <f t="shared" si="55"/>
        <v/>
      </c>
      <c r="BM95" s="305">
        <f t="shared" si="56"/>
        <v>183557.470453333</v>
      </c>
      <c r="BN95" s="320">
        <f t="shared" si="57"/>
        <v>19839.3072666667</v>
      </c>
      <c r="BO95" s="321">
        <f t="shared" si="58"/>
        <v>183557.470453333</v>
      </c>
      <c r="BP95" s="322">
        <f t="shared" si="59"/>
        <v>15296.4558711111</v>
      </c>
      <c r="BQ95" s="323"/>
      <c r="BR95" s="324"/>
      <c r="BS95" s="325"/>
      <c r="BT95" s="326"/>
      <c r="BU95" s="326"/>
      <c r="BV95" s="334"/>
      <c r="BW95" s="335"/>
    </row>
    <row r="96" s="245" customFormat="1" ht="172.5" customHeight="1" spans="1:75">
      <c r="A96" s="255">
        <v>86</v>
      </c>
      <c r="B96" s="70" t="s">
        <v>355</v>
      </c>
      <c r="C96" s="129" t="s">
        <v>130</v>
      </c>
      <c r="D96" s="129" t="s">
        <v>272</v>
      </c>
      <c r="E96" s="256" t="s">
        <v>135</v>
      </c>
      <c r="F96" s="1469" t="s">
        <v>356</v>
      </c>
      <c r="G96" s="257">
        <v>2600486</v>
      </c>
      <c r="H96" s="258">
        <f t="shared" si="67"/>
        <v>216707.166666667</v>
      </c>
      <c r="I96" s="258">
        <f t="shared" si="66"/>
        <v>25282.5027777778</v>
      </c>
      <c r="J96" s="258">
        <v>5000</v>
      </c>
      <c r="K96" s="258"/>
      <c r="L96" s="258"/>
      <c r="M96" s="258">
        <v>2500</v>
      </c>
      <c r="N96" s="258"/>
      <c r="O96" s="258"/>
      <c r="P96" s="258"/>
      <c r="Q96" s="258"/>
      <c r="R96" s="258"/>
      <c r="S96" s="258"/>
      <c r="T96" s="258"/>
      <c r="U96" s="258">
        <v>383.33</v>
      </c>
      <c r="V96" s="258"/>
      <c r="W96" s="265"/>
      <c r="X96" s="258"/>
      <c r="Y96" s="258"/>
      <c r="Z96" s="258"/>
      <c r="AA96" s="258"/>
      <c r="AB96" s="258"/>
      <c r="AC96" s="258"/>
      <c r="AD96" s="270"/>
      <c r="AE96" s="258"/>
      <c r="AF96" s="258">
        <v>250</v>
      </c>
      <c r="AG96" s="270">
        <f t="shared" si="64"/>
        <v>4334.14333333333</v>
      </c>
      <c r="AH96" s="270">
        <f>20000</f>
        <v>20000</v>
      </c>
      <c r="AI96" s="278"/>
      <c r="AJ96" s="280"/>
      <c r="AK96" s="280"/>
      <c r="AL96" s="284">
        <v>1000</v>
      </c>
      <c r="AM96" s="281">
        <v>83135.75</v>
      </c>
      <c r="AN96" s="258">
        <v>7500</v>
      </c>
      <c r="AO96" s="299">
        <v>1500</v>
      </c>
      <c r="AP96" s="299"/>
      <c r="AQ96" s="299"/>
      <c r="AR96" s="299">
        <f t="shared" si="65"/>
        <v>4997.45998888889</v>
      </c>
      <c r="AS96" s="300"/>
      <c r="AT96" s="300"/>
      <c r="AU96" s="299">
        <f t="shared" si="45"/>
        <v>29145.3305733333</v>
      </c>
      <c r="AV96" s="299">
        <f>V96+U96+N96+M96+K96+J96+I96+H96</f>
        <v>249872.999444444</v>
      </c>
      <c r="AW96" s="299">
        <f>AU96+AR96+AQ96+AO96+AN96+AM96+AK96+AI96+AH96+AG96+AF96+AE96+AD96</f>
        <v>150862.683895556</v>
      </c>
      <c r="AX96" s="299"/>
      <c r="AY96" s="299"/>
      <c r="AZ96" s="299">
        <f t="shared" si="61"/>
        <v>99010.3155488889</v>
      </c>
      <c r="BA96" s="305">
        <f t="shared" si="62"/>
        <v>2998475.99333333</v>
      </c>
      <c r="BB96" s="306">
        <f t="shared" si="47"/>
        <v>799695.198666667</v>
      </c>
      <c r="BC96" s="307">
        <f t="shared" si="63"/>
        <v>0</v>
      </c>
      <c r="BD96" s="308">
        <f t="shared" si="48"/>
        <v>799695.198666667</v>
      </c>
      <c r="BE96" s="313">
        <f t="shared" si="49"/>
        <v>2198780.79466667</v>
      </c>
      <c r="BF96" s="306"/>
      <c r="BG96" s="307">
        <f t="shared" si="50"/>
        <v>21000</v>
      </c>
      <c r="BH96" s="307">
        <f t="shared" si="51"/>
        <v>33000</v>
      </c>
      <c r="BI96" s="307">
        <f t="shared" si="52"/>
        <v>75000</v>
      </c>
      <c r="BJ96" s="307">
        <f t="shared" si="53"/>
        <v>95000</v>
      </c>
      <c r="BK96" s="307">
        <f t="shared" si="54"/>
        <v>125743.96688</v>
      </c>
      <c r="BL96" s="307" t="str">
        <f t="shared" si="55"/>
        <v/>
      </c>
      <c r="BM96" s="305">
        <f t="shared" si="56"/>
        <v>349743.96688</v>
      </c>
      <c r="BN96" s="320">
        <f t="shared" si="57"/>
        <v>29984.7599333333</v>
      </c>
      <c r="BO96" s="321">
        <f t="shared" si="58"/>
        <v>349743.96688</v>
      </c>
      <c r="BP96" s="322">
        <f t="shared" si="59"/>
        <v>29145.3305733333</v>
      </c>
      <c r="BQ96" s="323"/>
      <c r="BR96" s="324"/>
      <c r="BS96" s="325"/>
      <c r="BT96" s="326"/>
      <c r="BU96" s="326"/>
      <c r="BV96" s="334"/>
      <c r="BW96" s="335"/>
    </row>
    <row r="97" s="245" customFormat="1" ht="172.5" customHeight="1" spans="1:75">
      <c r="A97" s="255">
        <v>87</v>
      </c>
      <c r="B97" s="70" t="s">
        <v>357</v>
      </c>
      <c r="C97" s="129" t="s">
        <v>204</v>
      </c>
      <c r="D97" s="129" t="s">
        <v>2039</v>
      </c>
      <c r="E97" s="256" t="s">
        <v>127</v>
      </c>
      <c r="F97" s="1469" t="s">
        <v>358</v>
      </c>
      <c r="G97" s="257">
        <v>2254203</v>
      </c>
      <c r="H97" s="258">
        <f t="shared" si="67"/>
        <v>187850.25</v>
      </c>
      <c r="I97" s="258">
        <f t="shared" si="66"/>
        <v>21915.8625</v>
      </c>
      <c r="J97" s="258">
        <v>5000</v>
      </c>
      <c r="K97" s="258">
        <v>20833.33</v>
      </c>
      <c r="L97" s="258"/>
      <c r="M97" s="258">
        <v>2500</v>
      </c>
      <c r="N97" s="258"/>
      <c r="O97" s="258"/>
      <c r="P97" s="258"/>
      <c r="Q97" s="258"/>
      <c r="R97" s="258"/>
      <c r="S97" s="258"/>
      <c r="T97" s="258"/>
      <c r="U97" s="258">
        <v>383.33</v>
      </c>
      <c r="V97" s="258"/>
      <c r="W97" s="265"/>
      <c r="X97" s="258"/>
      <c r="Y97" s="258"/>
      <c r="Z97" s="258"/>
      <c r="AA97" s="258"/>
      <c r="AB97" s="258"/>
      <c r="AC97" s="258"/>
      <c r="AD97" s="270"/>
      <c r="AE97" s="258"/>
      <c r="AF97" s="258"/>
      <c r="AG97" s="270">
        <f t="shared" si="64"/>
        <v>3757.005</v>
      </c>
      <c r="AH97" s="270"/>
      <c r="AI97" s="282">
        <v>1000</v>
      </c>
      <c r="AJ97" s="279"/>
      <c r="AK97" s="279"/>
      <c r="AL97" s="279"/>
      <c r="AM97" s="281">
        <f>10000+17500</f>
        <v>27500</v>
      </c>
      <c r="AN97" s="258"/>
      <c r="AO97" s="299">
        <v>1500</v>
      </c>
      <c r="AP97" s="299"/>
      <c r="AQ97" s="299"/>
      <c r="AR97" s="299">
        <f t="shared" si="65"/>
        <v>4769.65545</v>
      </c>
      <c r="AS97" s="300"/>
      <c r="AT97" s="300"/>
      <c r="AU97" s="299">
        <f t="shared" si="45"/>
        <v>27231.7724466667</v>
      </c>
      <c r="AV97" s="299">
        <f>W97+V97+U97+N97+M97+K97+J97+I97+H97</f>
        <v>238482.7725</v>
      </c>
      <c r="AW97" s="299">
        <f>AU97+AR97+AQ97+AO97+AN97+AM97+AK97+AI97+AH97+AG97+AF97+AE97+AD97</f>
        <v>65758.4328966667</v>
      </c>
      <c r="AX97" s="299"/>
      <c r="AY97" s="299"/>
      <c r="AZ97" s="299">
        <f t="shared" si="61"/>
        <v>172724.339603333</v>
      </c>
      <c r="BA97" s="305">
        <f t="shared" si="62"/>
        <v>2861793.27</v>
      </c>
      <c r="BB97" s="306">
        <f t="shared" si="47"/>
        <v>772358.654</v>
      </c>
      <c r="BC97" s="307">
        <f t="shared" si="63"/>
        <v>0</v>
      </c>
      <c r="BD97" s="308">
        <f t="shared" si="48"/>
        <v>772358.654</v>
      </c>
      <c r="BE97" s="313">
        <f t="shared" si="49"/>
        <v>2089434.616</v>
      </c>
      <c r="BF97" s="306"/>
      <c r="BG97" s="307">
        <f t="shared" si="50"/>
        <v>21000</v>
      </c>
      <c r="BH97" s="307">
        <f t="shared" si="51"/>
        <v>33000</v>
      </c>
      <c r="BI97" s="307">
        <f t="shared" si="52"/>
        <v>75000</v>
      </c>
      <c r="BJ97" s="307">
        <f t="shared" si="53"/>
        <v>95000</v>
      </c>
      <c r="BK97" s="307">
        <f t="shared" si="54"/>
        <v>102781.26936</v>
      </c>
      <c r="BL97" s="307" t="str">
        <f t="shared" si="55"/>
        <v/>
      </c>
      <c r="BM97" s="305">
        <f t="shared" si="56"/>
        <v>326781.26936</v>
      </c>
      <c r="BN97" s="320">
        <f t="shared" si="57"/>
        <v>28617.9327</v>
      </c>
      <c r="BO97" s="321">
        <f t="shared" si="58"/>
        <v>326781.26936</v>
      </c>
      <c r="BP97" s="322">
        <f t="shared" si="59"/>
        <v>27231.7724466667</v>
      </c>
      <c r="BQ97" s="323"/>
      <c r="BR97" s="324"/>
      <c r="BS97" s="325"/>
      <c r="BT97" s="326"/>
      <c r="BU97" s="326"/>
      <c r="BV97" s="334"/>
      <c r="BW97" s="335"/>
    </row>
    <row r="98" s="245" customFormat="1" ht="192" customHeight="1" spans="1:75">
      <c r="A98" s="255">
        <v>88</v>
      </c>
      <c r="B98" s="70" t="s">
        <v>359</v>
      </c>
      <c r="C98" s="129" t="s">
        <v>204</v>
      </c>
      <c r="D98" s="129" t="s">
        <v>360</v>
      </c>
      <c r="E98" s="256" t="s">
        <v>361</v>
      </c>
      <c r="F98" s="256">
        <v>2008091891</v>
      </c>
      <c r="G98" s="257">
        <v>2308911</v>
      </c>
      <c r="H98" s="258">
        <f t="shared" si="67"/>
        <v>192409.25</v>
      </c>
      <c r="I98" s="258">
        <f t="shared" si="66"/>
        <v>22447.7458333333</v>
      </c>
      <c r="J98" s="258">
        <v>5000</v>
      </c>
      <c r="K98" s="258"/>
      <c r="L98" s="258"/>
      <c r="M98" s="258">
        <v>2500</v>
      </c>
      <c r="N98" s="258"/>
      <c r="O98" s="258"/>
      <c r="P98" s="258"/>
      <c r="Q98" s="258"/>
      <c r="R98" s="258"/>
      <c r="S98" s="258"/>
      <c r="T98" s="258"/>
      <c r="U98" s="258">
        <v>383.33</v>
      </c>
      <c r="V98" s="258"/>
      <c r="W98" s="265"/>
      <c r="X98" s="258"/>
      <c r="Y98" s="258"/>
      <c r="Z98" s="258"/>
      <c r="AA98" s="258"/>
      <c r="AB98" s="258"/>
      <c r="AC98" s="258"/>
      <c r="AD98" s="270"/>
      <c r="AE98" s="258"/>
      <c r="AF98" s="258">
        <v>250</v>
      </c>
      <c r="AG98" s="270">
        <f t="shared" si="64"/>
        <v>3848.185</v>
      </c>
      <c r="AH98" s="270"/>
      <c r="AI98" s="278"/>
      <c r="AJ98" s="280"/>
      <c r="AK98" s="280"/>
      <c r="AL98" s="284">
        <v>1000</v>
      </c>
      <c r="AM98" s="281">
        <v>30000</v>
      </c>
      <c r="AN98" s="258"/>
      <c r="AO98" s="299">
        <v>1500</v>
      </c>
      <c r="AP98" s="299"/>
      <c r="AQ98" s="299"/>
      <c r="AR98" s="299">
        <f t="shared" si="65"/>
        <v>4454.80651666667</v>
      </c>
      <c r="AS98" s="300"/>
      <c r="AT98" s="300"/>
      <c r="AU98" s="299">
        <f t="shared" si="45"/>
        <v>24587.0414066667</v>
      </c>
      <c r="AV98" s="299">
        <f>W98+V98+U98+N98+M98+K98+J98+I98+H98</f>
        <v>222740.325833333</v>
      </c>
      <c r="AW98" s="299">
        <f>AU98+AR98+AO98+AM98+AL98+AG98+AF98</f>
        <v>65640.0329233333</v>
      </c>
      <c r="AX98" s="299"/>
      <c r="AY98" s="299"/>
      <c r="AZ98" s="299">
        <f t="shared" si="61"/>
        <v>157100.29291</v>
      </c>
      <c r="BA98" s="305">
        <f t="shared" si="62"/>
        <v>2672883.91</v>
      </c>
      <c r="BB98" s="306">
        <f t="shared" si="47"/>
        <v>734576.782</v>
      </c>
      <c r="BC98" s="307">
        <f t="shared" si="63"/>
        <v>0</v>
      </c>
      <c r="BD98" s="308">
        <f t="shared" si="48"/>
        <v>734576.782</v>
      </c>
      <c r="BE98" s="313">
        <f t="shared" si="49"/>
        <v>1938307.128</v>
      </c>
      <c r="BF98" s="306"/>
      <c r="BG98" s="307">
        <f t="shared" si="50"/>
        <v>21000</v>
      </c>
      <c r="BH98" s="307">
        <f t="shared" si="51"/>
        <v>33000</v>
      </c>
      <c r="BI98" s="307">
        <f t="shared" si="52"/>
        <v>75000</v>
      </c>
      <c r="BJ98" s="307">
        <f t="shared" si="53"/>
        <v>95000</v>
      </c>
      <c r="BK98" s="307">
        <f t="shared" si="54"/>
        <v>71044.49688</v>
      </c>
      <c r="BL98" s="307" t="str">
        <f t="shared" si="55"/>
        <v/>
      </c>
      <c r="BM98" s="305">
        <f t="shared" si="56"/>
        <v>295044.49688</v>
      </c>
      <c r="BN98" s="320">
        <f t="shared" si="57"/>
        <v>26728.8391</v>
      </c>
      <c r="BO98" s="321">
        <f t="shared" si="58"/>
        <v>295044.49688</v>
      </c>
      <c r="BP98" s="322">
        <f t="shared" si="59"/>
        <v>24587.0414066667</v>
      </c>
      <c r="BQ98" s="323"/>
      <c r="BR98" s="324"/>
      <c r="BS98" s="325"/>
      <c r="BT98" s="326"/>
      <c r="BU98" s="326"/>
      <c r="BV98" s="334"/>
      <c r="BW98" s="335"/>
    </row>
    <row r="99" s="245" customFormat="1" ht="172.5" customHeight="1" spans="1:75">
      <c r="A99" s="255">
        <v>89</v>
      </c>
      <c r="B99" s="70" t="s">
        <v>2049</v>
      </c>
      <c r="C99" s="129" t="s">
        <v>204</v>
      </c>
      <c r="D99" s="129" t="s">
        <v>208</v>
      </c>
      <c r="E99" s="128" t="s">
        <v>122</v>
      </c>
      <c r="F99" s="1469" t="s">
        <v>838</v>
      </c>
      <c r="G99" s="257">
        <v>2035173</v>
      </c>
      <c r="H99" s="258">
        <f t="shared" si="67"/>
        <v>169597.75</v>
      </c>
      <c r="I99" s="258">
        <f t="shared" si="66"/>
        <v>19786.4041666667</v>
      </c>
      <c r="J99" s="258">
        <v>5000</v>
      </c>
      <c r="K99" s="258"/>
      <c r="L99" s="258"/>
      <c r="M99" s="258">
        <v>2500</v>
      </c>
      <c r="N99" s="258"/>
      <c r="O99" s="258"/>
      <c r="P99" s="258"/>
      <c r="Q99" s="258"/>
      <c r="R99" s="258"/>
      <c r="S99" s="258"/>
      <c r="T99" s="258"/>
      <c r="U99" s="258">
        <v>383.33</v>
      </c>
      <c r="V99" s="258"/>
      <c r="W99" s="265"/>
      <c r="X99" s="258"/>
      <c r="Y99" s="258"/>
      <c r="Z99" s="258"/>
      <c r="AA99" s="258"/>
      <c r="AB99" s="258"/>
      <c r="AC99" s="258"/>
      <c r="AD99" s="270"/>
      <c r="AE99" s="258"/>
      <c r="AF99" s="258"/>
      <c r="AG99" s="270">
        <f t="shared" si="64"/>
        <v>3391.955</v>
      </c>
      <c r="AH99" s="270"/>
      <c r="AI99" s="278"/>
      <c r="AJ99" s="280"/>
      <c r="AK99" s="280"/>
      <c r="AL99" s="280"/>
      <c r="AM99" s="281"/>
      <c r="AN99" s="258"/>
      <c r="AO99" s="299">
        <v>1500</v>
      </c>
      <c r="AP99" s="299"/>
      <c r="AQ99" s="299"/>
      <c r="AR99" s="299">
        <f t="shared" si="65"/>
        <v>3945.34968333333</v>
      </c>
      <c r="AS99" s="300"/>
      <c r="AT99" s="300"/>
      <c r="AU99" s="299">
        <f t="shared" si="45"/>
        <v>20307.6040066667</v>
      </c>
      <c r="AV99" s="299">
        <f>V99+U99+N99+M99+K99+J99+I99+H99</f>
        <v>197267.484166667</v>
      </c>
      <c r="AW99" s="299">
        <f>AU99+AR99+AQ99+AO99+AN99+AM99+AK99+AI99+AH99+AG99+AF99+AE99+AD99</f>
        <v>29144.90869</v>
      </c>
      <c r="AX99" s="299"/>
      <c r="AY99" s="299"/>
      <c r="AZ99" s="299">
        <f t="shared" si="61"/>
        <v>168122.575476667</v>
      </c>
      <c r="BA99" s="305">
        <f t="shared" si="62"/>
        <v>2367209.81</v>
      </c>
      <c r="BB99" s="306">
        <f t="shared" si="47"/>
        <v>673441.962</v>
      </c>
      <c r="BC99" s="307">
        <f t="shared" si="63"/>
        <v>0</v>
      </c>
      <c r="BD99" s="308">
        <f t="shared" si="48"/>
        <v>673441.962</v>
      </c>
      <c r="BE99" s="313">
        <f t="shared" si="49"/>
        <v>1693767.848</v>
      </c>
      <c r="BF99" s="306"/>
      <c r="BG99" s="307">
        <f t="shared" si="50"/>
        <v>21000</v>
      </c>
      <c r="BH99" s="307">
        <f t="shared" si="51"/>
        <v>33000</v>
      </c>
      <c r="BI99" s="307">
        <f t="shared" si="52"/>
        <v>75000</v>
      </c>
      <c r="BJ99" s="307">
        <f t="shared" si="53"/>
        <v>95000</v>
      </c>
      <c r="BK99" s="307">
        <f t="shared" si="54"/>
        <v>19691.24808</v>
      </c>
      <c r="BL99" s="307" t="str">
        <f t="shared" si="55"/>
        <v/>
      </c>
      <c r="BM99" s="305">
        <f t="shared" si="56"/>
        <v>243691.24808</v>
      </c>
      <c r="BN99" s="320">
        <f t="shared" si="57"/>
        <v>23672.0981</v>
      </c>
      <c r="BO99" s="321">
        <f t="shared" si="58"/>
        <v>243691.24808</v>
      </c>
      <c r="BP99" s="322">
        <f t="shared" si="59"/>
        <v>20307.6040066667</v>
      </c>
      <c r="BQ99" s="323"/>
      <c r="BR99" s="324"/>
      <c r="BS99" s="325"/>
      <c r="BT99" s="326"/>
      <c r="BU99" s="326"/>
      <c r="BV99" s="334"/>
      <c r="BW99" s="335"/>
    </row>
    <row r="100" s="245" customFormat="1" ht="179" customHeight="1" spans="1:75">
      <c r="A100" s="255">
        <v>90</v>
      </c>
      <c r="B100" s="70" t="s">
        <v>2050</v>
      </c>
      <c r="C100" s="129" t="s">
        <v>363</v>
      </c>
      <c r="D100" s="129" t="s">
        <v>465</v>
      </c>
      <c r="E100" s="128" t="s">
        <v>313</v>
      </c>
      <c r="F100" s="256">
        <v>2908285016</v>
      </c>
      <c r="G100" s="257">
        <f>H100*12</f>
        <v>990345</v>
      </c>
      <c r="H100" s="258">
        <f>165057.5/2</f>
        <v>82528.75</v>
      </c>
      <c r="I100" s="258"/>
      <c r="J100" s="258"/>
      <c r="K100" s="258"/>
      <c r="L100" s="258"/>
      <c r="M100" s="258">
        <v>2500</v>
      </c>
      <c r="N100" s="258"/>
      <c r="O100" s="258"/>
      <c r="P100" s="258"/>
      <c r="Q100" s="258"/>
      <c r="R100" s="258"/>
      <c r="S100" s="258"/>
      <c r="T100" s="258"/>
      <c r="U100" s="258"/>
      <c r="V100" s="258"/>
      <c r="W100" s="265"/>
      <c r="X100" s="258"/>
      <c r="Y100" s="258"/>
      <c r="Z100" s="258"/>
      <c r="AA100" s="258"/>
      <c r="AB100" s="258"/>
      <c r="AC100" s="258"/>
      <c r="AD100" s="270"/>
      <c r="AE100" s="258"/>
      <c r="AF100" s="258"/>
      <c r="AG100" s="270">
        <f t="shared" si="64"/>
        <v>1650.575</v>
      </c>
      <c r="AH100" s="270"/>
      <c r="AI100" s="278"/>
      <c r="AJ100" s="279">
        <v>1000</v>
      </c>
      <c r="AK100" s="280"/>
      <c r="AL100" s="280"/>
      <c r="AM100" s="281"/>
      <c r="AN100" s="258"/>
      <c r="AO100" s="299">
        <v>500</v>
      </c>
      <c r="AP100" s="299"/>
      <c r="AQ100" s="299"/>
      <c r="AR100" s="299">
        <f t="shared" si="65"/>
        <v>1700.575</v>
      </c>
      <c r="AS100" s="300"/>
      <c r="AT100" s="300"/>
      <c r="AU100" s="299">
        <f t="shared" si="45"/>
        <v>4703.45</v>
      </c>
      <c r="AV100" s="299">
        <f>W100+V100+U100+N100+M100+K100+J100+I100+H100</f>
        <v>85028.75</v>
      </c>
      <c r="AW100" s="299">
        <f>AU100+AR100+AQ100+AO100+AN100+AM100+AK100+AI100+AH100+AG100+AF100+AE100+AD100+AJ100</f>
        <v>9554.6</v>
      </c>
      <c r="AX100" s="299"/>
      <c r="AY100" s="299"/>
      <c r="AZ100" s="299">
        <f t="shared" si="61"/>
        <v>75474.15</v>
      </c>
      <c r="BA100" s="305">
        <f t="shared" si="62"/>
        <v>1020345</v>
      </c>
      <c r="BB100" s="306">
        <f t="shared" si="47"/>
        <v>404069</v>
      </c>
      <c r="BC100" s="307">
        <f t="shared" si="63"/>
        <v>0</v>
      </c>
      <c r="BD100" s="308">
        <f t="shared" si="48"/>
        <v>404069</v>
      </c>
      <c r="BE100" s="313">
        <f t="shared" si="49"/>
        <v>616276</v>
      </c>
      <c r="BF100" s="306"/>
      <c r="BG100" s="307">
        <f t="shared" si="50"/>
        <v>21000</v>
      </c>
      <c r="BH100" s="307">
        <f t="shared" si="51"/>
        <v>33000</v>
      </c>
      <c r="BI100" s="307">
        <f t="shared" si="52"/>
        <v>2441.4</v>
      </c>
      <c r="BJ100" s="307" t="str">
        <f t="shared" si="53"/>
        <v/>
      </c>
      <c r="BK100" s="307" t="str">
        <f t="shared" si="54"/>
        <v/>
      </c>
      <c r="BL100" s="307" t="str">
        <f t="shared" si="55"/>
        <v/>
      </c>
      <c r="BM100" s="305">
        <f t="shared" si="56"/>
        <v>56441.4</v>
      </c>
      <c r="BN100" s="320">
        <f t="shared" si="57"/>
        <v>10203.45</v>
      </c>
      <c r="BO100" s="321">
        <f t="shared" si="58"/>
        <v>56441.4</v>
      </c>
      <c r="BP100" s="322">
        <f t="shared" si="59"/>
        <v>4703.45</v>
      </c>
      <c r="BQ100" s="323"/>
      <c r="BR100" s="324"/>
      <c r="BS100" s="325"/>
      <c r="BT100" s="326"/>
      <c r="BU100" s="326"/>
      <c r="BV100" s="334"/>
      <c r="BW100" s="335"/>
    </row>
    <row r="101" s="245" customFormat="1" ht="179" customHeight="1" spans="1:75">
      <c r="A101" s="255">
        <v>91</v>
      </c>
      <c r="B101" s="70" t="s">
        <v>362</v>
      </c>
      <c r="C101" s="129" t="s">
        <v>363</v>
      </c>
      <c r="D101" s="129" t="s">
        <v>1681</v>
      </c>
      <c r="E101" s="128"/>
      <c r="F101" s="256"/>
      <c r="G101" s="257">
        <f>H101*12</f>
        <v>1017689.04</v>
      </c>
      <c r="H101" s="258">
        <v>84807.42</v>
      </c>
      <c r="I101" s="258"/>
      <c r="J101" s="258"/>
      <c r="K101" s="258"/>
      <c r="L101" s="258"/>
      <c r="M101" s="258">
        <v>2500</v>
      </c>
      <c r="N101" s="258"/>
      <c r="O101" s="258"/>
      <c r="P101" s="258"/>
      <c r="Q101" s="258"/>
      <c r="R101" s="258"/>
      <c r="S101" s="258"/>
      <c r="T101" s="258"/>
      <c r="U101" s="258"/>
      <c r="V101" s="258"/>
      <c r="W101" s="265"/>
      <c r="X101" s="258"/>
      <c r="Y101" s="258"/>
      <c r="Z101" s="258"/>
      <c r="AA101" s="258"/>
      <c r="AB101" s="258"/>
      <c r="AC101" s="258"/>
      <c r="AD101" s="270"/>
      <c r="AE101" s="258"/>
      <c r="AF101" s="258"/>
      <c r="AG101" s="270">
        <f t="shared" si="64"/>
        <v>1696.1484</v>
      </c>
      <c r="AH101" s="270"/>
      <c r="AI101" s="278"/>
      <c r="AJ101" s="279"/>
      <c r="AK101" s="280"/>
      <c r="AL101" s="280"/>
      <c r="AM101" s="281"/>
      <c r="AN101" s="258"/>
      <c r="AO101" s="299">
        <v>500</v>
      </c>
      <c r="AP101" s="299"/>
      <c r="AQ101" s="299"/>
      <c r="AR101" s="299">
        <f t="shared" si="65"/>
        <v>1746.1484</v>
      </c>
      <c r="AS101" s="300"/>
      <c r="AT101" s="300"/>
      <c r="AU101" s="299">
        <f t="shared" si="45"/>
        <v>4976.8904</v>
      </c>
      <c r="AV101" s="299">
        <f>W101+V101+U101+N101+M101+K101+J101+I101+H101</f>
        <v>87307.42</v>
      </c>
      <c r="AW101" s="299">
        <f>AU101+AR101+AQ101+AO101+AN101+AM101+AK101+AI101+AH101+AG101+AF101+AE101+AD101+AJ101</f>
        <v>8919.1872</v>
      </c>
      <c r="AX101" s="299"/>
      <c r="AY101" s="299"/>
      <c r="AZ101" s="299">
        <f t="shared" si="61"/>
        <v>78388.2328</v>
      </c>
      <c r="BA101" s="305">
        <f t="shared" si="62"/>
        <v>1047689.04</v>
      </c>
      <c r="BB101" s="306">
        <f t="shared" si="47"/>
        <v>409537.808</v>
      </c>
      <c r="BC101" s="307">
        <f t="shared" si="63"/>
        <v>0</v>
      </c>
      <c r="BD101" s="308">
        <f t="shared" si="48"/>
        <v>409537.808</v>
      </c>
      <c r="BE101" s="313">
        <f t="shared" si="49"/>
        <v>638151.232</v>
      </c>
      <c r="BF101" s="306"/>
      <c r="BG101" s="307">
        <f t="shared" si="50"/>
        <v>21000</v>
      </c>
      <c r="BH101" s="307">
        <f t="shared" si="51"/>
        <v>33000</v>
      </c>
      <c r="BI101" s="307">
        <f t="shared" si="52"/>
        <v>5722.68480000001</v>
      </c>
      <c r="BJ101" s="307" t="str">
        <f t="shared" si="53"/>
        <v/>
      </c>
      <c r="BK101" s="307" t="str">
        <f t="shared" si="54"/>
        <v/>
      </c>
      <c r="BL101" s="307" t="str">
        <f t="shared" si="55"/>
        <v/>
      </c>
      <c r="BM101" s="305">
        <f t="shared" si="56"/>
        <v>59722.6848</v>
      </c>
      <c r="BN101" s="320">
        <f t="shared" si="57"/>
        <v>10476.8904</v>
      </c>
      <c r="BO101" s="321">
        <f t="shared" si="58"/>
        <v>59722.6848</v>
      </c>
      <c r="BP101" s="322">
        <f t="shared" si="59"/>
        <v>4976.8904</v>
      </c>
      <c r="BQ101" s="323"/>
      <c r="BR101" s="324"/>
      <c r="BS101" s="325"/>
      <c r="BT101" s="326"/>
      <c r="BU101" s="326"/>
      <c r="BV101" s="334"/>
      <c r="BW101" s="335"/>
    </row>
    <row r="102" s="247" customFormat="1" ht="172.5" customHeight="1" spans="1:75">
      <c r="A102" s="255">
        <v>92</v>
      </c>
      <c r="B102" s="70" t="s">
        <v>365</v>
      </c>
      <c r="C102" s="129" t="s">
        <v>130</v>
      </c>
      <c r="D102" s="129" t="s">
        <v>272</v>
      </c>
      <c r="E102" s="256" t="s">
        <v>135</v>
      </c>
      <c r="F102" s="1469" t="s">
        <v>366</v>
      </c>
      <c r="G102" s="257">
        <v>2199196</v>
      </c>
      <c r="H102" s="258">
        <f>H96</f>
        <v>216707.166666667</v>
      </c>
      <c r="I102" s="258">
        <f t="shared" si="66"/>
        <v>25282.5027777778</v>
      </c>
      <c r="J102" s="258">
        <v>5000</v>
      </c>
      <c r="K102" s="258"/>
      <c r="L102" s="258"/>
      <c r="M102" s="258">
        <v>2500</v>
      </c>
      <c r="N102" s="258"/>
      <c r="O102" s="258"/>
      <c r="P102" s="258"/>
      <c r="Q102" s="258"/>
      <c r="R102" s="258"/>
      <c r="S102" s="258"/>
      <c r="T102" s="258"/>
      <c r="U102" s="258">
        <v>383.33</v>
      </c>
      <c r="V102" s="258"/>
      <c r="W102" s="265"/>
      <c r="X102" s="258"/>
      <c r="Y102" s="258"/>
      <c r="Z102" s="258"/>
      <c r="AA102" s="258"/>
      <c r="AB102" s="258"/>
      <c r="AC102" s="258"/>
      <c r="AD102" s="270"/>
      <c r="AE102" s="258"/>
      <c r="AF102" s="258">
        <v>1500</v>
      </c>
      <c r="AG102" s="270">
        <f t="shared" si="64"/>
        <v>4334.14333333333</v>
      </c>
      <c r="AH102" s="270"/>
      <c r="AI102" s="282">
        <v>1000</v>
      </c>
      <c r="AJ102" s="279"/>
      <c r="AK102" s="279"/>
      <c r="AL102" s="279"/>
      <c r="AM102" s="281"/>
      <c r="AN102" s="258">
        <v>7500</v>
      </c>
      <c r="AO102" s="299">
        <v>1500</v>
      </c>
      <c r="AP102" s="299"/>
      <c r="AQ102" s="299"/>
      <c r="AR102" s="299">
        <f t="shared" si="65"/>
        <v>4997.45998888889</v>
      </c>
      <c r="AS102" s="300"/>
      <c r="AT102" s="300"/>
      <c r="AU102" s="299">
        <f t="shared" si="45"/>
        <v>29145.3305733333</v>
      </c>
      <c r="AV102" s="299">
        <f>W102+V102+U102+N102+M102+K102+J102+I102+H102</f>
        <v>249872.999444444</v>
      </c>
      <c r="AW102" s="299">
        <f>AU102+AR102+AQ102+AO102+AN102+AM102+AK102+AI102+AH102+AG102+AF102+AE102+AD102</f>
        <v>49976.9338955556</v>
      </c>
      <c r="AX102" s="299"/>
      <c r="AY102" s="299"/>
      <c r="AZ102" s="299">
        <f t="shared" si="61"/>
        <v>199896.065548889</v>
      </c>
      <c r="BA102" s="305">
        <f t="shared" si="62"/>
        <v>2998475.99333333</v>
      </c>
      <c r="BB102" s="306">
        <f t="shared" si="47"/>
        <v>799695.198666667</v>
      </c>
      <c r="BC102" s="307">
        <f t="shared" si="63"/>
        <v>0</v>
      </c>
      <c r="BD102" s="308">
        <f t="shared" si="48"/>
        <v>799695.198666667</v>
      </c>
      <c r="BE102" s="313">
        <f t="shared" si="49"/>
        <v>2198780.79466667</v>
      </c>
      <c r="BF102" s="306"/>
      <c r="BG102" s="307">
        <f t="shared" si="50"/>
        <v>21000</v>
      </c>
      <c r="BH102" s="307">
        <f t="shared" si="51"/>
        <v>33000</v>
      </c>
      <c r="BI102" s="307">
        <f t="shared" si="52"/>
        <v>75000</v>
      </c>
      <c r="BJ102" s="307">
        <f t="shared" si="53"/>
        <v>95000</v>
      </c>
      <c r="BK102" s="307">
        <f t="shared" si="54"/>
        <v>125743.96688</v>
      </c>
      <c r="BL102" s="307" t="str">
        <f t="shared" si="55"/>
        <v/>
      </c>
      <c r="BM102" s="305">
        <f t="shared" si="56"/>
        <v>349743.96688</v>
      </c>
      <c r="BN102" s="320">
        <f t="shared" si="57"/>
        <v>29984.7599333333</v>
      </c>
      <c r="BO102" s="321">
        <f t="shared" si="58"/>
        <v>349743.96688</v>
      </c>
      <c r="BP102" s="322">
        <f t="shared" si="59"/>
        <v>29145.3305733333</v>
      </c>
      <c r="BQ102" s="323"/>
      <c r="BR102" s="324"/>
      <c r="BS102" s="325"/>
      <c r="BT102" s="326"/>
      <c r="BU102" s="326"/>
      <c r="BV102" s="357"/>
      <c r="BW102" s="358"/>
    </row>
    <row r="103" s="245" customFormat="1" ht="172.5" customHeight="1" spans="1:75">
      <c r="A103" s="255">
        <v>93</v>
      </c>
      <c r="B103" s="70" t="s">
        <v>2051</v>
      </c>
      <c r="C103" s="129" t="s">
        <v>204</v>
      </c>
      <c r="D103" s="129" t="s">
        <v>205</v>
      </c>
      <c r="E103" s="256" t="s">
        <v>113</v>
      </c>
      <c r="F103" s="256">
        <v>2216620496</v>
      </c>
      <c r="G103" s="257">
        <v>2090081</v>
      </c>
      <c r="H103" s="258">
        <f t="shared" ref="H103:H109" si="68">G103/12</f>
        <v>174173.416666667</v>
      </c>
      <c r="I103" s="258">
        <f t="shared" si="66"/>
        <v>20320.2319444444</v>
      </c>
      <c r="J103" s="258">
        <v>5000</v>
      </c>
      <c r="K103" s="258">
        <f>K97*3</f>
        <v>62499.99</v>
      </c>
      <c r="L103" s="258"/>
      <c r="M103" s="258">
        <v>2500</v>
      </c>
      <c r="N103" s="258"/>
      <c r="O103" s="258"/>
      <c r="P103" s="258"/>
      <c r="Q103" s="258"/>
      <c r="R103" s="258"/>
      <c r="S103" s="258"/>
      <c r="T103" s="258"/>
      <c r="U103" s="258">
        <v>383.33</v>
      </c>
      <c r="V103" s="258"/>
      <c r="W103" s="265"/>
      <c r="X103" s="258"/>
      <c r="Y103" s="258"/>
      <c r="Z103" s="258"/>
      <c r="AA103" s="258"/>
      <c r="AB103" s="258"/>
      <c r="AC103" s="258"/>
      <c r="AD103" s="270"/>
      <c r="AE103" s="258"/>
      <c r="AF103" s="258"/>
      <c r="AG103" s="270">
        <f t="shared" si="64"/>
        <v>3483.46833333333</v>
      </c>
      <c r="AH103" s="270"/>
      <c r="AI103" s="278"/>
      <c r="AJ103" s="280"/>
      <c r="AK103" s="280"/>
      <c r="AL103" s="284">
        <v>1000</v>
      </c>
      <c r="AM103" s="281">
        <f>36250+26250</f>
        <v>62500</v>
      </c>
      <c r="AN103" s="258"/>
      <c r="AO103" s="299">
        <v>1500</v>
      </c>
      <c r="AP103" s="299"/>
      <c r="AQ103" s="299"/>
      <c r="AR103" s="299">
        <f t="shared" si="65"/>
        <v>5297.53937222222</v>
      </c>
      <c r="AS103" s="300"/>
      <c r="AT103" s="300"/>
      <c r="AU103" s="299">
        <f t="shared" si="45"/>
        <v>31665.9973933333</v>
      </c>
      <c r="AV103" s="299">
        <f>V103+U103+N103+M103+K103+J103+I103+H103</f>
        <v>264876.968611111</v>
      </c>
      <c r="AW103" s="299">
        <f>AU103+AR103+AQ103+AO103+AN103+AM103+AK103+AI103+AH103+AG103+AF103+AE103+AD103+AL103</f>
        <v>105447.005098889</v>
      </c>
      <c r="AX103" s="299"/>
      <c r="AY103" s="299"/>
      <c r="AZ103" s="299">
        <f t="shared" si="61"/>
        <v>159429.963512222</v>
      </c>
      <c r="BA103" s="305">
        <f t="shared" si="62"/>
        <v>3178523.62333333</v>
      </c>
      <c r="BB103" s="306">
        <f t="shared" si="47"/>
        <v>835704.724666667</v>
      </c>
      <c r="BC103" s="307">
        <f t="shared" si="63"/>
        <v>0</v>
      </c>
      <c r="BD103" s="308">
        <f t="shared" si="48"/>
        <v>835704.724666667</v>
      </c>
      <c r="BE103" s="313">
        <f t="shared" si="49"/>
        <v>2342818.89866667</v>
      </c>
      <c r="BF103" s="306"/>
      <c r="BG103" s="307">
        <f t="shared" si="50"/>
        <v>21000</v>
      </c>
      <c r="BH103" s="307">
        <f t="shared" si="51"/>
        <v>33000</v>
      </c>
      <c r="BI103" s="307">
        <f t="shared" si="52"/>
        <v>75000</v>
      </c>
      <c r="BJ103" s="307">
        <f t="shared" si="53"/>
        <v>95000</v>
      </c>
      <c r="BK103" s="307">
        <f t="shared" si="54"/>
        <v>155991.96872</v>
      </c>
      <c r="BL103" s="307" t="str">
        <f t="shared" si="55"/>
        <v/>
      </c>
      <c r="BM103" s="305">
        <f t="shared" si="56"/>
        <v>379991.96872</v>
      </c>
      <c r="BN103" s="320">
        <f t="shared" si="57"/>
        <v>31785.2362333333</v>
      </c>
      <c r="BO103" s="321">
        <f t="shared" si="58"/>
        <v>379991.96872</v>
      </c>
      <c r="BP103" s="322">
        <f t="shared" si="59"/>
        <v>31665.9973933333</v>
      </c>
      <c r="BQ103" s="323"/>
      <c r="BR103" s="324"/>
      <c r="BS103" s="325"/>
      <c r="BT103" s="326"/>
      <c r="BU103" s="326"/>
      <c r="BV103" s="334"/>
      <c r="BW103" s="335"/>
    </row>
    <row r="104" s="245" customFormat="1" ht="172.5" customHeight="1" spans="1:75">
      <c r="A104" s="255">
        <v>94</v>
      </c>
      <c r="B104" s="70" t="s">
        <v>369</v>
      </c>
      <c r="C104" s="129" t="s">
        <v>204</v>
      </c>
      <c r="D104" s="129" t="s">
        <v>360</v>
      </c>
      <c r="E104" s="256" t="s">
        <v>135</v>
      </c>
      <c r="F104" s="1469" t="s">
        <v>370</v>
      </c>
      <c r="G104" s="257">
        <v>2308911</v>
      </c>
      <c r="H104" s="258">
        <f t="shared" si="68"/>
        <v>192409.25</v>
      </c>
      <c r="I104" s="258">
        <f t="shared" si="66"/>
        <v>22447.7458333333</v>
      </c>
      <c r="J104" s="258">
        <v>5000</v>
      </c>
      <c r="K104" s="258"/>
      <c r="L104" s="258"/>
      <c r="M104" s="258">
        <v>2500</v>
      </c>
      <c r="N104" s="258"/>
      <c r="O104" s="258"/>
      <c r="P104" s="258"/>
      <c r="Q104" s="258"/>
      <c r="R104" s="258"/>
      <c r="S104" s="258"/>
      <c r="T104" s="258"/>
      <c r="U104" s="258">
        <v>383.33</v>
      </c>
      <c r="V104" s="258"/>
      <c r="W104" s="265"/>
      <c r="X104" s="258"/>
      <c r="Y104" s="258"/>
      <c r="Z104" s="258"/>
      <c r="AA104" s="258"/>
      <c r="AB104" s="258"/>
      <c r="AC104" s="258"/>
      <c r="AD104" s="270"/>
      <c r="AE104" s="258"/>
      <c r="AF104" s="258">
        <v>1250</v>
      </c>
      <c r="AG104" s="270">
        <f t="shared" si="64"/>
        <v>3848.185</v>
      </c>
      <c r="AH104" s="270"/>
      <c r="AI104" s="282">
        <v>1000</v>
      </c>
      <c r="AJ104" s="279"/>
      <c r="AK104" s="279"/>
      <c r="AL104" s="279"/>
      <c r="AM104" s="281"/>
      <c r="AN104" s="258"/>
      <c r="AO104" s="299">
        <v>1500</v>
      </c>
      <c r="AP104" s="299"/>
      <c r="AQ104" s="299"/>
      <c r="AR104" s="299">
        <f t="shared" si="65"/>
        <v>4454.80651666667</v>
      </c>
      <c r="AS104" s="300"/>
      <c r="AT104" s="300"/>
      <c r="AU104" s="299">
        <f t="shared" si="45"/>
        <v>24587.0414066667</v>
      </c>
      <c r="AV104" s="299">
        <f>W104+V104+U104+N104+M104+K104+J104+I104+H104</f>
        <v>222740.325833333</v>
      </c>
      <c r="AW104" s="299">
        <f>AU104+AR104+AQ104+AO104+AN104+AM104+AK104+AI104+AH104+AG104+AF104+AE104+AD104</f>
        <v>36640.0329233333</v>
      </c>
      <c r="AX104" s="299"/>
      <c r="AY104" s="299"/>
      <c r="AZ104" s="299">
        <f t="shared" si="61"/>
        <v>186100.29291</v>
      </c>
      <c r="BA104" s="305">
        <f t="shared" si="62"/>
        <v>2672883.91</v>
      </c>
      <c r="BB104" s="306">
        <f t="shared" si="47"/>
        <v>734576.782</v>
      </c>
      <c r="BC104" s="307">
        <f t="shared" si="63"/>
        <v>0</v>
      </c>
      <c r="BD104" s="308">
        <f t="shared" si="48"/>
        <v>734576.782</v>
      </c>
      <c r="BE104" s="313">
        <f t="shared" si="49"/>
        <v>1938307.128</v>
      </c>
      <c r="BF104" s="306"/>
      <c r="BG104" s="307">
        <f t="shared" si="50"/>
        <v>21000</v>
      </c>
      <c r="BH104" s="307">
        <f t="shared" si="51"/>
        <v>33000</v>
      </c>
      <c r="BI104" s="307">
        <f t="shared" si="52"/>
        <v>75000</v>
      </c>
      <c r="BJ104" s="307">
        <f t="shared" si="53"/>
        <v>95000</v>
      </c>
      <c r="BK104" s="307">
        <f t="shared" si="54"/>
        <v>71044.49688</v>
      </c>
      <c r="BL104" s="307" t="str">
        <f t="shared" si="55"/>
        <v/>
      </c>
      <c r="BM104" s="305">
        <f t="shared" si="56"/>
        <v>295044.49688</v>
      </c>
      <c r="BN104" s="320">
        <f t="shared" si="57"/>
        <v>26728.8391</v>
      </c>
      <c r="BO104" s="321">
        <f t="shared" si="58"/>
        <v>295044.49688</v>
      </c>
      <c r="BP104" s="322">
        <f t="shared" si="59"/>
        <v>24587.0414066667</v>
      </c>
      <c r="BQ104" s="323"/>
      <c r="BR104" s="324"/>
      <c r="BS104" s="325"/>
      <c r="BT104" s="326"/>
      <c r="BU104" s="326"/>
      <c r="BV104" s="334"/>
      <c r="BW104" s="335"/>
    </row>
    <row r="105" s="245" customFormat="1" ht="175" customHeight="1" spans="1:75">
      <c r="A105" s="255">
        <v>95</v>
      </c>
      <c r="B105" s="70" t="s">
        <v>2052</v>
      </c>
      <c r="C105" s="129" t="s">
        <v>221</v>
      </c>
      <c r="D105" s="129" t="s">
        <v>430</v>
      </c>
      <c r="E105" s="256" t="s">
        <v>165</v>
      </c>
      <c r="F105" s="256">
        <v>2000726706</v>
      </c>
      <c r="G105" s="257">
        <v>2048214</v>
      </c>
      <c r="H105" s="258">
        <f t="shared" si="68"/>
        <v>170684.5</v>
      </c>
      <c r="I105" s="258">
        <f t="shared" si="66"/>
        <v>19913.1916666667</v>
      </c>
      <c r="J105" s="258">
        <v>5000</v>
      </c>
      <c r="K105" s="258"/>
      <c r="L105" s="258"/>
      <c r="M105" s="258">
        <v>2500</v>
      </c>
      <c r="N105" s="258"/>
      <c r="O105" s="258"/>
      <c r="P105" s="258"/>
      <c r="Q105" s="258"/>
      <c r="R105" s="258"/>
      <c r="S105" s="258"/>
      <c r="T105" s="258"/>
      <c r="U105" s="258">
        <v>383.33</v>
      </c>
      <c r="V105" s="258"/>
      <c r="W105" s="265"/>
      <c r="X105" s="258"/>
      <c r="Y105" s="258"/>
      <c r="Z105" s="258"/>
      <c r="AA105" s="258"/>
      <c r="AB105" s="258"/>
      <c r="AC105" s="258"/>
      <c r="AD105" s="270"/>
      <c r="AE105" s="258"/>
      <c r="AF105" s="258"/>
      <c r="AG105" s="270">
        <f t="shared" si="64"/>
        <v>3413.69</v>
      </c>
      <c r="AH105" s="270"/>
      <c r="AI105" s="282"/>
      <c r="AJ105" s="280"/>
      <c r="AK105" s="280"/>
      <c r="AL105" s="280"/>
      <c r="AM105" s="281"/>
      <c r="AN105" s="258">
        <v>10000</v>
      </c>
      <c r="AO105" s="299">
        <v>1000</v>
      </c>
      <c r="AP105" s="299"/>
      <c r="AQ105" s="299"/>
      <c r="AR105" s="299">
        <f t="shared" si="65"/>
        <v>3969.62043333333</v>
      </c>
      <c r="AS105" s="300"/>
      <c r="AT105" s="300"/>
      <c r="AU105" s="299">
        <f t="shared" si="45"/>
        <v>20511.4783066667</v>
      </c>
      <c r="AV105" s="299">
        <f>W105+V105+U105+N105+M105+K105+J105+I105+H105</f>
        <v>198481.021666667</v>
      </c>
      <c r="AW105" s="299">
        <f>AU105+AR105+AQ105+AO105+AN105+AM105+AK105+AI105+AH105+AG105+AF105+AE105+AD105</f>
        <v>38894.78874</v>
      </c>
      <c r="AX105" s="299"/>
      <c r="AY105" s="299"/>
      <c r="AZ105" s="299">
        <f t="shared" si="61"/>
        <v>159586.232926667</v>
      </c>
      <c r="BA105" s="305">
        <f t="shared" si="62"/>
        <v>2381772.26</v>
      </c>
      <c r="BB105" s="306">
        <f t="shared" si="47"/>
        <v>676354.452</v>
      </c>
      <c r="BC105" s="307">
        <f t="shared" si="63"/>
        <v>0</v>
      </c>
      <c r="BD105" s="308">
        <f t="shared" si="48"/>
        <v>676354.452</v>
      </c>
      <c r="BE105" s="313">
        <f t="shared" si="49"/>
        <v>1705417.808</v>
      </c>
      <c r="BF105" s="306"/>
      <c r="BG105" s="307">
        <f t="shared" si="50"/>
        <v>21000</v>
      </c>
      <c r="BH105" s="307">
        <f t="shared" si="51"/>
        <v>33000</v>
      </c>
      <c r="BI105" s="307">
        <f t="shared" si="52"/>
        <v>75000</v>
      </c>
      <c r="BJ105" s="307">
        <f t="shared" si="53"/>
        <v>95000</v>
      </c>
      <c r="BK105" s="307">
        <f t="shared" si="54"/>
        <v>22137.7396799999</v>
      </c>
      <c r="BL105" s="307" t="str">
        <f t="shared" si="55"/>
        <v/>
      </c>
      <c r="BM105" s="305">
        <f t="shared" si="56"/>
        <v>246137.73968</v>
      </c>
      <c r="BN105" s="320">
        <f t="shared" si="57"/>
        <v>23817.7226</v>
      </c>
      <c r="BO105" s="321">
        <f t="shared" si="58"/>
        <v>246137.73968</v>
      </c>
      <c r="BP105" s="322">
        <f t="shared" si="59"/>
        <v>20511.4783066667</v>
      </c>
      <c r="BQ105" s="323"/>
      <c r="BR105" s="324"/>
      <c r="BS105" s="325"/>
      <c r="BT105" s="326"/>
      <c r="BU105" s="326"/>
      <c r="BV105" s="334"/>
      <c r="BW105" s="335"/>
    </row>
    <row r="106" s="245" customFormat="1" ht="172.5" customHeight="1" spans="1:75">
      <c r="A106" s="255">
        <v>96</v>
      </c>
      <c r="B106" s="70" t="s">
        <v>371</v>
      </c>
      <c r="C106" s="129" t="s">
        <v>138</v>
      </c>
      <c r="D106" s="129" t="s">
        <v>263</v>
      </c>
      <c r="E106" s="256" t="s">
        <v>165</v>
      </c>
      <c r="F106" s="256">
        <v>2005960363</v>
      </c>
      <c r="G106" s="257">
        <v>4479454</v>
      </c>
      <c r="H106" s="258">
        <f t="shared" si="68"/>
        <v>373287.833333333</v>
      </c>
      <c r="I106" s="258">
        <f t="shared" si="66"/>
        <v>43550.2472222222</v>
      </c>
      <c r="J106" s="258">
        <v>6666.67</v>
      </c>
      <c r="K106" s="258">
        <v>20833.33</v>
      </c>
      <c r="L106" s="258"/>
      <c r="M106" s="258">
        <v>2500</v>
      </c>
      <c r="N106" s="258"/>
      <c r="O106" s="258"/>
      <c r="P106" s="258"/>
      <c r="Q106" s="258"/>
      <c r="R106" s="258"/>
      <c r="S106" s="258"/>
      <c r="T106" s="258"/>
      <c r="U106" s="258">
        <v>383.33</v>
      </c>
      <c r="V106" s="258"/>
      <c r="W106" s="265"/>
      <c r="X106" s="258"/>
      <c r="Y106" s="258"/>
      <c r="Z106" s="258"/>
      <c r="AA106" s="258"/>
      <c r="AB106" s="258"/>
      <c r="AC106" s="258"/>
      <c r="AD106" s="270"/>
      <c r="AE106" s="258"/>
      <c r="AF106" s="258"/>
      <c r="AG106" s="270">
        <f t="shared" si="64"/>
        <v>7465.75666666667</v>
      </c>
      <c r="AH106" s="270">
        <f>5000</f>
        <v>5000</v>
      </c>
      <c r="AI106" s="278"/>
      <c r="AJ106" s="280"/>
      <c r="AK106" s="280"/>
      <c r="AL106" s="280"/>
      <c r="AM106" s="281">
        <f>109458.44+21000</f>
        <v>130458.44</v>
      </c>
      <c r="AN106" s="258">
        <v>10000</v>
      </c>
      <c r="AO106" s="299">
        <v>2500</v>
      </c>
      <c r="AP106" s="299"/>
      <c r="AQ106" s="299"/>
      <c r="AR106" s="299">
        <f t="shared" si="65"/>
        <v>8944.42821111111</v>
      </c>
      <c r="AS106" s="300"/>
      <c r="AT106" s="300"/>
      <c r="AU106" s="299">
        <f t="shared" si="45"/>
        <v>64533.1774933333</v>
      </c>
      <c r="AV106" s="299">
        <f>V106+U106+N106+M106+K106+J106+I106+H106</f>
        <v>447221.410555556</v>
      </c>
      <c r="AW106" s="299">
        <f>AU106+AR106+AQ106+AO106+AN106+AM106+AK106+AI106+AH106+AG106+AF106+AE106+AD106</f>
        <v>228901.802371111</v>
      </c>
      <c r="AX106" s="299"/>
      <c r="AY106" s="299"/>
      <c r="AZ106" s="299">
        <f t="shared" si="61"/>
        <v>218319.608184444</v>
      </c>
      <c r="BA106" s="305">
        <f t="shared" si="62"/>
        <v>5366656.92666667</v>
      </c>
      <c r="BB106" s="306">
        <f t="shared" si="47"/>
        <v>1273331.38533333</v>
      </c>
      <c r="BC106" s="307">
        <f t="shared" si="63"/>
        <v>0</v>
      </c>
      <c r="BD106" s="308">
        <f t="shared" si="48"/>
        <v>1273331.38533333</v>
      </c>
      <c r="BE106" s="313">
        <f t="shared" si="49"/>
        <v>4093325.54133333</v>
      </c>
      <c r="BF106" s="306"/>
      <c r="BG106" s="307">
        <f t="shared" si="50"/>
        <v>21000</v>
      </c>
      <c r="BH106" s="307">
        <f t="shared" si="51"/>
        <v>33000</v>
      </c>
      <c r="BI106" s="307">
        <f t="shared" si="52"/>
        <v>75000</v>
      </c>
      <c r="BJ106" s="307">
        <f t="shared" si="53"/>
        <v>95000</v>
      </c>
      <c r="BK106" s="307">
        <f t="shared" si="54"/>
        <v>336000</v>
      </c>
      <c r="BL106" s="307">
        <f t="shared" si="55"/>
        <v>214398.12992</v>
      </c>
      <c r="BM106" s="305">
        <f t="shared" si="56"/>
        <v>774398.12992</v>
      </c>
      <c r="BN106" s="320">
        <f t="shared" si="57"/>
        <v>53666.5692666667</v>
      </c>
      <c r="BO106" s="321">
        <f t="shared" si="58"/>
        <v>774398.12992</v>
      </c>
      <c r="BP106" s="322">
        <f t="shared" si="59"/>
        <v>64533.1774933333</v>
      </c>
      <c r="BQ106" s="323"/>
      <c r="BR106" s="324"/>
      <c r="BS106" s="325"/>
      <c r="BT106" s="326"/>
      <c r="BU106" s="326"/>
      <c r="BV106" s="334"/>
      <c r="BW106" s="335"/>
    </row>
    <row r="107" s="245" customFormat="1" ht="172.5" customHeight="1" spans="1:75">
      <c r="A107" s="255">
        <v>97</v>
      </c>
      <c r="B107" s="70" t="s">
        <v>2053</v>
      </c>
      <c r="C107" s="129" t="s">
        <v>204</v>
      </c>
      <c r="D107" s="129" t="s">
        <v>2039</v>
      </c>
      <c r="E107" s="256" t="s">
        <v>422</v>
      </c>
      <c r="F107" s="256">
        <v>1760353888</v>
      </c>
      <c r="G107" s="257">
        <f>G97</f>
        <v>2254203</v>
      </c>
      <c r="H107" s="258">
        <f t="shared" si="68"/>
        <v>187850.25</v>
      </c>
      <c r="I107" s="258">
        <f t="shared" si="66"/>
        <v>21915.8625</v>
      </c>
      <c r="J107" s="258">
        <v>5000</v>
      </c>
      <c r="K107" s="258"/>
      <c r="L107" s="258"/>
      <c r="M107" s="258">
        <v>2500</v>
      </c>
      <c r="N107" s="258"/>
      <c r="O107" s="258"/>
      <c r="P107" s="258"/>
      <c r="Q107" s="258"/>
      <c r="R107" s="258"/>
      <c r="S107" s="258"/>
      <c r="T107" s="258"/>
      <c r="U107" s="258">
        <v>383.33</v>
      </c>
      <c r="V107" s="258"/>
      <c r="W107" s="265"/>
      <c r="X107" s="258"/>
      <c r="Y107" s="258"/>
      <c r="Z107" s="258"/>
      <c r="AA107" s="258"/>
      <c r="AB107" s="258"/>
      <c r="AC107" s="258"/>
      <c r="AD107" s="270"/>
      <c r="AE107" s="258"/>
      <c r="AF107" s="258"/>
      <c r="AG107" s="270">
        <f t="shared" si="64"/>
        <v>3757.005</v>
      </c>
      <c r="AH107" s="270"/>
      <c r="AI107" s="278"/>
      <c r="AJ107" s="280"/>
      <c r="AK107" s="280"/>
      <c r="AL107" s="284">
        <v>1000</v>
      </c>
      <c r="AM107" s="281"/>
      <c r="AN107" s="258"/>
      <c r="AO107" s="299">
        <v>1500</v>
      </c>
      <c r="AP107" s="299"/>
      <c r="AQ107" s="299">
        <v>1250</v>
      </c>
      <c r="AR107" s="299">
        <f t="shared" si="65"/>
        <v>4352.98885</v>
      </c>
      <c r="AS107" s="300"/>
      <c r="AT107" s="300"/>
      <c r="AU107" s="299">
        <f t="shared" si="45"/>
        <v>23731.7730066667</v>
      </c>
      <c r="AV107" s="299">
        <f>W107+V107+U107+N107+M107+K107+J107+I107+H107</f>
        <v>217649.4425</v>
      </c>
      <c r="AW107" s="299">
        <f>AU107+AR107+AQ107+AO107+AN107+AM107+AK107+AI107+AH107+AG107+AF107+AE107+AD107+AL107</f>
        <v>35591.7668566667</v>
      </c>
      <c r="AX107" s="299"/>
      <c r="AY107" s="299"/>
      <c r="AZ107" s="299">
        <f t="shared" si="61"/>
        <v>182057.675643333</v>
      </c>
      <c r="BA107" s="305">
        <f t="shared" si="62"/>
        <v>2611793.31</v>
      </c>
      <c r="BB107" s="306">
        <f t="shared" si="47"/>
        <v>722358.662</v>
      </c>
      <c r="BC107" s="307">
        <f t="shared" si="63"/>
        <v>0</v>
      </c>
      <c r="BD107" s="308">
        <f t="shared" si="48"/>
        <v>722358.662</v>
      </c>
      <c r="BE107" s="313">
        <f t="shared" si="49"/>
        <v>1889434.648</v>
      </c>
      <c r="BF107" s="306"/>
      <c r="BG107" s="307">
        <f t="shared" si="50"/>
        <v>21000</v>
      </c>
      <c r="BH107" s="307">
        <f t="shared" si="51"/>
        <v>33000</v>
      </c>
      <c r="BI107" s="307">
        <f t="shared" si="52"/>
        <v>75000</v>
      </c>
      <c r="BJ107" s="307">
        <f t="shared" si="53"/>
        <v>95000</v>
      </c>
      <c r="BK107" s="307">
        <f t="shared" si="54"/>
        <v>60781.27608</v>
      </c>
      <c r="BL107" s="307" t="str">
        <f t="shared" si="55"/>
        <v/>
      </c>
      <c r="BM107" s="305">
        <f t="shared" si="56"/>
        <v>284781.27608</v>
      </c>
      <c r="BN107" s="320">
        <f t="shared" si="57"/>
        <v>26117.9331</v>
      </c>
      <c r="BO107" s="321">
        <f t="shared" si="58"/>
        <v>284781.27608</v>
      </c>
      <c r="BP107" s="322">
        <f t="shared" si="59"/>
        <v>23731.7730066667</v>
      </c>
      <c r="BQ107" s="323"/>
      <c r="BR107" s="324"/>
      <c r="BS107" s="325"/>
      <c r="BT107" s="326"/>
      <c r="BU107" s="326"/>
      <c r="BV107" s="334"/>
      <c r="BW107" s="335"/>
    </row>
    <row r="108" s="245" customFormat="1" ht="172.5" customHeight="1" spans="1:75">
      <c r="A108" s="255">
        <v>98</v>
      </c>
      <c r="B108" s="70" t="s">
        <v>373</v>
      </c>
      <c r="C108" s="129" t="s">
        <v>204</v>
      </c>
      <c r="D108" s="129" t="s">
        <v>205</v>
      </c>
      <c r="E108" s="256" t="s">
        <v>135</v>
      </c>
      <c r="F108" s="1469" t="s">
        <v>374</v>
      </c>
      <c r="G108" s="257">
        <v>2090081</v>
      </c>
      <c r="H108" s="258">
        <f t="shared" si="68"/>
        <v>174173.416666667</v>
      </c>
      <c r="I108" s="258">
        <f t="shared" si="66"/>
        <v>20320.2319444444</v>
      </c>
      <c r="J108" s="258">
        <v>5000</v>
      </c>
      <c r="K108" s="258"/>
      <c r="L108" s="258"/>
      <c r="M108" s="258">
        <v>2500</v>
      </c>
      <c r="N108" s="258"/>
      <c r="O108" s="258"/>
      <c r="P108" s="258"/>
      <c r="Q108" s="258"/>
      <c r="R108" s="258"/>
      <c r="S108" s="258"/>
      <c r="T108" s="258"/>
      <c r="U108" s="258">
        <v>383.33</v>
      </c>
      <c r="V108" s="258"/>
      <c r="W108" s="265"/>
      <c r="X108" s="258"/>
      <c r="Y108" s="258"/>
      <c r="Z108" s="258"/>
      <c r="AA108" s="258"/>
      <c r="AB108" s="258"/>
      <c r="AC108" s="258"/>
      <c r="AD108" s="270"/>
      <c r="AE108" s="258"/>
      <c r="AF108" s="258">
        <v>1750</v>
      </c>
      <c r="AG108" s="270">
        <f t="shared" si="64"/>
        <v>3483.46833333333</v>
      </c>
      <c r="AH108" s="270">
        <f>10000</f>
        <v>10000</v>
      </c>
      <c r="AI108" s="278"/>
      <c r="AJ108" s="280"/>
      <c r="AK108" s="280"/>
      <c r="AL108" s="284">
        <v>1000</v>
      </c>
      <c r="AM108" s="281">
        <v>35000</v>
      </c>
      <c r="AN108" s="258"/>
      <c r="AO108" s="299">
        <v>1500</v>
      </c>
      <c r="AP108" s="299"/>
      <c r="AQ108" s="299"/>
      <c r="AR108" s="299">
        <f t="shared" si="65"/>
        <v>4047.53957222222</v>
      </c>
      <c r="AS108" s="300"/>
      <c r="AT108" s="300"/>
      <c r="AU108" s="299">
        <f t="shared" si="45"/>
        <v>21165.9990733333</v>
      </c>
      <c r="AV108" s="299">
        <f>V108+U108+N108+M108+K108+J108+I108+H108</f>
        <v>202376.978611111</v>
      </c>
      <c r="AW108" s="299">
        <f>AU108+AR108+AQ108+AO108+AN108+AM108+AK108+AI108+AH108+AG108+AF108+AE108+AD108+AL108</f>
        <v>77947.0069788889</v>
      </c>
      <c r="AX108" s="299"/>
      <c r="AY108" s="299"/>
      <c r="AZ108" s="299">
        <f t="shared" si="61"/>
        <v>124429.971632222</v>
      </c>
      <c r="BA108" s="305">
        <f t="shared" si="62"/>
        <v>2428523.74333333</v>
      </c>
      <c r="BB108" s="306">
        <f t="shared" si="47"/>
        <v>685704.748666667</v>
      </c>
      <c r="BC108" s="307">
        <f t="shared" si="63"/>
        <v>0</v>
      </c>
      <c r="BD108" s="308">
        <f t="shared" si="48"/>
        <v>685704.748666667</v>
      </c>
      <c r="BE108" s="313">
        <f t="shared" si="49"/>
        <v>1742818.99466667</v>
      </c>
      <c r="BF108" s="306"/>
      <c r="BG108" s="307">
        <f t="shared" si="50"/>
        <v>21000</v>
      </c>
      <c r="BH108" s="307">
        <f t="shared" si="51"/>
        <v>33000</v>
      </c>
      <c r="BI108" s="307">
        <f t="shared" si="52"/>
        <v>75000</v>
      </c>
      <c r="BJ108" s="307">
        <f t="shared" si="53"/>
        <v>95000</v>
      </c>
      <c r="BK108" s="307">
        <f t="shared" si="54"/>
        <v>29991.98888</v>
      </c>
      <c r="BL108" s="307" t="str">
        <f t="shared" si="55"/>
        <v/>
      </c>
      <c r="BM108" s="305">
        <f t="shared" si="56"/>
        <v>253991.98888</v>
      </c>
      <c r="BN108" s="320">
        <f t="shared" si="57"/>
        <v>24285.2374333333</v>
      </c>
      <c r="BO108" s="321">
        <f t="shared" si="58"/>
        <v>253991.98888</v>
      </c>
      <c r="BP108" s="322">
        <f t="shared" si="59"/>
        <v>21165.9990733333</v>
      </c>
      <c r="BQ108" s="323"/>
      <c r="BR108" s="324"/>
      <c r="BS108" s="325"/>
      <c r="BT108" s="326"/>
      <c r="BU108" s="326"/>
      <c r="BV108" s="334"/>
      <c r="BW108" s="335"/>
    </row>
    <row r="109" s="245" customFormat="1" ht="180" customHeight="1" spans="1:75">
      <c r="A109" s="255">
        <v>99</v>
      </c>
      <c r="B109" s="70" t="s">
        <v>375</v>
      </c>
      <c r="C109" s="129" t="s">
        <v>221</v>
      </c>
      <c r="D109" s="129" t="s">
        <v>555</v>
      </c>
      <c r="E109" s="128" t="s">
        <v>122</v>
      </c>
      <c r="F109" s="1469" t="s">
        <v>377</v>
      </c>
      <c r="G109" s="257">
        <v>1796468</v>
      </c>
      <c r="H109" s="258">
        <f t="shared" si="68"/>
        <v>149705.666666667</v>
      </c>
      <c r="I109" s="258">
        <f t="shared" si="66"/>
        <v>17465.6611111111</v>
      </c>
      <c r="J109" s="258">
        <v>5000</v>
      </c>
      <c r="K109" s="258"/>
      <c r="L109" s="258"/>
      <c r="M109" s="258">
        <v>2500</v>
      </c>
      <c r="N109" s="258"/>
      <c r="O109" s="258"/>
      <c r="P109" s="258"/>
      <c r="Q109" s="258"/>
      <c r="R109" s="258"/>
      <c r="S109" s="258"/>
      <c r="T109" s="258"/>
      <c r="U109" s="258">
        <v>383.33</v>
      </c>
      <c r="V109" s="258"/>
      <c r="W109" s="265"/>
      <c r="X109" s="258"/>
      <c r="Y109" s="258"/>
      <c r="Z109" s="258"/>
      <c r="AA109" s="258"/>
      <c r="AB109" s="258"/>
      <c r="AC109" s="258"/>
      <c r="AD109" s="270"/>
      <c r="AE109" s="258"/>
      <c r="AF109" s="258">
        <v>3000</v>
      </c>
      <c r="AG109" s="270">
        <f t="shared" si="64"/>
        <v>2994.11333333333</v>
      </c>
      <c r="AH109" s="270">
        <v>20000</v>
      </c>
      <c r="AI109" s="282">
        <v>1000</v>
      </c>
      <c r="AJ109" s="279"/>
      <c r="AK109" s="279"/>
      <c r="AL109" s="279"/>
      <c r="AM109" s="281">
        <f>10000+14000</f>
        <v>24000</v>
      </c>
      <c r="AN109" s="258"/>
      <c r="AO109" s="299">
        <v>1000</v>
      </c>
      <c r="AP109" s="299"/>
      <c r="AQ109" s="299"/>
      <c r="AR109" s="299">
        <f t="shared" si="65"/>
        <v>3501.09315555556</v>
      </c>
      <c r="AS109" s="300"/>
      <c r="AT109" s="300"/>
      <c r="AU109" s="299">
        <f t="shared" si="45"/>
        <v>16774.9746488889</v>
      </c>
      <c r="AV109" s="299">
        <f>W109+V109+U109+N109+M109+K109+J109+I109+H109</f>
        <v>175054.657777778</v>
      </c>
      <c r="AW109" s="299">
        <f>AU109+AR109+AQ109+AO109+AN109+AM109+AK109+AI109+AH109+AG109+AF109+AE109+AD109</f>
        <v>72270.1811377778</v>
      </c>
      <c r="AX109" s="299"/>
      <c r="AY109" s="299"/>
      <c r="AZ109" s="299">
        <f t="shared" si="61"/>
        <v>102784.47664</v>
      </c>
      <c r="BA109" s="305">
        <f t="shared" si="62"/>
        <v>2100655.89333333</v>
      </c>
      <c r="BB109" s="306">
        <f t="shared" si="47"/>
        <v>620131.178666667</v>
      </c>
      <c r="BC109" s="307">
        <f t="shared" si="63"/>
        <v>0</v>
      </c>
      <c r="BD109" s="308">
        <f t="shared" si="48"/>
        <v>620131.178666667</v>
      </c>
      <c r="BE109" s="313">
        <f t="shared" si="49"/>
        <v>1480524.71466667</v>
      </c>
      <c r="BF109" s="306"/>
      <c r="BG109" s="307">
        <f t="shared" si="50"/>
        <v>21000</v>
      </c>
      <c r="BH109" s="307">
        <f t="shared" si="51"/>
        <v>33000</v>
      </c>
      <c r="BI109" s="307">
        <f t="shared" si="52"/>
        <v>75000</v>
      </c>
      <c r="BJ109" s="307">
        <f t="shared" si="53"/>
        <v>72299.6957866666</v>
      </c>
      <c r="BK109" s="307" t="str">
        <f t="shared" si="54"/>
        <v/>
      </c>
      <c r="BL109" s="307" t="str">
        <f t="shared" si="55"/>
        <v/>
      </c>
      <c r="BM109" s="305">
        <f t="shared" si="56"/>
        <v>201299.695786667</v>
      </c>
      <c r="BN109" s="320">
        <f t="shared" si="57"/>
        <v>21006.5589333333</v>
      </c>
      <c r="BO109" s="321">
        <f t="shared" si="58"/>
        <v>201299.695786667</v>
      </c>
      <c r="BP109" s="322">
        <f t="shared" si="59"/>
        <v>16774.9746488889</v>
      </c>
      <c r="BQ109" s="323"/>
      <c r="BR109" s="324"/>
      <c r="BS109" s="325"/>
      <c r="BT109" s="326"/>
      <c r="BU109" s="326"/>
      <c r="BV109" s="334"/>
      <c r="BW109" s="335"/>
    </row>
    <row r="110" s="245" customFormat="1" ht="172.5" customHeight="1" spans="1:75">
      <c r="A110" s="255">
        <v>100</v>
      </c>
      <c r="B110" s="70" t="s">
        <v>378</v>
      </c>
      <c r="C110" s="129" t="s">
        <v>2054</v>
      </c>
      <c r="D110" s="129" t="s">
        <v>308</v>
      </c>
      <c r="E110" s="256" t="s">
        <v>165</v>
      </c>
      <c r="F110" s="256">
        <v>1005655901</v>
      </c>
      <c r="G110" s="257">
        <f>H110*12</f>
        <v>1925865</v>
      </c>
      <c r="H110" s="258">
        <v>160488.75</v>
      </c>
      <c r="I110" s="258"/>
      <c r="J110" s="258"/>
      <c r="K110" s="258"/>
      <c r="L110" s="258"/>
      <c r="M110" s="258">
        <v>2500</v>
      </c>
      <c r="N110" s="258"/>
      <c r="O110" s="258">
        <v>48146.63</v>
      </c>
      <c r="P110" s="258">
        <v>72219.94</v>
      </c>
      <c r="Q110" s="258">
        <v>40122.19</v>
      </c>
      <c r="R110" s="258">
        <v>16048.88</v>
      </c>
      <c r="S110" s="258">
        <v>24073.31</v>
      </c>
      <c r="T110" s="258">
        <v>32097.75</v>
      </c>
      <c r="U110" s="258">
        <v>383.33</v>
      </c>
      <c r="V110" s="258">
        <v>62500</v>
      </c>
      <c r="W110" s="265">
        <v>128000</v>
      </c>
      <c r="X110" s="258"/>
      <c r="Y110" s="258">
        <v>62500</v>
      </c>
      <c r="Z110" s="258"/>
      <c r="AA110" s="258"/>
      <c r="AB110" s="258"/>
      <c r="AC110" s="258"/>
      <c r="AD110" s="270"/>
      <c r="AE110" s="258"/>
      <c r="AF110" s="258"/>
      <c r="AG110" s="270">
        <f t="shared" si="64"/>
        <v>3209.775</v>
      </c>
      <c r="AH110" s="270"/>
      <c r="AI110" s="278"/>
      <c r="AJ110" s="279">
        <v>1000</v>
      </c>
      <c r="AK110" s="280"/>
      <c r="AL110" s="280"/>
      <c r="AM110" s="281">
        <v>102500</v>
      </c>
      <c r="AN110" s="258"/>
      <c r="AO110" s="299">
        <v>3500</v>
      </c>
      <c r="AP110" s="299"/>
      <c r="AQ110" s="299"/>
      <c r="AR110" s="299">
        <f t="shared" si="65"/>
        <v>11731.6156</v>
      </c>
      <c r="AS110" s="300"/>
      <c r="AT110" s="300"/>
      <c r="AU110" s="299">
        <f t="shared" si="45"/>
        <v>91290.1764266667</v>
      </c>
      <c r="AV110" s="299">
        <f>W110+V110+U110+N110+M110+K110+J110+I110+H110+T110+S110+R110+Q110+P110+O110</f>
        <v>586580.78</v>
      </c>
      <c r="AW110" s="299">
        <f>AU110+AR110+AQ110+AO110+AN110+AM110+AK110+AJ110+AI110+AH110+AG110</f>
        <v>213231.567026667</v>
      </c>
      <c r="AX110" s="299"/>
      <c r="AY110" s="299"/>
      <c r="AZ110" s="299">
        <f t="shared" si="61"/>
        <v>373349.212973333</v>
      </c>
      <c r="BA110" s="305">
        <f t="shared" si="62"/>
        <v>7038969.36</v>
      </c>
      <c r="BB110" s="306">
        <f t="shared" si="47"/>
        <v>1607793.872</v>
      </c>
      <c r="BC110" s="307">
        <f t="shared" si="63"/>
        <v>0</v>
      </c>
      <c r="BD110" s="308">
        <f t="shared" si="48"/>
        <v>1607793.872</v>
      </c>
      <c r="BE110" s="313">
        <f t="shared" si="49"/>
        <v>5431175.488</v>
      </c>
      <c r="BF110" s="306"/>
      <c r="BG110" s="307">
        <f t="shared" si="50"/>
        <v>21000</v>
      </c>
      <c r="BH110" s="307">
        <f t="shared" si="51"/>
        <v>33000</v>
      </c>
      <c r="BI110" s="307">
        <f t="shared" si="52"/>
        <v>75000</v>
      </c>
      <c r="BJ110" s="307">
        <f t="shared" si="53"/>
        <v>95000</v>
      </c>
      <c r="BK110" s="307">
        <f t="shared" si="54"/>
        <v>336000</v>
      </c>
      <c r="BL110" s="307">
        <f t="shared" si="55"/>
        <v>535482.11712</v>
      </c>
      <c r="BM110" s="305">
        <f t="shared" si="56"/>
        <v>1095482.11712</v>
      </c>
      <c r="BN110" s="320">
        <f t="shared" si="57"/>
        <v>70389.6936</v>
      </c>
      <c r="BO110" s="321">
        <f t="shared" si="58"/>
        <v>1095482.11712</v>
      </c>
      <c r="BP110" s="322">
        <f t="shared" si="59"/>
        <v>91290.1764266667</v>
      </c>
      <c r="BQ110" s="323"/>
      <c r="BR110" s="324"/>
      <c r="BS110" s="325"/>
      <c r="BT110" s="326"/>
      <c r="BU110" s="326"/>
      <c r="BV110" s="334"/>
      <c r="BW110" s="335"/>
    </row>
    <row r="111" s="245" customFormat="1" ht="172.5" customHeight="1" spans="1:75">
      <c r="A111" s="255">
        <v>101</v>
      </c>
      <c r="B111" s="70" t="s">
        <v>2055</v>
      </c>
      <c r="C111" s="129" t="s">
        <v>2056</v>
      </c>
      <c r="D111" s="129" t="s">
        <v>2057</v>
      </c>
      <c r="E111" s="256" t="s">
        <v>101</v>
      </c>
      <c r="F111" s="1469" t="s">
        <v>2058</v>
      </c>
      <c r="G111" s="257">
        <v>5957106</v>
      </c>
      <c r="H111" s="258">
        <f>G111/12</f>
        <v>496425.5</v>
      </c>
      <c r="I111" s="258">
        <f t="shared" ref="I111" si="69">H111*0.35/3</f>
        <v>57916.3083333333</v>
      </c>
      <c r="J111" s="258">
        <v>6666.66</v>
      </c>
      <c r="K111" s="258"/>
      <c r="L111" s="258"/>
      <c r="M111" s="258">
        <v>2500</v>
      </c>
      <c r="N111" s="258"/>
      <c r="O111" s="258"/>
      <c r="P111" s="258"/>
      <c r="Q111" s="258"/>
      <c r="R111" s="258"/>
      <c r="S111" s="258"/>
      <c r="T111" s="258"/>
      <c r="U111" s="258">
        <v>383.33</v>
      </c>
      <c r="V111" s="258"/>
      <c r="W111" s="265"/>
      <c r="X111" s="258"/>
      <c r="Y111" s="258">
        <v>62500</v>
      </c>
      <c r="Z111" s="258"/>
      <c r="AA111" s="258"/>
      <c r="AB111" s="258"/>
      <c r="AC111" s="258"/>
      <c r="AD111" s="270"/>
      <c r="AE111" s="258"/>
      <c r="AF111" s="258"/>
      <c r="AG111" s="270">
        <f t="shared" si="64"/>
        <v>9928.51</v>
      </c>
      <c r="AH111" s="270"/>
      <c r="AI111" s="278"/>
      <c r="AJ111" s="279">
        <v>1000</v>
      </c>
      <c r="AK111" s="280"/>
      <c r="AL111" s="280"/>
      <c r="AM111" s="281"/>
      <c r="AN111" s="258"/>
      <c r="AO111" s="299">
        <v>3500</v>
      </c>
      <c r="AP111" s="299"/>
      <c r="AQ111" s="299"/>
      <c r="AR111" s="299">
        <f t="shared" si="65"/>
        <v>11277.8359666667</v>
      </c>
      <c r="AS111" s="300"/>
      <c r="AT111" s="300"/>
      <c r="AU111" s="299">
        <f t="shared" si="45"/>
        <v>86933.8919466667</v>
      </c>
      <c r="AV111" s="299">
        <f>W111+V111+U111+N111+M111+K111+J111+I111+H111+T111+S111+R111+Q111+P111+O111</f>
        <v>563891.798333333</v>
      </c>
      <c r="AW111" s="299">
        <f>AU111+AR111+AQ111+AO111+AN111+AM111+AK111+AJ111+AI111+AH111+AG111</f>
        <v>112640.237913333</v>
      </c>
      <c r="AX111" s="299"/>
      <c r="AY111" s="299"/>
      <c r="AZ111" s="299">
        <f t="shared" si="61"/>
        <v>451251.56042</v>
      </c>
      <c r="BA111" s="305">
        <f t="shared" si="62"/>
        <v>6766701.58</v>
      </c>
      <c r="BB111" s="306">
        <f t="shared" si="47"/>
        <v>1553340.316</v>
      </c>
      <c r="BC111" s="307">
        <f t="shared" si="63"/>
        <v>0</v>
      </c>
      <c r="BD111" s="308">
        <f t="shared" si="48"/>
        <v>1553340.316</v>
      </c>
      <c r="BE111" s="313">
        <f t="shared" si="49"/>
        <v>5213361.264</v>
      </c>
      <c r="BF111" s="306"/>
      <c r="BG111" s="307">
        <f t="shared" si="50"/>
        <v>21000</v>
      </c>
      <c r="BH111" s="307">
        <f t="shared" si="51"/>
        <v>33000</v>
      </c>
      <c r="BI111" s="307">
        <f t="shared" si="52"/>
        <v>75000</v>
      </c>
      <c r="BJ111" s="307">
        <f t="shared" si="53"/>
        <v>95000</v>
      </c>
      <c r="BK111" s="307">
        <f t="shared" si="54"/>
        <v>336000</v>
      </c>
      <c r="BL111" s="307">
        <f t="shared" si="55"/>
        <v>483206.70336</v>
      </c>
      <c r="BM111" s="305">
        <f t="shared" si="56"/>
        <v>1043206.70336</v>
      </c>
      <c r="BN111" s="320">
        <f t="shared" si="57"/>
        <v>67667.0158</v>
      </c>
      <c r="BO111" s="321">
        <f t="shared" si="58"/>
        <v>1043206.70336</v>
      </c>
      <c r="BP111" s="322">
        <f t="shared" si="59"/>
        <v>86933.8919466667</v>
      </c>
      <c r="BQ111" s="323"/>
      <c r="BR111" s="324"/>
      <c r="BS111" s="325"/>
      <c r="BT111" s="326"/>
      <c r="BU111" s="326"/>
      <c r="BV111" s="334"/>
      <c r="BW111" s="335"/>
    </row>
    <row r="112" s="245" customFormat="1" ht="172.5" customHeight="1" spans="1:75">
      <c r="A112" s="255">
        <v>102</v>
      </c>
      <c r="B112" s="70" t="s">
        <v>2059</v>
      </c>
      <c r="C112" s="129" t="s">
        <v>2056</v>
      </c>
      <c r="D112" s="129" t="s">
        <v>2057</v>
      </c>
      <c r="E112" s="256" t="s">
        <v>113</v>
      </c>
      <c r="F112" s="256">
        <v>2090470273</v>
      </c>
      <c r="G112" s="257">
        <v>5957106</v>
      </c>
      <c r="H112" s="258">
        <f>G112/12</f>
        <v>496425.5</v>
      </c>
      <c r="I112" s="258">
        <f>I111</f>
        <v>57916.3083333333</v>
      </c>
      <c r="J112" s="258">
        <v>6666.66</v>
      </c>
      <c r="K112" s="258">
        <f>K123</f>
        <v>20833.33</v>
      </c>
      <c r="L112" s="258"/>
      <c r="M112" s="258">
        <v>2500</v>
      </c>
      <c r="N112" s="258"/>
      <c r="O112" s="258"/>
      <c r="P112" s="258"/>
      <c r="Q112" s="258"/>
      <c r="R112" s="258"/>
      <c r="S112" s="258"/>
      <c r="T112" s="258"/>
      <c r="U112" s="258">
        <v>383.33</v>
      </c>
      <c r="V112" s="258"/>
      <c r="W112" s="265"/>
      <c r="X112" s="258"/>
      <c r="Y112" s="258">
        <v>62500</v>
      </c>
      <c r="Z112" s="258"/>
      <c r="AA112" s="258"/>
      <c r="AB112" s="258"/>
      <c r="AC112" s="258"/>
      <c r="AD112" s="270"/>
      <c r="AE112" s="258"/>
      <c r="AF112" s="258"/>
      <c r="AG112" s="270">
        <f t="shared" si="64"/>
        <v>9928.51</v>
      </c>
      <c r="AH112" s="270"/>
      <c r="AI112" s="278"/>
      <c r="AJ112" s="279">
        <v>1000</v>
      </c>
      <c r="AK112" s="280"/>
      <c r="AL112" s="280"/>
      <c r="AM112" s="281"/>
      <c r="AN112" s="258"/>
      <c r="AO112" s="299">
        <v>3500</v>
      </c>
      <c r="AP112" s="299"/>
      <c r="AQ112" s="299"/>
      <c r="AR112" s="299">
        <f t="shared" si="65"/>
        <v>11694.5025666667</v>
      </c>
      <c r="AS112" s="300"/>
      <c r="AT112" s="300"/>
      <c r="AU112" s="299">
        <f t="shared" si="45"/>
        <v>86933.8919466667</v>
      </c>
      <c r="AV112" s="299">
        <f>W112+V112+U112+N112+M112+K112+J112+I112+H112</f>
        <v>584725.128333333</v>
      </c>
      <c r="AW112" s="299">
        <f>AU112+AR112+AQ112+AO112+AN112+AM112+AK112+AJ112+AI112+AH112+AG112</f>
        <v>113056.904513333</v>
      </c>
      <c r="AX112" s="299"/>
      <c r="AY112" s="299"/>
      <c r="AZ112" s="299">
        <f t="shared" si="61"/>
        <v>471668.22382</v>
      </c>
      <c r="BA112" s="305">
        <f t="shared" si="62"/>
        <v>7016701.54</v>
      </c>
      <c r="BB112" s="306">
        <f t="shared" si="47"/>
        <v>1603340.308</v>
      </c>
      <c r="BC112" s="307">
        <f t="shared" si="63"/>
        <v>0</v>
      </c>
      <c r="BD112" s="308">
        <f t="shared" si="48"/>
        <v>1603340.308</v>
      </c>
      <c r="BE112" s="313">
        <f t="shared" si="49"/>
        <v>5413361.232</v>
      </c>
      <c r="BF112" s="306"/>
      <c r="BG112" s="307">
        <f t="shared" si="50"/>
        <v>21000</v>
      </c>
      <c r="BH112" s="307">
        <f t="shared" si="51"/>
        <v>33000</v>
      </c>
      <c r="BI112" s="307">
        <f t="shared" si="52"/>
        <v>75000</v>
      </c>
      <c r="BJ112" s="307">
        <f t="shared" si="53"/>
        <v>95000</v>
      </c>
      <c r="BK112" s="307">
        <f t="shared" si="54"/>
        <v>336000</v>
      </c>
      <c r="BL112" s="307">
        <f t="shared" si="55"/>
        <v>531206.69568</v>
      </c>
      <c r="BM112" s="305">
        <f t="shared" si="56"/>
        <v>1091206.69568</v>
      </c>
      <c r="BN112" s="320">
        <f t="shared" si="57"/>
        <v>70167.0154</v>
      </c>
      <c r="BO112" s="321">
        <f t="shared" si="58"/>
        <v>1091206.69568</v>
      </c>
      <c r="BP112" s="322">
        <f>BP111</f>
        <v>86933.8919466667</v>
      </c>
      <c r="BQ112" s="323"/>
      <c r="BR112" s="324"/>
      <c r="BS112" s="325"/>
      <c r="BT112" s="326"/>
      <c r="BU112" s="326"/>
      <c r="BV112" s="334"/>
      <c r="BW112" s="335"/>
    </row>
    <row r="113" s="245" customFormat="1" ht="172.5" customHeight="1" spans="1:75">
      <c r="A113" s="255">
        <v>103</v>
      </c>
      <c r="B113" s="70" t="s">
        <v>382</v>
      </c>
      <c r="C113" s="129" t="s">
        <v>204</v>
      </c>
      <c r="D113" s="129" t="s">
        <v>205</v>
      </c>
      <c r="E113" s="256" t="s">
        <v>93</v>
      </c>
      <c r="F113" s="256">
        <v>3088351059</v>
      </c>
      <c r="G113" s="257">
        <f>G108</f>
        <v>2090081</v>
      </c>
      <c r="H113" s="258">
        <f>H108</f>
        <v>174173.416666667</v>
      </c>
      <c r="I113" s="258">
        <f t="shared" ref="I113:I172" si="70">H113*0.35/3</f>
        <v>20320.2319444444</v>
      </c>
      <c r="J113" s="258">
        <v>5000</v>
      </c>
      <c r="K113" s="258"/>
      <c r="L113" s="258"/>
      <c r="M113" s="258">
        <v>2500</v>
      </c>
      <c r="N113" s="258"/>
      <c r="O113" s="258"/>
      <c r="P113" s="258"/>
      <c r="Q113" s="258"/>
      <c r="R113" s="258"/>
      <c r="S113" s="258"/>
      <c r="T113" s="258"/>
      <c r="U113" s="258">
        <v>383.33</v>
      </c>
      <c r="V113" s="258"/>
      <c r="W113" s="265"/>
      <c r="X113" s="258"/>
      <c r="Y113" s="258"/>
      <c r="Z113" s="258"/>
      <c r="AA113" s="258"/>
      <c r="AB113" s="258"/>
      <c r="AC113" s="258"/>
      <c r="AD113" s="270"/>
      <c r="AE113" s="258"/>
      <c r="AF113" s="258">
        <v>2250</v>
      </c>
      <c r="AG113" s="270">
        <f t="shared" si="64"/>
        <v>3483.46833333333</v>
      </c>
      <c r="AH113" s="270">
        <f>10000</f>
        <v>10000</v>
      </c>
      <c r="AI113" s="285">
        <v>1000</v>
      </c>
      <c r="AJ113" s="286"/>
      <c r="AK113" s="286"/>
      <c r="AL113" s="286"/>
      <c r="AM113" s="281">
        <v>20000</v>
      </c>
      <c r="AN113" s="258"/>
      <c r="AO113" s="299">
        <v>1500</v>
      </c>
      <c r="AP113" s="299"/>
      <c r="AQ113" s="299"/>
      <c r="AR113" s="299">
        <f t="shared" si="65"/>
        <v>4047.53957222222</v>
      </c>
      <c r="AS113" s="300"/>
      <c r="AT113" s="300"/>
      <c r="AU113" s="299">
        <f t="shared" si="45"/>
        <v>21165.9990733333</v>
      </c>
      <c r="AV113" s="299">
        <f>V113+U113+N113+M113+K113+J113+I113+H113</f>
        <v>202376.978611111</v>
      </c>
      <c r="AW113" s="299">
        <f>AU113+AR113+AQ113+AO113+AN113+AM113+AK113+AI113+AH113+AG113+AF113+AE113+AD113</f>
        <v>63447.0069788889</v>
      </c>
      <c r="AX113" s="299"/>
      <c r="AY113" s="299"/>
      <c r="AZ113" s="299">
        <f t="shared" si="61"/>
        <v>138929.971632222</v>
      </c>
      <c r="BA113" s="305">
        <f t="shared" si="62"/>
        <v>2428523.74333333</v>
      </c>
      <c r="BB113" s="306">
        <f t="shared" si="47"/>
        <v>685704.748666667</v>
      </c>
      <c r="BC113" s="307">
        <f t="shared" si="63"/>
        <v>0</v>
      </c>
      <c r="BD113" s="308">
        <f t="shared" si="48"/>
        <v>685704.748666667</v>
      </c>
      <c r="BE113" s="313">
        <f t="shared" si="49"/>
        <v>1742818.99466667</v>
      </c>
      <c r="BF113" s="306"/>
      <c r="BG113" s="307">
        <f t="shared" si="50"/>
        <v>21000</v>
      </c>
      <c r="BH113" s="307">
        <f t="shared" si="51"/>
        <v>33000</v>
      </c>
      <c r="BI113" s="307">
        <f t="shared" si="52"/>
        <v>75000</v>
      </c>
      <c r="BJ113" s="307">
        <f t="shared" si="53"/>
        <v>95000</v>
      </c>
      <c r="BK113" s="307">
        <f t="shared" si="54"/>
        <v>29991.98888</v>
      </c>
      <c r="BL113" s="307" t="str">
        <f t="shared" si="55"/>
        <v/>
      </c>
      <c r="BM113" s="305">
        <f t="shared" si="56"/>
        <v>253991.98888</v>
      </c>
      <c r="BN113" s="320">
        <f t="shared" si="57"/>
        <v>24285.2374333333</v>
      </c>
      <c r="BO113" s="321">
        <f t="shared" si="58"/>
        <v>253991.98888</v>
      </c>
      <c r="BP113" s="322">
        <f t="shared" si="59"/>
        <v>21165.9990733333</v>
      </c>
      <c r="BQ113" s="323"/>
      <c r="BR113" s="324"/>
      <c r="BS113" s="325"/>
      <c r="BT113" s="326"/>
      <c r="BU113" s="326"/>
      <c r="BV113" s="334"/>
      <c r="BW113" s="335"/>
    </row>
    <row r="114" s="245" customFormat="1" ht="172.5" customHeight="1" spans="1:75">
      <c r="A114" s="255">
        <v>104</v>
      </c>
      <c r="B114" s="70" t="s">
        <v>383</v>
      </c>
      <c r="C114" s="129" t="s">
        <v>221</v>
      </c>
      <c r="D114" s="129" t="s">
        <v>2060</v>
      </c>
      <c r="E114" s="256" t="s">
        <v>97</v>
      </c>
      <c r="F114" s="1469" t="s">
        <v>2061</v>
      </c>
      <c r="G114" s="257">
        <v>1796468</v>
      </c>
      <c r="H114" s="258">
        <f>G114/12</f>
        <v>149705.666666667</v>
      </c>
      <c r="I114" s="258">
        <f t="shared" si="70"/>
        <v>17465.6611111111</v>
      </c>
      <c r="J114" s="258">
        <v>5000</v>
      </c>
      <c r="K114" s="258"/>
      <c r="L114" s="258"/>
      <c r="M114" s="258">
        <v>2500</v>
      </c>
      <c r="N114" s="258"/>
      <c r="O114" s="258"/>
      <c r="P114" s="258"/>
      <c r="Q114" s="258"/>
      <c r="R114" s="258"/>
      <c r="S114" s="258"/>
      <c r="T114" s="258"/>
      <c r="U114" s="258">
        <v>383.33</v>
      </c>
      <c r="V114" s="258"/>
      <c r="W114" s="265"/>
      <c r="X114" s="258"/>
      <c r="Y114" s="258"/>
      <c r="Z114" s="258"/>
      <c r="AA114" s="258"/>
      <c r="AB114" s="258"/>
      <c r="AC114" s="258"/>
      <c r="AD114" s="270"/>
      <c r="AE114" s="258"/>
      <c r="AF114" s="258">
        <v>1500</v>
      </c>
      <c r="AG114" s="270">
        <f t="shared" si="64"/>
        <v>2994.11333333333</v>
      </c>
      <c r="AH114" s="270"/>
      <c r="AI114" s="278"/>
      <c r="AJ114" s="280"/>
      <c r="AK114" s="280"/>
      <c r="AL114" s="284">
        <v>1000</v>
      </c>
      <c r="AM114" s="281">
        <v>20000</v>
      </c>
      <c r="AN114" s="258"/>
      <c r="AO114" s="299">
        <v>1000</v>
      </c>
      <c r="AP114" s="299"/>
      <c r="AQ114" s="299"/>
      <c r="AR114" s="299">
        <f t="shared" si="65"/>
        <v>3501.09315555556</v>
      </c>
      <c r="AS114" s="300"/>
      <c r="AT114" s="300"/>
      <c r="AU114" s="299">
        <f t="shared" si="45"/>
        <v>16774.9746488889</v>
      </c>
      <c r="AV114" s="299">
        <f>W114+V114+U114+N114+M114+K114+J114+I114+H114</f>
        <v>175054.657777778</v>
      </c>
      <c r="AW114" s="299">
        <f>AU114+AR114+AQ114+AO114+AN114+AM114+AK114+AI114+AH114+AG114+AF114+AE114+AD114+AL114</f>
        <v>46770.1811377778</v>
      </c>
      <c r="AX114" s="299"/>
      <c r="AY114" s="299"/>
      <c r="AZ114" s="299">
        <f t="shared" si="61"/>
        <v>128284.47664</v>
      </c>
      <c r="BA114" s="305">
        <f t="shared" si="62"/>
        <v>2100655.89333333</v>
      </c>
      <c r="BB114" s="306">
        <f t="shared" si="47"/>
        <v>620131.178666667</v>
      </c>
      <c r="BC114" s="307">
        <f t="shared" si="63"/>
        <v>0</v>
      </c>
      <c r="BD114" s="308">
        <f t="shared" si="48"/>
        <v>620131.178666667</v>
      </c>
      <c r="BE114" s="313">
        <f t="shared" si="49"/>
        <v>1480524.71466667</v>
      </c>
      <c r="BF114" s="306"/>
      <c r="BG114" s="307">
        <f t="shared" si="50"/>
        <v>21000</v>
      </c>
      <c r="BH114" s="307">
        <f t="shared" si="51"/>
        <v>33000</v>
      </c>
      <c r="BI114" s="307">
        <f t="shared" si="52"/>
        <v>75000</v>
      </c>
      <c r="BJ114" s="307">
        <f t="shared" si="53"/>
        <v>72299.6957866666</v>
      </c>
      <c r="BK114" s="307" t="str">
        <f t="shared" si="54"/>
        <v/>
      </c>
      <c r="BL114" s="307" t="str">
        <f t="shared" si="55"/>
        <v/>
      </c>
      <c r="BM114" s="305">
        <f t="shared" si="56"/>
        <v>201299.695786667</v>
      </c>
      <c r="BN114" s="320">
        <f t="shared" si="57"/>
        <v>21006.5589333333</v>
      </c>
      <c r="BO114" s="321">
        <f t="shared" si="58"/>
        <v>201299.695786667</v>
      </c>
      <c r="BP114" s="322">
        <f t="shared" si="59"/>
        <v>16774.9746488889</v>
      </c>
      <c r="BQ114" s="323"/>
      <c r="BR114" s="324"/>
      <c r="BS114" s="325"/>
      <c r="BT114" s="326"/>
      <c r="BU114" s="326"/>
      <c r="BV114" s="334"/>
      <c r="BW114" s="335"/>
    </row>
    <row r="115" s="245" customFormat="1" ht="172.5" customHeight="1" spans="1:75">
      <c r="A115" s="255">
        <v>105</v>
      </c>
      <c r="B115" s="70" t="s">
        <v>386</v>
      </c>
      <c r="C115" s="129" t="s">
        <v>221</v>
      </c>
      <c r="D115" s="129" t="s">
        <v>2060</v>
      </c>
      <c r="E115" s="256" t="s">
        <v>93</v>
      </c>
      <c r="F115" s="256">
        <v>3061891561</v>
      </c>
      <c r="G115" s="257">
        <v>1796468</v>
      </c>
      <c r="H115" s="258">
        <f>G115/12</f>
        <v>149705.666666667</v>
      </c>
      <c r="I115" s="258">
        <f t="shared" si="70"/>
        <v>17465.6611111111</v>
      </c>
      <c r="J115" s="258">
        <v>5000</v>
      </c>
      <c r="K115" s="258"/>
      <c r="L115" s="258"/>
      <c r="M115" s="258">
        <v>2500</v>
      </c>
      <c r="N115" s="258"/>
      <c r="O115" s="258"/>
      <c r="P115" s="258"/>
      <c r="Q115" s="258"/>
      <c r="R115" s="258"/>
      <c r="S115" s="258"/>
      <c r="T115" s="258"/>
      <c r="U115" s="258">
        <v>383.33</v>
      </c>
      <c r="V115" s="258"/>
      <c r="W115" s="265"/>
      <c r="X115" s="258"/>
      <c r="Y115" s="258"/>
      <c r="Z115" s="258"/>
      <c r="AA115" s="258"/>
      <c r="AB115" s="258"/>
      <c r="AC115" s="258"/>
      <c r="AD115" s="270"/>
      <c r="AE115" s="258"/>
      <c r="AF115" s="258">
        <v>250</v>
      </c>
      <c r="AG115" s="270">
        <f t="shared" si="64"/>
        <v>2994.11333333333</v>
      </c>
      <c r="AH115" s="270"/>
      <c r="AI115" s="278"/>
      <c r="AJ115" s="279">
        <v>1000</v>
      </c>
      <c r="AK115" s="280"/>
      <c r="AL115" s="280"/>
      <c r="AM115" s="281"/>
      <c r="AN115" s="258"/>
      <c r="AO115" s="299">
        <v>1000</v>
      </c>
      <c r="AP115" s="299"/>
      <c r="AQ115" s="299"/>
      <c r="AR115" s="299">
        <f t="shared" si="65"/>
        <v>3501.09315555556</v>
      </c>
      <c r="AS115" s="300"/>
      <c r="AT115" s="300"/>
      <c r="AU115" s="299">
        <f t="shared" si="45"/>
        <v>16774.9746488889</v>
      </c>
      <c r="AV115" s="299">
        <f>W115+V115+U115+N115+M115+K115+J115+I115+H115</f>
        <v>175054.657777778</v>
      </c>
      <c r="AW115" s="299">
        <f>AU115+AR115+AQ115+AO115+AM115+AK115+AJ115+AI115+AH115+AG115+AF115</f>
        <v>25520.1811377778</v>
      </c>
      <c r="AX115" s="299"/>
      <c r="AY115" s="299"/>
      <c r="AZ115" s="299">
        <f t="shared" ref="AZ115:AZ146" si="71">AV115-AW115</f>
        <v>149534.47664</v>
      </c>
      <c r="BA115" s="305">
        <f t="shared" si="62"/>
        <v>2100655.89333333</v>
      </c>
      <c r="BB115" s="306">
        <f t="shared" si="47"/>
        <v>620131.178666667</v>
      </c>
      <c r="BC115" s="307">
        <f t="shared" si="63"/>
        <v>0</v>
      </c>
      <c r="BD115" s="308">
        <f t="shared" si="48"/>
        <v>620131.178666667</v>
      </c>
      <c r="BE115" s="313">
        <f t="shared" si="49"/>
        <v>1480524.71466667</v>
      </c>
      <c r="BF115" s="306"/>
      <c r="BG115" s="307">
        <f t="shared" si="50"/>
        <v>21000</v>
      </c>
      <c r="BH115" s="307">
        <f t="shared" si="51"/>
        <v>33000</v>
      </c>
      <c r="BI115" s="307">
        <f t="shared" si="52"/>
        <v>75000</v>
      </c>
      <c r="BJ115" s="307">
        <f t="shared" si="53"/>
        <v>72299.6957866666</v>
      </c>
      <c r="BK115" s="307" t="str">
        <f t="shared" si="54"/>
        <v/>
      </c>
      <c r="BL115" s="307" t="str">
        <f t="shared" si="55"/>
        <v/>
      </c>
      <c r="BM115" s="305">
        <f t="shared" si="56"/>
        <v>201299.695786667</v>
      </c>
      <c r="BN115" s="320">
        <f t="shared" si="57"/>
        <v>21006.5589333333</v>
      </c>
      <c r="BO115" s="321">
        <f t="shared" si="58"/>
        <v>201299.695786667</v>
      </c>
      <c r="BP115" s="322">
        <f t="shared" si="59"/>
        <v>16774.9746488889</v>
      </c>
      <c r="BQ115" s="323"/>
      <c r="BR115" s="324"/>
      <c r="BS115" s="325"/>
      <c r="BT115" s="326"/>
      <c r="BU115" s="326"/>
      <c r="BV115" s="334"/>
      <c r="BW115" s="335"/>
    </row>
    <row r="116" s="245" customFormat="1" ht="172.5" customHeight="1" spans="1:75">
      <c r="A116" s="255">
        <v>106</v>
      </c>
      <c r="B116" s="70" t="s">
        <v>388</v>
      </c>
      <c r="C116" s="129" t="s">
        <v>279</v>
      </c>
      <c r="D116" s="129" t="s">
        <v>294</v>
      </c>
      <c r="E116" s="256" t="s">
        <v>113</v>
      </c>
      <c r="F116" s="256">
        <v>2035514330</v>
      </c>
      <c r="G116" s="257">
        <v>2425322</v>
      </c>
      <c r="H116" s="258">
        <f>G116/12</f>
        <v>202110.166666667</v>
      </c>
      <c r="I116" s="258">
        <f t="shared" si="70"/>
        <v>23579.5194444444</v>
      </c>
      <c r="J116" s="258">
        <v>5000</v>
      </c>
      <c r="K116" s="258"/>
      <c r="L116" s="258"/>
      <c r="M116" s="258">
        <v>2500</v>
      </c>
      <c r="N116" s="258"/>
      <c r="O116" s="258"/>
      <c r="P116" s="258"/>
      <c r="Q116" s="258"/>
      <c r="R116" s="258"/>
      <c r="S116" s="258"/>
      <c r="T116" s="258"/>
      <c r="U116" s="258">
        <v>383.33</v>
      </c>
      <c r="V116" s="258"/>
      <c r="W116" s="265"/>
      <c r="X116" s="258"/>
      <c r="Y116" s="258"/>
      <c r="Z116" s="258"/>
      <c r="AA116" s="258"/>
      <c r="AB116" s="258"/>
      <c r="AC116" s="258"/>
      <c r="AD116" s="270"/>
      <c r="AE116" s="258"/>
      <c r="AF116" s="258">
        <v>1500</v>
      </c>
      <c r="AG116" s="270">
        <f t="shared" si="64"/>
        <v>4042.20333333333</v>
      </c>
      <c r="AH116" s="270">
        <f>10000</f>
        <v>10000</v>
      </c>
      <c r="AI116" s="278"/>
      <c r="AJ116" s="280"/>
      <c r="AK116" s="280"/>
      <c r="AL116" s="284">
        <v>1000</v>
      </c>
      <c r="AM116" s="281">
        <f>73750+52500</f>
        <v>126250</v>
      </c>
      <c r="AN116" s="258"/>
      <c r="AO116" s="299">
        <v>1500</v>
      </c>
      <c r="AP116" s="299"/>
      <c r="AQ116" s="299"/>
      <c r="AR116" s="299">
        <f t="shared" si="65"/>
        <v>4671.46032222222</v>
      </c>
      <c r="AS116" s="300"/>
      <c r="AT116" s="300"/>
      <c r="AU116" s="299">
        <v>20310.73</v>
      </c>
      <c r="AV116" s="299">
        <f>W116+V116+U116+N116+M116+K116+J116+I116+H116</f>
        <v>233573.016111111</v>
      </c>
      <c r="AW116" s="299">
        <f>AU116+AR116+AQ116+AO116+AN116+AM116+AK116+AI116+AH116+AG116+AF116+AE116+AD116+AL116</f>
        <v>169274.393655556</v>
      </c>
      <c r="AX116" s="299"/>
      <c r="AY116" s="299"/>
      <c r="AZ116" s="299">
        <f t="shared" si="71"/>
        <v>64298.6224555555</v>
      </c>
      <c r="BA116" s="305">
        <f t="shared" si="62"/>
        <v>2802876.19333333</v>
      </c>
      <c r="BB116" s="306">
        <f t="shared" si="47"/>
        <v>760575.238666667</v>
      </c>
      <c r="BC116" s="307">
        <f t="shared" si="63"/>
        <v>0</v>
      </c>
      <c r="BD116" s="308">
        <f t="shared" si="48"/>
        <v>760575.238666667</v>
      </c>
      <c r="BE116" s="313">
        <f t="shared" si="49"/>
        <v>2042300.95466667</v>
      </c>
      <c r="BF116" s="306"/>
      <c r="BG116" s="307">
        <f t="shared" si="50"/>
        <v>21000</v>
      </c>
      <c r="BH116" s="307">
        <f t="shared" si="51"/>
        <v>33000</v>
      </c>
      <c r="BI116" s="307">
        <f t="shared" si="52"/>
        <v>75000</v>
      </c>
      <c r="BJ116" s="307">
        <f t="shared" si="53"/>
        <v>95000</v>
      </c>
      <c r="BK116" s="307">
        <f t="shared" si="54"/>
        <v>92883.20048</v>
      </c>
      <c r="BL116" s="307" t="str">
        <f t="shared" si="55"/>
        <v/>
      </c>
      <c r="BM116" s="305">
        <f t="shared" si="56"/>
        <v>316883.20048</v>
      </c>
      <c r="BN116" s="320">
        <f t="shared" si="57"/>
        <v>28028.7619333333</v>
      </c>
      <c r="BO116" s="321">
        <f t="shared" si="58"/>
        <v>316883.20048</v>
      </c>
      <c r="BP116" s="322">
        <f t="shared" si="59"/>
        <v>26406.9333733333</v>
      </c>
      <c r="BQ116" s="323"/>
      <c r="BR116" s="324"/>
      <c r="BS116" s="325"/>
      <c r="BT116" s="326"/>
      <c r="BU116" s="326"/>
      <c r="BV116" s="334"/>
      <c r="BW116" s="335"/>
    </row>
    <row r="117" s="245" customFormat="1" ht="172.5" customHeight="1" spans="1:75">
      <c r="A117" s="255">
        <v>107</v>
      </c>
      <c r="B117" s="70" t="s">
        <v>389</v>
      </c>
      <c r="C117" s="129" t="s">
        <v>125</v>
      </c>
      <c r="D117" s="129" t="s">
        <v>465</v>
      </c>
      <c r="E117" s="256" t="s">
        <v>113</v>
      </c>
      <c r="F117" s="256">
        <v>2097430504</v>
      </c>
      <c r="G117" s="257">
        <v>1920666</v>
      </c>
      <c r="H117" s="258">
        <f>G117/12</f>
        <v>160055.5</v>
      </c>
      <c r="I117" s="258">
        <f t="shared" si="70"/>
        <v>18673.1416666667</v>
      </c>
      <c r="J117" s="258">
        <v>5000</v>
      </c>
      <c r="K117" s="258"/>
      <c r="L117" s="258"/>
      <c r="M117" s="258">
        <v>2500</v>
      </c>
      <c r="N117" s="258"/>
      <c r="O117" s="258"/>
      <c r="P117" s="258"/>
      <c r="Q117" s="258"/>
      <c r="R117" s="258"/>
      <c r="S117" s="258"/>
      <c r="T117" s="258"/>
      <c r="U117" s="258">
        <v>383.33</v>
      </c>
      <c r="V117" s="258"/>
      <c r="W117" s="265"/>
      <c r="X117" s="258"/>
      <c r="Y117" s="258"/>
      <c r="Z117" s="258"/>
      <c r="AA117" s="258"/>
      <c r="AB117" s="258"/>
      <c r="AC117" s="258"/>
      <c r="AD117" s="270"/>
      <c r="AE117" s="258"/>
      <c r="AF117" s="258">
        <v>1500</v>
      </c>
      <c r="AG117" s="270">
        <f t="shared" si="64"/>
        <v>3201.11</v>
      </c>
      <c r="AH117" s="270"/>
      <c r="AI117" s="278"/>
      <c r="AJ117" s="280"/>
      <c r="AK117" s="280"/>
      <c r="AL117" s="284">
        <v>1000</v>
      </c>
      <c r="AM117" s="281"/>
      <c r="AN117" s="258"/>
      <c r="AO117" s="299">
        <v>1500</v>
      </c>
      <c r="AP117" s="299"/>
      <c r="AQ117" s="299"/>
      <c r="AR117" s="299">
        <f t="shared" si="65"/>
        <v>3732.23943333333</v>
      </c>
      <c r="AS117" s="300"/>
      <c r="AT117" s="300"/>
      <c r="AU117" s="299">
        <f>BP117</f>
        <v>18531.68636</v>
      </c>
      <c r="AV117" s="299">
        <f>V117+U117+N117+M117+K117+J117+I117+H117</f>
        <v>186611.971666667</v>
      </c>
      <c r="AW117" s="299">
        <f>AU117+AR117+AQ117+AO117+AN117+AM117+AK117+AI117+AH117+AG117+AF117+AE117+AD117+AL117</f>
        <v>29465.0357933333</v>
      </c>
      <c r="AX117" s="299"/>
      <c r="AY117" s="299"/>
      <c r="AZ117" s="299">
        <f t="shared" si="71"/>
        <v>157146.935873333</v>
      </c>
      <c r="BA117" s="305">
        <f t="shared" si="62"/>
        <v>2239343.66</v>
      </c>
      <c r="BB117" s="306">
        <f t="shared" si="47"/>
        <v>647868.732</v>
      </c>
      <c r="BC117" s="307">
        <f t="shared" si="63"/>
        <v>0</v>
      </c>
      <c r="BD117" s="308">
        <f t="shared" si="48"/>
        <v>647868.732</v>
      </c>
      <c r="BE117" s="313">
        <f t="shared" si="49"/>
        <v>1591474.928</v>
      </c>
      <c r="BF117" s="306"/>
      <c r="BG117" s="307">
        <f t="shared" si="50"/>
        <v>21000</v>
      </c>
      <c r="BH117" s="307">
        <f t="shared" si="51"/>
        <v>33000</v>
      </c>
      <c r="BI117" s="307">
        <f t="shared" si="52"/>
        <v>75000</v>
      </c>
      <c r="BJ117" s="307">
        <f t="shared" si="53"/>
        <v>93380.23632</v>
      </c>
      <c r="BK117" s="307" t="str">
        <f t="shared" si="54"/>
        <v/>
      </c>
      <c r="BL117" s="307" t="str">
        <f t="shared" si="55"/>
        <v/>
      </c>
      <c r="BM117" s="305">
        <f t="shared" si="56"/>
        <v>222380.23632</v>
      </c>
      <c r="BN117" s="320">
        <f t="shared" si="57"/>
        <v>22393.4366</v>
      </c>
      <c r="BO117" s="321">
        <f t="shared" si="58"/>
        <v>222380.23632</v>
      </c>
      <c r="BP117" s="322">
        <f t="shared" si="59"/>
        <v>18531.68636</v>
      </c>
      <c r="BQ117" s="323"/>
      <c r="BR117" s="324"/>
      <c r="BS117" s="325"/>
      <c r="BT117" s="326"/>
      <c r="BU117" s="326"/>
      <c r="BV117" s="334"/>
      <c r="BW117" s="335"/>
    </row>
    <row r="118" s="245" customFormat="1" ht="172.5" customHeight="1" spans="1:75">
      <c r="A118" s="255">
        <v>108</v>
      </c>
      <c r="B118" s="70" t="s">
        <v>2062</v>
      </c>
      <c r="C118" s="129" t="s">
        <v>2063</v>
      </c>
      <c r="D118" s="129" t="s">
        <v>495</v>
      </c>
      <c r="E118" s="256" t="s">
        <v>101</v>
      </c>
      <c r="F118" s="1469" t="s">
        <v>2064</v>
      </c>
      <c r="G118" s="257">
        <f>H118*12</f>
        <v>873059.04</v>
      </c>
      <c r="H118" s="258">
        <v>72754.92</v>
      </c>
      <c r="I118" s="258"/>
      <c r="J118" s="258"/>
      <c r="K118" s="258"/>
      <c r="L118" s="258"/>
      <c r="M118" s="258">
        <v>2500</v>
      </c>
      <c r="N118" s="258"/>
      <c r="O118" s="258"/>
      <c r="P118" s="258"/>
      <c r="Q118" s="258"/>
      <c r="R118" s="258"/>
      <c r="S118" s="258"/>
      <c r="T118" s="258"/>
      <c r="U118" s="258"/>
      <c r="V118" s="258"/>
      <c r="W118" s="265"/>
      <c r="X118" s="258"/>
      <c r="Y118" s="258"/>
      <c r="Z118" s="258"/>
      <c r="AA118" s="258"/>
      <c r="AB118" s="258"/>
      <c r="AC118" s="258"/>
      <c r="AD118" s="270"/>
      <c r="AE118" s="258"/>
      <c r="AF118" s="258"/>
      <c r="AG118" s="270">
        <f t="shared" si="64"/>
        <v>1455.0984</v>
      </c>
      <c r="AH118" s="270"/>
      <c r="AI118" s="278"/>
      <c r="AJ118" s="280"/>
      <c r="AK118" s="280"/>
      <c r="AL118" s="280"/>
      <c r="AM118" s="281"/>
      <c r="AN118" s="258"/>
      <c r="AO118" s="299">
        <v>500</v>
      </c>
      <c r="AP118" s="299"/>
      <c r="AQ118" s="299"/>
      <c r="AR118" s="299">
        <f t="shared" si="65"/>
        <v>1505.0984</v>
      </c>
      <c r="AS118" s="300"/>
      <c r="AT118" s="300"/>
      <c r="AU118" s="299">
        <f>BP118</f>
        <v>3789.09962666667</v>
      </c>
      <c r="AV118" s="299">
        <f>W118+V118+U118+N118+M118+K118+J118+I118+H118</f>
        <v>75254.92</v>
      </c>
      <c r="AW118" s="299">
        <f>AU118+AR118+AQ118+AO118+AN118+AM118+AK118+AI118+AH118+AG118+AF118+AE118+AD118</f>
        <v>7249.29642666667</v>
      </c>
      <c r="AX118" s="299"/>
      <c r="AY118" s="299"/>
      <c r="AZ118" s="299">
        <f t="shared" si="71"/>
        <v>68005.6235733333</v>
      </c>
      <c r="BA118" s="305">
        <f t="shared" ref="BA118:BA149" si="72">AV118*12</f>
        <v>903059.04</v>
      </c>
      <c r="BB118" s="306">
        <f t="shared" si="47"/>
        <v>380611.808</v>
      </c>
      <c r="BC118" s="307">
        <f t="shared" ref="BC118:BC149" si="73">AS118*12</f>
        <v>0</v>
      </c>
      <c r="BD118" s="308">
        <f t="shared" si="48"/>
        <v>380611.808</v>
      </c>
      <c r="BE118" s="313">
        <f t="shared" si="49"/>
        <v>522447.232</v>
      </c>
      <c r="BF118" s="306"/>
      <c r="BG118" s="307">
        <f t="shared" si="50"/>
        <v>21000</v>
      </c>
      <c r="BH118" s="307">
        <f t="shared" si="51"/>
        <v>24469.19552</v>
      </c>
      <c r="BI118" s="307" t="str">
        <f t="shared" si="52"/>
        <v/>
      </c>
      <c r="BJ118" s="307" t="str">
        <f t="shared" si="53"/>
        <v/>
      </c>
      <c r="BK118" s="307" t="str">
        <f t="shared" si="54"/>
        <v/>
      </c>
      <c r="BL118" s="307" t="str">
        <f t="shared" si="55"/>
        <v/>
      </c>
      <c r="BM118" s="305">
        <f t="shared" si="56"/>
        <v>45469.19552</v>
      </c>
      <c r="BN118" s="320">
        <f t="shared" si="57"/>
        <v>9030.5904</v>
      </c>
      <c r="BO118" s="321">
        <f t="shared" si="58"/>
        <v>45469.19552</v>
      </c>
      <c r="BP118" s="322">
        <f t="shared" si="59"/>
        <v>3789.09962666667</v>
      </c>
      <c r="BQ118" s="323"/>
      <c r="BR118" s="324"/>
      <c r="BS118" s="325"/>
      <c r="BT118" s="326"/>
      <c r="BU118" s="326"/>
      <c r="BV118" s="334"/>
      <c r="BW118" s="335"/>
    </row>
    <row r="119" s="245" customFormat="1" ht="191" customHeight="1" spans="1:75">
      <c r="A119" s="255">
        <v>109</v>
      </c>
      <c r="B119" s="70" t="s">
        <v>392</v>
      </c>
      <c r="C119" s="129" t="s">
        <v>143</v>
      </c>
      <c r="D119" s="129" t="s">
        <v>394</v>
      </c>
      <c r="E119" s="256" t="s">
        <v>113</v>
      </c>
      <c r="F119" s="256">
        <v>1005205955</v>
      </c>
      <c r="G119" s="257">
        <v>3553649</v>
      </c>
      <c r="H119" s="258">
        <f>'[12]JACKSON AKPOJARO '!$M$97</f>
        <v>0</v>
      </c>
      <c r="I119" s="258">
        <f t="shared" si="70"/>
        <v>0</v>
      </c>
      <c r="J119" s="258">
        <v>5000</v>
      </c>
      <c r="K119" s="258"/>
      <c r="L119" s="258"/>
      <c r="M119" s="258">
        <v>2500</v>
      </c>
      <c r="N119" s="258"/>
      <c r="O119" s="258"/>
      <c r="P119" s="258"/>
      <c r="Q119" s="258"/>
      <c r="R119" s="258"/>
      <c r="S119" s="258"/>
      <c r="T119" s="258"/>
      <c r="U119" s="258">
        <v>383.33</v>
      </c>
      <c r="V119" s="258"/>
      <c r="W119" s="265"/>
      <c r="X119" s="258"/>
      <c r="Y119" s="258"/>
      <c r="Z119" s="258"/>
      <c r="AA119" s="258"/>
      <c r="AB119" s="258"/>
      <c r="AC119" s="258"/>
      <c r="AD119" s="270"/>
      <c r="AE119" s="258"/>
      <c r="AF119" s="258">
        <v>3750</v>
      </c>
      <c r="AG119" s="270">
        <f t="shared" si="64"/>
        <v>0</v>
      </c>
      <c r="AH119" s="270"/>
      <c r="AI119" s="278"/>
      <c r="AJ119" s="280"/>
      <c r="AK119" s="280"/>
      <c r="AL119" s="280"/>
      <c r="AM119" s="281">
        <f>25000</f>
        <v>25000</v>
      </c>
      <c r="AN119" s="258"/>
      <c r="AO119" s="299">
        <v>2000</v>
      </c>
      <c r="AP119" s="299"/>
      <c r="AQ119" s="299"/>
      <c r="AR119" s="299">
        <f t="shared" si="65"/>
        <v>157.6666</v>
      </c>
      <c r="AS119" s="300"/>
      <c r="AT119" s="300"/>
      <c r="AU119" s="299">
        <f t="shared" si="45"/>
        <v>78.8333</v>
      </c>
      <c r="AV119" s="299">
        <f>W119+V119+U119+N119+M119+K119+J119+I119+H119</f>
        <v>7883.33</v>
      </c>
      <c r="AW119" s="299">
        <f>AU119+AR119+AQ119+AO119+AN119+AM119+AK119+AI119+AH119+AG119+AF119+AE119+AD119</f>
        <v>30986.4999</v>
      </c>
      <c r="AX119" s="299"/>
      <c r="AY119" s="299"/>
      <c r="AZ119" s="299">
        <f t="shared" si="71"/>
        <v>-23103.1699</v>
      </c>
      <c r="BA119" s="305">
        <f t="shared" si="72"/>
        <v>94599.96</v>
      </c>
      <c r="BB119" s="306">
        <f t="shared" si="47"/>
        <v>218919.992</v>
      </c>
      <c r="BC119" s="307">
        <f t="shared" si="73"/>
        <v>0</v>
      </c>
      <c r="BD119" s="308">
        <f t="shared" si="48"/>
        <v>218919.992</v>
      </c>
      <c r="BE119" s="313">
        <f t="shared" si="49"/>
        <v>-124320.032</v>
      </c>
      <c r="BF119" s="306"/>
      <c r="BG119" s="307">
        <f t="shared" si="50"/>
        <v>945.9996</v>
      </c>
      <c r="BH119" s="307" t="str">
        <f t="shared" si="51"/>
        <v/>
      </c>
      <c r="BI119" s="307" t="str">
        <f t="shared" si="52"/>
        <v/>
      </c>
      <c r="BJ119" s="307" t="str">
        <f t="shared" si="53"/>
        <v/>
      </c>
      <c r="BK119" s="307" t="str">
        <f t="shared" si="54"/>
        <v/>
      </c>
      <c r="BL119" s="307" t="str">
        <f t="shared" si="55"/>
        <v/>
      </c>
      <c r="BM119" s="305">
        <f t="shared" si="56"/>
        <v>945.9996</v>
      </c>
      <c r="BN119" s="320">
        <f t="shared" si="57"/>
        <v>945.9996</v>
      </c>
      <c r="BO119" s="321">
        <f t="shared" si="58"/>
        <v>945.9996</v>
      </c>
      <c r="BP119" s="322">
        <f t="shared" si="59"/>
        <v>78.8333</v>
      </c>
      <c r="BQ119" s="323"/>
      <c r="BR119" s="324"/>
      <c r="BS119" s="325"/>
      <c r="BT119" s="326"/>
      <c r="BU119" s="326"/>
      <c r="BV119" s="334"/>
      <c r="BW119" s="335"/>
    </row>
    <row r="120" s="245" customFormat="1" ht="172.5" customHeight="1" spans="1:75">
      <c r="A120" s="255">
        <v>110</v>
      </c>
      <c r="B120" s="70" t="s">
        <v>393</v>
      </c>
      <c r="C120" s="129" t="s">
        <v>130</v>
      </c>
      <c r="D120" s="129" t="s">
        <v>153</v>
      </c>
      <c r="E120" s="256" t="s">
        <v>127</v>
      </c>
      <c r="F120" s="1469" t="s">
        <v>395</v>
      </c>
      <c r="G120" s="257">
        <v>2863233</v>
      </c>
      <c r="H120" s="258">
        <f>G120/12</f>
        <v>238602.75</v>
      </c>
      <c r="I120" s="258">
        <f t="shared" si="70"/>
        <v>27836.9875</v>
      </c>
      <c r="J120" s="258">
        <v>5000</v>
      </c>
      <c r="K120" s="258"/>
      <c r="L120" s="258"/>
      <c r="M120" s="258">
        <v>2500</v>
      </c>
      <c r="N120" s="258"/>
      <c r="O120" s="258"/>
      <c r="P120" s="258"/>
      <c r="Q120" s="258"/>
      <c r="R120" s="258"/>
      <c r="S120" s="258"/>
      <c r="T120" s="258"/>
      <c r="U120" s="258">
        <v>383.33</v>
      </c>
      <c r="V120" s="258"/>
      <c r="W120" s="265"/>
      <c r="X120" s="258"/>
      <c r="Y120" s="258"/>
      <c r="Z120" s="258"/>
      <c r="AA120" s="258"/>
      <c r="AB120" s="258"/>
      <c r="AC120" s="258"/>
      <c r="AD120" s="270"/>
      <c r="AE120" s="258"/>
      <c r="AF120" s="258">
        <v>3000</v>
      </c>
      <c r="AG120" s="270">
        <f t="shared" si="64"/>
        <v>4772.055</v>
      </c>
      <c r="AH120" s="270">
        <f>10000</f>
        <v>10000</v>
      </c>
      <c r="AI120" s="278"/>
      <c r="AJ120" s="280"/>
      <c r="AK120" s="280"/>
      <c r="AL120" s="280"/>
      <c r="AM120" s="281">
        <v>20000</v>
      </c>
      <c r="AN120" s="258">
        <v>5000</v>
      </c>
      <c r="AO120" s="299">
        <v>1500</v>
      </c>
      <c r="AP120" s="299"/>
      <c r="AQ120" s="299"/>
      <c r="AR120" s="299">
        <f t="shared" si="65"/>
        <v>5486.46135</v>
      </c>
      <c r="AS120" s="300"/>
      <c r="AT120" s="300"/>
      <c r="AU120" s="299">
        <f t="shared" si="45"/>
        <v>33252.9420066667</v>
      </c>
      <c r="AV120" s="299">
        <f>V120+U120+N120+M120+K120+J120+I120+H120</f>
        <v>274323.0675</v>
      </c>
      <c r="AW120" s="299">
        <f>AU120+AR120+AQ120+AO120+AN120+AM120+AK120+AI120+AH120+AG120+AF120+AE120+AD120</f>
        <v>83011.4583566667</v>
      </c>
      <c r="AX120" s="299"/>
      <c r="AY120" s="299"/>
      <c r="AZ120" s="299">
        <f t="shared" si="71"/>
        <v>191311.609143333</v>
      </c>
      <c r="BA120" s="305">
        <f t="shared" si="72"/>
        <v>3291876.81</v>
      </c>
      <c r="BB120" s="306">
        <f t="shared" si="47"/>
        <v>858375.362</v>
      </c>
      <c r="BC120" s="307">
        <f t="shared" si="73"/>
        <v>0</v>
      </c>
      <c r="BD120" s="308">
        <f t="shared" si="48"/>
        <v>858375.362</v>
      </c>
      <c r="BE120" s="313">
        <f t="shared" si="49"/>
        <v>2433501.448</v>
      </c>
      <c r="BF120" s="306"/>
      <c r="BG120" s="307">
        <f t="shared" si="50"/>
        <v>21000</v>
      </c>
      <c r="BH120" s="307">
        <f t="shared" si="51"/>
        <v>33000</v>
      </c>
      <c r="BI120" s="307">
        <f t="shared" si="52"/>
        <v>75000</v>
      </c>
      <c r="BJ120" s="307">
        <f t="shared" si="53"/>
        <v>95000</v>
      </c>
      <c r="BK120" s="307">
        <f t="shared" si="54"/>
        <v>175035.30408</v>
      </c>
      <c r="BL120" s="307" t="str">
        <f t="shared" si="55"/>
        <v/>
      </c>
      <c r="BM120" s="305">
        <f t="shared" si="56"/>
        <v>399035.30408</v>
      </c>
      <c r="BN120" s="320">
        <f t="shared" si="57"/>
        <v>32918.7681</v>
      </c>
      <c r="BO120" s="321">
        <f t="shared" si="58"/>
        <v>399035.30408</v>
      </c>
      <c r="BP120" s="322">
        <f t="shared" si="59"/>
        <v>33252.9420066667</v>
      </c>
      <c r="BQ120" s="323"/>
      <c r="BR120" s="324"/>
      <c r="BS120" s="325"/>
      <c r="BT120" s="326"/>
      <c r="BU120" s="326"/>
      <c r="BV120" s="334"/>
      <c r="BW120" s="335"/>
    </row>
    <row r="121" s="245" customFormat="1" ht="172.5" customHeight="1" spans="1:75">
      <c r="A121" s="255">
        <v>111</v>
      </c>
      <c r="B121" s="70" t="s">
        <v>396</v>
      </c>
      <c r="C121" s="129" t="s">
        <v>143</v>
      </c>
      <c r="D121" s="129" t="s">
        <v>333</v>
      </c>
      <c r="E121" s="256" t="s">
        <v>113</v>
      </c>
      <c r="F121" s="256">
        <v>2050863738</v>
      </c>
      <c r="G121" s="257">
        <v>3804852</v>
      </c>
      <c r="H121" s="258">
        <f>G121/12</f>
        <v>317071</v>
      </c>
      <c r="I121" s="258">
        <f t="shared" si="70"/>
        <v>36991.6166666667</v>
      </c>
      <c r="J121" s="258">
        <v>5000</v>
      </c>
      <c r="K121" s="258"/>
      <c r="L121" s="258"/>
      <c r="M121" s="258">
        <v>2500</v>
      </c>
      <c r="N121" s="258"/>
      <c r="O121" s="258"/>
      <c r="P121" s="258"/>
      <c r="Q121" s="258"/>
      <c r="R121" s="258"/>
      <c r="S121" s="258"/>
      <c r="T121" s="258"/>
      <c r="U121" s="258">
        <v>383.33</v>
      </c>
      <c r="V121" s="258"/>
      <c r="W121" s="265"/>
      <c r="X121" s="258"/>
      <c r="Y121" s="258"/>
      <c r="Z121" s="258"/>
      <c r="AA121" s="258"/>
      <c r="AB121" s="258"/>
      <c r="AC121" s="258"/>
      <c r="AD121" s="270"/>
      <c r="AE121" s="258"/>
      <c r="AF121" s="258"/>
      <c r="AG121" s="270">
        <f t="shared" si="64"/>
        <v>6341.42</v>
      </c>
      <c r="AH121" s="270"/>
      <c r="AI121" s="278"/>
      <c r="AJ121" s="279">
        <v>1000</v>
      </c>
      <c r="AK121" s="280"/>
      <c r="AL121" s="280"/>
      <c r="AM121" s="281">
        <v>29687.6</v>
      </c>
      <c r="AN121" s="258"/>
      <c r="AO121" s="299">
        <v>2000</v>
      </c>
      <c r="AP121" s="299"/>
      <c r="AQ121" s="299"/>
      <c r="AR121" s="299">
        <f t="shared" si="65"/>
        <v>7238.91893333333</v>
      </c>
      <c r="AS121" s="300"/>
      <c r="AT121" s="300"/>
      <c r="AU121" s="299">
        <f t="shared" si="45"/>
        <v>48160.2884266667</v>
      </c>
      <c r="AV121" s="299">
        <f>W121+V121+U121+N121+M121+K121+J121+I121+H121</f>
        <v>361945.946666667</v>
      </c>
      <c r="AW121" s="299">
        <f>AU121+AR121+AQ121+AO121+AN121+AM121+AK121+AI121+AH121+AG121+AF121+AE121+AD121+AJ121</f>
        <v>94428.22736</v>
      </c>
      <c r="AX121" s="299"/>
      <c r="AY121" s="299"/>
      <c r="AZ121" s="299">
        <f t="shared" si="71"/>
        <v>267517.719306667</v>
      </c>
      <c r="BA121" s="305">
        <f t="shared" si="72"/>
        <v>4343351.36</v>
      </c>
      <c r="BB121" s="306">
        <f t="shared" si="47"/>
        <v>1068670.272</v>
      </c>
      <c r="BC121" s="307">
        <f t="shared" si="73"/>
        <v>0</v>
      </c>
      <c r="BD121" s="308">
        <f t="shared" si="48"/>
        <v>1068670.272</v>
      </c>
      <c r="BE121" s="313">
        <f t="shared" si="49"/>
        <v>3274681.088</v>
      </c>
      <c r="BF121" s="306"/>
      <c r="BG121" s="307">
        <f t="shared" si="50"/>
        <v>21000</v>
      </c>
      <c r="BH121" s="307">
        <f t="shared" si="51"/>
        <v>33000</v>
      </c>
      <c r="BI121" s="307">
        <f t="shared" si="52"/>
        <v>75000</v>
      </c>
      <c r="BJ121" s="307">
        <f t="shared" si="53"/>
        <v>95000</v>
      </c>
      <c r="BK121" s="307">
        <f t="shared" si="54"/>
        <v>336000</v>
      </c>
      <c r="BL121" s="307">
        <f t="shared" si="55"/>
        <v>17923.4611199999</v>
      </c>
      <c r="BM121" s="305">
        <f t="shared" si="56"/>
        <v>577923.46112</v>
      </c>
      <c r="BN121" s="320">
        <f t="shared" si="57"/>
        <v>43433.5136</v>
      </c>
      <c r="BO121" s="321">
        <f t="shared" si="58"/>
        <v>577923.46112</v>
      </c>
      <c r="BP121" s="322">
        <f t="shared" si="59"/>
        <v>48160.2884266667</v>
      </c>
      <c r="BQ121" s="323"/>
      <c r="BR121" s="324"/>
      <c r="BS121" s="325"/>
      <c r="BT121" s="326"/>
      <c r="BU121" s="326"/>
      <c r="BV121" s="334"/>
      <c r="BW121" s="335"/>
    </row>
    <row r="122" s="245" customFormat="1" ht="185" customHeight="1" spans="1:75">
      <c r="A122" s="255">
        <v>112</v>
      </c>
      <c r="B122" s="70" t="s">
        <v>403</v>
      </c>
      <c r="C122" s="129" t="s">
        <v>130</v>
      </c>
      <c r="D122" s="129" t="s">
        <v>153</v>
      </c>
      <c r="E122" s="256" t="s">
        <v>165</v>
      </c>
      <c r="F122" s="256">
        <v>1008257258</v>
      </c>
      <c r="G122" s="257">
        <v>2863233</v>
      </c>
      <c r="H122" s="258">
        <f t="shared" ref="H122:H142" si="74">G122/12</f>
        <v>238602.75</v>
      </c>
      <c r="I122" s="258">
        <f t="shared" si="70"/>
        <v>27836.9875</v>
      </c>
      <c r="J122" s="258">
        <v>5000</v>
      </c>
      <c r="K122" s="258"/>
      <c r="L122" s="258"/>
      <c r="M122" s="258">
        <v>2500</v>
      </c>
      <c r="N122" s="258"/>
      <c r="O122" s="258"/>
      <c r="P122" s="258"/>
      <c r="Q122" s="258"/>
      <c r="R122" s="258"/>
      <c r="S122" s="258"/>
      <c r="T122" s="258"/>
      <c r="U122" s="258">
        <v>383.33</v>
      </c>
      <c r="V122" s="258"/>
      <c r="W122" s="265"/>
      <c r="X122" s="258"/>
      <c r="Y122" s="258"/>
      <c r="Z122" s="258"/>
      <c r="AA122" s="258"/>
      <c r="AB122" s="258"/>
      <c r="AC122" s="258"/>
      <c r="AD122" s="270"/>
      <c r="AE122" s="258"/>
      <c r="AF122" s="258"/>
      <c r="AG122" s="270">
        <f t="shared" si="64"/>
        <v>4772.055</v>
      </c>
      <c r="AH122" s="270">
        <f>30000</f>
        <v>30000</v>
      </c>
      <c r="AI122" s="278"/>
      <c r="AJ122" s="279">
        <v>1000</v>
      </c>
      <c r="AK122" s="280"/>
      <c r="AL122" s="280"/>
      <c r="AM122" s="281">
        <v>51250</v>
      </c>
      <c r="AN122" s="258"/>
      <c r="AO122" s="299">
        <v>1500</v>
      </c>
      <c r="AP122" s="299"/>
      <c r="AQ122" s="299"/>
      <c r="AR122" s="299">
        <f t="shared" si="65"/>
        <v>5486.46135</v>
      </c>
      <c r="AS122" s="300"/>
      <c r="AT122" s="300"/>
      <c r="AU122" s="299">
        <f t="shared" si="45"/>
        <v>33252.9420066667</v>
      </c>
      <c r="AV122" s="299">
        <f>W122+V122+U122+N122+M122+K122+J122+I122+H122</f>
        <v>274323.0675</v>
      </c>
      <c r="AW122" s="299">
        <f>AU122+AR122+AQ122+AO122+AN122+AM122+AK122+AJ122+AI122+AH122+AG122+AF122</f>
        <v>127261.458356667</v>
      </c>
      <c r="AX122" s="299"/>
      <c r="AY122" s="299"/>
      <c r="AZ122" s="299">
        <f t="shared" si="71"/>
        <v>147061.609143333</v>
      </c>
      <c r="BA122" s="305">
        <f t="shared" si="72"/>
        <v>3291876.81</v>
      </c>
      <c r="BB122" s="306">
        <f t="shared" si="47"/>
        <v>858375.362</v>
      </c>
      <c r="BC122" s="307">
        <f t="shared" si="73"/>
        <v>0</v>
      </c>
      <c r="BD122" s="308">
        <f t="shared" si="48"/>
        <v>858375.362</v>
      </c>
      <c r="BE122" s="313">
        <f t="shared" si="49"/>
        <v>2433501.448</v>
      </c>
      <c r="BF122" s="306"/>
      <c r="BG122" s="307">
        <f t="shared" si="50"/>
        <v>21000</v>
      </c>
      <c r="BH122" s="307">
        <f t="shared" si="51"/>
        <v>33000</v>
      </c>
      <c r="BI122" s="307">
        <f t="shared" si="52"/>
        <v>75000</v>
      </c>
      <c r="BJ122" s="307">
        <f t="shared" si="53"/>
        <v>95000</v>
      </c>
      <c r="BK122" s="307">
        <f t="shared" si="54"/>
        <v>175035.30408</v>
      </c>
      <c r="BL122" s="307" t="str">
        <f t="shared" si="55"/>
        <v/>
      </c>
      <c r="BM122" s="305">
        <f t="shared" si="56"/>
        <v>399035.30408</v>
      </c>
      <c r="BN122" s="320">
        <f t="shared" si="57"/>
        <v>32918.7681</v>
      </c>
      <c r="BO122" s="321">
        <f t="shared" si="58"/>
        <v>399035.30408</v>
      </c>
      <c r="BP122" s="322">
        <f t="shared" si="59"/>
        <v>33252.9420066667</v>
      </c>
      <c r="BQ122" s="323"/>
      <c r="BR122" s="324"/>
      <c r="BS122" s="325"/>
      <c r="BT122" s="326"/>
      <c r="BU122" s="326"/>
      <c r="BV122" s="334"/>
      <c r="BW122" s="335"/>
    </row>
    <row r="123" s="245" customFormat="1" ht="176" customHeight="1" spans="1:75">
      <c r="A123" s="255">
        <v>113</v>
      </c>
      <c r="B123" s="70" t="s">
        <v>404</v>
      </c>
      <c r="C123" s="129" t="s">
        <v>143</v>
      </c>
      <c r="D123" s="129" t="s">
        <v>333</v>
      </c>
      <c r="E123" s="256" t="s">
        <v>135</v>
      </c>
      <c r="F123" s="1469" t="s">
        <v>405</v>
      </c>
      <c r="G123" s="257">
        <f>G121</f>
        <v>3804852</v>
      </c>
      <c r="H123" s="258">
        <f t="shared" si="74"/>
        <v>317071</v>
      </c>
      <c r="I123" s="258">
        <f t="shared" si="70"/>
        <v>36991.6166666667</v>
      </c>
      <c r="J123" s="258">
        <v>5000</v>
      </c>
      <c r="K123" s="258">
        <f>K106</f>
        <v>20833.33</v>
      </c>
      <c r="L123" s="258"/>
      <c r="M123" s="258">
        <v>2500</v>
      </c>
      <c r="N123" s="258"/>
      <c r="O123" s="258"/>
      <c r="P123" s="258"/>
      <c r="Q123" s="258"/>
      <c r="R123" s="258"/>
      <c r="S123" s="258"/>
      <c r="T123" s="258"/>
      <c r="U123" s="258">
        <v>383.33</v>
      </c>
      <c r="V123" s="258"/>
      <c r="W123" s="265"/>
      <c r="X123" s="258"/>
      <c r="Y123" s="258"/>
      <c r="Z123" s="258"/>
      <c r="AA123" s="258"/>
      <c r="AB123" s="258"/>
      <c r="AC123" s="258"/>
      <c r="AD123" s="270"/>
      <c r="AE123" s="258"/>
      <c r="AF123" s="258">
        <v>2750</v>
      </c>
      <c r="AG123" s="270">
        <f t="shared" si="64"/>
        <v>6341.42</v>
      </c>
      <c r="AH123" s="270">
        <f>30000</f>
        <v>30000</v>
      </c>
      <c r="AI123" s="282">
        <v>1000</v>
      </c>
      <c r="AJ123" s="279"/>
      <c r="AK123" s="279"/>
      <c r="AL123" s="279"/>
      <c r="AM123" s="281">
        <v>72165</v>
      </c>
      <c r="AN123" s="258">
        <v>8333.33</v>
      </c>
      <c r="AO123" s="299">
        <v>2000</v>
      </c>
      <c r="AP123" s="299"/>
      <c r="AQ123" s="299"/>
      <c r="AR123" s="299">
        <f t="shared" si="65"/>
        <v>7655.58553333333</v>
      </c>
      <c r="AS123" s="300"/>
      <c r="AT123" s="300"/>
      <c r="AU123" s="299">
        <f t="shared" si="45"/>
        <v>52160.2877866667</v>
      </c>
      <c r="AV123" s="299">
        <f>V123+U123+N123+M123+K123+J123+I123+H123</f>
        <v>382779.276666667</v>
      </c>
      <c r="AW123" s="299">
        <f>AU123+AR123+AQ123+AO123+AN123+AM123+AK123+AI123+AH123+AG123+AF123+AE123+AD123</f>
        <v>182405.62332</v>
      </c>
      <c r="AX123" s="299"/>
      <c r="AY123" s="299"/>
      <c r="AZ123" s="299">
        <f t="shared" si="71"/>
        <v>200373.653346667</v>
      </c>
      <c r="BA123" s="305">
        <f t="shared" si="72"/>
        <v>4593351.32</v>
      </c>
      <c r="BB123" s="306">
        <f t="shared" si="47"/>
        <v>1118670.264</v>
      </c>
      <c r="BC123" s="307">
        <f t="shared" si="73"/>
        <v>0</v>
      </c>
      <c r="BD123" s="308">
        <f t="shared" si="48"/>
        <v>1118670.264</v>
      </c>
      <c r="BE123" s="313">
        <f t="shared" si="49"/>
        <v>3474681.056</v>
      </c>
      <c r="BF123" s="306"/>
      <c r="BG123" s="307">
        <f t="shared" si="50"/>
        <v>21000</v>
      </c>
      <c r="BH123" s="307">
        <f t="shared" si="51"/>
        <v>33000</v>
      </c>
      <c r="BI123" s="307">
        <f t="shared" si="52"/>
        <v>75000</v>
      </c>
      <c r="BJ123" s="307">
        <f t="shared" si="53"/>
        <v>95000</v>
      </c>
      <c r="BK123" s="307">
        <f t="shared" si="54"/>
        <v>336000</v>
      </c>
      <c r="BL123" s="307">
        <f t="shared" si="55"/>
        <v>65923.4534400001</v>
      </c>
      <c r="BM123" s="305">
        <f t="shared" si="56"/>
        <v>625923.45344</v>
      </c>
      <c r="BN123" s="320">
        <f t="shared" si="57"/>
        <v>45933.5132</v>
      </c>
      <c r="BO123" s="321">
        <f t="shared" si="58"/>
        <v>625923.45344</v>
      </c>
      <c r="BP123" s="322">
        <f t="shared" si="59"/>
        <v>52160.2877866667</v>
      </c>
      <c r="BQ123" s="323"/>
      <c r="BR123" s="324"/>
      <c r="BS123" s="325"/>
      <c r="BT123" s="326"/>
      <c r="BU123" s="326"/>
      <c r="BV123" s="334"/>
      <c r="BW123" s="335"/>
    </row>
    <row r="124" s="245" customFormat="1" ht="172.5" customHeight="1" spans="1:75">
      <c r="A124" s="255">
        <v>114</v>
      </c>
      <c r="B124" s="70" t="s">
        <v>406</v>
      </c>
      <c r="C124" s="129" t="s">
        <v>130</v>
      </c>
      <c r="D124" s="129" t="s">
        <v>297</v>
      </c>
      <c r="E124" s="256" t="s">
        <v>135</v>
      </c>
      <c r="F124" s="1469" t="s">
        <v>407</v>
      </c>
      <c r="G124" s="257">
        <v>2688069</v>
      </c>
      <c r="H124" s="258">
        <f t="shared" si="74"/>
        <v>224005.75</v>
      </c>
      <c r="I124" s="258">
        <f t="shared" si="70"/>
        <v>26134.0041666667</v>
      </c>
      <c r="J124" s="258">
        <v>5000</v>
      </c>
      <c r="K124" s="258"/>
      <c r="L124" s="258"/>
      <c r="M124" s="258">
        <v>2500</v>
      </c>
      <c r="N124" s="258"/>
      <c r="O124" s="258"/>
      <c r="P124" s="258"/>
      <c r="Q124" s="258"/>
      <c r="R124" s="258"/>
      <c r="S124" s="258"/>
      <c r="T124" s="258"/>
      <c r="U124" s="258">
        <v>383.33</v>
      </c>
      <c r="V124" s="258"/>
      <c r="W124" s="265"/>
      <c r="X124" s="258"/>
      <c r="Y124" s="258"/>
      <c r="Z124" s="258"/>
      <c r="AA124" s="258"/>
      <c r="AB124" s="258"/>
      <c r="AC124" s="258"/>
      <c r="AD124" s="270"/>
      <c r="AE124" s="258"/>
      <c r="AF124" s="258">
        <v>1500</v>
      </c>
      <c r="AG124" s="270">
        <f t="shared" si="64"/>
        <v>4480.115</v>
      </c>
      <c r="AH124" s="270">
        <f>50000</f>
        <v>50000</v>
      </c>
      <c r="AI124" s="282">
        <v>1000</v>
      </c>
      <c r="AJ124" s="279"/>
      <c r="AK124" s="279"/>
      <c r="AL124" s="279"/>
      <c r="AM124" s="281"/>
      <c r="AN124" s="258"/>
      <c r="AO124" s="299">
        <v>1500</v>
      </c>
      <c r="AP124" s="299"/>
      <c r="AQ124" s="299"/>
      <c r="AR124" s="299">
        <f t="shared" si="65"/>
        <v>5160.46168333333</v>
      </c>
      <c r="AS124" s="300"/>
      <c r="AT124" s="300"/>
      <c r="AU124" s="299">
        <f t="shared" ref="AU124:AU137" si="75">BP124</f>
        <v>30514.5448066667</v>
      </c>
      <c r="AV124" s="299">
        <f>W124+V124+U124+N124+M124+K124+J124+I124+H124</f>
        <v>258023.084166667</v>
      </c>
      <c r="AW124" s="299">
        <f>AU124+AR124+AQ124+AO124+AN124+AM124+AK124+AI124+AH124+AG124+AF124+AE124+AD124</f>
        <v>94155.12149</v>
      </c>
      <c r="AX124" s="299"/>
      <c r="AY124" s="299"/>
      <c r="AZ124" s="299">
        <f t="shared" si="71"/>
        <v>163867.962676667</v>
      </c>
      <c r="BA124" s="305">
        <f t="shared" si="72"/>
        <v>3096277.01</v>
      </c>
      <c r="BB124" s="306">
        <f t="shared" si="47"/>
        <v>819255.402</v>
      </c>
      <c r="BC124" s="307">
        <f t="shared" si="73"/>
        <v>0</v>
      </c>
      <c r="BD124" s="308">
        <f t="shared" si="48"/>
        <v>819255.402</v>
      </c>
      <c r="BE124" s="313">
        <f t="shared" si="49"/>
        <v>2277021.608</v>
      </c>
      <c r="BF124" s="306"/>
      <c r="BG124" s="307">
        <f t="shared" si="50"/>
        <v>21000</v>
      </c>
      <c r="BH124" s="307">
        <f t="shared" si="51"/>
        <v>33000</v>
      </c>
      <c r="BI124" s="307">
        <f t="shared" si="52"/>
        <v>75000</v>
      </c>
      <c r="BJ124" s="307">
        <f t="shared" si="53"/>
        <v>95000</v>
      </c>
      <c r="BK124" s="307">
        <f t="shared" si="54"/>
        <v>142174.53768</v>
      </c>
      <c r="BL124" s="307" t="str">
        <f t="shared" si="55"/>
        <v/>
      </c>
      <c r="BM124" s="305">
        <f t="shared" si="56"/>
        <v>366174.53768</v>
      </c>
      <c r="BN124" s="320">
        <f t="shared" si="57"/>
        <v>30962.7701</v>
      </c>
      <c r="BO124" s="321">
        <f t="shared" si="58"/>
        <v>366174.53768</v>
      </c>
      <c r="BP124" s="322">
        <f t="shared" si="59"/>
        <v>30514.5448066667</v>
      </c>
      <c r="BQ124" s="323"/>
      <c r="BR124" s="324"/>
      <c r="BS124" s="325"/>
      <c r="BT124" s="326"/>
      <c r="BU124" s="326"/>
      <c r="BV124" s="334"/>
      <c r="BW124" s="335"/>
    </row>
    <row r="125" s="245" customFormat="1" ht="172.5" customHeight="1" spans="1:75">
      <c r="A125" s="255">
        <v>115</v>
      </c>
      <c r="B125" s="70" t="s">
        <v>2065</v>
      </c>
      <c r="C125" s="129" t="s">
        <v>130</v>
      </c>
      <c r="D125" s="129" t="s">
        <v>272</v>
      </c>
      <c r="E125" s="256" t="s">
        <v>1037</v>
      </c>
      <c r="F125" s="1469" t="s">
        <v>2066</v>
      </c>
      <c r="G125" s="257">
        <v>2600486</v>
      </c>
      <c r="H125" s="258">
        <f t="shared" si="74"/>
        <v>216707.166666667</v>
      </c>
      <c r="I125" s="258">
        <f t="shared" si="70"/>
        <v>25282.5027777778</v>
      </c>
      <c r="J125" s="258">
        <v>5000</v>
      </c>
      <c r="K125" s="258"/>
      <c r="L125" s="258"/>
      <c r="M125" s="258">
        <v>2500</v>
      </c>
      <c r="N125" s="258">
        <v>75000</v>
      </c>
      <c r="O125" s="258"/>
      <c r="P125" s="258"/>
      <c r="Q125" s="258"/>
      <c r="R125" s="258"/>
      <c r="S125" s="258"/>
      <c r="T125" s="258"/>
      <c r="U125" s="258">
        <v>383.33</v>
      </c>
      <c r="V125" s="258"/>
      <c r="W125" s="265"/>
      <c r="X125" s="258"/>
      <c r="Y125" s="258"/>
      <c r="Z125" s="258"/>
      <c r="AA125" s="258"/>
      <c r="AB125" s="258"/>
      <c r="AC125" s="258"/>
      <c r="AD125" s="270"/>
      <c r="AE125" s="258"/>
      <c r="AF125" s="258">
        <v>1250</v>
      </c>
      <c r="AG125" s="270">
        <f t="shared" si="64"/>
        <v>4334.14333333333</v>
      </c>
      <c r="AH125" s="270"/>
      <c r="AI125" s="278"/>
      <c r="AJ125" s="279">
        <v>1000</v>
      </c>
      <c r="AK125" s="280"/>
      <c r="AL125" s="280"/>
      <c r="AM125" s="281">
        <f>32833.33-10000</f>
        <v>22833.33</v>
      </c>
      <c r="AN125" s="258"/>
      <c r="AO125" s="299">
        <v>1500</v>
      </c>
      <c r="AP125" s="299"/>
      <c r="AQ125" s="299"/>
      <c r="AR125" s="299">
        <f t="shared" si="65"/>
        <v>6497.45998888889</v>
      </c>
      <c r="AS125" s="300"/>
      <c r="AT125" s="300"/>
      <c r="AU125" s="299">
        <f t="shared" si="75"/>
        <v>41745.3305733333</v>
      </c>
      <c r="AV125" s="299">
        <f>V125+U125+N125+M125+K125+J125+I125+H125</f>
        <v>324872.999444444</v>
      </c>
      <c r="AW125" s="299">
        <f>AU125+AR125+AQ125+AO125+AN125+AM125+AK125+AI125+AH125+AG125+AF125+AE125+AD125+AJ125</f>
        <v>79160.2638955556</v>
      </c>
      <c r="AX125" s="299"/>
      <c r="AY125" s="299"/>
      <c r="AZ125" s="299">
        <f t="shared" si="71"/>
        <v>245712.735548889</v>
      </c>
      <c r="BA125" s="305">
        <f t="shared" si="72"/>
        <v>3898475.99333333</v>
      </c>
      <c r="BB125" s="306">
        <f t="shared" si="47"/>
        <v>979695.198666667</v>
      </c>
      <c r="BC125" s="307">
        <f t="shared" si="73"/>
        <v>0</v>
      </c>
      <c r="BD125" s="308">
        <f t="shared" si="48"/>
        <v>979695.198666667</v>
      </c>
      <c r="BE125" s="313">
        <f t="shared" si="49"/>
        <v>2918780.79466667</v>
      </c>
      <c r="BF125" s="306"/>
      <c r="BG125" s="307">
        <f t="shared" si="50"/>
        <v>21000</v>
      </c>
      <c r="BH125" s="307">
        <f t="shared" si="51"/>
        <v>33000</v>
      </c>
      <c r="BI125" s="307">
        <f t="shared" si="52"/>
        <v>75000</v>
      </c>
      <c r="BJ125" s="307">
        <f t="shared" si="53"/>
        <v>95000</v>
      </c>
      <c r="BK125" s="307">
        <f t="shared" si="54"/>
        <v>276943.96688</v>
      </c>
      <c r="BL125" s="307" t="str">
        <f t="shared" si="55"/>
        <v/>
      </c>
      <c r="BM125" s="305">
        <f t="shared" si="56"/>
        <v>500943.96688</v>
      </c>
      <c r="BN125" s="320">
        <f t="shared" si="57"/>
        <v>38984.7599333333</v>
      </c>
      <c r="BO125" s="321">
        <f t="shared" si="58"/>
        <v>500943.96688</v>
      </c>
      <c r="BP125" s="322">
        <f t="shared" si="59"/>
        <v>41745.3305733333</v>
      </c>
      <c r="BQ125" s="323"/>
      <c r="BR125" s="324"/>
      <c r="BS125" s="325"/>
      <c r="BT125" s="326"/>
      <c r="BU125" s="326"/>
      <c r="BV125" s="334"/>
      <c r="BW125" s="335"/>
    </row>
    <row r="126" s="245" customFormat="1" ht="172.5" customHeight="1" spans="1:75">
      <c r="A126" s="255">
        <v>116</v>
      </c>
      <c r="B126" s="70" t="s">
        <v>408</v>
      </c>
      <c r="C126" s="129" t="s">
        <v>204</v>
      </c>
      <c r="D126" s="129" t="s">
        <v>208</v>
      </c>
      <c r="E126" s="256" t="s">
        <v>127</v>
      </c>
      <c r="F126" s="1469" t="s">
        <v>409</v>
      </c>
      <c r="G126" s="257">
        <v>2035375</v>
      </c>
      <c r="H126" s="258">
        <f t="shared" si="74"/>
        <v>169614.583333333</v>
      </c>
      <c r="I126" s="258">
        <f t="shared" si="70"/>
        <v>19788.3680555556</v>
      </c>
      <c r="J126" s="258">
        <v>5000</v>
      </c>
      <c r="K126" s="258"/>
      <c r="L126" s="258"/>
      <c r="M126" s="258">
        <v>2500</v>
      </c>
      <c r="N126" s="258"/>
      <c r="O126" s="258"/>
      <c r="P126" s="258"/>
      <c r="Q126" s="258"/>
      <c r="R126" s="258"/>
      <c r="S126" s="258"/>
      <c r="T126" s="258"/>
      <c r="U126" s="258">
        <v>383.33</v>
      </c>
      <c r="V126" s="258"/>
      <c r="W126" s="265"/>
      <c r="X126" s="258"/>
      <c r="Y126" s="258"/>
      <c r="Z126" s="258"/>
      <c r="AA126" s="258"/>
      <c r="AB126" s="258"/>
      <c r="AC126" s="258"/>
      <c r="AD126" s="270"/>
      <c r="AE126" s="258"/>
      <c r="AF126" s="258"/>
      <c r="AG126" s="270">
        <f t="shared" si="64"/>
        <v>3392.29166666667</v>
      </c>
      <c r="AH126" s="270"/>
      <c r="AI126" s="282">
        <v>1000</v>
      </c>
      <c r="AJ126" s="279"/>
      <c r="AK126" s="279"/>
      <c r="AL126" s="279"/>
      <c r="AM126" s="281"/>
      <c r="AN126" s="258">
        <v>7500</v>
      </c>
      <c r="AO126" s="299">
        <v>1500</v>
      </c>
      <c r="AP126" s="299"/>
      <c r="AQ126" s="299"/>
      <c r="AR126" s="299">
        <f t="shared" si="65"/>
        <v>3945.72562777778</v>
      </c>
      <c r="AS126" s="300"/>
      <c r="AT126" s="300"/>
      <c r="AU126" s="299">
        <f t="shared" si="75"/>
        <v>20310.76194</v>
      </c>
      <c r="AV126" s="299">
        <f>W126+V126+U126+N126+M126+K126+J126+I126+H126</f>
        <v>197286.281388889</v>
      </c>
      <c r="AW126" s="299">
        <f>AU126+AR126+AQ126+AO126+AN126+AM126+AK126+AI126+AH126+AG126+AF126+AE126+AD126</f>
        <v>37648.7792344444</v>
      </c>
      <c r="AX126" s="299"/>
      <c r="AY126" s="299"/>
      <c r="AZ126" s="299">
        <f t="shared" si="71"/>
        <v>159637.502154444</v>
      </c>
      <c r="BA126" s="305">
        <f t="shared" si="72"/>
        <v>2367435.37666667</v>
      </c>
      <c r="BB126" s="306">
        <f t="shared" si="47"/>
        <v>673487.075333333</v>
      </c>
      <c r="BC126" s="307">
        <f t="shared" si="73"/>
        <v>0</v>
      </c>
      <c r="BD126" s="308">
        <f t="shared" si="48"/>
        <v>673487.075333333</v>
      </c>
      <c r="BE126" s="313">
        <f t="shared" si="49"/>
        <v>1693948.30133333</v>
      </c>
      <c r="BF126" s="306"/>
      <c r="BG126" s="307">
        <f t="shared" si="50"/>
        <v>21000</v>
      </c>
      <c r="BH126" s="307">
        <f t="shared" si="51"/>
        <v>33000</v>
      </c>
      <c r="BI126" s="307">
        <f t="shared" si="52"/>
        <v>75000</v>
      </c>
      <c r="BJ126" s="307">
        <f t="shared" si="53"/>
        <v>95000</v>
      </c>
      <c r="BK126" s="307">
        <f t="shared" si="54"/>
        <v>19729.1432800001</v>
      </c>
      <c r="BL126" s="307" t="str">
        <f t="shared" si="55"/>
        <v/>
      </c>
      <c r="BM126" s="305">
        <f t="shared" si="56"/>
        <v>243729.14328</v>
      </c>
      <c r="BN126" s="320">
        <f t="shared" si="57"/>
        <v>23674.3537666667</v>
      </c>
      <c r="BO126" s="321">
        <f t="shared" si="58"/>
        <v>243729.14328</v>
      </c>
      <c r="BP126" s="322">
        <f t="shared" si="59"/>
        <v>20310.76194</v>
      </c>
      <c r="BQ126" s="323"/>
      <c r="BR126" s="324"/>
      <c r="BS126" s="325"/>
      <c r="BT126" s="326"/>
      <c r="BU126" s="326"/>
      <c r="BV126" s="334"/>
      <c r="BW126" s="335"/>
    </row>
    <row r="127" s="245" customFormat="1" ht="172.5" customHeight="1" spans="1:75">
      <c r="A127" s="255">
        <v>117</v>
      </c>
      <c r="B127" s="70" t="s">
        <v>410</v>
      </c>
      <c r="C127" s="129" t="s">
        <v>204</v>
      </c>
      <c r="D127" s="129" t="s">
        <v>208</v>
      </c>
      <c r="E127" s="128" t="s">
        <v>2041</v>
      </c>
      <c r="F127" s="256">
        <v>6001992260</v>
      </c>
      <c r="G127" s="257">
        <v>2035375</v>
      </c>
      <c r="H127" s="258">
        <f t="shared" si="74"/>
        <v>169614.583333333</v>
      </c>
      <c r="I127" s="258">
        <f t="shared" si="70"/>
        <v>19788.3680555556</v>
      </c>
      <c r="J127" s="258">
        <f>J126</f>
        <v>5000</v>
      </c>
      <c r="K127" s="342"/>
      <c r="L127" s="258"/>
      <c r="M127" s="258">
        <v>2500</v>
      </c>
      <c r="N127" s="258"/>
      <c r="O127" s="258"/>
      <c r="P127" s="258"/>
      <c r="Q127" s="258"/>
      <c r="R127" s="258"/>
      <c r="S127" s="258"/>
      <c r="T127" s="258"/>
      <c r="U127" s="258">
        <v>383.33</v>
      </c>
      <c r="V127" s="258"/>
      <c r="W127" s="265"/>
      <c r="X127" s="258"/>
      <c r="Y127" s="258"/>
      <c r="Z127" s="258"/>
      <c r="AA127" s="258"/>
      <c r="AB127" s="258"/>
      <c r="AC127" s="258"/>
      <c r="AD127" s="270"/>
      <c r="AE127" s="258"/>
      <c r="AF127" s="342">
        <v>3000</v>
      </c>
      <c r="AG127" s="270">
        <f t="shared" si="64"/>
        <v>3392.29166666667</v>
      </c>
      <c r="AH127" s="270">
        <f>5000</f>
        <v>5000</v>
      </c>
      <c r="AI127" s="278"/>
      <c r="AJ127" s="279">
        <v>1000</v>
      </c>
      <c r="AK127" s="280"/>
      <c r="AL127" s="280"/>
      <c r="AM127" s="281">
        <v>58604.17</v>
      </c>
      <c r="AN127" s="258"/>
      <c r="AO127" s="299">
        <v>1500</v>
      </c>
      <c r="AP127" s="299"/>
      <c r="AQ127" s="299"/>
      <c r="AR127" s="299">
        <f t="shared" si="65"/>
        <v>3945.72562777778</v>
      </c>
      <c r="AS127" s="300"/>
      <c r="AT127" s="300"/>
      <c r="AU127" s="299">
        <f t="shared" si="75"/>
        <v>20310.76194</v>
      </c>
      <c r="AV127" s="299">
        <f>V127+U127+N127+M127+K127+J127+I127+H127</f>
        <v>197286.281388889</v>
      </c>
      <c r="AW127" s="299">
        <f>AU127+AR127+AQ127+AO127+AN127+AM127+AK127+AI127+AH127+AG127+AF127+AE127+AD127+AJ127</f>
        <v>96752.9492344445</v>
      </c>
      <c r="AX127" s="299"/>
      <c r="AY127" s="299"/>
      <c r="AZ127" s="299">
        <f t="shared" si="71"/>
        <v>100533.332154444</v>
      </c>
      <c r="BA127" s="305">
        <f t="shared" si="72"/>
        <v>2367435.37666667</v>
      </c>
      <c r="BB127" s="306">
        <f t="shared" si="47"/>
        <v>673487.075333333</v>
      </c>
      <c r="BC127" s="307">
        <f t="shared" si="73"/>
        <v>0</v>
      </c>
      <c r="BD127" s="308">
        <f t="shared" si="48"/>
        <v>673487.075333333</v>
      </c>
      <c r="BE127" s="313">
        <f t="shared" si="49"/>
        <v>1693948.30133333</v>
      </c>
      <c r="BF127" s="306"/>
      <c r="BG127" s="307">
        <f t="shared" si="50"/>
        <v>21000</v>
      </c>
      <c r="BH127" s="307">
        <f t="shared" si="51"/>
        <v>33000</v>
      </c>
      <c r="BI127" s="307">
        <f t="shared" si="52"/>
        <v>75000</v>
      </c>
      <c r="BJ127" s="307">
        <f t="shared" si="53"/>
        <v>95000</v>
      </c>
      <c r="BK127" s="307">
        <f t="shared" si="54"/>
        <v>19729.1432800001</v>
      </c>
      <c r="BL127" s="307" t="str">
        <f t="shared" si="55"/>
        <v/>
      </c>
      <c r="BM127" s="305">
        <f t="shared" si="56"/>
        <v>243729.14328</v>
      </c>
      <c r="BN127" s="320">
        <f t="shared" si="57"/>
        <v>23674.3537666667</v>
      </c>
      <c r="BO127" s="321">
        <f t="shared" si="58"/>
        <v>243729.14328</v>
      </c>
      <c r="BP127" s="322">
        <f t="shared" si="59"/>
        <v>20310.76194</v>
      </c>
      <c r="BQ127" s="323"/>
      <c r="BR127" s="324"/>
      <c r="BS127" s="325"/>
      <c r="BT127" s="326"/>
      <c r="BU127" s="326"/>
      <c r="BV127" s="334"/>
      <c r="BW127" s="335"/>
    </row>
    <row r="128" s="248" customFormat="1" ht="172.5" customHeight="1" spans="1:75">
      <c r="A128" s="255">
        <v>118</v>
      </c>
      <c r="B128" s="70" t="s">
        <v>412</v>
      </c>
      <c r="C128" s="339" t="s">
        <v>130</v>
      </c>
      <c r="D128" s="339" t="s">
        <v>297</v>
      </c>
      <c r="E128" s="340" t="s">
        <v>113</v>
      </c>
      <c r="F128" s="340">
        <v>1014869458</v>
      </c>
      <c r="G128" s="341">
        <v>2688069</v>
      </c>
      <c r="H128" s="258">
        <f t="shared" si="74"/>
        <v>224005.75</v>
      </c>
      <c r="I128" s="258">
        <f t="shared" si="70"/>
        <v>26134.0041666667</v>
      </c>
      <c r="J128" s="342">
        <v>5000</v>
      </c>
      <c r="K128" s="343"/>
      <c r="L128" s="342"/>
      <c r="M128" s="342">
        <v>2500</v>
      </c>
      <c r="N128" s="342"/>
      <c r="O128" s="342"/>
      <c r="P128" s="342"/>
      <c r="Q128" s="342"/>
      <c r="R128" s="342"/>
      <c r="S128" s="342"/>
      <c r="T128" s="342"/>
      <c r="U128" s="342">
        <v>383.33</v>
      </c>
      <c r="V128" s="342"/>
      <c r="W128" s="344"/>
      <c r="X128" s="342"/>
      <c r="Y128" s="342"/>
      <c r="Z128" s="342"/>
      <c r="AA128" s="342"/>
      <c r="AB128" s="342"/>
      <c r="AC128" s="342"/>
      <c r="AD128" s="270"/>
      <c r="AE128" s="342"/>
      <c r="AF128" s="342">
        <v>2250</v>
      </c>
      <c r="AG128" s="270">
        <f t="shared" si="64"/>
        <v>4480.115</v>
      </c>
      <c r="AH128" s="270"/>
      <c r="AI128" s="282">
        <v>1000</v>
      </c>
      <c r="AJ128" s="347"/>
      <c r="AK128" s="347"/>
      <c r="AL128" s="347"/>
      <c r="AM128" s="348"/>
      <c r="AN128" s="342"/>
      <c r="AO128" s="299">
        <v>1500</v>
      </c>
      <c r="AP128" s="349"/>
      <c r="AQ128" s="349"/>
      <c r="AR128" s="299">
        <f t="shared" si="65"/>
        <v>5160.46168333333</v>
      </c>
      <c r="AS128" s="350"/>
      <c r="AT128" s="350"/>
      <c r="AU128" s="349">
        <f t="shared" si="75"/>
        <v>30514.5448066667</v>
      </c>
      <c r="AV128" s="299">
        <f>W128+V128+U128+N128+M128+K128+J128+I128+H128</f>
        <v>258023.084166667</v>
      </c>
      <c r="AW128" s="299">
        <f>AU128+AR128+AQ128+AO128+AN128+AM128+AK128+AI128+AH128+AG128+AF128+AE128+AD128</f>
        <v>44905.12149</v>
      </c>
      <c r="AX128" s="349"/>
      <c r="AY128" s="349"/>
      <c r="AZ128" s="299">
        <f t="shared" si="71"/>
        <v>213117.962676667</v>
      </c>
      <c r="BA128" s="351">
        <f t="shared" si="72"/>
        <v>3096277.01</v>
      </c>
      <c r="BB128" s="352">
        <f t="shared" si="47"/>
        <v>819255.402</v>
      </c>
      <c r="BC128" s="325">
        <f t="shared" si="73"/>
        <v>0</v>
      </c>
      <c r="BD128" s="353">
        <f t="shared" si="48"/>
        <v>819255.402</v>
      </c>
      <c r="BE128" s="326">
        <f t="shared" si="49"/>
        <v>2277021.608</v>
      </c>
      <c r="BF128" s="352"/>
      <c r="BG128" s="325">
        <f t="shared" si="50"/>
        <v>21000</v>
      </c>
      <c r="BH128" s="325">
        <f t="shared" si="51"/>
        <v>33000</v>
      </c>
      <c r="BI128" s="325">
        <f t="shared" si="52"/>
        <v>75000</v>
      </c>
      <c r="BJ128" s="325">
        <f t="shared" si="53"/>
        <v>95000</v>
      </c>
      <c r="BK128" s="325">
        <f t="shared" si="54"/>
        <v>142174.53768</v>
      </c>
      <c r="BL128" s="325" t="str">
        <f t="shared" si="55"/>
        <v/>
      </c>
      <c r="BM128" s="351">
        <f t="shared" si="56"/>
        <v>366174.53768</v>
      </c>
      <c r="BN128" s="354">
        <f t="shared" si="57"/>
        <v>30962.7701</v>
      </c>
      <c r="BO128" s="355">
        <f t="shared" si="58"/>
        <v>366174.53768</v>
      </c>
      <c r="BP128" s="356">
        <f t="shared" si="59"/>
        <v>30514.5448066667</v>
      </c>
      <c r="BQ128" s="323"/>
      <c r="BR128" s="324"/>
      <c r="BS128" s="325"/>
      <c r="BT128" s="326"/>
      <c r="BU128" s="326"/>
      <c r="BV128" s="359"/>
      <c r="BW128" s="360"/>
    </row>
    <row r="129" s="245" customFormat="1" ht="172.5" customHeight="1" spans="1:75">
      <c r="A129" s="255">
        <v>119</v>
      </c>
      <c r="B129" s="70" t="s">
        <v>413</v>
      </c>
      <c r="C129" s="361" t="s">
        <v>204</v>
      </c>
      <c r="D129" s="361" t="s">
        <v>2040</v>
      </c>
      <c r="E129" s="362" t="s">
        <v>135</v>
      </c>
      <c r="F129" s="1473" t="s">
        <v>350</v>
      </c>
      <c r="G129" s="363">
        <v>2199496</v>
      </c>
      <c r="H129" s="258">
        <f t="shared" si="74"/>
        <v>183291.333333333</v>
      </c>
      <c r="I129" s="258">
        <f t="shared" si="70"/>
        <v>21383.9888888889</v>
      </c>
      <c r="J129" s="343">
        <v>5000</v>
      </c>
      <c r="K129" s="258"/>
      <c r="L129" s="343"/>
      <c r="M129" s="343">
        <v>2500</v>
      </c>
      <c r="N129" s="343"/>
      <c r="O129" s="343"/>
      <c r="P129" s="343"/>
      <c r="Q129" s="343"/>
      <c r="R129" s="343"/>
      <c r="S129" s="343"/>
      <c r="T129" s="343"/>
      <c r="U129" s="343">
        <v>383.33</v>
      </c>
      <c r="V129" s="343"/>
      <c r="W129" s="371"/>
      <c r="X129" s="343"/>
      <c r="Y129" s="343"/>
      <c r="Z129" s="343"/>
      <c r="AA129" s="343"/>
      <c r="AB129" s="343"/>
      <c r="AC129" s="343"/>
      <c r="AD129" s="270"/>
      <c r="AE129" s="343"/>
      <c r="AF129" s="343">
        <v>750</v>
      </c>
      <c r="AG129" s="270">
        <f t="shared" si="64"/>
        <v>3665.82666666667</v>
      </c>
      <c r="AH129" s="270"/>
      <c r="AI129" s="278"/>
      <c r="AJ129" s="377"/>
      <c r="AK129" s="377"/>
      <c r="AL129" s="378">
        <v>1000</v>
      </c>
      <c r="AM129" s="379"/>
      <c r="AN129" s="343"/>
      <c r="AO129" s="391">
        <v>1500</v>
      </c>
      <c r="AP129" s="391"/>
      <c r="AQ129" s="391"/>
      <c r="AR129" s="299">
        <f t="shared" si="65"/>
        <v>4251.17304444444</v>
      </c>
      <c r="AS129" s="392"/>
      <c r="AT129" s="392"/>
      <c r="AU129" s="391">
        <f t="shared" si="75"/>
        <v>22876.52024</v>
      </c>
      <c r="AV129" s="299">
        <f>W129+V129+U129+N129+M129+K129+J129+I129+H129</f>
        <v>212558.652222222</v>
      </c>
      <c r="AW129" s="299">
        <f>AU129+AR129+AQ129+AO129+AN129+AM129+AK129+AI129+AH129+AG129+AF129+AE129+AD129+AL129</f>
        <v>34043.5199511111</v>
      </c>
      <c r="AX129" s="391"/>
      <c r="AY129" s="391"/>
      <c r="AZ129" s="299">
        <f t="shared" si="71"/>
        <v>178515.132271111</v>
      </c>
      <c r="BA129" s="397">
        <f t="shared" si="72"/>
        <v>2550703.82666667</v>
      </c>
      <c r="BB129" s="398">
        <f t="shared" si="47"/>
        <v>710140.765333334</v>
      </c>
      <c r="BC129" s="399">
        <f t="shared" si="73"/>
        <v>0</v>
      </c>
      <c r="BD129" s="400">
        <f t="shared" si="48"/>
        <v>710140.765333334</v>
      </c>
      <c r="BE129" s="409">
        <f t="shared" si="49"/>
        <v>1840563.06133333</v>
      </c>
      <c r="BF129" s="398"/>
      <c r="BG129" s="399">
        <f t="shared" si="50"/>
        <v>21000</v>
      </c>
      <c r="BH129" s="399">
        <f t="shared" si="51"/>
        <v>33000</v>
      </c>
      <c r="BI129" s="399">
        <f t="shared" si="52"/>
        <v>75000</v>
      </c>
      <c r="BJ129" s="399">
        <f t="shared" si="53"/>
        <v>95000</v>
      </c>
      <c r="BK129" s="399">
        <f t="shared" si="54"/>
        <v>50518.2428800001</v>
      </c>
      <c r="BL129" s="399" t="str">
        <f t="shared" si="55"/>
        <v/>
      </c>
      <c r="BM129" s="397">
        <f t="shared" si="56"/>
        <v>274518.24288</v>
      </c>
      <c r="BN129" s="412">
        <f t="shared" si="57"/>
        <v>25507.0382666667</v>
      </c>
      <c r="BO129" s="413">
        <f t="shared" si="58"/>
        <v>274518.24288</v>
      </c>
      <c r="BP129" s="414">
        <f t="shared" si="59"/>
        <v>22876.52024</v>
      </c>
      <c r="BQ129" s="415"/>
      <c r="BR129" s="416"/>
      <c r="BS129" s="417"/>
      <c r="BT129" s="418"/>
      <c r="BU129" s="418"/>
      <c r="BV129" s="334"/>
      <c r="BW129" s="335"/>
    </row>
    <row r="130" s="245" customFormat="1" ht="172.5" customHeight="1" spans="1:75">
      <c r="A130" s="255">
        <v>120</v>
      </c>
      <c r="B130" s="70" t="s">
        <v>414</v>
      </c>
      <c r="C130" s="361" t="s">
        <v>130</v>
      </c>
      <c r="D130" s="129" t="s">
        <v>297</v>
      </c>
      <c r="E130" s="256" t="s">
        <v>127</v>
      </c>
      <c r="F130" s="1469" t="s">
        <v>415</v>
      </c>
      <c r="G130" s="257">
        <v>2688069</v>
      </c>
      <c r="H130" s="258">
        <f t="shared" si="74"/>
        <v>224005.75</v>
      </c>
      <c r="I130" s="258">
        <f t="shared" si="70"/>
        <v>26134.0041666667</v>
      </c>
      <c r="J130" s="258">
        <v>5000</v>
      </c>
      <c r="K130" s="258"/>
      <c r="L130" s="258"/>
      <c r="M130" s="258">
        <v>2500</v>
      </c>
      <c r="N130" s="258"/>
      <c r="O130" s="258"/>
      <c r="P130" s="258"/>
      <c r="Q130" s="258"/>
      <c r="R130" s="258"/>
      <c r="S130" s="258"/>
      <c r="T130" s="258"/>
      <c r="U130" s="258">
        <v>383.33</v>
      </c>
      <c r="V130" s="258"/>
      <c r="W130" s="265"/>
      <c r="X130" s="258"/>
      <c r="Y130" s="258"/>
      <c r="Z130" s="258"/>
      <c r="AA130" s="258"/>
      <c r="AB130" s="258"/>
      <c r="AC130" s="258"/>
      <c r="AD130" s="270"/>
      <c r="AE130" s="258"/>
      <c r="AF130" s="258">
        <v>2000</v>
      </c>
      <c r="AG130" s="270">
        <f t="shared" si="64"/>
        <v>4480.115</v>
      </c>
      <c r="AH130" s="270"/>
      <c r="AI130" s="278"/>
      <c r="AJ130" s="280"/>
      <c r="AK130" s="280"/>
      <c r="AL130" s="380">
        <v>1000</v>
      </c>
      <c r="AM130" s="281">
        <v>72427.4</v>
      </c>
      <c r="AN130" s="258"/>
      <c r="AO130" s="391">
        <v>1500</v>
      </c>
      <c r="AP130" s="299"/>
      <c r="AQ130" s="299"/>
      <c r="AR130" s="299">
        <f t="shared" si="65"/>
        <v>5160.46168333333</v>
      </c>
      <c r="AS130" s="300"/>
      <c r="AT130" s="300"/>
      <c r="AU130" s="299">
        <f t="shared" si="75"/>
        <v>30514.5448066667</v>
      </c>
      <c r="AV130" s="299">
        <f>V130+U130+N130+M130+K130+J130+I130+H130</f>
        <v>258023.084166667</v>
      </c>
      <c r="AW130" s="299">
        <f>AU130+AR130+AQ130+AO130+AN130+AM130+AK130+AI130+AH130+AG130+AF130+AE130+AD130</f>
        <v>116082.52149</v>
      </c>
      <c r="AX130" s="299"/>
      <c r="AY130" s="299"/>
      <c r="AZ130" s="299">
        <f t="shared" si="71"/>
        <v>141940.562676667</v>
      </c>
      <c r="BA130" s="305">
        <f t="shared" si="72"/>
        <v>3096277.01</v>
      </c>
      <c r="BB130" s="306">
        <f t="shared" si="47"/>
        <v>819255.402</v>
      </c>
      <c r="BC130" s="307">
        <f t="shared" si="73"/>
        <v>0</v>
      </c>
      <c r="BD130" s="308">
        <f t="shared" si="48"/>
        <v>819255.402</v>
      </c>
      <c r="BE130" s="313">
        <f t="shared" si="49"/>
        <v>2277021.608</v>
      </c>
      <c r="BF130" s="306"/>
      <c r="BG130" s="307">
        <f t="shared" si="50"/>
        <v>21000</v>
      </c>
      <c r="BH130" s="307">
        <f t="shared" si="51"/>
        <v>33000</v>
      </c>
      <c r="BI130" s="307">
        <f t="shared" si="52"/>
        <v>75000</v>
      </c>
      <c r="BJ130" s="307">
        <f t="shared" si="53"/>
        <v>95000</v>
      </c>
      <c r="BK130" s="307">
        <f t="shared" si="54"/>
        <v>142174.53768</v>
      </c>
      <c r="BL130" s="307" t="str">
        <f t="shared" si="55"/>
        <v/>
      </c>
      <c r="BM130" s="305">
        <f t="shared" si="56"/>
        <v>366174.53768</v>
      </c>
      <c r="BN130" s="320">
        <f t="shared" si="57"/>
        <v>30962.7701</v>
      </c>
      <c r="BO130" s="321">
        <f t="shared" si="58"/>
        <v>366174.53768</v>
      </c>
      <c r="BP130" s="322">
        <f t="shared" si="59"/>
        <v>30514.5448066667</v>
      </c>
      <c r="BQ130" s="323"/>
      <c r="BR130" s="324"/>
      <c r="BS130" s="325"/>
      <c r="BT130" s="326"/>
      <c r="BU130" s="326"/>
      <c r="BV130" s="334"/>
      <c r="BW130" s="335"/>
    </row>
    <row r="131" s="245" customFormat="1" ht="172.5" customHeight="1" spans="1:75">
      <c r="A131" s="255">
        <v>121</v>
      </c>
      <c r="B131" s="70" t="s">
        <v>416</v>
      </c>
      <c r="C131" s="361" t="s">
        <v>204</v>
      </c>
      <c r="D131" s="129" t="s">
        <v>2040</v>
      </c>
      <c r="E131" s="256" t="s">
        <v>113</v>
      </c>
      <c r="F131" s="256">
        <v>1017304842</v>
      </c>
      <c r="G131" s="257">
        <v>2199496</v>
      </c>
      <c r="H131" s="258">
        <f t="shared" si="74"/>
        <v>183291.333333333</v>
      </c>
      <c r="I131" s="258">
        <f t="shared" si="70"/>
        <v>21383.9888888889</v>
      </c>
      <c r="J131" s="258">
        <v>5000</v>
      </c>
      <c r="K131" s="258"/>
      <c r="L131" s="258"/>
      <c r="M131" s="258">
        <v>2500</v>
      </c>
      <c r="N131" s="258"/>
      <c r="O131" s="258"/>
      <c r="P131" s="258"/>
      <c r="Q131" s="258"/>
      <c r="R131" s="258"/>
      <c r="S131" s="258"/>
      <c r="T131" s="258"/>
      <c r="U131" s="258">
        <v>383.33</v>
      </c>
      <c r="V131" s="258"/>
      <c r="W131" s="265"/>
      <c r="X131" s="258"/>
      <c r="Y131" s="258"/>
      <c r="Z131" s="258"/>
      <c r="AA131" s="258"/>
      <c r="AB131" s="258"/>
      <c r="AC131" s="258"/>
      <c r="AD131" s="270"/>
      <c r="AE131" s="258"/>
      <c r="AF131" s="258">
        <v>2000</v>
      </c>
      <c r="AG131" s="270">
        <f t="shared" si="64"/>
        <v>3665.82666666667</v>
      </c>
      <c r="AH131" s="270"/>
      <c r="AI131" s="278"/>
      <c r="AJ131" s="280"/>
      <c r="AK131" s="280"/>
      <c r="AL131" s="284">
        <v>1000</v>
      </c>
      <c r="AM131" s="281"/>
      <c r="AN131" s="258"/>
      <c r="AO131" s="299">
        <v>1500</v>
      </c>
      <c r="AP131" s="299"/>
      <c r="AQ131" s="299"/>
      <c r="AR131" s="299">
        <f t="shared" si="65"/>
        <v>4251.17304444444</v>
      </c>
      <c r="AS131" s="300"/>
      <c r="AT131" s="300"/>
      <c r="AU131" s="299">
        <f t="shared" si="75"/>
        <v>22876.52024</v>
      </c>
      <c r="AV131" s="299">
        <f>W131+V131+U131+N131+M131+K131+J131+I131+H131</f>
        <v>212558.652222222</v>
      </c>
      <c r="AW131" s="299">
        <f>AU131+AR131+AO131+AL131+AG131+AF131</f>
        <v>35293.5199511111</v>
      </c>
      <c r="AX131" s="299"/>
      <c r="AY131" s="299"/>
      <c r="AZ131" s="299">
        <f t="shared" si="71"/>
        <v>177265.132271111</v>
      </c>
      <c r="BA131" s="305">
        <f t="shared" si="72"/>
        <v>2550703.82666667</v>
      </c>
      <c r="BB131" s="306">
        <f t="shared" si="47"/>
        <v>710140.765333334</v>
      </c>
      <c r="BC131" s="307">
        <f t="shared" si="73"/>
        <v>0</v>
      </c>
      <c r="BD131" s="308">
        <f t="shared" si="48"/>
        <v>710140.765333334</v>
      </c>
      <c r="BE131" s="313">
        <f t="shared" si="49"/>
        <v>1840563.06133333</v>
      </c>
      <c r="BF131" s="306"/>
      <c r="BG131" s="307">
        <f t="shared" si="50"/>
        <v>21000</v>
      </c>
      <c r="BH131" s="307">
        <f t="shared" si="51"/>
        <v>33000</v>
      </c>
      <c r="BI131" s="307">
        <f t="shared" si="52"/>
        <v>75000</v>
      </c>
      <c r="BJ131" s="307">
        <f t="shared" si="53"/>
        <v>95000</v>
      </c>
      <c r="BK131" s="307">
        <f t="shared" si="54"/>
        <v>50518.2428800001</v>
      </c>
      <c r="BL131" s="307" t="str">
        <f t="shared" si="55"/>
        <v/>
      </c>
      <c r="BM131" s="305">
        <f t="shared" si="56"/>
        <v>274518.24288</v>
      </c>
      <c r="BN131" s="320">
        <f t="shared" si="57"/>
        <v>25507.0382666667</v>
      </c>
      <c r="BO131" s="321">
        <f t="shared" si="58"/>
        <v>274518.24288</v>
      </c>
      <c r="BP131" s="322">
        <f t="shared" si="59"/>
        <v>22876.52024</v>
      </c>
      <c r="BQ131" s="323"/>
      <c r="BR131" s="324"/>
      <c r="BS131" s="325"/>
      <c r="BT131" s="326"/>
      <c r="BU131" s="326"/>
      <c r="BV131" s="334"/>
      <c r="BW131" s="335"/>
    </row>
    <row r="132" s="245" customFormat="1" ht="172.5" customHeight="1" spans="1:75">
      <c r="A132" s="255">
        <v>122</v>
      </c>
      <c r="B132" s="70" t="s">
        <v>417</v>
      </c>
      <c r="C132" s="361" t="s">
        <v>418</v>
      </c>
      <c r="D132" s="129" t="s">
        <v>205</v>
      </c>
      <c r="E132" s="256" t="s">
        <v>127</v>
      </c>
      <c r="F132" s="1469" t="s">
        <v>419</v>
      </c>
      <c r="G132" s="257">
        <v>2090081</v>
      </c>
      <c r="H132" s="258">
        <f t="shared" si="74"/>
        <v>174173.416666667</v>
      </c>
      <c r="I132" s="258">
        <f t="shared" si="70"/>
        <v>20320.2319444444</v>
      </c>
      <c r="J132" s="258">
        <v>5000</v>
      </c>
      <c r="K132" s="258"/>
      <c r="L132" s="258"/>
      <c r="M132" s="258">
        <v>2500</v>
      </c>
      <c r="N132" s="258"/>
      <c r="O132" s="258"/>
      <c r="P132" s="258"/>
      <c r="Q132" s="258"/>
      <c r="R132" s="258"/>
      <c r="S132" s="258"/>
      <c r="T132" s="258"/>
      <c r="U132" s="258">
        <v>383.33</v>
      </c>
      <c r="V132" s="258"/>
      <c r="W132" s="265"/>
      <c r="X132" s="258"/>
      <c r="Y132" s="258"/>
      <c r="Z132" s="258"/>
      <c r="AA132" s="258"/>
      <c r="AB132" s="258"/>
      <c r="AC132" s="258"/>
      <c r="AD132" s="270"/>
      <c r="AE132" s="258"/>
      <c r="AF132" s="258">
        <v>1750</v>
      </c>
      <c r="AG132" s="270">
        <f t="shared" si="64"/>
        <v>3483.46833333333</v>
      </c>
      <c r="AH132" s="270"/>
      <c r="AI132" s="278"/>
      <c r="AJ132" s="280"/>
      <c r="AK132" s="280"/>
      <c r="AL132" s="284">
        <v>1000</v>
      </c>
      <c r="AM132" s="281"/>
      <c r="AN132" s="258"/>
      <c r="AO132" s="299">
        <v>1500</v>
      </c>
      <c r="AP132" s="299"/>
      <c r="AQ132" s="299"/>
      <c r="AR132" s="299">
        <f t="shared" si="65"/>
        <v>4047.53957222222</v>
      </c>
      <c r="AS132" s="300"/>
      <c r="AT132" s="300"/>
      <c r="AU132" s="299">
        <f t="shared" si="75"/>
        <v>21165.9990733333</v>
      </c>
      <c r="AV132" s="299">
        <f>W132+V132+U132+N132+M132+K132+J132+I132+H132</f>
        <v>202376.978611111</v>
      </c>
      <c r="AW132" s="299">
        <f>AU132+AR132+AQ132+AO132+AN132+AM132+AK132+AI132+AH132+AG132+AF132+AE132+AD132+AL132</f>
        <v>32947.0069788889</v>
      </c>
      <c r="AX132" s="299"/>
      <c r="AY132" s="299"/>
      <c r="AZ132" s="299">
        <f t="shared" si="71"/>
        <v>169429.971632222</v>
      </c>
      <c r="BA132" s="305">
        <f t="shared" si="72"/>
        <v>2428523.74333333</v>
      </c>
      <c r="BB132" s="306">
        <f t="shared" si="47"/>
        <v>685704.748666667</v>
      </c>
      <c r="BC132" s="307">
        <f t="shared" si="73"/>
        <v>0</v>
      </c>
      <c r="BD132" s="308">
        <f t="shared" si="48"/>
        <v>685704.748666667</v>
      </c>
      <c r="BE132" s="313">
        <f t="shared" si="49"/>
        <v>1742818.99466667</v>
      </c>
      <c r="BF132" s="306"/>
      <c r="BG132" s="307">
        <f t="shared" si="50"/>
        <v>21000</v>
      </c>
      <c r="BH132" s="307">
        <f t="shared" si="51"/>
        <v>33000</v>
      </c>
      <c r="BI132" s="307">
        <f t="shared" si="52"/>
        <v>75000</v>
      </c>
      <c r="BJ132" s="307">
        <f t="shared" si="53"/>
        <v>95000</v>
      </c>
      <c r="BK132" s="307">
        <f t="shared" si="54"/>
        <v>29991.98888</v>
      </c>
      <c r="BL132" s="307" t="str">
        <f t="shared" si="55"/>
        <v/>
      </c>
      <c r="BM132" s="305">
        <f t="shared" si="56"/>
        <v>253991.98888</v>
      </c>
      <c r="BN132" s="320">
        <f t="shared" si="57"/>
        <v>24285.2374333333</v>
      </c>
      <c r="BO132" s="321">
        <f t="shared" si="58"/>
        <v>253991.98888</v>
      </c>
      <c r="BP132" s="322">
        <f t="shared" si="59"/>
        <v>21165.9990733333</v>
      </c>
      <c r="BQ132" s="323"/>
      <c r="BR132" s="324"/>
      <c r="BS132" s="325"/>
      <c r="BT132" s="326"/>
      <c r="BU132" s="326"/>
      <c r="BV132" s="334"/>
      <c r="BW132" s="335"/>
    </row>
    <row r="133" s="245" customFormat="1" ht="172.5" customHeight="1" spans="1:75">
      <c r="A133" s="255">
        <v>123</v>
      </c>
      <c r="B133" s="70" t="s">
        <v>423</v>
      </c>
      <c r="C133" s="361" t="s">
        <v>130</v>
      </c>
      <c r="D133" s="129" t="s">
        <v>269</v>
      </c>
      <c r="E133" s="256" t="s">
        <v>135</v>
      </c>
      <c r="F133" s="1469" t="s">
        <v>424</v>
      </c>
      <c r="G133" s="257">
        <v>2775651</v>
      </c>
      <c r="H133" s="258">
        <f t="shared" si="74"/>
        <v>231304.25</v>
      </c>
      <c r="I133" s="258">
        <f t="shared" si="70"/>
        <v>26985.4958333333</v>
      </c>
      <c r="J133" s="258">
        <v>5000</v>
      </c>
      <c r="K133" s="258"/>
      <c r="L133" s="258"/>
      <c r="M133" s="258">
        <v>2500</v>
      </c>
      <c r="N133" s="258"/>
      <c r="O133" s="258"/>
      <c r="P133" s="258"/>
      <c r="Q133" s="258"/>
      <c r="R133" s="258"/>
      <c r="S133" s="258"/>
      <c r="T133" s="258"/>
      <c r="U133" s="258">
        <v>383.33</v>
      </c>
      <c r="V133" s="258"/>
      <c r="W133" s="265"/>
      <c r="X133" s="258"/>
      <c r="Y133" s="258"/>
      <c r="Z133" s="258"/>
      <c r="AA133" s="258"/>
      <c r="AB133" s="258"/>
      <c r="AC133" s="258"/>
      <c r="AD133" s="270"/>
      <c r="AE133" s="258"/>
      <c r="AF133" s="258"/>
      <c r="AG133" s="270">
        <f t="shared" si="64"/>
        <v>4626.085</v>
      </c>
      <c r="AH133" s="270">
        <f>10000</f>
        <v>10000</v>
      </c>
      <c r="AI133" s="278"/>
      <c r="AJ133" s="284">
        <v>2000</v>
      </c>
      <c r="AK133" s="280"/>
      <c r="AL133" s="280"/>
      <c r="AM133" s="281">
        <v>40608.33</v>
      </c>
      <c r="AN133" s="258">
        <v>8333.33</v>
      </c>
      <c r="AO133" s="299">
        <v>1500</v>
      </c>
      <c r="AP133" s="299"/>
      <c r="AQ133" s="299"/>
      <c r="AR133" s="299">
        <f t="shared" si="65"/>
        <v>5323.46151666667</v>
      </c>
      <c r="AS133" s="300"/>
      <c r="AT133" s="300"/>
      <c r="AU133" s="299">
        <f t="shared" si="75"/>
        <v>31883.7434066667</v>
      </c>
      <c r="AV133" s="299">
        <f>V133+U133+N133+M133+K133+J133+I133+H133</f>
        <v>266173.075833333</v>
      </c>
      <c r="AW133" s="299" t="e">
        <f>AU133+AR133+AQ133+AO133+AN133+AM133+AK133+AI133+AH133+AG133+AF133+#REF!+AJ133</f>
        <v>#REF!</v>
      </c>
      <c r="AX133" s="299"/>
      <c r="AY133" s="299"/>
      <c r="AZ133" s="299" t="e">
        <f t="shared" si="71"/>
        <v>#REF!</v>
      </c>
      <c r="BA133" s="305">
        <f t="shared" si="72"/>
        <v>3194076.91</v>
      </c>
      <c r="BB133" s="306">
        <f t="shared" si="47"/>
        <v>838815.382</v>
      </c>
      <c r="BC133" s="307">
        <f t="shared" si="73"/>
        <v>0</v>
      </c>
      <c r="BD133" s="308">
        <f t="shared" si="48"/>
        <v>838815.382</v>
      </c>
      <c r="BE133" s="313">
        <f t="shared" si="49"/>
        <v>2355261.528</v>
      </c>
      <c r="BF133" s="306"/>
      <c r="BG133" s="307">
        <f t="shared" si="50"/>
        <v>21000</v>
      </c>
      <c r="BH133" s="307">
        <f t="shared" si="51"/>
        <v>33000</v>
      </c>
      <c r="BI133" s="307">
        <f t="shared" si="52"/>
        <v>75000</v>
      </c>
      <c r="BJ133" s="307">
        <f t="shared" si="53"/>
        <v>95000</v>
      </c>
      <c r="BK133" s="307">
        <f t="shared" si="54"/>
        <v>158604.92088</v>
      </c>
      <c r="BL133" s="307" t="str">
        <f t="shared" si="55"/>
        <v/>
      </c>
      <c r="BM133" s="305">
        <f t="shared" si="56"/>
        <v>382604.92088</v>
      </c>
      <c r="BN133" s="320">
        <f t="shared" si="57"/>
        <v>31940.7691</v>
      </c>
      <c r="BO133" s="321">
        <f t="shared" si="58"/>
        <v>382604.92088</v>
      </c>
      <c r="BP133" s="322">
        <f t="shared" si="59"/>
        <v>31883.7434066667</v>
      </c>
      <c r="BQ133" s="323"/>
      <c r="BR133" s="324"/>
      <c r="BS133" s="325"/>
      <c r="BT133" s="326"/>
      <c r="BU133" s="326"/>
      <c r="BV133" s="334"/>
      <c r="BW133" s="335"/>
    </row>
    <row r="134" s="245" customFormat="1" ht="185" customHeight="1" spans="1:75">
      <c r="A134" s="255">
        <v>124</v>
      </c>
      <c r="B134" s="70" t="s">
        <v>425</v>
      </c>
      <c r="C134" s="129" t="s">
        <v>130</v>
      </c>
      <c r="D134" s="129" t="s">
        <v>153</v>
      </c>
      <c r="E134" s="256" t="s">
        <v>127</v>
      </c>
      <c r="F134" s="1469" t="s">
        <v>426</v>
      </c>
      <c r="G134" s="257">
        <v>2863233</v>
      </c>
      <c r="H134" s="258">
        <f t="shared" si="74"/>
        <v>238602.75</v>
      </c>
      <c r="I134" s="258">
        <f t="shared" si="70"/>
        <v>27836.9875</v>
      </c>
      <c r="J134" s="258">
        <v>5000</v>
      </c>
      <c r="K134" s="258"/>
      <c r="L134" s="258"/>
      <c r="M134" s="258">
        <v>2500</v>
      </c>
      <c r="N134" s="258"/>
      <c r="O134" s="258"/>
      <c r="P134" s="258"/>
      <c r="Q134" s="258"/>
      <c r="R134" s="258"/>
      <c r="S134" s="258"/>
      <c r="T134" s="258"/>
      <c r="U134" s="258">
        <v>383.33</v>
      </c>
      <c r="V134" s="258"/>
      <c r="W134" s="265"/>
      <c r="X134" s="258"/>
      <c r="Y134" s="258"/>
      <c r="Z134" s="258"/>
      <c r="AA134" s="258"/>
      <c r="AB134" s="258"/>
      <c r="AC134" s="258"/>
      <c r="AD134" s="270"/>
      <c r="AE134" s="258"/>
      <c r="AF134" s="258">
        <v>3000</v>
      </c>
      <c r="AG134" s="270">
        <f t="shared" si="64"/>
        <v>4772.055</v>
      </c>
      <c r="AH134" s="270"/>
      <c r="AI134" s="278"/>
      <c r="AJ134" s="280"/>
      <c r="AK134" s="280"/>
      <c r="AL134" s="284">
        <v>1000</v>
      </c>
      <c r="AM134" s="281">
        <v>27916.67</v>
      </c>
      <c r="AN134" s="258"/>
      <c r="AO134" s="299">
        <v>1500</v>
      </c>
      <c r="AP134" s="299"/>
      <c r="AQ134" s="299"/>
      <c r="AR134" s="299">
        <f t="shared" si="65"/>
        <v>5486.46135</v>
      </c>
      <c r="AS134" s="300"/>
      <c r="AT134" s="300"/>
      <c r="AU134" s="299">
        <f t="shared" si="75"/>
        <v>33252.9420066667</v>
      </c>
      <c r="AV134" s="299">
        <f>W134+V134+U134+N134+M134+K134+J134+I134+H134</f>
        <v>274323.0675</v>
      </c>
      <c r="AW134" s="299">
        <f>AU134+AR134+AO134+AM134+AL134+AG134+AF134</f>
        <v>76928.1283566667</v>
      </c>
      <c r="AX134" s="299"/>
      <c r="AY134" s="299"/>
      <c r="AZ134" s="299">
        <f t="shared" si="71"/>
        <v>197394.939143333</v>
      </c>
      <c r="BA134" s="305">
        <f t="shared" si="72"/>
        <v>3291876.81</v>
      </c>
      <c r="BB134" s="306">
        <f t="shared" si="47"/>
        <v>858375.362</v>
      </c>
      <c r="BC134" s="307">
        <f t="shared" si="73"/>
        <v>0</v>
      </c>
      <c r="BD134" s="308">
        <f t="shared" si="48"/>
        <v>858375.362</v>
      </c>
      <c r="BE134" s="313">
        <f t="shared" si="49"/>
        <v>2433501.448</v>
      </c>
      <c r="BF134" s="306"/>
      <c r="BG134" s="307">
        <f t="shared" si="50"/>
        <v>21000</v>
      </c>
      <c r="BH134" s="307">
        <f t="shared" si="51"/>
        <v>33000</v>
      </c>
      <c r="BI134" s="307">
        <f t="shared" si="52"/>
        <v>75000</v>
      </c>
      <c r="BJ134" s="307">
        <f t="shared" si="53"/>
        <v>95000</v>
      </c>
      <c r="BK134" s="307">
        <f t="shared" si="54"/>
        <v>175035.30408</v>
      </c>
      <c r="BL134" s="307" t="str">
        <f t="shared" si="55"/>
        <v/>
      </c>
      <c r="BM134" s="305">
        <f t="shared" si="56"/>
        <v>399035.30408</v>
      </c>
      <c r="BN134" s="320">
        <f t="shared" si="57"/>
        <v>32918.7681</v>
      </c>
      <c r="BO134" s="321">
        <f t="shared" si="58"/>
        <v>399035.30408</v>
      </c>
      <c r="BP134" s="322">
        <f t="shared" si="59"/>
        <v>33252.9420066667</v>
      </c>
      <c r="BQ134" s="323"/>
      <c r="BR134" s="324"/>
      <c r="BS134" s="325"/>
      <c r="BT134" s="326"/>
      <c r="BU134" s="326"/>
      <c r="BV134" s="334"/>
      <c r="BW134" s="335"/>
    </row>
    <row r="135" s="245" customFormat="1" ht="190" customHeight="1" spans="1:75">
      <c r="A135" s="255">
        <v>125</v>
      </c>
      <c r="B135" s="70" t="s">
        <v>427</v>
      </c>
      <c r="C135" s="129" t="s">
        <v>130</v>
      </c>
      <c r="D135" s="129" t="s">
        <v>272</v>
      </c>
      <c r="E135" s="256" t="s">
        <v>113</v>
      </c>
      <c r="F135" s="256">
        <v>2172788168</v>
      </c>
      <c r="G135" s="257">
        <v>2600486</v>
      </c>
      <c r="H135" s="258">
        <f t="shared" si="74"/>
        <v>216707.166666667</v>
      </c>
      <c r="I135" s="258">
        <f t="shared" si="70"/>
        <v>25282.5027777778</v>
      </c>
      <c r="J135" s="258">
        <v>5000</v>
      </c>
      <c r="K135" s="258"/>
      <c r="L135" s="258"/>
      <c r="M135" s="258">
        <v>2500</v>
      </c>
      <c r="N135" s="258"/>
      <c r="O135" s="258"/>
      <c r="P135" s="258"/>
      <c r="Q135" s="258"/>
      <c r="R135" s="258"/>
      <c r="S135" s="258"/>
      <c r="T135" s="258"/>
      <c r="U135" s="258">
        <v>383.33</v>
      </c>
      <c r="V135" s="258"/>
      <c r="W135" s="265"/>
      <c r="X135" s="258"/>
      <c r="Y135" s="258"/>
      <c r="Z135" s="258"/>
      <c r="AA135" s="258"/>
      <c r="AB135" s="258"/>
      <c r="AC135" s="258"/>
      <c r="AD135" s="270"/>
      <c r="AE135" s="258"/>
      <c r="AF135" s="258"/>
      <c r="AG135" s="270">
        <f t="shared" si="64"/>
        <v>4334.14333333333</v>
      </c>
      <c r="AH135" s="270"/>
      <c r="AI135" s="282"/>
      <c r="AJ135" s="279"/>
      <c r="AK135" s="279"/>
      <c r="AL135" s="279">
        <v>1000</v>
      </c>
      <c r="AM135" s="281"/>
      <c r="AN135" s="258"/>
      <c r="AO135" s="299">
        <v>1500</v>
      </c>
      <c r="AP135" s="299"/>
      <c r="AQ135" s="299"/>
      <c r="AR135" s="299">
        <f t="shared" si="65"/>
        <v>4997.45998888889</v>
      </c>
      <c r="AS135" s="300"/>
      <c r="AT135" s="300"/>
      <c r="AU135" s="299">
        <f t="shared" si="75"/>
        <v>29145.3305733333</v>
      </c>
      <c r="AV135" s="299">
        <f>W135+V135+U135+N135+M135+K135+J135+I135+H135</f>
        <v>249872.999444444</v>
      </c>
      <c r="AW135" s="299">
        <f>AU135+AR135+AQ135+AO135+AN135+AM135+AK135+AI135+AH135+AG135+AF135+AE135+AD135+AL135</f>
        <v>40976.9338955556</v>
      </c>
      <c r="AX135" s="299"/>
      <c r="AY135" s="299"/>
      <c r="AZ135" s="299">
        <f t="shared" si="71"/>
        <v>208896.065548889</v>
      </c>
      <c r="BA135" s="305">
        <f t="shared" si="72"/>
        <v>2998475.99333333</v>
      </c>
      <c r="BB135" s="306">
        <f t="shared" si="47"/>
        <v>799695.198666667</v>
      </c>
      <c r="BC135" s="307">
        <f t="shared" si="73"/>
        <v>0</v>
      </c>
      <c r="BD135" s="308">
        <f t="shared" si="48"/>
        <v>799695.198666667</v>
      </c>
      <c r="BE135" s="313">
        <f t="shared" si="49"/>
        <v>2198780.79466667</v>
      </c>
      <c r="BF135" s="306"/>
      <c r="BG135" s="307">
        <f t="shared" si="50"/>
        <v>21000</v>
      </c>
      <c r="BH135" s="307">
        <f t="shared" si="51"/>
        <v>33000</v>
      </c>
      <c r="BI135" s="307">
        <f t="shared" si="52"/>
        <v>75000</v>
      </c>
      <c r="BJ135" s="307">
        <f t="shared" si="53"/>
        <v>95000</v>
      </c>
      <c r="BK135" s="307">
        <f t="shared" si="54"/>
        <v>125743.96688</v>
      </c>
      <c r="BL135" s="307" t="str">
        <f t="shared" si="55"/>
        <v/>
      </c>
      <c r="BM135" s="305">
        <f t="shared" si="56"/>
        <v>349743.96688</v>
      </c>
      <c r="BN135" s="320">
        <f t="shared" si="57"/>
        <v>29984.7599333333</v>
      </c>
      <c r="BO135" s="321">
        <f t="shared" si="58"/>
        <v>349743.96688</v>
      </c>
      <c r="BP135" s="322">
        <f t="shared" si="59"/>
        <v>29145.3305733333</v>
      </c>
      <c r="BQ135" s="323"/>
      <c r="BR135" s="324"/>
      <c r="BS135" s="325"/>
      <c r="BT135" s="326"/>
      <c r="BU135" s="326"/>
      <c r="BV135" s="334"/>
      <c r="BW135" s="335"/>
    </row>
    <row r="136" s="245" customFormat="1" ht="166" customHeight="1" spans="1:75">
      <c r="A136" s="255">
        <v>126</v>
      </c>
      <c r="B136" s="70" t="s">
        <v>428</v>
      </c>
      <c r="C136" s="129" t="s">
        <v>221</v>
      </c>
      <c r="D136" s="129" t="s">
        <v>439</v>
      </c>
      <c r="E136" s="128" t="s">
        <v>93</v>
      </c>
      <c r="F136" s="256">
        <v>3074712488</v>
      </c>
      <c r="G136" s="257">
        <v>1947516</v>
      </c>
      <c r="H136" s="258">
        <f t="shared" si="74"/>
        <v>162293</v>
      </c>
      <c r="I136" s="258">
        <f t="shared" si="70"/>
        <v>18934.1833333333</v>
      </c>
      <c r="J136" s="258">
        <v>5000</v>
      </c>
      <c r="K136" s="258"/>
      <c r="L136" s="258"/>
      <c r="M136" s="258">
        <v>2500</v>
      </c>
      <c r="N136" s="258"/>
      <c r="O136" s="258"/>
      <c r="P136" s="258"/>
      <c r="Q136" s="258"/>
      <c r="R136" s="258"/>
      <c r="S136" s="258"/>
      <c r="T136" s="258"/>
      <c r="U136" s="258">
        <v>383.33</v>
      </c>
      <c r="V136" s="258"/>
      <c r="W136" s="265"/>
      <c r="X136" s="258"/>
      <c r="Y136" s="258"/>
      <c r="Z136" s="258"/>
      <c r="AA136" s="258"/>
      <c r="AB136" s="258"/>
      <c r="AC136" s="258"/>
      <c r="AD136" s="270"/>
      <c r="AE136" s="258"/>
      <c r="AF136" s="258">
        <v>1750</v>
      </c>
      <c r="AG136" s="270">
        <f t="shared" si="64"/>
        <v>3245.86</v>
      </c>
      <c r="AH136" s="270"/>
      <c r="AI136" s="282">
        <v>1000</v>
      </c>
      <c r="AJ136" s="279"/>
      <c r="AK136" s="279"/>
      <c r="AL136" s="279"/>
      <c r="AM136" s="281">
        <f>46094+19075</f>
        <v>65169</v>
      </c>
      <c r="AN136" s="258"/>
      <c r="AO136" s="299">
        <v>1000</v>
      </c>
      <c r="AP136" s="299"/>
      <c r="AQ136" s="299"/>
      <c r="AR136" s="299">
        <f t="shared" si="65"/>
        <v>3782.21026666667</v>
      </c>
      <c r="AS136" s="300"/>
      <c r="AT136" s="300"/>
      <c r="AU136" s="299">
        <f t="shared" si="75"/>
        <v>18937.2329066667</v>
      </c>
      <c r="AV136" s="299">
        <f>V136+U136+N136+M136+K136+J136+I136+H136</f>
        <v>189110.513333333</v>
      </c>
      <c r="AW136" s="299">
        <f>AU136+AR136+AQ136+AO136+AN136+AM136+AK136+AI136+AH136+AG136+AF136+AE136+AD136</f>
        <v>94884.3031733333</v>
      </c>
      <c r="AX136" s="299"/>
      <c r="AY136" s="299"/>
      <c r="AZ136" s="299">
        <f t="shared" si="71"/>
        <v>94226.21016</v>
      </c>
      <c r="BA136" s="305">
        <f t="shared" si="72"/>
        <v>2269326.16</v>
      </c>
      <c r="BB136" s="306">
        <f t="shared" si="47"/>
        <v>653865.232</v>
      </c>
      <c r="BC136" s="307">
        <f t="shared" si="73"/>
        <v>0</v>
      </c>
      <c r="BD136" s="308">
        <f t="shared" si="48"/>
        <v>653865.232</v>
      </c>
      <c r="BE136" s="313">
        <f t="shared" si="49"/>
        <v>1615460.928</v>
      </c>
      <c r="BF136" s="306"/>
      <c r="BG136" s="307">
        <f t="shared" si="50"/>
        <v>21000</v>
      </c>
      <c r="BH136" s="307">
        <f t="shared" si="51"/>
        <v>33000</v>
      </c>
      <c r="BI136" s="307">
        <f t="shared" si="52"/>
        <v>75000</v>
      </c>
      <c r="BJ136" s="307">
        <f t="shared" si="53"/>
        <v>95000</v>
      </c>
      <c r="BK136" s="307">
        <f t="shared" si="54"/>
        <v>3246.79488000001</v>
      </c>
      <c r="BL136" s="307" t="str">
        <f t="shared" si="55"/>
        <v/>
      </c>
      <c r="BM136" s="305">
        <f t="shared" si="56"/>
        <v>227246.79488</v>
      </c>
      <c r="BN136" s="320">
        <f t="shared" si="57"/>
        <v>22693.2616</v>
      </c>
      <c r="BO136" s="321">
        <f t="shared" si="58"/>
        <v>227246.79488</v>
      </c>
      <c r="BP136" s="322">
        <f t="shared" si="59"/>
        <v>18937.2329066667</v>
      </c>
      <c r="BQ136" s="323"/>
      <c r="BR136" s="324"/>
      <c r="BS136" s="325"/>
      <c r="BT136" s="326"/>
      <c r="BU136" s="326"/>
      <c r="BV136" s="334"/>
      <c r="BW136" s="335"/>
    </row>
    <row r="137" s="245" customFormat="1" ht="156" customHeight="1" spans="1:75">
      <c r="A137" s="255">
        <v>127</v>
      </c>
      <c r="B137" s="70" t="s">
        <v>429</v>
      </c>
      <c r="C137" s="129" t="s">
        <v>221</v>
      </c>
      <c r="D137" s="129" t="s">
        <v>439</v>
      </c>
      <c r="E137" s="256" t="s">
        <v>354</v>
      </c>
      <c r="F137" s="256">
        <v>1005590620</v>
      </c>
      <c r="G137" s="257">
        <v>1947516</v>
      </c>
      <c r="H137" s="258">
        <f t="shared" si="74"/>
        <v>162293</v>
      </c>
      <c r="I137" s="258">
        <f t="shared" si="70"/>
        <v>18934.1833333333</v>
      </c>
      <c r="J137" s="258">
        <v>5000</v>
      </c>
      <c r="K137" s="258"/>
      <c r="L137" s="258"/>
      <c r="M137" s="258">
        <v>2500</v>
      </c>
      <c r="N137" s="258"/>
      <c r="O137" s="258"/>
      <c r="P137" s="258"/>
      <c r="Q137" s="258"/>
      <c r="R137" s="258"/>
      <c r="S137" s="258"/>
      <c r="T137" s="258"/>
      <c r="U137" s="258">
        <v>383.33</v>
      </c>
      <c r="V137" s="258"/>
      <c r="W137" s="265"/>
      <c r="X137" s="258"/>
      <c r="Y137" s="258"/>
      <c r="Z137" s="258"/>
      <c r="AA137" s="258"/>
      <c r="AB137" s="258"/>
      <c r="AC137" s="258"/>
      <c r="AD137" s="270"/>
      <c r="AE137" s="258"/>
      <c r="AF137" s="258">
        <v>2000</v>
      </c>
      <c r="AG137" s="270">
        <f t="shared" si="64"/>
        <v>3245.86</v>
      </c>
      <c r="AH137" s="270">
        <v>8000</v>
      </c>
      <c r="AI137" s="278"/>
      <c r="AJ137" s="280"/>
      <c r="AK137" s="280"/>
      <c r="AL137" s="280"/>
      <c r="AM137" s="281"/>
      <c r="AN137" s="258">
        <v>5000</v>
      </c>
      <c r="AO137" s="299">
        <v>1000</v>
      </c>
      <c r="AP137" s="299"/>
      <c r="AQ137" s="299">
        <v>1250</v>
      </c>
      <c r="AR137" s="299">
        <f t="shared" si="65"/>
        <v>3782.21026666667</v>
      </c>
      <c r="AS137" s="300"/>
      <c r="AT137" s="300"/>
      <c r="AU137" s="299">
        <f t="shared" si="75"/>
        <v>18937.2329066667</v>
      </c>
      <c r="AV137" s="299">
        <f>W137+V137+U137+N137+M137+K137+J137+I137+H137</f>
        <v>189110.513333333</v>
      </c>
      <c r="AW137" s="299">
        <f>AU137+AR137+AQ137+AO137+AN137+AM137+AK137+AI137+AH137+AG137+AF137+AE137+AD137</f>
        <v>43215.3031733333</v>
      </c>
      <c r="AX137" s="299"/>
      <c r="AY137" s="299"/>
      <c r="AZ137" s="299">
        <f t="shared" si="71"/>
        <v>145895.21016</v>
      </c>
      <c r="BA137" s="305">
        <f t="shared" si="72"/>
        <v>2269326.16</v>
      </c>
      <c r="BB137" s="306">
        <f t="shared" si="47"/>
        <v>653865.232</v>
      </c>
      <c r="BC137" s="307">
        <f t="shared" si="73"/>
        <v>0</v>
      </c>
      <c r="BD137" s="308">
        <f t="shared" si="48"/>
        <v>653865.232</v>
      </c>
      <c r="BE137" s="313">
        <f t="shared" si="49"/>
        <v>1615460.928</v>
      </c>
      <c r="BF137" s="306"/>
      <c r="BG137" s="307">
        <f t="shared" si="50"/>
        <v>21000</v>
      </c>
      <c r="BH137" s="307">
        <f t="shared" si="51"/>
        <v>33000</v>
      </c>
      <c r="BI137" s="307">
        <f t="shared" si="52"/>
        <v>75000</v>
      </c>
      <c r="BJ137" s="307">
        <f t="shared" si="53"/>
        <v>95000</v>
      </c>
      <c r="BK137" s="307">
        <f t="shared" si="54"/>
        <v>3246.79488000001</v>
      </c>
      <c r="BL137" s="307" t="str">
        <f t="shared" si="55"/>
        <v/>
      </c>
      <c r="BM137" s="305">
        <f t="shared" si="56"/>
        <v>227246.79488</v>
      </c>
      <c r="BN137" s="320">
        <f t="shared" si="57"/>
        <v>22693.2616</v>
      </c>
      <c r="BO137" s="321">
        <f t="shared" si="58"/>
        <v>227246.79488</v>
      </c>
      <c r="BP137" s="322">
        <f t="shared" si="59"/>
        <v>18937.2329066667</v>
      </c>
      <c r="BQ137" s="323"/>
      <c r="BR137" s="324"/>
      <c r="BS137" s="325"/>
      <c r="BT137" s="326"/>
      <c r="BU137" s="326"/>
      <c r="BV137" s="334"/>
      <c r="BW137" s="335"/>
    </row>
    <row r="138" s="245" customFormat="1" ht="156" customHeight="1" spans="1:75">
      <c r="A138" s="255">
        <v>128</v>
      </c>
      <c r="B138" s="70" t="s">
        <v>431</v>
      </c>
      <c r="C138" s="129" t="s">
        <v>130</v>
      </c>
      <c r="D138" s="129" t="s">
        <v>297</v>
      </c>
      <c r="E138" s="256" t="s">
        <v>127</v>
      </c>
      <c r="F138" s="1469" t="s">
        <v>2067</v>
      </c>
      <c r="G138" s="257">
        <v>2688069</v>
      </c>
      <c r="H138" s="258">
        <f t="shared" si="74"/>
        <v>224005.75</v>
      </c>
      <c r="I138" s="258">
        <f t="shared" si="70"/>
        <v>26134.0041666667</v>
      </c>
      <c r="J138" s="258">
        <v>5000</v>
      </c>
      <c r="K138" s="258"/>
      <c r="L138" s="258"/>
      <c r="M138" s="258">
        <v>2500</v>
      </c>
      <c r="N138" s="258"/>
      <c r="O138" s="258"/>
      <c r="P138" s="258"/>
      <c r="Q138" s="258"/>
      <c r="R138" s="258"/>
      <c r="S138" s="258"/>
      <c r="T138" s="258"/>
      <c r="U138" s="258">
        <v>383.33</v>
      </c>
      <c r="V138" s="258"/>
      <c r="W138" s="265"/>
      <c r="X138" s="258"/>
      <c r="Y138" s="258"/>
      <c r="Z138" s="258"/>
      <c r="AA138" s="258"/>
      <c r="AB138" s="258"/>
      <c r="AC138" s="258"/>
      <c r="AD138" s="270"/>
      <c r="AE138" s="258"/>
      <c r="AF138" s="258">
        <v>3500</v>
      </c>
      <c r="AG138" s="270">
        <f t="shared" si="64"/>
        <v>4480.115</v>
      </c>
      <c r="AH138" s="270"/>
      <c r="AI138" s="282">
        <v>1000</v>
      </c>
      <c r="AJ138" s="279"/>
      <c r="AK138" s="279"/>
      <c r="AL138" s="279"/>
      <c r="AM138" s="281"/>
      <c r="AN138" s="258">
        <v>10000</v>
      </c>
      <c r="AO138" s="299">
        <v>1500</v>
      </c>
      <c r="AP138" s="299"/>
      <c r="AQ138" s="299"/>
      <c r="AR138" s="299">
        <f t="shared" si="65"/>
        <v>5160.46168333333</v>
      </c>
      <c r="AS138" s="300"/>
      <c r="AT138" s="300"/>
      <c r="AU138" s="299">
        <f>AU137</f>
        <v>18937.2329066667</v>
      </c>
      <c r="AV138" s="299">
        <f>W138+V138+U138+N138+M138+K138+J138+I138+H138</f>
        <v>258023.084166667</v>
      </c>
      <c r="AW138" s="299">
        <f>AU138+AR138+AQ138+AO138+AN138+AM138+AK138+AI138+AH138+AG138+AF138+AE138+AD138</f>
        <v>44577.80959</v>
      </c>
      <c r="AX138" s="299"/>
      <c r="AY138" s="299"/>
      <c r="AZ138" s="299">
        <f t="shared" si="71"/>
        <v>213445.274576667</v>
      </c>
      <c r="BA138" s="305">
        <f t="shared" si="72"/>
        <v>3096277.01</v>
      </c>
      <c r="BB138" s="306">
        <f t="shared" si="47"/>
        <v>819255.402</v>
      </c>
      <c r="BC138" s="307">
        <f t="shared" si="73"/>
        <v>0</v>
      </c>
      <c r="BD138" s="308">
        <f t="shared" si="48"/>
        <v>819255.402</v>
      </c>
      <c r="BE138" s="313">
        <f t="shared" si="49"/>
        <v>2277021.608</v>
      </c>
      <c r="BF138" s="306"/>
      <c r="BG138" s="307">
        <f t="shared" si="50"/>
        <v>21000</v>
      </c>
      <c r="BH138" s="307">
        <f t="shared" si="51"/>
        <v>33000</v>
      </c>
      <c r="BI138" s="307">
        <f t="shared" si="52"/>
        <v>75000</v>
      </c>
      <c r="BJ138" s="307">
        <f t="shared" si="53"/>
        <v>95000</v>
      </c>
      <c r="BK138" s="307">
        <f t="shared" si="54"/>
        <v>142174.53768</v>
      </c>
      <c r="BL138" s="307" t="str">
        <f t="shared" si="55"/>
        <v/>
      </c>
      <c r="BM138" s="305">
        <f t="shared" si="56"/>
        <v>366174.53768</v>
      </c>
      <c r="BN138" s="320">
        <f t="shared" si="57"/>
        <v>30962.7701</v>
      </c>
      <c r="BO138" s="321">
        <f t="shared" si="58"/>
        <v>366174.53768</v>
      </c>
      <c r="BP138" s="322">
        <f t="shared" si="59"/>
        <v>30514.5448066667</v>
      </c>
      <c r="BQ138" s="323"/>
      <c r="BR138" s="324"/>
      <c r="BS138" s="325"/>
      <c r="BT138" s="326"/>
      <c r="BU138" s="326"/>
      <c r="BV138" s="334"/>
      <c r="BW138" s="335"/>
    </row>
    <row r="139" s="245" customFormat="1" ht="156" customHeight="1" spans="1:75">
      <c r="A139" s="255">
        <v>129</v>
      </c>
      <c r="B139" s="70" t="s">
        <v>433</v>
      </c>
      <c r="C139" s="129" t="s">
        <v>204</v>
      </c>
      <c r="D139" s="129" t="s">
        <v>205</v>
      </c>
      <c r="E139" s="256" t="s">
        <v>165</v>
      </c>
      <c r="F139" s="256">
        <v>1006686724</v>
      </c>
      <c r="G139" s="257">
        <v>2090081</v>
      </c>
      <c r="H139" s="258">
        <f t="shared" si="74"/>
        <v>174173.416666667</v>
      </c>
      <c r="I139" s="258">
        <f t="shared" si="70"/>
        <v>20320.2319444444</v>
      </c>
      <c r="J139" s="258">
        <v>5000</v>
      </c>
      <c r="K139" s="258"/>
      <c r="L139" s="258"/>
      <c r="M139" s="258">
        <v>2500</v>
      </c>
      <c r="N139" s="258"/>
      <c r="O139" s="258"/>
      <c r="P139" s="258"/>
      <c r="Q139" s="258"/>
      <c r="R139" s="258"/>
      <c r="S139" s="258"/>
      <c r="T139" s="258"/>
      <c r="U139" s="258">
        <v>383.33</v>
      </c>
      <c r="V139" s="258"/>
      <c r="W139" s="265"/>
      <c r="X139" s="258"/>
      <c r="Y139" s="258"/>
      <c r="Z139" s="258"/>
      <c r="AA139" s="258"/>
      <c r="AB139" s="258"/>
      <c r="AC139" s="258"/>
      <c r="AD139" s="270"/>
      <c r="AE139" s="258"/>
      <c r="AF139" s="258">
        <v>3750</v>
      </c>
      <c r="AG139" s="270">
        <f t="shared" si="64"/>
        <v>3483.46833333333</v>
      </c>
      <c r="AH139" s="270">
        <v>20000</v>
      </c>
      <c r="AI139" s="278"/>
      <c r="AJ139" s="280"/>
      <c r="AK139" s="280"/>
      <c r="AL139" s="280"/>
      <c r="AM139" s="281">
        <f>5000+17500</f>
        <v>22500</v>
      </c>
      <c r="AN139" s="258">
        <v>5000</v>
      </c>
      <c r="AO139" s="299">
        <v>1500</v>
      </c>
      <c r="AP139" s="299"/>
      <c r="AQ139" s="299"/>
      <c r="AR139" s="299">
        <f t="shared" si="65"/>
        <v>4047.53957222222</v>
      </c>
      <c r="AS139" s="300"/>
      <c r="AT139" s="300"/>
      <c r="AU139" s="299">
        <f>AU138</f>
        <v>18937.2329066667</v>
      </c>
      <c r="AV139" s="299">
        <f>V139+U139+N139+M139+K139+J139+I139+H139</f>
        <v>202376.978611111</v>
      </c>
      <c r="AW139" s="299">
        <f>AU139+AR139+AQ139+AO139+AN139+AM139+AK139+AI139+AH139+AG139+AF139+AE139+AD139</f>
        <v>79218.2408122222</v>
      </c>
      <c r="AX139" s="299"/>
      <c r="AY139" s="299"/>
      <c r="AZ139" s="299">
        <f t="shared" si="71"/>
        <v>123158.737798889</v>
      </c>
      <c r="BA139" s="305">
        <f t="shared" si="72"/>
        <v>2428523.74333333</v>
      </c>
      <c r="BB139" s="306">
        <f t="shared" ref="BB139:BB187" si="76">200000+(0.2*BA139)</f>
        <v>685704.748666667</v>
      </c>
      <c r="BC139" s="307">
        <f t="shared" si="73"/>
        <v>0</v>
      </c>
      <c r="BD139" s="308">
        <f t="shared" ref="BD139:BD187" si="77">SUM(BB139:BC139)</f>
        <v>685704.748666667</v>
      </c>
      <c r="BE139" s="313">
        <f t="shared" ref="BE139:BE187" si="78">+BA139-BD139</f>
        <v>1742818.99466667</v>
      </c>
      <c r="BF139" s="306"/>
      <c r="BG139" s="307">
        <f t="shared" ref="BG139:BG187" si="79">IF((BE139&gt;0),(IF((BE139&gt;300000),(300000*7%),(BE139*7%))),(BA139*1%))</f>
        <v>21000</v>
      </c>
      <c r="BH139" s="307">
        <f t="shared" ref="BH139:BH187" si="80">IF((BE139-300000)&gt;0,(IF((BE139&gt;600000),(300000*11%),((BE139-300000)*11%))),(""))</f>
        <v>33000</v>
      </c>
      <c r="BI139" s="307">
        <f t="shared" ref="BI139:BI187" si="81">IF(((BE139-600000)&gt;0),(IF((BE139&gt;1100000),(500000*15%),((BE139-600000)*15%))),(""))</f>
        <v>75000</v>
      </c>
      <c r="BJ139" s="307">
        <f t="shared" ref="BJ139:BJ187" si="82">IF(((BE139-(1100000))&gt;0),(IF((BE139&gt;(1600000)),((500000)*19%),((BE139-(1100000))*19%))),(""))</f>
        <v>95000</v>
      </c>
      <c r="BK139" s="307">
        <f t="shared" ref="BK139:BK187" si="83">IF(((BE139-(1600000))&gt;0),(IF((BE139&gt;(3200000)),((1600000)*21%),((BE139-(1600000))*21%))),(""))</f>
        <v>29991.98888</v>
      </c>
      <c r="BL139" s="307" t="str">
        <f t="shared" ref="BL139:BL187" si="84">IF(((BE139-(3200000))&gt;0),(IF((BE139&gt;(3200000)),((BE139-(3200000))*24%),(0))),(""))</f>
        <v/>
      </c>
      <c r="BM139" s="305">
        <f t="shared" ref="BM139:BM187" si="85">SUM(BG139:BL139)</f>
        <v>253991.98888</v>
      </c>
      <c r="BN139" s="320">
        <f t="shared" ref="BN139:BN187" si="86">1%*BA139</f>
        <v>24285.2374333333</v>
      </c>
      <c r="BO139" s="321">
        <f t="shared" ref="BO139:BO187" si="87">MAX(BM139:BN139)</f>
        <v>253991.98888</v>
      </c>
      <c r="BP139" s="322">
        <f t="shared" ref="BP139:BP187" si="88">+BO139/12</f>
        <v>21165.9990733333</v>
      </c>
      <c r="BQ139" s="323"/>
      <c r="BR139" s="324"/>
      <c r="BS139" s="325"/>
      <c r="BT139" s="326"/>
      <c r="BU139" s="326"/>
      <c r="BV139" s="334"/>
      <c r="BW139" s="335"/>
    </row>
    <row r="140" s="245" customFormat="1" ht="156" customHeight="1" spans="1:75">
      <c r="A140" s="255">
        <v>130</v>
      </c>
      <c r="B140" s="70" t="s">
        <v>434</v>
      </c>
      <c r="C140" s="129" t="s">
        <v>221</v>
      </c>
      <c r="D140" s="129" t="s">
        <v>555</v>
      </c>
      <c r="E140" s="256" t="s">
        <v>127</v>
      </c>
      <c r="F140" s="1469" t="s">
        <v>436</v>
      </c>
      <c r="G140" s="257">
        <v>1796468</v>
      </c>
      <c r="H140" s="258">
        <f t="shared" si="74"/>
        <v>149705.666666667</v>
      </c>
      <c r="I140" s="258">
        <f t="shared" si="70"/>
        <v>17465.6611111111</v>
      </c>
      <c r="J140" s="258">
        <v>5000</v>
      </c>
      <c r="K140" s="258"/>
      <c r="L140" s="258"/>
      <c r="M140" s="258">
        <v>2500</v>
      </c>
      <c r="N140" s="258"/>
      <c r="O140" s="258"/>
      <c r="P140" s="258"/>
      <c r="Q140" s="258"/>
      <c r="R140" s="258"/>
      <c r="S140" s="258"/>
      <c r="T140" s="258"/>
      <c r="U140" s="258">
        <v>383.33</v>
      </c>
      <c r="V140" s="258"/>
      <c r="W140" s="265"/>
      <c r="X140" s="258"/>
      <c r="Y140" s="258"/>
      <c r="Z140" s="258"/>
      <c r="AA140" s="258"/>
      <c r="AB140" s="258"/>
      <c r="AC140" s="258"/>
      <c r="AD140" s="270"/>
      <c r="AE140" s="258"/>
      <c r="AF140" s="258">
        <v>1750</v>
      </c>
      <c r="AG140" s="270">
        <f t="shared" si="64"/>
        <v>2994.11333333333</v>
      </c>
      <c r="AH140" s="270"/>
      <c r="AI140" s="278"/>
      <c r="AJ140" s="280"/>
      <c r="AK140" s="280"/>
      <c r="AL140" s="284">
        <v>1000</v>
      </c>
      <c r="AM140" s="281"/>
      <c r="AN140" s="258"/>
      <c r="AO140" s="299">
        <v>1000</v>
      </c>
      <c r="AP140" s="299"/>
      <c r="AQ140" s="299"/>
      <c r="AR140" s="299">
        <f t="shared" si="65"/>
        <v>3501.09315555556</v>
      </c>
      <c r="AS140" s="300"/>
      <c r="AT140" s="300"/>
      <c r="AU140" s="299">
        <f>AU139</f>
        <v>18937.2329066667</v>
      </c>
      <c r="AV140" s="299">
        <f>W140+V140+U140+N140+M140+K140+J140+I140+H140</f>
        <v>175054.657777778</v>
      </c>
      <c r="AW140" s="299">
        <f>AU140+AR140+AQ140+AO140+AN140+AM140+AK140+AI140+AH140+AG140+AF140+AE140+AD140+AL140</f>
        <v>29182.4393955556</v>
      </c>
      <c r="AX140" s="299"/>
      <c r="AY140" s="299"/>
      <c r="AZ140" s="299">
        <f t="shared" si="71"/>
        <v>145872.218382222</v>
      </c>
      <c r="BA140" s="305">
        <f t="shared" si="72"/>
        <v>2100655.89333333</v>
      </c>
      <c r="BB140" s="306">
        <f t="shared" si="76"/>
        <v>620131.178666667</v>
      </c>
      <c r="BC140" s="307">
        <f t="shared" si="73"/>
        <v>0</v>
      </c>
      <c r="BD140" s="308">
        <f t="shared" si="77"/>
        <v>620131.178666667</v>
      </c>
      <c r="BE140" s="313">
        <f t="shared" si="78"/>
        <v>1480524.71466667</v>
      </c>
      <c r="BF140" s="306"/>
      <c r="BG140" s="307">
        <f t="shared" si="79"/>
        <v>21000</v>
      </c>
      <c r="BH140" s="307">
        <f t="shared" si="80"/>
        <v>33000</v>
      </c>
      <c r="BI140" s="307">
        <f t="shared" si="81"/>
        <v>75000</v>
      </c>
      <c r="BJ140" s="307">
        <f t="shared" si="82"/>
        <v>72299.6957866666</v>
      </c>
      <c r="BK140" s="307" t="str">
        <f t="shared" si="83"/>
        <v/>
      </c>
      <c r="BL140" s="307" t="str">
        <f t="shared" si="84"/>
        <v/>
      </c>
      <c r="BM140" s="305">
        <f t="shared" si="85"/>
        <v>201299.695786667</v>
      </c>
      <c r="BN140" s="320">
        <f t="shared" si="86"/>
        <v>21006.5589333333</v>
      </c>
      <c r="BO140" s="321">
        <f t="shared" si="87"/>
        <v>201299.695786667</v>
      </c>
      <c r="BP140" s="322">
        <f t="shared" si="88"/>
        <v>16774.9746488889</v>
      </c>
      <c r="BQ140" s="323"/>
      <c r="BR140" s="324"/>
      <c r="BS140" s="325"/>
      <c r="BT140" s="326"/>
      <c r="BU140" s="326"/>
      <c r="BV140" s="334"/>
      <c r="BW140" s="335"/>
    </row>
    <row r="141" s="245" customFormat="1" ht="156" customHeight="1" spans="1:75">
      <c r="A141" s="255">
        <v>131</v>
      </c>
      <c r="B141" s="70" t="s">
        <v>437</v>
      </c>
      <c r="C141" s="129" t="s">
        <v>204</v>
      </c>
      <c r="D141" s="129" t="s">
        <v>208</v>
      </c>
      <c r="E141" s="256" t="s">
        <v>93</v>
      </c>
      <c r="F141" s="256">
        <v>3045562177</v>
      </c>
      <c r="G141" s="257">
        <v>2035375</v>
      </c>
      <c r="H141" s="258">
        <f t="shared" si="74"/>
        <v>169614.583333333</v>
      </c>
      <c r="I141" s="258">
        <f t="shared" si="70"/>
        <v>19788.3680555556</v>
      </c>
      <c r="J141" s="258">
        <v>5000</v>
      </c>
      <c r="K141" s="258"/>
      <c r="L141" s="258"/>
      <c r="M141" s="258">
        <v>2500</v>
      </c>
      <c r="N141" s="258"/>
      <c r="O141" s="258"/>
      <c r="P141" s="258"/>
      <c r="Q141" s="258"/>
      <c r="R141" s="258"/>
      <c r="S141" s="258"/>
      <c r="T141" s="258"/>
      <c r="U141" s="258">
        <v>383.33</v>
      </c>
      <c r="V141" s="258"/>
      <c r="W141" s="265"/>
      <c r="X141" s="258"/>
      <c r="Y141" s="258"/>
      <c r="Z141" s="258"/>
      <c r="AA141" s="258"/>
      <c r="AB141" s="258"/>
      <c r="AC141" s="258"/>
      <c r="AD141" s="270"/>
      <c r="AE141" s="258"/>
      <c r="AF141" s="258"/>
      <c r="AG141" s="270">
        <f t="shared" si="64"/>
        <v>3392.29166666667</v>
      </c>
      <c r="AH141" s="270"/>
      <c r="AI141" s="282">
        <v>1000</v>
      </c>
      <c r="AJ141" s="279"/>
      <c r="AK141" s="279"/>
      <c r="AL141" s="279"/>
      <c r="AM141" s="281"/>
      <c r="AN141" s="258"/>
      <c r="AO141" s="299">
        <v>1500</v>
      </c>
      <c r="AP141" s="299"/>
      <c r="AQ141" s="299"/>
      <c r="AR141" s="299">
        <f t="shared" si="65"/>
        <v>3945.72562777778</v>
      </c>
      <c r="AS141" s="300"/>
      <c r="AT141" s="300"/>
      <c r="AU141" s="299">
        <f t="shared" ref="AU141:AU176" si="89">BP141</f>
        <v>20310.76194</v>
      </c>
      <c r="AV141" s="299">
        <f>W141+V141+U141+N141+M141+K141+J141+I141+H141</f>
        <v>197286.281388889</v>
      </c>
      <c r="AW141" s="299">
        <f>AU141+AR141+AQ141+AO141+AN141+AM141+AK141+AI141+AH141+AG141+AF141+AE141+AD141</f>
        <v>30148.7792344444</v>
      </c>
      <c r="AX141" s="299"/>
      <c r="AY141" s="299"/>
      <c r="AZ141" s="299">
        <f t="shared" si="71"/>
        <v>167137.502154444</v>
      </c>
      <c r="BA141" s="305">
        <f t="shared" si="72"/>
        <v>2367435.37666667</v>
      </c>
      <c r="BB141" s="306">
        <f t="shared" si="76"/>
        <v>673487.075333333</v>
      </c>
      <c r="BC141" s="307">
        <f t="shared" si="73"/>
        <v>0</v>
      </c>
      <c r="BD141" s="308">
        <f t="shared" si="77"/>
        <v>673487.075333333</v>
      </c>
      <c r="BE141" s="313">
        <f t="shared" si="78"/>
        <v>1693948.30133333</v>
      </c>
      <c r="BF141" s="306"/>
      <c r="BG141" s="307">
        <f t="shared" si="79"/>
        <v>21000</v>
      </c>
      <c r="BH141" s="307">
        <f t="shared" si="80"/>
        <v>33000</v>
      </c>
      <c r="BI141" s="307">
        <f t="shared" si="81"/>
        <v>75000</v>
      </c>
      <c r="BJ141" s="307">
        <f t="shared" si="82"/>
        <v>95000</v>
      </c>
      <c r="BK141" s="307">
        <f t="shared" si="83"/>
        <v>19729.1432800001</v>
      </c>
      <c r="BL141" s="307" t="str">
        <f t="shared" si="84"/>
        <v/>
      </c>
      <c r="BM141" s="305">
        <f t="shared" si="85"/>
        <v>243729.14328</v>
      </c>
      <c r="BN141" s="320">
        <f t="shared" si="86"/>
        <v>23674.3537666667</v>
      </c>
      <c r="BO141" s="321">
        <f t="shared" si="87"/>
        <v>243729.14328</v>
      </c>
      <c r="BP141" s="322">
        <f t="shared" si="88"/>
        <v>20310.76194</v>
      </c>
      <c r="BQ141" s="323"/>
      <c r="BR141" s="324"/>
      <c r="BS141" s="325"/>
      <c r="BT141" s="326"/>
      <c r="BU141" s="326"/>
      <c r="BV141" s="334"/>
      <c r="BW141" s="335"/>
    </row>
    <row r="142" s="245" customFormat="1" ht="156" customHeight="1" spans="1:75">
      <c r="A142" s="255">
        <v>132</v>
      </c>
      <c r="B142" s="70" t="s">
        <v>438</v>
      </c>
      <c r="C142" s="129" t="s">
        <v>221</v>
      </c>
      <c r="D142" s="129" t="s">
        <v>196</v>
      </c>
      <c r="E142" s="256" t="s">
        <v>113</v>
      </c>
      <c r="F142" s="256">
        <v>2241279302</v>
      </c>
      <c r="G142" s="258">
        <v>1846818</v>
      </c>
      <c r="H142" s="258">
        <f t="shared" si="74"/>
        <v>153901.5</v>
      </c>
      <c r="I142" s="258">
        <f t="shared" si="70"/>
        <v>17955.175</v>
      </c>
      <c r="J142" s="258">
        <v>5000</v>
      </c>
      <c r="K142" s="258"/>
      <c r="L142" s="258"/>
      <c r="M142" s="258">
        <v>2500</v>
      </c>
      <c r="N142" s="258"/>
      <c r="O142" s="258"/>
      <c r="P142" s="258"/>
      <c r="Q142" s="258"/>
      <c r="R142" s="258"/>
      <c r="S142" s="258"/>
      <c r="T142" s="258"/>
      <c r="U142" s="258">
        <v>383.33</v>
      </c>
      <c r="V142" s="258"/>
      <c r="W142" s="265"/>
      <c r="X142" s="258"/>
      <c r="Y142" s="258"/>
      <c r="Z142" s="258"/>
      <c r="AA142" s="258"/>
      <c r="AB142" s="258"/>
      <c r="AC142" s="258"/>
      <c r="AD142" s="270"/>
      <c r="AE142" s="258"/>
      <c r="AF142" s="258">
        <v>500</v>
      </c>
      <c r="AG142" s="270">
        <f t="shared" si="64"/>
        <v>3078.03</v>
      </c>
      <c r="AH142" s="270"/>
      <c r="AI142" s="278"/>
      <c r="AJ142" s="280"/>
      <c r="AK142" s="280"/>
      <c r="AL142" s="280"/>
      <c r="AM142" s="281"/>
      <c r="AN142" s="258"/>
      <c r="AO142" s="299">
        <v>1000</v>
      </c>
      <c r="AP142" s="299"/>
      <c r="AQ142" s="299"/>
      <c r="AR142" s="299">
        <f t="shared" si="65"/>
        <v>3594.8001</v>
      </c>
      <c r="AS142" s="300"/>
      <c r="AT142" s="300"/>
      <c r="AU142" s="299">
        <f t="shared" si="89"/>
        <v>17487.1474266667</v>
      </c>
      <c r="AV142" s="299">
        <f>V142+U142+N142+M142+K142+J142+I142+H142</f>
        <v>179740.005</v>
      </c>
      <c r="AW142" s="299">
        <f>AU142+AR142+AQ142+AO142+AN142+AM142+AK142+AI142+AH142+AG142+AF142+AE142+AD142</f>
        <v>25659.9775266667</v>
      </c>
      <c r="AX142" s="299"/>
      <c r="AY142" s="299"/>
      <c r="AZ142" s="299">
        <f t="shared" si="71"/>
        <v>154080.027473333</v>
      </c>
      <c r="BA142" s="305">
        <f t="shared" si="72"/>
        <v>2156880.06</v>
      </c>
      <c r="BB142" s="306">
        <f t="shared" si="76"/>
        <v>631376.012</v>
      </c>
      <c r="BC142" s="307">
        <f t="shared" si="73"/>
        <v>0</v>
      </c>
      <c r="BD142" s="308">
        <f t="shared" si="77"/>
        <v>631376.012</v>
      </c>
      <c r="BE142" s="313">
        <f t="shared" si="78"/>
        <v>1525504.048</v>
      </c>
      <c r="BF142" s="306"/>
      <c r="BG142" s="307">
        <f t="shared" si="79"/>
        <v>21000</v>
      </c>
      <c r="BH142" s="307">
        <f t="shared" si="80"/>
        <v>33000</v>
      </c>
      <c r="BI142" s="307">
        <f t="shared" si="81"/>
        <v>75000</v>
      </c>
      <c r="BJ142" s="307">
        <f t="shared" si="82"/>
        <v>80845.76912</v>
      </c>
      <c r="BK142" s="307" t="str">
        <f t="shared" si="83"/>
        <v/>
      </c>
      <c r="BL142" s="307" t="str">
        <f t="shared" si="84"/>
        <v/>
      </c>
      <c r="BM142" s="305">
        <f t="shared" si="85"/>
        <v>209845.76912</v>
      </c>
      <c r="BN142" s="320">
        <f t="shared" si="86"/>
        <v>21568.8006</v>
      </c>
      <c r="BO142" s="321">
        <f t="shared" si="87"/>
        <v>209845.76912</v>
      </c>
      <c r="BP142" s="322">
        <f t="shared" si="88"/>
        <v>17487.1474266667</v>
      </c>
      <c r="BQ142" s="323"/>
      <c r="BR142" s="324"/>
      <c r="BS142" s="325"/>
      <c r="BT142" s="326"/>
      <c r="BU142" s="326"/>
      <c r="BV142" s="334"/>
      <c r="BW142" s="335"/>
    </row>
    <row r="143" s="245" customFormat="1" ht="156" customHeight="1" spans="1:75">
      <c r="A143" s="255">
        <v>133</v>
      </c>
      <c r="B143" s="70" t="s">
        <v>441</v>
      </c>
      <c r="C143" s="129" t="s">
        <v>363</v>
      </c>
      <c r="D143" s="129" t="s">
        <v>208</v>
      </c>
      <c r="E143" s="256" t="s">
        <v>259</v>
      </c>
      <c r="F143" s="256">
        <v>4021422945</v>
      </c>
      <c r="G143" s="258">
        <f>H143*12</f>
        <v>1017686.52</v>
      </c>
      <c r="H143" s="258">
        <v>84807.21</v>
      </c>
      <c r="I143" s="258"/>
      <c r="J143" s="258"/>
      <c r="K143" s="258"/>
      <c r="L143" s="258"/>
      <c r="M143" s="258">
        <v>2500</v>
      </c>
      <c r="N143" s="258"/>
      <c r="O143" s="258"/>
      <c r="P143" s="258"/>
      <c r="Q143" s="258"/>
      <c r="R143" s="258"/>
      <c r="S143" s="258"/>
      <c r="T143" s="258"/>
      <c r="U143" s="258">
        <v>383.33</v>
      </c>
      <c r="V143" s="258"/>
      <c r="W143" s="265"/>
      <c r="X143" s="258"/>
      <c r="Y143" s="258"/>
      <c r="Z143" s="258"/>
      <c r="AA143" s="258"/>
      <c r="AB143" s="258"/>
      <c r="AC143" s="258"/>
      <c r="AD143" s="270"/>
      <c r="AE143" s="258"/>
      <c r="AF143" s="258"/>
      <c r="AG143" s="270">
        <f t="shared" si="64"/>
        <v>1696.1442</v>
      </c>
      <c r="AH143" s="270"/>
      <c r="AI143" s="381"/>
      <c r="AJ143" s="382"/>
      <c r="AK143" s="280"/>
      <c r="AL143" s="280"/>
      <c r="AM143" s="281"/>
      <c r="AN143" s="258"/>
      <c r="AO143" s="299">
        <v>750</v>
      </c>
      <c r="AP143" s="299"/>
      <c r="AQ143" s="299"/>
      <c r="AR143" s="299">
        <f t="shared" si="65"/>
        <v>1753.8108</v>
      </c>
      <c r="AS143" s="300"/>
      <c r="AT143" s="300"/>
      <c r="AU143" s="299">
        <f>AU173</f>
        <v>4976.8904</v>
      </c>
      <c r="AV143" s="299">
        <f>W143+V143+U143+N143+M143+K143+J143+I143+H143</f>
        <v>87690.54</v>
      </c>
      <c r="AW143" s="299">
        <f>AU143+AR143+AQ143+AO143+AN143+AM143+AK143+AI143+AH143+AG143+AF143+AE143+AD143</f>
        <v>9176.8454</v>
      </c>
      <c r="AX143" s="299"/>
      <c r="AY143" s="299"/>
      <c r="AZ143" s="299">
        <f t="shared" si="71"/>
        <v>78513.6946</v>
      </c>
      <c r="BA143" s="305">
        <f t="shared" si="72"/>
        <v>1052286.48</v>
      </c>
      <c r="BB143" s="306">
        <f t="shared" si="76"/>
        <v>410457.296</v>
      </c>
      <c r="BC143" s="307">
        <f t="shared" si="73"/>
        <v>0</v>
      </c>
      <c r="BD143" s="308">
        <f t="shared" si="77"/>
        <v>410457.296</v>
      </c>
      <c r="BE143" s="313">
        <f t="shared" si="78"/>
        <v>641829.184</v>
      </c>
      <c r="BF143" s="306"/>
      <c r="BG143" s="307">
        <f t="shared" si="79"/>
        <v>21000</v>
      </c>
      <c r="BH143" s="307">
        <f t="shared" si="80"/>
        <v>33000</v>
      </c>
      <c r="BI143" s="307">
        <f t="shared" si="81"/>
        <v>6274.3776</v>
      </c>
      <c r="BJ143" s="307" t="str">
        <f t="shared" si="82"/>
        <v/>
      </c>
      <c r="BK143" s="307" t="str">
        <f t="shared" si="83"/>
        <v/>
      </c>
      <c r="BL143" s="307" t="str">
        <f t="shared" si="84"/>
        <v/>
      </c>
      <c r="BM143" s="305">
        <f t="shared" si="85"/>
        <v>60274.3776</v>
      </c>
      <c r="BN143" s="320">
        <f t="shared" si="86"/>
        <v>10522.8648</v>
      </c>
      <c r="BO143" s="321">
        <f t="shared" si="87"/>
        <v>60274.3776</v>
      </c>
      <c r="BP143" s="322">
        <f t="shared" si="88"/>
        <v>5022.8648</v>
      </c>
      <c r="BQ143" s="323"/>
      <c r="BR143" s="324"/>
      <c r="BS143" s="325"/>
      <c r="BT143" s="326"/>
      <c r="BU143" s="326"/>
      <c r="BV143" s="334"/>
      <c r="BW143" s="335"/>
    </row>
    <row r="144" s="245" customFormat="1" ht="156" customHeight="1" spans="1:75">
      <c r="A144" s="255">
        <v>134</v>
      </c>
      <c r="B144" s="70" t="s">
        <v>1829</v>
      </c>
      <c r="C144" s="129" t="s">
        <v>363</v>
      </c>
      <c r="D144" s="129" t="s">
        <v>208</v>
      </c>
      <c r="E144" s="256" t="s">
        <v>259</v>
      </c>
      <c r="F144" s="256">
        <v>5334151353</v>
      </c>
      <c r="G144" s="258">
        <f>H144*12</f>
        <v>1017686.52</v>
      </c>
      <c r="H144" s="258">
        <v>84807.21</v>
      </c>
      <c r="I144" s="258"/>
      <c r="J144" s="258"/>
      <c r="K144" s="258"/>
      <c r="L144" s="258"/>
      <c r="M144" s="258">
        <v>2500</v>
      </c>
      <c r="N144" s="258"/>
      <c r="O144" s="258"/>
      <c r="P144" s="258"/>
      <c r="Q144" s="258"/>
      <c r="R144" s="258"/>
      <c r="S144" s="258"/>
      <c r="T144" s="258"/>
      <c r="U144" s="258">
        <v>383.33</v>
      </c>
      <c r="V144" s="258"/>
      <c r="W144" s="265"/>
      <c r="X144" s="258"/>
      <c r="Y144" s="258"/>
      <c r="Z144" s="258"/>
      <c r="AA144" s="258"/>
      <c r="AB144" s="258"/>
      <c r="AC144" s="258"/>
      <c r="AD144" s="270"/>
      <c r="AE144" s="258"/>
      <c r="AF144" s="258"/>
      <c r="AG144" s="270">
        <f t="shared" si="64"/>
        <v>1696.1442</v>
      </c>
      <c r="AH144" s="270"/>
      <c r="AI144" s="381"/>
      <c r="AJ144" s="383">
        <v>2000</v>
      </c>
      <c r="AK144" s="280"/>
      <c r="AL144" s="280"/>
      <c r="AM144" s="281"/>
      <c r="AN144" s="258"/>
      <c r="AO144" s="299">
        <v>750</v>
      </c>
      <c r="AP144" s="299"/>
      <c r="AQ144" s="299"/>
      <c r="AR144" s="299">
        <f t="shared" si="65"/>
        <v>1753.8108</v>
      </c>
      <c r="AS144" s="300"/>
      <c r="AT144" s="300"/>
      <c r="AU144" s="299">
        <f>BP144/2</f>
        <v>2511.4324</v>
      </c>
      <c r="AV144" s="299">
        <f>W144+V144+U144+N144+M144+K144+J144+I144+H144</f>
        <v>87690.54</v>
      </c>
      <c r="AW144" s="299">
        <f>AU144+AR144+AQ144+AO144+AN144+AK144+AJ144+AI144+AH144+AG144+AF144</f>
        <v>8711.3874</v>
      </c>
      <c r="AX144" s="299"/>
      <c r="AY144" s="299"/>
      <c r="AZ144" s="299">
        <f t="shared" si="71"/>
        <v>78979.1526</v>
      </c>
      <c r="BA144" s="305">
        <f t="shared" si="72"/>
        <v>1052286.48</v>
      </c>
      <c r="BB144" s="306">
        <f t="shared" si="76"/>
        <v>410457.296</v>
      </c>
      <c r="BC144" s="307">
        <f t="shared" si="73"/>
        <v>0</v>
      </c>
      <c r="BD144" s="308">
        <f t="shared" si="77"/>
        <v>410457.296</v>
      </c>
      <c r="BE144" s="313">
        <f t="shared" si="78"/>
        <v>641829.184</v>
      </c>
      <c r="BF144" s="306"/>
      <c r="BG144" s="307">
        <f t="shared" si="79"/>
        <v>21000</v>
      </c>
      <c r="BH144" s="307">
        <f t="shared" si="80"/>
        <v>33000</v>
      </c>
      <c r="BI144" s="307">
        <f t="shared" si="81"/>
        <v>6274.3776</v>
      </c>
      <c r="BJ144" s="307" t="str">
        <f t="shared" si="82"/>
        <v/>
      </c>
      <c r="BK144" s="307" t="str">
        <f t="shared" si="83"/>
        <v/>
      </c>
      <c r="BL144" s="307" t="str">
        <f t="shared" si="84"/>
        <v/>
      </c>
      <c r="BM144" s="305">
        <f t="shared" si="85"/>
        <v>60274.3776</v>
      </c>
      <c r="BN144" s="320">
        <f t="shared" si="86"/>
        <v>10522.8648</v>
      </c>
      <c r="BO144" s="321">
        <f t="shared" si="87"/>
        <v>60274.3776</v>
      </c>
      <c r="BP144" s="322">
        <f t="shared" si="88"/>
        <v>5022.8648</v>
      </c>
      <c r="BQ144" s="323"/>
      <c r="BR144" s="324"/>
      <c r="BS144" s="325"/>
      <c r="BT144" s="326"/>
      <c r="BU144" s="326"/>
      <c r="BV144" s="334"/>
      <c r="BW144" s="335"/>
    </row>
    <row r="145" s="245" customFormat="1" ht="156" customHeight="1" spans="1:75">
      <c r="A145" s="255">
        <v>135</v>
      </c>
      <c r="B145" s="70" t="s">
        <v>443</v>
      </c>
      <c r="C145" s="129" t="s">
        <v>444</v>
      </c>
      <c r="D145" s="129" t="s">
        <v>445</v>
      </c>
      <c r="E145" s="256" t="s">
        <v>93</v>
      </c>
      <c r="F145" s="256">
        <v>3032095781</v>
      </c>
      <c r="G145" s="258">
        <f>1746118/2</f>
        <v>873059</v>
      </c>
      <c r="H145" s="258">
        <f>145509.83/2</f>
        <v>72754.915</v>
      </c>
      <c r="I145" s="258"/>
      <c r="J145" s="258"/>
      <c r="K145" s="258"/>
      <c r="L145" s="258"/>
      <c r="M145" s="258">
        <f>2500</f>
        <v>2500</v>
      </c>
      <c r="N145" s="258"/>
      <c r="O145" s="258"/>
      <c r="P145" s="258"/>
      <c r="Q145" s="258"/>
      <c r="R145" s="258"/>
      <c r="S145" s="258"/>
      <c r="T145" s="258"/>
      <c r="U145" s="258">
        <f>383.33</f>
        <v>383.33</v>
      </c>
      <c r="V145" s="258"/>
      <c r="W145" s="265"/>
      <c r="X145" s="258"/>
      <c r="Y145" s="258"/>
      <c r="Z145" s="258"/>
      <c r="AA145" s="258"/>
      <c r="AB145" s="258"/>
      <c r="AC145" s="258"/>
      <c r="AD145" s="270"/>
      <c r="AE145" s="258"/>
      <c r="AF145" s="258">
        <v>250</v>
      </c>
      <c r="AG145" s="270">
        <f t="shared" si="64"/>
        <v>1455.0983</v>
      </c>
      <c r="AH145" s="270"/>
      <c r="AI145" s="381"/>
      <c r="AJ145" s="286">
        <v>1000</v>
      </c>
      <c r="AK145" s="280"/>
      <c r="AL145" s="280"/>
      <c r="AM145" s="281"/>
      <c r="AN145" s="258"/>
      <c r="AO145" s="299">
        <v>500</v>
      </c>
      <c r="AP145" s="299"/>
      <c r="AQ145" s="299"/>
      <c r="AR145" s="299">
        <f t="shared" si="65"/>
        <v>1512.7649</v>
      </c>
      <c r="AS145" s="300"/>
      <c r="AT145" s="300"/>
      <c r="AU145" s="299">
        <f>BP145/2*2</f>
        <v>3822.83222666667</v>
      </c>
      <c r="AV145" s="299">
        <f>W145+V145+U145+N145+M145+K145+J145+I145+H145</f>
        <v>75638.245</v>
      </c>
      <c r="AW145" s="299">
        <f>AU145+AR145+AO145+AJ145+AG145</f>
        <v>8290.69542666667</v>
      </c>
      <c r="AX145" s="299"/>
      <c r="AY145" s="299"/>
      <c r="AZ145" s="299">
        <f t="shared" si="71"/>
        <v>67347.5495733333</v>
      </c>
      <c r="BA145" s="305">
        <f t="shared" si="72"/>
        <v>907658.94</v>
      </c>
      <c r="BB145" s="306">
        <f t="shared" si="76"/>
        <v>381531.788</v>
      </c>
      <c r="BC145" s="307">
        <f t="shared" si="73"/>
        <v>0</v>
      </c>
      <c r="BD145" s="308">
        <f t="shared" si="77"/>
        <v>381531.788</v>
      </c>
      <c r="BE145" s="313">
        <f t="shared" si="78"/>
        <v>526127.152</v>
      </c>
      <c r="BF145" s="306"/>
      <c r="BG145" s="307">
        <f t="shared" si="79"/>
        <v>21000</v>
      </c>
      <c r="BH145" s="307">
        <f t="shared" si="80"/>
        <v>24873.98672</v>
      </c>
      <c r="BI145" s="307" t="str">
        <f t="shared" si="81"/>
        <v/>
      </c>
      <c r="BJ145" s="307" t="str">
        <f t="shared" si="82"/>
        <v/>
      </c>
      <c r="BK145" s="307" t="str">
        <f t="shared" si="83"/>
        <v/>
      </c>
      <c r="BL145" s="307" t="str">
        <f t="shared" si="84"/>
        <v/>
      </c>
      <c r="BM145" s="305">
        <f t="shared" si="85"/>
        <v>45873.98672</v>
      </c>
      <c r="BN145" s="320">
        <f t="shared" si="86"/>
        <v>9076.5894</v>
      </c>
      <c r="BO145" s="321">
        <f t="shared" si="87"/>
        <v>45873.98672</v>
      </c>
      <c r="BP145" s="322">
        <f t="shared" si="88"/>
        <v>3822.83222666667</v>
      </c>
      <c r="BQ145" s="323"/>
      <c r="BR145" s="324"/>
      <c r="BS145" s="325"/>
      <c r="BT145" s="326"/>
      <c r="BU145" s="326"/>
      <c r="BV145" s="334"/>
      <c r="BW145" s="335"/>
    </row>
    <row r="146" s="245" customFormat="1" ht="189" customHeight="1" spans="1:75">
      <c r="A146" s="255">
        <v>136</v>
      </c>
      <c r="B146" s="70" t="s">
        <v>451</v>
      </c>
      <c r="C146" s="129" t="s">
        <v>204</v>
      </c>
      <c r="D146" s="129" t="s">
        <v>2040</v>
      </c>
      <c r="E146" s="256" t="s">
        <v>113</v>
      </c>
      <c r="F146" s="256">
        <v>2080530783</v>
      </c>
      <c r="G146" s="257">
        <v>2109106</v>
      </c>
      <c r="H146" s="258">
        <f>G146/12</f>
        <v>175758.833333333</v>
      </c>
      <c r="I146" s="370">
        <f t="shared" si="70"/>
        <v>20505.1972222222</v>
      </c>
      <c r="J146" s="370">
        <v>5000</v>
      </c>
      <c r="K146" s="370"/>
      <c r="L146" s="370"/>
      <c r="M146" s="370">
        <v>2500</v>
      </c>
      <c r="N146" s="370"/>
      <c r="O146" s="370"/>
      <c r="P146" s="370"/>
      <c r="Q146" s="370"/>
      <c r="R146" s="370"/>
      <c r="S146" s="370"/>
      <c r="T146" s="370"/>
      <c r="U146" s="370">
        <v>383.33</v>
      </c>
      <c r="V146" s="370"/>
      <c r="W146" s="372"/>
      <c r="X146" s="370"/>
      <c r="Y146" s="370"/>
      <c r="Z146" s="370"/>
      <c r="AA146" s="370"/>
      <c r="AB146" s="370"/>
      <c r="AC146" s="370"/>
      <c r="AD146" s="374"/>
      <c r="AE146" s="370"/>
      <c r="AF146" s="370"/>
      <c r="AG146" s="374">
        <f t="shared" si="64"/>
        <v>3515.17666666667</v>
      </c>
      <c r="AH146" s="374"/>
      <c r="AI146" s="256"/>
      <c r="AJ146" s="384"/>
      <c r="AK146" s="384"/>
      <c r="AL146" s="385">
        <v>1000</v>
      </c>
      <c r="AM146" s="386"/>
      <c r="AN146" s="370"/>
      <c r="AO146" s="393">
        <v>1500</v>
      </c>
      <c r="AP146" s="393"/>
      <c r="AQ146" s="393"/>
      <c r="AR146" s="393">
        <f t="shared" si="65"/>
        <v>4082.94721111111</v>
      </c>
      <c r="AS146" s="394"/>
      <c r="AT146" s="394"/>
      <c r="AU146" s="393">
        <f t="shared" si="89"/>
        <v>21463.42324</v>
      </c>
      <c r="AV146" s="393">
        <f>W146+V146+U146+N146+M146+K146+J146+I146+H146</f>
        <v>204147.360555556</v>
      </c>
      <c r="AW146" s="393">
        <f>AU146+AR146+AQ146+AO146+AN146+AM146+AK146+AI146+AH146+AG146+AF146+AE146+AD146+AL146</f>
        <v>31561.5471177778</v>
      </c>
      <c r="AX146" s="393"/>
      <c r="AY146" s="393"/>
      <c r="AZ146" s="393">
        <f t="shared" si="71"/>
        <v>172585.813437778</v>
      </c>
      <c r="BA146" s="401">
        <f t="shared" si="72"/>
        <v>2449768.32666667</v>
      </c>
      <c r="BB146" s="402">
        <f t="shared" si="76"/>
        <v>689953.665333333</v>
      </c>
      <c r="BC146" s="403">
        <f t="shared" si="73"/>
        <v>0</v>
      </c>
      <c r="BD146" s="404">
        <f t="shared" si="77"/>
        <v>689953.665333333</v>
      </c>
      <c r="BE146" s="410">
        <f t="shared" si="78"/>
        <v>1759814.66133333</v>
      </c>
      <c r="BF146" s="402"/>
      <c r="BG146" s="403">
        <f t="shared" si="79"/>
        <v>21000</v>
      </c>
      <c r="BH146" s="403">
        <f t="shared" si="80"/>
        <v>33000</v>
      </c>
      <c r="BI146" s="403">
        <f t="shared" si="81"/>
        <v>75000</v>
      </c>
      <c r="BJ146" s="403">
        <f t="shared" si="82"/>
        <v>95000</v>
      </c>
      <c r="BK146" s="403">
        <f t="shared" si="83"/>
        <v>33561.07888</v>
      </c>
      <c r="BL146" s="403" t="str">
        <f t="shared" si="84"/>
        <v/>
      </c>
      <c r="BM146" s="401">
        <f t="shared" si="85"/>
        <v>257561.07888</v>
      </c>
      <c r="BN146" s="419">
        <f t="shared" si="86"/>
        <v>24497.6832666667</v>
      </c>
      <c r="BO146" s="321">
        <f t="shared" si="87"/>
        <v>257561.07888</v>
      </c>
      <c r="BP146" s="322">
        <f t="shared" si="88"/>
        <v>21463.42324</v>
      </c>
      <c r="BQ146" s="323"/>
      <c r="BR146" s="324"/>
      <c r="BS146" s="325"/>
      <c r="BT146" s="326"/>
      <c r="BU146" s="326"/>
      <c r="BV146" s="334"/>
      <c r="BW146" s="335"/>
    </row>
    <row r="147" s="245" customFormat="1" ht="156" customHeight="1" spans="1:75">
      <c r="A147" s="255">
        <v>137</v>
      </c>
      <c r="B147" s="70" t="s">
        <v>452</v>
      </c>
      <c r="C147" s="129" t="s">
        <v>130</v>
      </c>
      <c r="D147" s="129" t="s">
        <v>294</v>
      </c>
      <c r="E147" s="256" t="s">
        <v>135</v>
      </c>
      <c r="F147" s="1469" t="s">
        <v>453</v>
      </c>
      <c r="G147" s="257">
        <v>2425322</v>
      </c>
      <c r="H147" s="258">
        <f>G147/12</f>
        <v>202110.166666667</v>
      </c>
      <c r="I147" s="258">
        <f t="shared" si="70"/>
        <v>23579.5194444444</v>
      </c>
      <c r="J147" s="258">
        <v>5000</v>
      </c>
      <c r="K147" s="258"/>
      <c r="L147" s="258"/>
      <c r="M147" s="258">
        <v>2500</v>
      </c>
      <c r="N147" s="258"/>
      <c r="O147" s="258"/>
      <c r="P147" s="258"/>
      <c r="Q147" s="258"/>
      <c r="R147" s="258"/>
      <c r="S147" s="258"/>
      <c r="T147" s="258"/>
      <c r="U147" s="258">
        <v>383.33</v>
      </c>
      <c r="V147" s="258"/>
      <c r="W147" s="265"/>
      <c r="X147" s="258"/>
      <c r="Y147" s="258"/>
      <c r="Z147" s="258"/>
      <c r="AA147" s="258"/>
      <c r="AB147" s="258"/>
      <c r="AC147" s="258"/>
      <c r="AD147" s="270"/>
      <c r="AE147" s="258"/>
      <c r="AF147" s="258"/>
      <c r="AG147" s="270">
        <f t="shared" si="64"/>
        <v>4042.20333333333</v>
      </c>
      <c r="AH147" s="270"/>
      <c r="AI147" s="278"/>
      <c r="AJ147" s="280"/>
      <c r="AK147" s="280"/>
      <c r="AL147" s="284">
        <v>1000</v>
      </c>
      <c r="AM147" s="281">
        <v>45000</v>
      </c>
      <c r="AN147" s="258">
        <v>7500</v>
      </c>
      <c r="AO147" s="299">
        <v>1500</v>
      </c>
      <c r="AP147" s="299"/>
      <c r="AQ147" s="299"/>
      <c r="AR147" s="299">
        <f t="shared" si="65"/>
        <v>4671.46032222222</v>
      </c>
      <c r="AS147" s="300"/>
      <c r="AT147" s="300"/>
      <c r="AU147" s="299">
        <f t="shared" si="89"/>
        <v>26406.9333733333</v>
      </c>
      <c r="AV147" s="299">
        <f>V147+U147+N147+M147+K147+J147+I147+H147</f>
        <v>233573.016111111</v>
      </c>
      <c r="AW147" s="299">
        <f>AU147+AR147+AQ147+AO147+AN147+AM147+AK147+AI147+AH147+AG147+AF147+AE147+AD147+AL147</f>
        <v>90120.5970288889</v>
      </c>
      <c r="AX147" s="299"/>
      <c r="AY147" s="299"/>
      <c r="AZ147" s="299">
        <f t="shared" ref="AZ147:AZ178" si="90">AV147-AW147</f>
        <v>143452.419082222</v>
      </c>
      <c r="BA147" s="305">
        <f t="shared" si="72"/>
        <v>2802876.19333333</v>
      </c>
      <c r="BB147" s="306">
        <f t="shared" si="76"/>
        <v>760575.238666667</v>
      </c>
      <c r="BC147" s="307">
        <f t="shared" si="73"/>
        <v>0</v>
      </c>
      <c r="BD147" s="308">
        <f t="shared" si="77"/>
        <v>760575.238666667</v>
      </c>
      <c r="BE147" s="313">
        <f t="shared" si="78"/>
        <v>2042300.95466667</v>
      </c>
      <c r="BF147" s="306"/>
      <c r="BG147" s="307">
        <f t="shared" si="79"/>
        <v>21000</v>
      </c>
      <c r="BH147" s="307">
        <f t="shared" si="80"/>
        <v>33000</v>
      </c>
      <c r="BI147" s="307">
        <f t="shared" si="81"/>
        <v>75000</v>
      </c>
      <c r="BJ147" s="307">
        <f t="shared" si="82"/>
        <v>95000</v>
      </c>
      <c r="BK147" s="307">
        <f t="shared" si="83"/>
        <v>92883.20048</v>
      </c>
      <c r="BL147" s="307" t="str">
        <f t="shared" si="84"/>
        <v/>
      </c>
      <c r="BM147" s="305">
        <f t="shared" si="85"/>
        <v>316883.20048</v>
      </c>
      <c r="BN147" s="320">
        <f t="shared" si="86"/>
        <v>28028.7619333333</v>
      </c>
      <c r="BO147" s="321">
        <f t="shared" si="87"/>
        <v>316883.20048</v>
      </c>
      <c r="BP147" s="322">
        <f t="shared" si="88"/>
        <v>26406.9333733333</v>
      </c>
      <c r="BQ147" s="323"/>
      <c r="BR147" s="324"/>
      <c r="BS147" s="325"/>
      <c r="BT147" s="326"/>
      <c r="BU147" s="326"/>
      <c r="BV147" s="334"/>
      <c r="BW147" s="335"/>
    </row>
    <row r="148" s="245" customFormat="1" ht="156" customHeight="1" spans="1:75">
      <c r="A148" s="255">
        <v>138</v>
      </c>
      <c r="B148" s="70" t="s">
        <v>2068</v>
      </c>
      <c r="C148" s="129" t="s">
        <v>442</v>
      </c>
      <c r="D148" s="129" t="s">
        <v>208</v>
      </c>
      <c r="E148" s="256" t="s">
        <v>361</v>
      </c>
      <c r="F148" s="256">
        <v>2005570980</v>
      </c>
      <c r="G148" s="257">
        <v>2035373</v>
      </c>
      <c r="H148" s="258">
        <v>84807.21</v>
      </c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  <c r="U148" s="258">
        <f>383.33</f>
        <v>383.33</v>
      </c>
      <c r="V148" s="258"/>
      <c r="W148" s="265"/>
      <c r="X148" s="258"/>
      <c r="Y148" s="258"/>
      <c r="Z148" s="258"/>
      <c r="AA148" s="258"/>
      <c r="AB148" s="258"/>
      <c r="AC148" s="258"/>
      <c r="AD148" s="270"/>
      <c r="AE148" s="258"/>
      <c r="AF148" s="258">
        <v>250</v>
      </c>
      <c r="AG148" s="270">
        <f t="shared" si="64"/>
        <v>1696.1442</v>
      </c>
      <c r="AH148" s="270"/>
      <c r="AI148" s="278"/>
      <c r="AJ148" s="280"/>
      <c r="AK148" s="280"/>
      <c r="AL148" s="280"/>
      <c r="AM148" s="281"/>
      <c r="AN148" s="258"/>
      <c r="AO148" s="299">
        <v>750</v>
      </c>
      <c r="AP148" s="299"/>
      <c r="AQ148" s="299"/>
      <c r="AR148" s="299">
        <f t="shared" si="65"/>
        <v>1703.8108</v>
      </c>
      <c r="AS148" s="300"/>
      <c r="AT148" s="300"/>
      <c r="AU148" s="299">
        <f t="shared" si="89"/>
        <v>4722.8648</v>
      </c>
      <c r="AV148" s="299">
        <f>V148+U148+N148+M148+K148+J148+I148+H148</f>
        <v>85190.54</v>
      </c>
      <c r="AW148" s="299">
        <f>AU148+AR148+AQ148+AO148+AN148+AM148+AK148+AI148+AH148+AG148+AF148+AE148+AD148</f>
        <v>9122.8198</v>
      </c>
      <c r="AX148" s="299"/>
      <c r="AY148" s="299"/>
      <c r="AZ148" s="299">
        <f t="shared" si="90"/>
        <v>76067.7202</v>
      </c>
      <c r="BA148" s="305">
        <f t="shared" si="72"/>
        <v>1022286.48</v>
      </c>
      <c r="BB148" s="306">
        <f t="shared" si="76"/>
        <v>404457.296</v>
      </c>
      <c r="BC148" s="307">
        <f t="shared" si="73"/>
        <v>0</v>
      </c>
      <c r="BD148" s="308">
        <f t="shared" si="77"/>
        <v>404457.296</v>
      </c>
      <c r="BE148" s="313">
        <f t="shared" si="78"/>
        <v>617829.184</v>
      </c>
      <c r="BF148" s="306"/>
      <c r="BG148" s="307">
        <f t="shared" si="79"/>
        <v>21000</v>
      </c>
      <c r="BH148" s="307">
        <f t="shared" si="80"/>
        <v>33000</v>
      </c>
      <c r="BI148" s="307">
        <f t="shared" si="81"/>
        <v>2674.37760000002</v>
      </c>
      <c r="BJ148" s="307" t="str">
        <f t="shared" si="82"/>
        <v/>
      </c>
      <c r="BK148" s="307" t="str">
        <f t="shared" si="83"/>
        <v/>
      </c>
      <c r="BL148" s="307" t="str">
        <f t="shared" si="84"/>
        <v/>
      </c>
      <c r="BM148" s="305">
        <f t="shared" si="85"/>
        <v>56674.3776</v>
      </c>
      <c r="BN148" s="320">
        <f t="shared" si="86"/>
        <v>10222.8648</v>
      </c>
      <c r="BO148" s="321">
        <f t="shared" si="87"/>
        <v>56674.3776</v>
      </c>
      <c r="BP148" s="322">
        <f t="shared" si="88"/>
        <v>4722.8648</v>
      </c>
      <c r="BQ148" s="323"/>
      <c r="BR148" s="324"/>
      <c r="BS148" s="325"/>
      <c r="BT148" s="326"/>
      <c r="BU148" s="326"/>
      <c r="BV148" s="334"/>
      <c r="BW148" s="335"/>
    </row>
    <row r="149" s="245" customFormat="1" ht="156" customHeight="1" spans="1:75">
      <c r="A149" s="255">
        <v>139</v>
      </c>
      <c r="B149" s="70" t="s">
        <v>2069</v>
      </c>
      <c r="C149" s="129" t="s">
        <v>2070</v>
      </c>
      <c r="D149" s="129" t="s">
        <v>555</v>
      </c>
      <c r="E149" s="256" t="s">
        <v>93</v>
      </c>
      <c r="F149" s="256">
        <v>3045166049</v>
      </c>
      <c r="G149" s="257">
        <v>1796468</v>
      </c>
      <c r="H149" s="258">
        <f>G149/12</f>
        <v>149705.666666667</v>
      </c>
      <c r="I149" s="258">
        <f>H149*0.35/3</f>
        <v>17465.6611111111</v>
      </c>
      <c r="J149" s="258">
        <v>5000</v>
      </c>
      <c r="K149" s="258"/>
      <c r="L149" s="258"/>
      <c r="M149" s="258">
        <v>2500</v>
      </c>
      <c r="N149" s="258"/>
      <c r="O149" s="258"/>
      <c r="P149" s="258"/>
      <c r="Q149" s="258"/>
      <c r="R149" s="258"/>
      <c r="S149" s="258"/>
      <c r="T149" s="258"/>
      <c r="U149" s="258">
        <v>383.33</v>
      </c>
      <c r="V149" s="258"/>
      <c r="W149" s="265"/>
      <c r="X149" s="258"/>
      <c r="Y149" s="258"/>
      <c r="Z149" s="258"/>
      <c r="AA149" s="258"/>
      <c r="AB149" s="258"/>
      <c r="AC149" s="258"/>
      <c r="AD149" s="270"/>
      <c r="AE149" s="258"/>
      <c r="AF149" s="258"/>
      <c r="AG149" s="270">
        <f t="shared" si="64"/>
        <v>2994.11333333333</v>
      </c>
      <c r="AH149" s="270"/>
      <c r="AI149" s="282">
        <v>1000</v>
      </c>
      <c r="AJ149" s="279"/>
      <c r="AK149" s="279"/>
      <c r="AL149" s="279"/>
      <c r="AM149" s="281"/>
      <c r="AN149" s="258"/>
      <c r="AO149" s="299">
        <v>1000</v>
      </c>
      <c r="AP149" s="299"/>
      <c r="AQ149" s="299"/>
      <c r="AR149" s="299">
        <f t="shared" si="65"/>
        <v>3501.09315555556</v>
      </c>
      <c r="AS149" s="300"/>
      <c r="AT149" s="300"/>
      <c r="AU149" s="299">
        <f t="shared" si="89"/>
        <v>16774.9746488889</v>
      </c>
      <c r="AV149" s="299">
        <f>W149+V149+U149+N149+M149+K149+J149+I149+H149</f>
        <v>175054.657777778</v>
      </c>
      <c r="AW149" s="299">
        <f>AU149+AR149+AQ149+AO149+AN149+AM149+AK149+AI149+AH149+AG149+AF149+AE149+AD149</f>
        <v>25270.1811377778</v>
      </c>
      <c r="AX149" s="299"/>
      <c r="AY149" s="299"/>
      <c r="AZ149" s="299">
        <f t="shared" si="90"/>
        <v>149784.47664</v>
      </c>
      <c r="BA149" s="305">
        <f t="shared" si="72"/>
        <v>2100655.89333333</v>
      </c>
      <c r="BB149" s="306">
        <f t="shared" si="76"/>
        <v>620131.178666667</v>
      </c>
      <c r="BC149" s="307">
        <f t="shared" si="73"/>
        <v>0</v>
      </c>
      <c r="BD149" s="308">
        <f t="shared" si="77"/>
        <v>620131.178666667</v>
      </c>
      <c r="BE149" s="313">
        <f t="shared" si="78"/>
        <v>1480524.71466667</v>
      </c>
      <c r="BF149" s="306"/>
      <c r="BG149" s="307">
        <f t="shared" si="79"/>
        <v>21000</v>
      </c>
      <c r="BH149" s="307">
        <f t="shared" si="80"/>
        <v>33000</v>
      </c>
      <c r="BI149" s="307">
        <f t="shared" si="81"/>
        <v>75000</v>
      </c>
      <c r="BJ149" s="307">
        <f t="shared" si="82"/>
        <v>72299.6957866666</v>
      </c>
      <c r="BK149" s="307" t="str">
        <f t="shared" si="83"/>
        <v/>
      </c>
      <c r="BL149" s="307" t="str">
        <f t="shared" si="84"/>
        <v/>
      </c>
      <c r="BM149" s="305">
        <f t="shared" si="85"/>
        <v>201299.695786667</v>
      </c>
      <c r="BN149" s="320">
        <f t="shared" si="86"/>
        <v>21006.5589333333</v>
      </c>
      <c r="BO149" s="321">
        <f t="shared" si="87"/>
        <v>201299.695786667</v>
      </c>
      <c r="BP149" s="322">
        <f t="shared" si="88"/>
        <v>16774.9746488889</v>
      </c>
      <c r="BQ149" s="323"/>
      <c r="BR149" s="324"/>
      <c r="BS149" s="325"/>
      <c r="BT149" s="326"/>
      <c r="BU149" s="326"/>
      <c r="BV149" s="334"/>
      <c r="BW149" s="335"/>
    </row>
    <row r="150" s="245" customFormat="1" ht="156" customHeight="1" spans="1:75">
      <c r="A150" s="255">
        <v>140</v>
      </c>
      <c r="B150" s="70" t="s">
        <v>455</v>
      </c>
      <c r="C150" s="129" t="s">
        <v>130</v>
      </c>
      <c r="D150" s="129" t="s">
        <v>218</v>
      </c>
      <c r="E150" s="256" t="s">
        <v>127</v>
      </c>
      <c r="F150" s="1469" t="s">
        <v>2071</v>
      </c>
      <c r="G150" s="257">
        <v>2512904</v>
      </c>
      <c r="H150" s="258">
        <f t="shared" ref="H150:H162" si="91">G150/12</f>
        <v>209408.666666667</v>
      </c>
      <c r="I150" s="258">
        <f t="shared" si="70"/>
        <v>24431.0111111111</v>
      </c>
      <c r="J150" s="258">
        <v>5000</v>
      </c>
      <c r="K150" s="258"/>
      <c r="L150" s="258"/>
      <c r="M150" s="258">
        <v>2500</v>
      </c>
      <c r="N150" s="258"/>
      <c r="O150" s="258"/>
      <c r="P150" s="258"/>
      <c r="Q150" s="258"/>
      <c r="R150" s="258"/>
      <c r="S150" s="258"/>
      <c r="T150" s="258"/>
      <c r="U150" s="258">
        <v>383.33</v>
      </c>
      <c r="V150" s="258"/>
      <c r="W150" s="265"/>
      <c r="X150" s="258"/>
      <c r="Y150" s="258"/>
      <c r="Z150" s="258"/>
      <c r="AA150" s="258"/>
      <c r="AB150" s="258"/>
      <c r="AC150" s="258"/>
      <c r="AD150" s="270"/>
      <c r="AE150" s="258"/>
      <c r="AF150" s="258"/>
      <c r="AG150" s="270">
        <f t="shared" si="64"/>
        <v>4188.17333333333</v>
      </c>
      <c r="AH150" s="270">
        <f>5000</f>
        <v>5000</v>
      </c>
      <c r="AI150" s="278"/>
      <c r="AJ150" s="279">
        <v>1000</v>
      </c>
      <c r="AK150" s="280"/>
      <c r="AL150" s="280"/>
      <c r="AM150" s="281">
        <f>15000+15158.33</f>
        <v>30158.33</v>
      </c>
      <c r="AN150" s="258">
        <v>8333.33</v>
      </c>
      <c r="AO150" s="299">
        <v>1500</v>
      </c>
      <c r="AP150" s="299"/>
      <c r="AQ150" s="299"/>
      <c r="AR150" s="299">
        <f t="shared" si="65"/>
        <v>4834.46015555556</v>
      </c>
      <c r="AS150" s="300"/>
      <c r="AT150" s="300"/>
      <c r="AU150" s="299">
        <f t="shared" si="89"/>
        <v>27776.1319733333</v>
      </c>
      <c r="AV150" s="299">
        <f>V150+U150+N150+M150+K150+J150+I150+H150</f>
        <v>241723.007777778</v>
      </c>
      <c r="AW150" s="299">
        <f>AU150+AR150+AQ150+AO150+AN150+AM150+AK150+AI150+AH150+AG150+AF150+AE150+AD150+AJ150</f>
        <v>82790.4254622222</v>
      </c>
      <c r="AX150" s="299"/>
      <c r="AY150" s="299"/>
      <c r="AZ150" s="299">
        <f t="shared" si="90"/>
        <v>158932.582315556</v>
      </c>
      <c r="BA150" s="305">
        <f t="shared" ref="BA150:BA181" si="92">AV150*12</f>
        <v>2900676.09333333</v>
      </c>
      <c r="BB150" s="306">
        <f t="shared" si="76"/>
        <v>780135.218666667</v>
      </c>
      <c r="BC150" s="307">
        <f t="shared" ref="BC150:BC181" si="93">AS150*12</f>
        <v>0</v>
      </c>
      <c r="BD150" s="308">
        <f t="shared" si="77"/>
        <v>780135.218666667</v>
      </c>
      <c r="BE150" s="313">
        <f t="shared" si="78"/>
        <v>2120540.87466667</v>
      </c>
      <c r="BF150" s="306"/>
      <c r="BG150" s="307">
        <f t="shared" si="79"/>
        <v>21000</v>
      </c>
      <c r="BH150" s="307">
        <f t="shared" si="80"/>
        <v>33000</v>
      </c>
      <c r="BI150" s="307">
        <f t="shared" si="81"/>
        <v>75000</v>
      </c>
      <c r="BJ150" s="307">
        <f t="shared" si="82"/>
        <v>95000</v>
      </c>
      <c r="BK150" s="307">
        <f t="shared" si="83"/>
        <v>109313.58368</v>
      </c>
      <c r="BL150" s="307" t="str">
        <f t="shared" si="84"/>
        <v/>
      </c>
      <c r="BM150" s="305">
        <f t="shared" si="85"/>
        <v>333313.58368</v>
      </c>
      <c r="BN150" s="320">
        <f t="shared" si="86"/>
        <v>29006.7609333333</v>
      </c>
      <c r="BO150" s="321">
        <f t="shared" si="87"/>
        <v>333313.58368</v>
      </c>
      <c r="BP150" s="322">
        <f t="shared" si="88"/>
        <v>27776.1319733333</v>
      </c>
      <c r="BQ150" s="323"/>
      <c r="BR150" s="324"/>
      <c r="BS150" s="325"/>
      <c r="BT150" s="326"/>
      <c r="BU150" s="326"/>
      <c r="BV150" s="334"/>
      <c r="BW150" s="335"/>
    </row>
    <row r="151" s="245" customFormat="1" ht="156" customHeight="1" spans="1:75">
      <c r="A151" s="255">
        <v>141</v>
      </c>
      <c r="B151" s="70" t="s">
        <v>458</v>
      </c>
      <c r="C151" s="129" t="s">
        <v>204</v>
      </c>
      <c r="D151" s="129" t="s">
        <v>208</v>
      </c>
      <c r="E151" s="256" t="s">
        <v>127</v>
      </c>
      <c r="F151" s="1469" t="s">
        <v>459</v>
      </c>
      <c r="G151" s="257">
        <v>2035173</v>
      </c>
      <c r="H151" s="258">
        <f t="shared" si="91"/>
        <v>169597.75</v>
      </c>
      <c r="I151" s="258">
        <f t="shared" si="70"/>
        <v>19786.4041666667</v>
      </c>
      <c r="J151" s="258">
        <v>5000</v>
      </c>
      <c r="K151" s="258"/>
      <c r="L151" s="258"/>
      <c r="M151" s="258">
        <v>2500</v>
      </c>
      <c r="N151" s="258"/>
      <c r="O151" s="258"/>
      <c r="P151" s="258"/>
      <c r="Q151" s="258"/>
      <c r="R151" s="258"/>
      <c r="S151" s="258"/>
      <c r="T151" s="258"/>
      <c r="U151" s="258">
        <v>383.33</v>
      </c>
      <c r="V151" s="258"/>
      <c r="W151" s="265"/>
      <c r="X151" s="258"/>
      <c r="Y151" s="258"/>
      <c r="Z151" s="258"/>
      <c r="AA151" s="258"/>
      <c r="AB151" s="258"/>
      <c r="AC151" s="258"/>
      <c r="AD151" s="270"/>
      <c r="AE151" s="258"/>
      <c r="AF151" s="258"/>
      <c r="AG151" s="270">
        <f t="shared" si="64"/>
        <v>3391.955</v>
      </c>
      <c r="AH151" s="270"/>
      <c r="AI151" s="282">
        <v>1000</v>
      </c>
      <c r="AJ151" s="279"/>
      <c r="AK151" s="279"/>
      <c r="AL151" s="279"/>
      <c r="AM151" s="281">
        <v>20000</v>
      </c>
      <c r="AN151" s="258"/>
      <c r="AO151" s="299">
        <v>1500</v>
      </c>
      <c r="AP151" s="299"/>
      <c r="AQ151" s="299"/>
      <c r="AR151" s="299">
        <f t="shared" si="65"/>
        <v>3945.34968333333</v>
      </c>
      <c r="AS151" s="300"/>
      <c r="AT151" s="300"/>
      <c r="AU151" s="299">
        <f t="shared" si="89"/>
        <v>20307.6040066667</v>
      </c>
      <c r="AV151" s="299">
        <f>W151+V151+U151+N151+M151+K151+J151+I151+H151</f>
        <v>197267.484166667</v>
      </c>
      <c r="AW151" s="299">
        <f>AU151+AR151+AQ151+AO151+AN151+AM151+AK151+AI151+AH151+AG151+AF151+AE151+AD151+AL151</f>
        <v>50144.90869</v>
      </c>
      <c r="AX151" s="299"/>
      <c r="AY151" s="299"/>
      <c r="AZ151" s="299">
        <f t="shared" si="90"/>
        <v>147122.575476667</v>
      </c>
      <c r="BA151" s="305">
        <f t="shared" si="92"/>
        <v>2367209.81</v>
      </c>
      <c r="BB151" s="306">
        <f t="shared" si="76"/>
        <v>673441.962</v>
      </c>
      <c r="BC151" s="307">
        <f t="shared" si="93"/>
        <v>0</v>
      </c>
      <c r="BD151" s="308">
        <f t="shared" si="77"/>
        <v>673441.962</v>
      </c>
      <c r="BE151" s="313">
        <f t="shared" si="78"/>
        <v>1693767.848</v>
      </c>
      <c r="BF151" s="306"/>
      <c r="BG151" s="307">
        <f t="shared" si="79"/>
        <v>21000</v>
      </c>
      <c r="BH151" s="307">
        <f t="shared" si="80"/>
        <v>33000</v>
      </c>
      <c r="BI151" s="307">
        <f t="shared" si="81"/>
        <v>75000</v>
      </c>
      <c r="BJ151" s="307">
        <f t="shared" si="82"/>
        <v>95000</v>
      </c>
      <c r="BK151" s="307">
        <f t="shared" si="83"/>
        <v>19691.24808</v>
      </c>
      <c r="BL151" s="307" t="str">
        <f t="shared" si="84"/>
        <v/>
      </c>
      <c r="BM151" s="305">
        <f t="shared" si="85"/>
        <v>243691.24808</v>
      </c>
      <c r="BN151" s="320">
        <f t="shared" si="86"/>
        <v>23672.0981</v>
      </c>
      <c r="BO151" s="321">
        <f t="shared" si="87"/>
        <v>243691.24808</v>
      </c>
      <c r="BP151" s="322">
        <f t="shared" si="88"/>
        <v>20307.6040066667</v>
      </c>
      <c r="BQ151" s="323"/>
      <c r="BR151" s="324"/>
      <c r="BS151" s="325"/>
      <c r="BT151" s="326"/>
      <c r="BU151" s="326"/>
      <c r="BV151" s="334"/>
      <c r="BW151" s="335"/>
    </row>
    <row r="152" s="245" customFormat="1" ht="162" customHeight="1" spans="1:75">
      <c r="A152" s="255">
        <v>142</v>
      </c>
      <c r="B152" s="70" t="s">
        <v>460</v>
      </c>
      <c r="C152" s="129" t="s">
        <v>204</v>
      </c>
      <c r="D152" s="129" t="s">
        <v>2072</v>
      </c>
      <c r="E152" s="256" t="s">
        <v>113</v>
      </c>
      <c r="F152" s="256">
        <v>20272450981</v>
      </c>
      <c r="G152" s="257">
        <v>1980666</v>
      </c>
      <c r="H152" s="258">
        <f t="shared" si="91"/>
        <v>165055.5</v>
      </c>
      <c r="I152" s="258">
        <f t="shared" si="70"/>
        <v>19256.475</v>
      </c>
      <c r="J152" s="258">
        <v>5000</v>
      </c>
      <c r="K152" s="258"/>
      <c r="L152" s="258"/>
      <c r="M152" s="258">
        <v>2500</v>
      </c>
      <c r="N152" s="258"/>
      <c r="O152" s="258"/>
      <c r="P152" s="258"/>
      <c r="Q152" s="258"/>
      <c r="R152" s="258"/>
      <c r="S152" s="258"/>
      <c r="T152" s="258"/>
      <c r="U152" s="258">
        <f>383.33</f>
        <v>383.33</v>
      </c>
      <c r="V152" s="258"/>
      <c r="W152" s="265"/>
      <c r="X152" s="258"/>
      <c r="Y152" s="258"/>
      <c r="Z152" s="258"/>
      <c r="AA152" s="258"/>
      <c r="AB152" s="258"/>
      <c r="AC152" s="258"/>
      <c r="AD152" s="270"/>
      <c r="AE152" s="258"/>
      <c r="AF152" s="258"/>
      <c r="AG152" s="270">
        <f t="shared" si="64"/>
        <v>3301.11</v>
      </c>
      <c r="AH152" s="270"/>
      <c r="AI152" s="282"/>
      <c r="AJ152" s="279"/>
      <c r="AK152" s="279"/>
      <c r="AL152" s="279">
        <v>1000</v>
      </c>
      <c r="AM152" s="281"/>
      <c r="AN152" s="258"/>
      <c r="AO152" s="299">
        <v>1500</v>
      </c>
      <c r="AP152" s="299"/>
      <c r="AQ152" s="299"/>
      <c r="AR152" s="299">
        <f t="shared" si="65"/>
        <v>3843.9061</v>
      </c>
      <c r="AS152" s="300"/>
      <c r="AT152" s="300"/>
      <c r="AU152" s="299">
        <f t="shared" si="89"/>
        <v>19455.4779066667</v>
      </c>
      <c r="AV152" s="299">
        <f>W152+V152+U152+N152+M152+K152+J152+I152+H152</f>
        <v>192195.305</v>
      </c>
      <c r="AW152" s="299">
        <f>AU152+AR152+AQ152+AO152+AN152+AM152+AK152+AI152+AH152+AG152+AF152+AE152+AD152+AL152</f>
        <v>29100.4940066667</v>
      </c>
      <c r="AX152" s="299"/>
      <c r="AY152" s="299"/>
      <c r="AZ152" s="299">
        <f t="shared" si="90"/>
        <v>163094.810993333</v>
      </c>
      <c r="BA152" s="305">
        <f t="shared" si="92"/>
        <v>2306343.66</v>
      </c>
      <c r="BB152" s="306">
        <f t="shared" si="76"/>
        <v>661268.732</v>
      </c>
      <c r="BC152" s="307">
        <f t="shared" si="93"/>
        <v>0</v>
      </c>
      <c r="BD152" s="308">
        <f t="shared" si="77"/>
        <v>661268.732</v>
      </c>
      <c r="BE152" s="313">
        <f t="shared" si="78"/>
        <v>1645074.928</v>
      </c>
      <c r="BF152" s="306"/>
      <c r="BG152" s="307">
        <f t="shared" si="79"/>
        <v>21000</v>
      </c>
      <c r="BH152" s="307">
        <f t="shared" si="80"/>
        <v>33000</v>
      </c>
      <c r="BI152" s="307">
        <f t="shared" si="81"/>
        <v>75000</v>
      </c>
      <c r="BJ152" s="307">
        <f t="shared" si="82"/>
        <v>95000</v>
      </c>
      <c r="BK152" s="307">
        <f t="shared" si="83"/>
        <v>9465.73488000001</v>
      </c>
      <c r="BL152" s="307" t="str">
        <f t="shared" si="84"/>
        <v/>
      </c>
      <c r="BM152" s="305">
        <f t="shared" si="85"/>
        <v>233465.73488</v>
      </c>
      <c r="BN152" s="320">
        <f t="shared" si="86"/>
        <v>23063.4366</v>
      </c>
      <c r="BO152" s="321">
        <f t="shared" si="87"/>
        <v>233465.73488</v>
      </c>
      <c r="BP152" s="322">
        <f t="shared" si="88"/>
        <v>19455.4779066667</v>
      </c>
      <c r="BQ152" s="323"/>
      <c r="BR152" s="324"/>
      <c r="BS152" s="325"/>
      <c r="BT152" s="326"/>
      <c r="BU152" s="326"/>
      <c r="BV152" s="334"/>
      <c r="BW152" s="335"/>
    </row>
    <row r="153" s="245" customFormat="1" ht="189" customHeight="1" spans="1:75">
      <c r="A153" s="255">
        <v>143</v>
      </c>
      <c r="B153" s="70" t="s">
        <v>462</v>
      </c>
      <c r="C153" s="129" t="s">
        <v>204</v>
      </c>
      <c r="D153" s="129" t="s">
        <v>205</v>
      </c>
      <c r="E153" s="256" t="str">
        <f>'[13]NON ACADEMIC VOUCHER'!$D$5</f>
        <v>ZIKIRI</v>
      </c>
      <c r="F153" s="1470" t="str">
        <f>'[13]NON ACADEMIC VOUCHER'!$E$5</f>
        <v>ADMIN</v>
      </c>
      <c r="G153" s="257">
        <v>2090081</v>
      </c>
      <c r="H153" s="258">
        <f t="shared" si="91"/>
        <v>174173.416666667</v>
      </c>
      <c r="I153" s="258">
        <f t="shared" si="70"/>
        <v>20320.2319444444</v>
      </c>
      <c r="J153" s="258">
        <v>5000</v>
      </c>
      <c r="K153" s="258"/>
      <c r="L153" s="258"/>
      <c r="M153" s="258">
        <v>2500</v>
      </c>
      <c r="N153" s="258"/>
      <c r="O153" s="258"/>
      <c r="P153" s="258"/>
      <c r="Q153" s="258"/>
      <c r="R153" s="258"/>
      <c r="S153" s="258"/>
      <c r="T153" s="258"/>
      <c r="U153" s="258">
        <v>383.33</v>
      </c>
      <c r="V153" s="258"/>
      <c r="W153" s="265"/>
      <c r="X153" s="258"/>
      <c r="Y153" s="258"/>
      <c r="Z153" s="258"/>
      <c r="AA153" s="258"/>
      <c r="AB153" s="258"/>
      <c r="AC153" s="258"/>
      <c r="AD153" s="270"/>
      <c r="AE153" s="258"/>
      <c r="AF153" s="258"/>
      <c r="AG153" s="270">
        <f t="shared" si="64"/>
        <v>3483.46833333333</v>
      </c>
      <c r="AH153" s="270"/>
      <c r="AI153" s="278"/>
      <c r="AJ153" s="280"/>
      <c r="AK153" s="280"/>
      <c r="AL153" s="284">
        <v>1000</v>
      </c>
      <c r="AM153" s="281">
        <v>20000</v>
      </c>
      <c r="AN153" s="258"/>
      <c r="AO153" s="299">
        <v>1500</v>
      </c>
      <c r="AP153" s="299"/>
      <c r="AQ153" s="299"/>
      <c r="AR153" s="299">
        <f t="shared" si="65"/>
        <v>4047.53957222222</v>
      </c>
      <c r="AS153" s="300"/>
      <c r="AT153" s="300"/>
      <c r="AU153" s="299">
        <f t="shared" si="89"/>
        <v>21165.9990733333</v>
      </c>
      <c r="AV153" s="299">
        <f>W153+V153+U153+N153+M153+K153+J153+I153+H153</f>
        <v>202376.978611111</v>
      </c>
      <c r="AW153" s="299">
        <f>AU153+AR153+AQ153+AO153+AN153+AM153+AK153+AI153+AH153+AG153+AF153+AE153+AD153+AL153</f>
        <v>51197.0069788889</v>
      </c>
      <c r="AX153" s="299"/>
      <c r="AY153" s="299"/>
      <c r="AZ153" s="299">
        <f t="shared" si="90"/>
        <v>151179.971632222</v>
      </c>
      <c r="BA153" s="305">
        <f t="shared" si="92"/>
        <v>2428523.74333333</v>
      </c>
      <c r="BB153" s="306">
        <f t="shared" si="76"/>
        <v>685704.748666667</v>
      </c>
      <c r="BC153" s="307">
        <f t="shared" si="93"/>
        <v>0</v>
      </c>
      <c r="BD153" s="308">
        <f t="shared" si="77"/>
        <v>685704.748666667</v>
      </c>
      <c r="BE153" s="313">
        <f t="shared" si="78"/>
        <v>1742818.99466667</v>
      </c>
      <c r="BF153" s="306"/>
      <c r="BG153" s="307">
        <f t="shared" si="79"/>
        <v>21000</v>
      </c>
      <c r="BH153" s="307">
        <f t="shared" si="80"/>
        <v>33000</v>
      </c>
      <c r="BI153" s="307">
        <f t="shared" si="81"/>
        <v>75000</v>
      </c>
      <c r="BJ153" s="307">
        <f t="shared" si="82"/>
        <v>95000</v>
      </c>
      <c r="BK153" s="307">
        <f t="shared" si="83"/>
        <v>29991.98888</v>
      </c>
      <c r="BL153" s="307" t="str">
        <f t="shared" si="84"/>
        <v/>
      </c>
      <c r="BM153" s="305">
        <f t="shared" si="85"/>
        <v>253991.98888</v>
      </c>
      <c r="BN153" s="320">
        <f t="shared" si="86"/>
        <v>24285.2374333333</v>
      </c>
      <c r="BO153" s="321">
        <f t="shared" si="87"/>
        <v>253991.98888</v>
      </c>
      <c r="BP153" s="322">
        <f t="shared" si="88"/>
        <v>21165.9990733333</v>
      </c>
      <c r="BQ153" s="323"/>
      <c r="BR153" s="324"/>
      <c r="BS153" s="325"/>
      <c r="BT153" s="326"/>
      <c r="BU153" s="326"/>
      <c r="BV153" s="334"/>
      <c r="BW153" s="335"/>
    </row>
    <row r="154" s="245" customFormat="1" ht="156" customHeight="1" spans="1:75">
      <c r="A154" s="255">
        <v>144</v>
      </c>
      <c r="B154" s="70" t="s">
        <v>464</v>
      </c>
      <c r="C154" s="129" t="s">
        <v>125</v>
      </c>
      <c r="D154" s="129" t="s">
        <v>213</v>
      </c>
      <c r="E154" s="256" t="s">
        <v>135</v>
      </c>
      <c r="F154" s="1469" t="s">
        <v>466</v>
      </c>
      <c r="G154" s="257">
        <v>1925958</v>
      </c>
      <c r="H154" s="258">
        <f t="shared" si="91"/>
        <v>160496.5</v>
      </c>
      <c r="I154" s="258">
        <f t="shared" si="70"/>
        <v>18724.5916666667</v>
      </c>
      <c r="J154" s="258">
        <v>5000</v>
      </c>
      <c r="K154" s="258"/>
      <c r="L154" s="258"/>
      <c r="M154" s="258">
        <v>2500</v>
      </c>
      <c r="N154" s="258"/>
      <c r="O154" s="258"/>
      <c r="P154" s="258"/>
      <c r="Q154" s="258"/>
      <c r="R154" s="258"/>
      <c r="S154" s="258"/>
      <c r="T154" s="258"/>
      <c r="U154" s="258">
        <v>383.33</v>
      </c>
      <c r="V154" s="258"/>
      <c r="W154" s="265"/>
      <c r="X154" s="258"/>
      <c r="Y154" s="258"/>
      <c r="Z154" s="258"/>
      <c r="AA154" s="258"/>
      <c r="AB154" s="258"/>
      <c r="AC154" s="258"/>
      <c r="AD154" s="270"/>
      <c r="AE154" s="258"/>
      <c r="AF154" s="258"/>
      <c r="AG154" s="270">
        <f t="shared" ref="AG154:AG187" si="94">H154*0.02</f>
        <v>3209.93</v>
      </c>
      <c r="AH154" s="270"/>
      <c r="AI154" s="278"/>
      <c r="AJ154" s="284">
        <v>2000</v>
      </c>
      <c r="AK154" s="280"/>
      <c r="AL154" s="280"/>
      <c r="AM154" s="281">
        <v>100000</v>
      </c>
      <c r="AN154" s="258"/>
      <c r="AO154" s="299">
        <v>1500</v>
      </c>
      <c r="AP154" s="299"/>
      <c r="AQ154" s="299"/>
      <c r="AR154" s="299">
        <f t="shared" ref="AR154:AR187" si="95">AV154*0.02</f>
        <v>3742.08843333333</v>
      </c>
      <c r="AS154" s="300"/>
      <c r="AT154" s="300"/>
      <c r="AU154" s="299">
        <f t="shared" si="89"/>
        <v>18606.53876</v>
      </c>
      <c r="AV154" s="299">
        <f>V154+U154+N154+M154+K154+J154+I154+H154</f>
        <v>187104.421666667</v>
      </c>
      <c r="AW154" s="299">
        <f>AU154+AR154+AQ154+AO154+AN154+AM154+AK154+AJ154+AI154+AH154+AG154+AF154</f>
        <v>129058.557193333</v>
      </c>
      <c r="AX154" s="299"/>
      <c r="AY154" s="299"/>
      <c r="AZ154" s="299">
        <f t="shared" si="90"/>
        <v>58045.8644733333</v>
      </c>
      <c r="BA154" s="305">
        <f t="shared" si="92"/>
        <v>2245253.06</v>
      </c>
      <c r="BB154" s="306">
        <f t="shared" si="76"/>
        <v>649050.612</v>
      </c>
      <c r="BC154" s="307">
        <f t="shared" si="93"/>
        <v>0</v>
      </c>
      <c r="BD154" s="308">
        <f t="shared" si="77"/>
        <v>649050.612</v>
      </c>
      <c r="BE154" s="313">
        <f t="shared" si="78"/>
        <v>1596202.448</v>
      </c>
      <c r="BF154" s="306"/>
      <c r="BG154" s="307">
        <f t="shared" si="79"/>
        <v>21000</v>
      </c>
      <c r="BH154" s="307">
        <f t="shared" si="80"/>
        <v>33000</v>
      </c>
      <c r="BI154" s="307">
        <f t="shared" si="81"/>
        <v>75000</v>
      </c>
      <c r="BJ154" s="307">
        <f t="shared" si="82"/>
        <v>94278.46512</v>
      </c>
      <c r="BK154" s="307" t="str">
        <f t="shared" si="83"/>
        <v/>
      </c>
      <c r="BL154" s="307" t="str">
        <f t="shared" si="84"/>
        <v/>
      </c>
      <c r="BM154" s="305">
        <f t="shared" si="85"/>
        <v>223278.46512</v>
      </c>
      <c r="BN154" s="320">
        <f t="shared" si="86"/>
        <v>22452.5306</v>
      </c>
      <c r="BO154" s="321">
        <f t="shared" si="87"/>
        <v>223278.46512</v>
      </c>
      <c r="BP154" s="322">
        <f t="shared" si="88"/>
        <v>18606.53876</v>
      </c>
      <c r="BQ154" s="323"/>
      <c r="BR154" s="324"/>
      <c r="BS154" s="325"/>
      <c r="BT154" s="326"/>
      <c r="BU154" s="326"/>
      <c r="BV154" s="334"/>
      <c r="BW154" s="335"/>
    </row>
    <row r="155" s="245" customFormat="1" ht="169" customHeight="1" spans="1:75">
      <c r="A155" s="255">
        <v>145</v>
      </c>
      <c r="B155" s="70" t="s">
        <v>468</v>
      </c>
      <c r="C155" s="129" t="s">
        <v>352</v>
      </c>
      <c r="D155" s="129" t="s">
        <v>498</v>
      </c>
      <c r="E155" s="256" t="s">
        <v>127</v>
      </c>
      <c r="F155" s="1469" t="s">
        <v>469</v>
      </c>
      <c r="G155" s="257">
        <v>1606381</v>
      </c>
      <c r="H155" s="258">
        <f t="shared" si="91"/>
        <v>133865.083333333</v>
      </c>
      <c r="I155" s="258">
        <f t="shared" si="70"/>
        <v>15617.5930555556</v>
      </c>
      <c r="J155" s="258">
        <v>5000</v>
      </c>
      <c r="K155" s="258"/>
      <c r="L155" s="258"/>
      <c r="M155" s="258">
        <v>2500</v>
      </c>
      <c r="N155" s="258"/>
      <c r="O155" s="258"/>
      <c r="P155" s="258"/>
      <c r="Q155" s="258"/>
      <c r="R155" s="258"/>
      <c r="S155" s="258"/>
      <c r="T155" s="258"/>
      <c r="U155" s="258">
        <v>383.33</v>
      </c>
      <c r="V155" s="258"/>
      <c r="W155" s="265"/>
      <c r="X155" s="258"/>
      <c r="Y155" s="258"/>
      <c r="Z155" s="258"/>
      <c r="AA155" s="258"/>
      <c r="AB155" s="258"/>
      <c r="AC155" s="258"/>
      <c r="AD155" s="270"/>
      <c r="AE155" s="258"/>
      <c r="AF155" s="258">
        <v>2000</v>
      </c>
      <c r="AG155" s="270">
        <f t="shared" si="94"/>
        <v>2677.30166666667</v>
      </c>
      <c r="AH155" s="270"/>
      <c r="AI155" s="278"/>
      <c r="AJ155" s="279">
        <v>1000</v>
      </c>
      <c r="AK155" s="280"/>
      <c r="AL155" s="280"/>
      <c r="AM155" s="281"/>
      <c r="AN155" s="258"/>
      <c r="AO155" s="299">
        <v>1000</v>
      </c>
      <c r="AP155" s="299"/>
      <c r="AQ155" s="299"/>
      <c r="AR155" s="299">
        <f t="shared" si="95"/>
        <v>3147.32012777778</v>
      </c>
      <c r="AS155" s="300"/>
      <c r="AT155" s="300"/>
      <c r="AU155" s="299">
        <f t="shared" si="89"/>
        <v>14086.2996377778</v>
      </c>
      <c r="AV155" s="299">
        <f>W155+V155+U155+N155+M155+K155+J155+I155+H155</f>
        <v>157366.006388889</v>
      </c>
      <c r="AW155" s="299">
        <f>AU155+AR155+AQ155+AO155+AN155+AM155+AK155+AI155+AH155+AG155+AF155+AE155+AD155+AJ155</f>
        <v>23910.9214322222</v>
      </c>
      <c r="AX155" s="299"/>
      <c r="AY155" s="299"/>
      <c r="AZ155" s="299">
        <f t="shared" si="90"/>
        <v>133455.084956667</v>
      </c>
      <c r="BA155" s="305">
        <f t="shared" si="92"/>
        <v>1888392.07666667</v>
      </c>
      <c r="BB155" s="306">
        <f t="shared" si="76"/>
        <v>577678.415333333</v>
      </c>
      <c r="BC155" s="307">
        <f t="shared" si="93"/>
        <v>0</v>
      </c>
      <c r="BD155" s="308">
        <f t="shared" si="77"/>
        <v>577678.415333333</v>
      </c>
      <c r="BE155" s="313">
        <f t="shared" si="78"/>
        <v>1310713.66133333</v>
      </c>
      <c r="BF155" s="306"/>
      <c r="BG155" s="307">
        <f t="shared" si="79"/>
        <v>21000</v>
      </c>
      <c r="BH155" s="307">
        <f t="shared" si="80"/>
        <v>33000</v>
      </c>
      <c r="BI155" s="307">
        <f t="shared" si="81"/>
        <v>75000</v>
      </c>
      <c r="BJ155" s="307">
        <f t="shared" si="82"/>
        <v>40035.5956533333</v>
      </c>
      <c r="BK155" s="307" t="str">
        <f t="shared" si="83"/>
        <v/>
      </c>
      <c r="BL155" s="307" t="str">
        <f t="shared" si="84"/>
        <v/>
      </c>
      <c r="BM155" s="305">
        <f t="shared" si="85"/>
        <v>169035.595653333</v>
      </c>
      <c r="BN155" s="320">
        <f t="shared" si="86"/>
        <v>18883.9207666667</v>
      </c>
      <c r="BO155" s="321">
        <f t="shared" si="87"/>
        <v>169035.595653333</v>
      </c>
      <c r="BP155" s="322">
        <f t="shared" si="88"/>
        <v>14086.2996377778</v>
      </c>
      <c r="BQ155" s="323"/>
      <c r="BR155" s="324"/>
      <c r="BS155" s="325"/>
      <c r="BT155" s="326"/>
      <c r="BU155" s="326"/>
      <c r="BV155" s="334"/>
      <c r="BW155" s="335"/>
    </row>
    <row r="156" s="245" customFormat="1" ht="160" customHeight="1" spans="1:75">
      <c r="A156" s="255">
        <v>146</v>
      </c>
      <c r="B156" s="70" t="s">
        <v>2073</v>
      </c>
      <c r="C156" s="129" t="s">
        <v>352</v>
      </c>
      <c r="D156" s="129" t="s">
        <v>199</v>
      </c>
      <c r="E156" s="256" t="s">
        <v>93</v>
      </c>
      <c r="F156" s="256">
        <v>3046684168</v>
      </c>
      <c r="G156" s="257">
        <v>1563603</v>
      </c>
      <c r="H156" s="258">
        <f t="shared" si="91"/>
        <v>130300.25</v>
      </c>
      <c r="I156" s="258">
        <f t="shared" si="70"/>
        <v>15201.6958333333</v>
      </c>
      <c r="J156" s="258">
        <v>5000</v>
      </c>
      <c r="K156" s="258"/>
      <c r="L156" s="258"/>
      <c r="M156" s="258">
        <v>2500</v>
      </c>
      <c r="N156" s="258"/>
      <c r="O156" s="258"/>
      <c r="P156" s="258"/>
      <c r="Q156" s="258"/>
      <c r="R156" s="258"/>
      <c r="S156" s="258"/>
      <c r="T156" s="258"/>
      <c r="U156" s="258">
        <v>383.33</v>
      </c>
      <c r="V156" s="258"/>
      <c r="W156" s="265"/>
      <c r="X156" s="258"/>
      <c r="Y156" s="258"/>
      <c r="Z156" s="258"/>
      <c r="AA156" s="258"/>
      <c r="AB156" s="258"/>
      <c r="AC156" s="258"/>
      <c r="AD156" s="270"/>
      <c r="AE156" s="258"/>
      <c r="AF156" s="375">
        <v>1500</v>
      </c>
      <c r="AG156" s="270">
        <f t="shared" si="94"/>
        <v>2606.005</v>
      </c>
      <c r="AH156" s="270"/>
      <c r="AI156" s="278"/>
      <c r="AJ156" s="280"/>
      <c r="AK156" s="280"/>
      <c r="AL156" s="280"/>
      <c r="AM156" s="281"/>
      <c r="AN156" s="258"/>
      <c r="AO156" s="299">
        <v>1000</v>
      </c>
      <c r="AP156" s="299"/>
      <c r="AQ156" s="299"/>
      <c r="AR156" s="299">
        <f t="shared" si="95"/>
        <v>3067.70551666667</v>
      </c>
      <c r="AS156" s="300"/>
      <c r="AT156" s="300"/>
      <c r="AU156" s="299">
        <f t="shared" si="89"/>
        <v>13481.2285933333</v>
      </c>
      <c r="AV156" s="299">
        <f>W156+V156+U156+N156+M156+K156+J156+I156+H156</f>
        <v>153385.275833333</v>
      </c>
      <c r="AW156" s="299">
        <f>AU156+AR156+AQ156+AO156+AN156+AM156+AK156+AI156+AH156+AG156+AF156+AE156+AD156</f>
        <v>21654.93911</v>
      </c>
      <c r="AX156" s="299"/>
      <c r="AY156" s="299"/>
      <c r="AZ156" s="299">
        <f t="shared" si="90"/>
        <v>131730.336723333</v>
      </c>
      <c r="BA156" s="305">
        <f t="shared" si="92"/>
        <v>1840623.31</v>
      </c>
      <c r="BB156" s="306">
        <f t="shared" si="76"/>
        <v>568124.662</v>
      </c>
      <c r="BC156" s="307">
        <f t="shared" si="93"/>
        <v>0</v>
      </c>
      <c r="BD156" s="308">
        <f t="shared" si="77"/>
        <v>568124.662</v>
      </c>
      <c r="BE156" s="313">
        <f t="shared" si="78"/>
        <v>1272498.648</v>
      </c>
      <c r="BF156" s="306"/>
      <c r="BG156" s="307">
        <f t="shared" si="79"/>
        <v>21000</v>
      </c>
      <c r="BH156" s="307">
        <f t="shared" si="80"/>
        <v>33000</v>
      </c>
      <c r="BI156" s="307">
        <f t="shared" si="81"/>
        <v>75000</v>
      </c>
      <c r="BJ156" s="307">
        <f t="shared" si="82"/>
        <v>32774.74312</v>
      </c>
      <c r="BK156" s="307" t="str">
        <f t="shared" si="83"/>
        <v/>
      </c>
      <c r="BL156" s="307" t="str">
        <f t="shared" si="84"/>
        <v/>
      </c>
      <c r="BM156" s="305">
        <f t="shared" si="85"/>
        <v>161774.74312</v>
      </c>
      <c r="BN156" s="320">
        <f t="shared" si="86"/>
        <v>18406.2331</v>
      </c>
      <c r="BO156" s="321">
        <f t="shared" si="87"/>
        <v>161774.74312</v>
      </c>
      <c r="BP156" s="322">
        <f t="shared" si="88"/>
        <v>13481.2285933333</v>
      </c>
      <c r="BQ156" s="323"/>
      <c r="BR156" s="324"/>
      <c r="BS156" s="325"/>
      <c r="BT156" s="326"/>
      <c r="BU156" s="326"/>
      <c r="BV156" s="334"/>
      <c r="BW156" s="335"/>
    </row>
    <row r="157" s="245" customFormat="1" ht="169" customHeight="1" spans="1:75">
      <c r="A157" s="255">
        <v>147</v>
      </c>
      <c r="B157" s="70" t="s">
        <v>470</v>
      </c>
      <c r="C157" s="129" t="s">
        <v>204</v>
      </c>
      <c r="D157" s="129" t="s">
        <v>465</v>
      </c>
      <c r="E157" s="256" t="s">
        <v>127</v>
      </c>
      <c r="F157" s="1469" t="s">
        <v>471</v>
      </c>
      <c r="G157" s="257">
        <v>1980666</v>
      </c>
      <c r="H157" s="258">
        <f t="shared" si="91"/>
        <v>165055.5</v>
      </c>
      <c r="I157" s="258">
        <f t="shared" si="70"/>
        <v>19256.475</v>
      </c>
      <c r="J157" s="258">
        <v>5000</v>
      </c>
      <c r="K157" s="258"/>
      <c r="L157" s="258"/>
      <c r="M157" s="258">
        <v>2500</v>
      </c>
      <c r="N157" s="258"/>
      <c r="O157" s="258"/>
      <c r="P157" s="258"/>
      <c r="Q157" s="258"/>
      <c r="R157" s="258"/>
      <c r="S157" s="258"/>
      <c r="T157" s="258"/>
      <c r="U157" s="258">
        <v>383.33</v>
      </c>
      <c r="V157" s="258"/>
      <c r="W157" s="265"/>
      <c r="X157" s="258"/>
      <c r="Y157" s="258"/>
      <c r="Z157" s="258"/>
      <c r="AA157" s="258"/>
      <c r="AB157" s="258"/>
      <c r="AC157" s="258"/>
      <c r="AD157" s="270"/>
      <c r="AE157" s="258"/>
      <c r="AF157" s="258">
        <v>250</v>
      </c>
      <c r="AG157" s="270">
        <f t="shared" si="94"/>
        <v>3301.11</v>
      </c>
      <c r="AH157" s="270"/>
      <c r="AI157" s="278"/>
      <c r="AJ157" s="280"/>
      <c r="AK157" s="280"/>
      <c r="AL157" s="284">
        <v>1000</v>
      </c>
      <c r="AM157" s="281"/>
      <c r="AN157" s="258"/>
      <c r="AO157" s="299">
        <v>1500</v>
      </c>
      <c r="AP157" s="299"/>
      <c r="AQ157" s="299"/>
      <c r="AR157" s="299">
        <f t="shared" si="95"/>
        <v>3843.9061</v>
      </c>
      <c r="AS157" s="300"/>
      <c r="AT157" s="300"/>
      <c r="AU157" s="299">
        <f t="shared" si="89"/>
        <v>19455.4779066667</v>
      </c>
      <c r="AV157" s="299">
        <f>V157+U157+N157+M157+K157+J157+I157+H157</f>
        <v>192195.305</v>
      </c>
      <c r="AW157" s="299">
        <f>AU157+AR157+AQ157+AO157+AN157+AM157+AK157+AI157+AH157+AG157+AF157+AE157+AD157+AL157</f>
        <v>29350.4940066667</v>
      </c>
      <c r="AX157" s="299"/>
      <c r="AY157" s="299"/>
      <c r="AZ157" s="299">
        <f t="shared" si="90"/>
        <v>162844.810993333</v>
      </c>
      <c r="BA157" s="305">
        <f t="shared" si="92"/>
        <v>2306343.66</v>
      </c>
      <c r="BB157" s="306">
        <f t="shared" si="76"/>
        <v>661268.732</v>
      </c>
      <c r="BC157" s="307">
        <f t="shared" si="93"/>
        <v>0</v>
      </c>
      <c r="BD157" s="308">
        <f t="shared" si="77"/>
        <v>661268.732</v>
      </c>
      <c r="BE157" s="313">
        <f t="shared" si="78"/>
        <v>1645074.928</v>
      </c>
      <c r="BF157" s="306"/>
      <c r="BG157" s="307">
        <f t="shared" si="79"/>
        <v>21000</v>
      </c>
      <c r="BH157" s="307">
        <f t="shared" si="80"/>
        <v>33000</v>
      </c>
      <c r="BI157" s="307">
        <f t="shared" si="81"/>
        <v>75000</v>
      </c>
      <c r="BJ157" s="307">
        <f t="shared" si="82"/>
        <v>95000</v>
      </c>
      <c r="BK157" s="307">
        <f t="shared" si="83"/>
        <v>9465.73488000001</v>
      </c>
      <c r="BL157" s="307" t="str">
        <f t="shared" si="84"/>
        <v/>
      </c>
      <c r="BM157" s="305">
        <f t="shared" si="85"/>
        <v>233465.73488</v>
      </c>
      <c r="BN157" s="320">
        <f t="shared" si="86"/>
        <v>23063.4366</v>
      </c>
      <c r="BO157" s="321">
        <f t="shared" si="87"/>
        <v>233465.73488</v>
      </c>
      <c r="BP157" s="322">
        <f t="shared" si="88"/>
        <v>19455.4779066667</v>
      </c>
      <c r="BQ157" s="323"/>
      <c r="BR157" s="324"/>
      <c r="BS157" s="325"/>
      <c r="BT157" s="326"/>
      <c r="BU157" s="326"/>
      <c r="BV157" s="334"/>
      <c r="BW157" s="335"/>
    </row>
    <row r="158" s="245" customFormat="1" ht="162" customHeight="1" spans="1:75">
      <c r="A158" s="255">
        <v>148</v>
      </c>
      <c r="B158" s="70" t="s">
        <v>2074</v>
      </c>
      <c r="C158" s="129" t="s">
        <v>204</v>
      </c>
      <c r="D158" s="129" t="s">
        <v>213</v>
      </c>
      <c r="E158" s="256" t="s">
        <v>127</v>
      </c>
      <c r="F158" s="1469" t="s">
        <v>2075</v>
      </c>
      <c r="G158" s="257">
        <v>1980666</v>
      </c>
      <c r="H158" s="364">
        <v>160496.5</v>
      </c>
      <c r="I158" s="258">
        <f t="shared" si="70"/>
        <v>18724.5916666667</v>
      </c>
      <c r="J158" s="258">
        <v>5000</v>
      </c>
      <c r="K158" s="258"/>
      <c r="L158" s="258"/>
      <c r="M158" s="258">
        <v>2500</v>
      </c>
      <c r="N158" s="258"/>
      <c r="O158" s="258"/>
      <c r="P158" s="258"/>
      <c r="Q158" s="258"/>
      <c r="R158" s="258"/>
      <c r="S158" s="258"/>
      <c r="T158" s="258"/>
      <c r="U158" s="258">
        <v>383.33</v>
      </c>
      <c r="V158" s="258"/>
      <c r="W158" s="265"/>
      <c r="X158" s="258"/>
      <c r="Y158" s="258"/>
      <c r="Z158" s="258"/>
      <c r="AA158" s="258"/>
      <c r="AB158" s="258"/>
      <c r="AC158" s="258"/>
      <c r="AD158" s="270"/>
      <c r="AE158" s="258"/>
      <c r="AF158" s="258">
        <v>2250</v>
      </c>
      <c r="AG158" s="270">
        <f t="shared" si="94"/>
        <v>3209.93</v>
      </c>
      <c r="AH158" s="270"/>
      <c r="AI158" s="278"/>
      <c r="AJ158" s="280"/>
      <c r="AK158" s="280"/>
      <c r="AL158" s="280"/>
      <c r="AM158" s="281">
        <v>10000</v>
      </c>
      <c r="AN158" s="258">
        <v>10000</v>
      </c>
      <c r="AO158" s="299">
        <v>1500</v>
      </c>
      <c r="AP158" s="299"/>
      <c r="AQ158" s="299"/>
      <c r="AR158" s="299">
        <f t="shared" si="95"/>
        <v>3742.08843333333</v>
      </c>
      <c r="AS158" s="300"/>
      <c r="AT158" s="300"/>
      <c r="AU158" s="299">
        <f t="shared" si="89"/>
        <v>18606.53876</v>
      </c>
      <c r="AV158" s="299">
        <f>W158+V158+U158+N158+M158+K158+J158+I158+H158</f>
        <v>187104.421666667</v>
      </c>
      <c r="AW158" s="299">
        <f>AU158+AR158+AQ158+AO158+AN158+AM158+AK158+AI158+AH158+AG158+AF158+AE158+AD158</f>
        <v>49308.5571933333</v>
      </c>
      <c r="AX158" s="299"/>
      <c r="AY158" s="299"/>
      <c r="AZ158" s="299">
        <f t="shared" si="90"/>
        <v>137795.864473333</v>
      </c>
      <c r="BA158" s="305">
        <f t="shared" si="92"/>
        <v>2245253.06</v>
      </c>
      <c r="BB158" s="306">
        <f t="shared" si="76"/>
        <v>649050.612</v>
      </c>
      <c r="BC158" s="307">
        <f t="shared" si="93"/>
        <v>0</v>
      </c>
      <c r="BD158" s="308">
        <f t="shared" si="77"/>
        <v>649050.612</v>
      </c>
      <c r="BE158" s="313">
        <f t="shared" si="78"/>
        <v>1596202.448</v>
      </c>
      <c r="BF158" s="306"/>
      <c r="BG158" s="307">
        <f t="shared" si="79"/>
        <v>21000</v>
      </c>
      <c r="BH158" s="307">
        <f t="shared" si="80"/>
        <v>33000</v>
      </c>
      <c r="BI158" s="307">
        <f t="shared" si="81"/>
        <v>75000</v>
      </c>
      <c r="BJ158" s="307">
        <f t="shared" si="82"/>
        <v>94278.46512</v>
      </c>
      <c r="BK158" s="307" t="str">
        <f t="shared" si="83"/>
        <v/>
      </c>
      <c r="BL158" s="307" t="str">
        <f t="shared" si="84"/>
        <v/>
      </c>
      <c r="BM158" s="305">
        <f t="shared" si="85"/>
        <v>223278.46512</v>
      </c>
      <c r="BN158" s="320">
        <f t="shared" si="86"/>
        <v>22452.5306</v>
      </c>
      <c r="BO158" s="321">
        <f t="shared" si="87"/>
        <v>223278.46512</v>
      </c>
      <c r="BP158" s="322">
        <f t="shared" si="88"/>
        <v>18606.53876</v>
      </c>
      <c r="BQ158" s="323"/>
      <c r="BR158" s="324"/>
      <c r="BS158" s="325"/>
      <c r="BT158" s="326"/>
      <c r="BU158" s="326"/>
      <c r="BV158" s="334"/>
      <c r="BW158" s="335"/>
    </row>
    <row r="159" s="245" customFormat="1" ht="165" customHeight="1" spans="1:75">
      <c r="A159" s="255">
        <v>149</v>
      </c>
      <c r="B159" s="70" t="s">
        <v>475</v>
      </c>
      <c r="C159" s="129" t="s">
        <v>204</v>
      </c>
      <c r="D159" s="129" t="s">
        <v>205</v>
      </c>
      <c r="E159" s="256" t="s">
        <v>113</v>
      </c>
      <c r="F159" s="256">
        <v>2084214906</v>
      </c>
      <c r="G159" s="257">
        <f>G153</f>
        <v>2090081</v>
      </c>
      <c r="H159" s="258">
        <f t="shared" si="91"/>
        <v>174173.416666667</v>
      </c>
      <c r="I159" s="258">
        <f t="shared" si="70"/>
        <v>20320.2319444444</v>
      </c>
      <c r="J159" s="258">
        <v>5000</v>
      </c>
      <c r="K159" s="258"/>
      <c r="L159" s="258"/>
      <c r="M159" s="258">
        <v>2500</v>
      </c>
      <c r="N159" s="258"/>
      <c r="O159" s="258"/>
      <c r="P159" s="258"/>
      <c r="Q159" s="258"/>
      <c r="R159" s="258"/>
      <c r="S159" s="258"/>
      <c r="T159" s="258"/>
      <c r="U159" s="258">
        <v>383.33</v>
      </c>
      <c r="V159" s="258"/>
      <c r="W159" s="265"/>
      <c r="X159" s="258"/>
      <c r="Y159" s="258"/>
      <c r="Z159" s="258"/>
      <c r="AA159" s="258"/>
      <c r="AB159" s="258"/>
      <c r="AC159" s="258"/>
      <c r="AD159" s="270"/>
      <c r="AE159" s="258"/>
      <c r="AF159" s="258"/>
      <c r="AG159" s="270">
        <f t="shared" si="94"/>
        <v>3483.46833333333</v>
      </c>
      <c r="AH159" s="270">
        <v>10000</v>
      </c>
      <c r="AI159" s="278"/>
      <c r="AJ159" s="280"/>
      <c r="AK159" s="280"/>
      <c r="AL159" s="284">
        <v>1000</v>
      </c>
      <c r="AM159" s="281"/>
      <c r="AN159" s="258"/>
      <c r="AO159" s="299">
        <v>1500</v>
      </c>
      <c r="AP159" s="299"/>
      <c r="AQ159" s="299"/>
      <c r="AR159" s="299">
        <f t="shared" si="95"/>
        <v>4047.53957222222</v>
      </c>
      <c r="AS159" s="300"/>
      <c r="AT159" s="300"/>
      <c r="AU159" s="299">
        <f t="shared" si="89"/>
        <v>21165.9990733333</v>
      </c>
      <c r="AV159" s="299">
        <f>W159+V159+U159+N159+M159+K159+J159+I159+H159</f>
        <v>202376.978611111</v>
      </c>
      <c r="AW159" s="299">
        <f>AU159+AR159+AQ159+AO159+AN159+AM159+AK159+AI159+AH159+AG159+AF159+AE159+AD159+AL159</f>
        <v>41197.0069788889</v>
      </c>
      <c r="AX159" s="299"/>
      <c r="AY159" s="299"/>
      <c r="AZ159" s="299">
        <f t="shared" si="90"/>
        <v>161179.971632222</v>
      </c>
      <c r="BA159" s="305">
        <f t="shared" si="92"/>
        <v>2428523.74333333</v>
      </c>
      <c r="BB159" s="306">
        <f t="shared" si="76"/>
        <v>685704.748666667</v>
      </c>
      <c r="BC159" s="307">
        <f t="shared" si="93"/>
        <v>0</v>
      </c>
      <c r="BD159" s="308">
        <f t="shared" si="77"/>
        <v>685704.748666667</v>
      </c>
      <c r="BE159" s="313">
        <f t="shared" si="78"/>
        <v>1742818.99466667</v>
      </c>
      <c r="BF159" s="306"/>
      <c r="BG159" s="307">
        <f t="shared" si="79"/>
        <v>21000</v>
      </c>
      <c r="BH159" s="307">
        <f t="shared" si="80"/>
        <v>33000</v>
      </c>
      <c r="BI159" s="307">
        <f t="shared" si="81"/>
        <v>75000</v>
      </c>
      <c r="BJ159" s="307">
        <f t="shared" si="82"/>
        <v>95000</v>
      </c>
      <c r="BK159" s="307">
        <f t="shared" si="83"/>
        <v>29991.98888</v>
      </c>
      <c r="BL159" s="307" t="str">
        <f t="shared" si="84"/>
        <v/>
      </c>
      <c r="BM159" s="305">
        <f t="shared" si="85"/>
        <v>253991.98888</v>
      </c>
      <c r="BN159" s="320">
        <f t="shared" si="86"/>
        <v>24285.2374333333</v>
      </c>
      <c r="BO159" s="321">
        <f t="shared" si="87"/>
        <v>253991.98888</v>
      </c>
      <c r="BP159" s="322">
        <f t="shared" si="88"/>
        <v>21165.9990733333</v>
      </c>
      <c r="BQ159" s="323"/>
      <c r="BR159" s="324"/>
      <c r="BS159" s="325"/>
      <c r="BT159" s="326"/>
      <c r="BU159" s="326"/>
      <c r="BV159" s="334"/>
      <c r="BW159" s="335"/>
    </row>
    <row r="160" s="245" customFormat="1" ht="156" customHeight="1" spans="1:75">
      <c r="A160" s="255">
        <v>150</v>
      </c>
      <c r="B160" s="70" t="s">
        <v>2076</v>
      </c>
      <c r="C160" s="129" t="s">
        <v>221</v>
      </c>
      <c r="D160" s="129" t="s">
        <v>439</v>
      </c>
      <c r="E160" s="256" t="s">
        <v>127</v>
      </c>
      <c r="F160" s="1469" t="s">
        <v>2008</v>
      </c>
      <c r="G160" s="257">
        <v>1947516</v>
      </c>
      <c r="H160" s="258">
        <f t="shared" si="91"/>
        <v>162293</v>
      </c>
      <c r="I160" s="258">
        <f t="shared" si="70"/>
        <v>18934.1833333333</v>
      </c>
      <c r="J160" s="258">
        <v>5000</v>
      </c>
      <c r="K160" s="258"/>
      <c r="L160" s="258"/>
      <c r="M160" s="258">
        <v>2500</v>
      </c>
      <c r="N160" s="258"/>
      <c r="O160" s="258"/>
      <c r="P160" s="258"/>
      <c r="Q160" s="258"/>
      <c r="R160" s="258"/>
      <c r="S160" s="258"/>
      <c r="T160" s="258"/>
      <c r="U160" s="258">
        <v>383.33</v>
      </c>
      <c r="V160" s="258"/>
      <c r="W160" s="265"/>
      <c r="X160" s="258"/>
      <c r="Y160" s="258"/>
      <c r="Z160" s="258"/>
      <c r="AA160" s="258"/>
      <c r="AB160" s="258"/>
      <c r="AC160" s="258"/>
      <c r="AD160" s="270"/>
      <c r="AE160" s="258"/>
      <c r="AF160" s="258"/>
      <c r="AG160" s="270">
        <f t="shared" si="94"/>
        <v>3245.86</v>
      </c>
      <c r="AH160" s="270"/>
      <c r="AI160" s="278"/>
      <c r="AJ160" s="280"/>
      <c r="AK160" s="280"/>
      <c r="AL160" s="280"/>
      <c r="AM160" s="281"/>
      <c r="AN160" s="258">
        <v>7500</v>
      </c>
      <c r="AO160" s="299">
        <v>1000</v>
      </c>
      <c r="AP160" s="299"/>
      <c r="AQ160" s="299"/>
      <c r="AR160" s="299">
        <f t="shared" si="95"/>
        <v>3782.21026666667</v>
      </c>
      <c r="AS160" s="300"/>
      <c r="AT160" s="300"/>
      <c r="AU160" s="299">
        <f t="shared" si="89"/>
        <v>18937.2329066667</v>
      </c>
      <c r="AV160" s="299">
        <f>V160+U160+N160+M160+K160+J160+I160+H160</f>
        <v>189110.513333333</v>
      </c>
      <c r="AW160" s="299">
        <f>AU160+AR160+AQ160+AO160+AN160+AM160+AK160+AI160+AH160+AG160+AF160+AE160+AD160</f>
        <v>34465.3031733333</v>
      </c>
      <c r="AX160" s="299"/>
      <c r="AY160" s="299"/>
      <c r="AZ160" s="299">
        <f t="shared" si="90"/>
        <v>154645.21016</v>
      </c>
      <c r="BA160" s="305">
        <f t="shared" si="92"/>
        <v>2269326.16</v>
      </c>
      <c r="BB160" s="306">
        <f t="shared" si="76"/>
        <v>653865.232</v>
      </c>
      <c r="BC160" s="307">
        <f t="shared" si="93"/>
        <v>0</v>
      </c>
      <c r="BD160" s="308">
        <f t="shared" si="77"/>
        <v>653865.232</v>
      </c>
      <c r="BE160" s="313">
        <f t="shared" si="78"/>
        <v>1615460.928</v>
      </c>
      <c r="BF160" s="306"/>
      <c r="BG160" s="307">
        <f t="shared" si="79"/>
        <v>21000</v>
      </c>
      <c r="BH160" s="307">
        <f t="shared" si="80"/>
        <v>33000</v>
      </c>
      <c r="BI160" s="307">
        <f t="shared" si="81"/>
        <v>75000</v>
      </c>
      <c r="BJ160" s="307">
        <f t="shared" si="82"/>
        <v>95000</v>
      </c>
      <c r="BK160" s="307">
        <f t="shared" si="83"/>
        <v>3246.79488000001</v>
      </c>
      <c r="BL160" s="307" t="str">
        <f t="shared" si="84"/>
        <v/>
      </c>
      <c r="BM160" s="305">
        <f t="shared" si="85"/>
        <v>227246.79488</v>
      </c>
      <c r="BN160" s="320">
        <f t="shared" si="86"/>
        <v>22693.2616</v>
      </c>
      <c r="BO160" s="321">
        <f t="shared" si="87"/>
        <v>227246.79488</v>
      </c>
      <c r="BP160" s="322">
        <f t="shared" si="88"/>
        <v>18937.2329066667</v>
      </c>
      <c r="BQ160" s="323"/>
      <c r="BR160" s="324"/>
      <c r="BS160" s="325"/>
      <c r="BT160" s="326"/>
      <c r="BU160" s="326"/>
      <c r="BV160" s="334"/>
      <c r="BW160" s="335"/>
    </row>
    <row r="161" s="245" customFormat="1" ht="156" customHeight="1" spans="1:75">
      <c r="A161" s="255">
        <v>151</v>
      </c>
      <c r="B161" s="70" t="s">
        <v>477</v>
      </c>
      <c r="C161" s="129" t="s">
        <v>352</v>
      </c>
      <c r="D161" s="129" t="s">
        <v>353</v>
      </c>
      <c r="E161" s="256" t="s">
        <v>113</v>
      </c>
      <c r="F161" s="256">
        <v>2108277021</v>
      </c>
      <c r="G161" s="257">
        <v>1691938</v>
      </c>
      <c r="H161" s="258">
        <f t="shared" si="91"/>
        <v>140994.833333333</v>
      </c>
      <c r="I161" s="258">
        <f t="shared" si="70"/>
        <v>16449.3972222222</v>
      </c>
      <c r="J161" s="258">
        <v>5000</v>
      </c>
      <c r="K161" s="258"/>
      <c r="L161" s="258"/>
      <c r="M161" s="258">
        <v>2500</v>
      </c>
      <c r="N161" s="258"/>
      <c r="O161" s="258"/>
      <c r="P161" s="258"/>
      <c r="Q161" s="258"/>
      <c r="R161" s="258"/>
      <c r="S161" s="258"/>
      <c r="T161" s="258"/>
      <c r="U161" s="258">
        <v>383.33</v>
      </c>
      <c r="V161" s="258"/>
      <c r="W161" s="265"/>
      <c r="X161" s="258"/>
      <c r="Y161" s="258"/>
      <c r="Z161" s="258"/>
      <c r="AA161" s="258"/>
      <c r="AB161" s="258"/>
      <c r="AC161" s="258"/>
      <c r="AD161" s="270"/>
      <c r="AE161" s="258"/>
      <c r="AF161" s="258">
        <v>1500</v>
      </c>
      <c r="AG161" s="270">
        <f t="shared" si="94"/>
        <v>2819.89666666667</v>
      </c>
      <c r="AH161" s="270"/>
      <c r="AI161" s="278"/>
      <c r="AJ161" s="279">
        <v>1000</v>
      </c>
      <c r="AK161" s="280"/>
      <c r="AL161" s="280"/>
      <c r="AM161" s="281">
        <v>42292</v>
      </c>
      <c r="AN161" s="258"/>
      <c r="AO161" s="299">
        <v>1000</v>
      </c>
      <c r="AP161" s="299"/>
      <c r="AQ161" s="299"/>
      <c r="AR161" s="299">
        <f t="shared" si="95"/>
        <v>3306.55121111111</v>
      </c>
      <c r="AS161" s="300"/>
      <c r="AT161" s="300"/>
      <c r="AU161" s="299">
        <f t="shared" si="89"/>
        <v>15296.4558711111</v>
      </c>
      <c r="AV161" s="299">
        <f>W161+V161+U161+N161+M161+K161+J161+I161+H161</f>
        <v>165327.560555556</v>
      </c>
      <c r="AW161" s="299">
        <f>AU161+AR161+AQ161+AO161+AN161+AM161+AK161+AI161+AH161+AG161+AF161+AE161+AD161+AJ161</f>
        <v>67214.9037488889</v>
      </c>
      <c r="AX161" s="299"/>
      <c r="AY161" s="299"/>
      <c r="AZ161" s="299">
        <f t="shared" si="90"/>
        <v>98112.6568066667</v>
      </c>
      <c r="BA161" s="305">
        <f t="shared" si="92"/>
        <v>1983930.72666667</v>
      </c>
      <c r="BB161" s="306">
        <f t="shared" si="76"/>
        <v>596786.145333333</v>
      </c>
      <c r="BC161" s="307">
        <f t="shared" si="93"/>
        <v>0</v>
      </c>
      <c r="BD161" s="308">
        <f t="shared" si="77"/>
        <v>596786.145333333</v>
      </c>
      <c r="BE161" s="313">
        <f t="shared" si="78"/>
        <v>1387144.58133333</v>
      </c>
      <c r="BF161" s="306"/>
      <c r="BG161" s="307">
        <f t="shared" si="79"/>
        <v>21000</v>
      </c>
      <c r="BH161" s="307">
        <f t="shared" si="80"/>
        <v>33000</v>
      </c>
      <c r="BI161" s="307">
        <f t="shared" si="81"/>
        <v>75000</v>
      </c>
      <c r="BJ161" s="307">
        <f t="shared" si="82"/>
        <v>54557.4704533333</v>
      </c>
      <c r="BK161" s="307" t="str">
        <f t="shared" si="83"/>
        <v/>
      </c>
      <c r="BL161" s="307" t="str">
        <f t="shared" si="84"/>
        <v/>
      </c>
      <c r="BM161" s="305">
        <f t="shared" si="85"/>
        <v>183557.470453333</v>
      </c>
      <c r="BN161" s="320">
        <f t="shared" si="86"/>
        <v>19839.3072666667</v>
      </c>
      <c r="BO161" s="321">
        <f t="shared" si="87"/>
        <v>183557.470453333</v>
      </c>
      <c r="BP161" s="322">
        <f t="shared" si="88"/>
        <v>15296.4558711111</v>
      </c>
      <c r="BQ161" s="323"/>
      <c r="BR161" s="324"/>
      <c r="BS161" s="325"/>
      <c r="BT161" s="326"/>
      <c r="BU161" s="326"/>
      <c r="BV161" s="334"/>
      <c r="BW161" s="335"/>
    </row>
    <row r="162" s="245" customFormat="1" ht="156" customHeight="1" spans="1:75">
      <c r="A162" s="255">
        <v>152</v>
      </c>
      <c r="B162" s="70" t="s">
        <v>478</v>
      </c>
      <c r="C162" s="129" t="s">
        <v>221</v>
      </c>
      <c r="D162" s="129" t="s">
        <v>555</v>
      </c>
      <c r="E162" s="256" t="s">
        <v>93</v>
      </c>
      <c r="F162" s="256">
        <v>3097503078</v>
      </c>
      <c r="G162" s="257">
        <v>1796468</v>
      </c>
      <c r="H162" s="258">
        <f t="shared" si="91"/>
        <v>149705.666666667</v>
      </c>
      <c r="I162" s="258">
        <f t="shared" si="70"/>
        <v>17465.6611111111</v>
      </c>
      <c r="J162" s="258">
        <v>5000</v>
      </c>
      <c r="K162" s="258"/>
      <c r="L162" s="258"/>
      <c r="M162" s="258">
        <v>2500</v>
      </c>
      <c r="N162" s="258"/>
      <c r="O162" s="258"/>
      <c r="P162" s="258"/>
      <c r="Q162" s="258"/>
      <c r="R162" s="258"/>
      <c r="S162" s="258"/>
      <c r="T162" s="258"/>
      <c r="U162" s="258">
        <v>383.33</v>
      </c>
      <c r="V162" s="258"/>
      <c r="W162" s="265"/>
      <c r="X162" s="258"/>
      <c r="Y162" s="258"/>
      <c r="Z162" s="258"/>
      <c r="AA162" s="258"/>
      <c r="AB162" s="258"/>
      <c r="AC162" s="258"/>
      <c r="AD162" s="270"/>
      <c r="AE162" s="258"/>
      <c r="AF162" s="258">
        <v>1000</v>
      </c>
      <c r="AG162" s="270">
        <f t="shared" si="94"/>
        <v>2994.11333333333</v>
      </c>
      <c r="AH162" s="270"/>
      <c r="AI162" s="278"/>
      <c r="AJ162" s="280"/>
      <c r="AK162" s="280"/>
      <c r="AL162" s="284">
        <v>1000</v>
      </c>
      <c r="AM162" s="281"/>
      <c r="AN162" s="258"/>
      <c r="AO162" s="299">
        <v>1000</v>
      </c>
      <c r="AP162" s="299"/>
      <c r="AQ162" s="299"/>
      <c r="AR162" s="299">
        <f t="shared" si="95"/>
        <v>3501.09315555556</v>
      </c>
      <c r="AS162" s="300"/>
      <c r="AT162" s="300"/>
      <c r="AU162" s="299">
        <f t="shared" si="89"/>
        <v>16774.9746488889</v>
      </c>
      <c r="AV162" s="299">
        <f>W162+V162+U162+N162+M162+K162+J162+I162+H162</f>
        <v>175054.657777778</v>
      </c>
      <c r="AW162" s="299">
        <f>AU162+AR162+AQ162+AO162+AN162+AM162+AK162+AI162+AH162+AG162+AF162+AE162+AD162+AL162</f>
        <v>26270.1811377778</v>
      </c>
      <c r="AX162" s="299"/>
      <c r="AY162" s="299"/>
      <c r="AZ162" s="299">
        <f t="shared" si="90"/>
        <v>148784.47664</v>
      </c>
      <c r="BA162" s="305">
        <f t="shared" si="92"/>
        <v>2100655.89333333</v>
      </c>
      <c r="BB162" s="306">
        <f t="shared" si="76"/>
        <v>620131.178666667</v>
      </c>
      <c r="BC162" s="307">
        <f t="shared" si="93"/>
        <v>0</v>
      </c>
      <c r="BD162" s="308">
        <f t="shared" si="77"/>
        <v>620131.178666667</v>
      </c>
      <c r="BE162" s="313">
        <f t="shared" si="78"/>
        <v>1480524.71466667</v>
      </c>
      <c r="BF162" s="306"/>
      <c r="BG162" s="307">
        <f t="shared" si="79"/>
        <v>21000</v>
      </c>
      <c r="BH162" s="307">
        <f t="shared" si="80"/>
        <v>33000</v>
      </c>
      <c r="BI162" s="307">
        <f t="shared" si="81"/>
        <v>75000</v>
      </c>
      <c r="BJ162" s="307">
        <f t="shared" si="82"/>
        <v>72299.6957866666</v>
      </c>
      <c r="BK162" s="307" t="str">
        <f t="shared" si="83"/>
        <v/>
      </c>
      <c r="BL162" s="307" t="str">
        <f t="shared" si="84"/>
        <v/>
      </c>
      <c r="BM162" s="305">
        <f t="shared" si="85"/>
        <v>201299.695786667</v>
      </c>
      <c r="BN162" s="320">
        <f t="shared" si="86"/>
        <v>21006.5589333333</v>
      </c>
      <c r="BO162" s="321">
        <f t="shared" si="87"/>
        <v>201299.695786667</v>
      </c>
      <c r="BP162" s="322">
        <f t="shared" si="88"/>
        <v>16774.9746488889</v>
      </c>
      <c r="BQ162" s="323"/>
      <c r="BR162" s="324"/>
      <c r="BS162" s="325"/>
      <c r="BT162" s="326"/>
      <c r="BU162" s="326"/>
      <c r="BV162" s="334"/>
      <c r="BW162" s="335"/>
    </row>
    <row r="163" s="245" customFormat="1" ht="156" customHeight="1" spans="1:75">
      <c r="A163" s="255">
        <v>153</v>
      </c>
      <c r="B163" s="70" t="s">
        <v>479</v>
      </c>
      <c r="C163" s="129" t="s">
        <v>352</v>
      </c>
      <c r="D163" s="129" t="s">
        <v>353</v>
      </c>
      <c r="E163" s="256" t="s">
        <v>127</v>
      </c>
      <c r="F163" s="1469" t="s">
        <v>480</v>
      </c>
      <c r="G163" s="257">
        <f>G161</f>
        <v>1691938</v>
      </c>
      <c r="H163" s="258">
        <f>H161</f>
        <v>140994.833333333</v>
      </c>
      <c r="I163" s="258">
        <f t="shared" si="70"/>
        <v>16449.3972222222</v>
      </c>
      <c r="J163" s="258">
        <v>5000</v>
      </c>
      <c r="K163" s="258"/>
      <c r="L163" s="258"/>
      <c r="M163" s="258">
        <v>2500</v>
      </c>
      <c r="N163" s="258"/>
      <c r="O163" s="258"/>
      <c r="P163" s="258"/>
      <c r="Q163" s="258"/>
      <c r="R163" s="258"/>
      <c r="S163" s="258"/>
      <c r="T163" s="258"/>
      <c r="U163" s="258">
        <v>383.33</v>
      </c>
      <c r="V163" s="258"/>
      <c r="W163" s="265"/>
      <c r="X163" s="258"/>
      <c r="Y163" s="258"/>
      <c r="Z163" s="258"/>
      <c r="AA163" s="258"/>
      <c r="AB163" s="258"/>
      <c r="AC163" s="258"/>
      <c r="AD163" s="270"/>
      <c r="AE163" s="258"/>
      <c r="AF163" s="258">
        <v>3500</v>
      </c>
      <c r="AG163" s="270">
        <f t="shared" si="94"/>
        <v>2819.89666666667</v>
      </c>
      <c r="AH163" s="270"/>
      <c r="AI163" s="278"/>
      <c r="AJ163" s="279">
        <v>1000</v>
      </c>
      <c r="AK163" s="280"/>
      <c r="AL163" s="280"/>
      <c r="AM163" s="281"/>
      <c r="AN163" s="258"/>
      <c r="AO163" s="299">
        <v>1000</v>
      </c>
      <c r="AP163" s="299"/>
      <c r="AQ163" s="299">
        <v>1250</v>
      </c>
      <c r="AR163" s="299">
        <f t="shared" si="95"/>
        <v>3306.55121111111</v>
      </c>
      <c r="AS163" s="300"/>
      <c r="AT163" s="300"/>
      <c r="AU163" s="299">
        <f t="shared" si="89"/>
        <v>15296.4558711111</v>
      </c>
      <c r="AV163" s="299">
        <f>V163+U163+N163+M163+K163+J163+I163+H163</f>
        <v>165327.560555556</v>
      </c>
      <c r="AW163" s="299">
        <f>AU163+AR163+AQ163+AO163+AN163+AM163+AK163+AI163+AH163+AG163+AF163+AE163+AD163+AJ163</f>
        <v>28172.9037488889</v>
      </c>
      <c r="AX163" s="299"/>
      <c r="AY163" s="299"/>
      <c r="AZ163" s="299">
        <f t="shared" si="90"/>
        <v>137154.656806667</v>
      </c>
      <c r="BA163" s="305">
        <f t="shared" si="92"/>
        <v>1983930.72666667</v>
      </c>
      <c r="BB163" s="306">
        <f t="shared" si="76"/>
        <v>596786.145333333</v>
      </c>
      <c r="BC163" s="307">
        <f t="shared" si="93"/>
        <v>0</v>
      </c>
      <c r="BD163" s="308">
        <f t="shared" si="77"/>
        <v>596786.145333333</v>
      </c>
      <c r="BE163" s="313">
        <f t="shared" si="78"/>
        <v>1387144.58133333</v>
      </c>
      <c r="BF163" s="306"/>
      <c r="BG163" s="307">
        <f t="shared" si="79"/>
        <v>21000</v>
      </c>
      <c r="BH163" s="307">
        <f t="shared" si="80"/>
        <v>33000</v>
      </c>
      <c r="BI163" s="307">
        <f t="shared" si="81"/>
        <v>75000</v>
      </c>
      <c r="BJ163" s="307">
        <f t="shared" si="82"/>
        <v>54557.4704533333</v>
      </c>
      <c r="BK163" s="307" t="str">
        <f t="shared" si="83"/>
        <v/>
      </c>
      <c r="BL163" s="307" t="str">
        <f t="shared" si="84"/>
        <v/>
      </c>
      <c r="BM163" s="305">
        <f t="shared" si="85"/>
        <v>183557.470453333</v>
      </c>
      <c r="BN163" s="320">
        <f t="shared" si="86"/>
        <v>19839.3072666667</v>
      </c>
      <c r="BO163" s="321">
        <f t="shared" si="87"/>
        <v>183557.470453333</v>
      </c>
      <c r="BP163" s="322">
        <f t="shared" si="88"/>
        <v>15296.4558711111</v>
      </c>
      <c r="BQ163" s="323"/>
      <c r="BR163" s="324"/>
      <c r="BS163" s="325"/>
      <c r="BT163" s="326"/>
      <c r="BU163" s="326"/>
      <c r="BV163" s="334"/>
      <c r="BW163" s="335"/>
    </row>
    <row r="164" s="245" customFormat="1" ht="166" customHeight="1" spans="1:75">
      <c r="A164" s="255">
        <v>154</v>
      </c>
      <c r="B164" s="70" t="s">
        <v>2077</v>
      </c>
      <c r="C164" s="129" t="s">
        <v>352</v>
      </c>
      <c r="D164" s="129" t="s">
        <v>353</v>
      </c>
      <c r="E164" s="256" t="s">
        <v>93</v>
      </c>
      <c r="F164" s="256">
        <v>2033940276</v>
      </c>
      <c r="G164" s="257">
        <f>G163</f>
        <v>1691938</v>
      </c>
      <c r="H164" s="258">
        <f>H163</f>
        <v>140994.833333333</v>
      </c>
      <c r="I164" s="258">
        <f t="shared" si="70"/>
        <v>16449.3972222222</v>
      </c>
      <c r="J164" s="258">
        <v>5000</v>
      </c>
      <c r="K164" s="258"/>
      <c r="L164" s="258"/>
      <c r="M164" s="258">
        <v>2500</v>
      </c>
      <c r="N164" s="258"/>
      <c r="O164" s="258"/>
      <c r="P164" s="258"/>
      <c r="Q164" s="258"/>
      <c r="R164" s="258"/>
      <c r="S164" s="258"/>
      <c r="T164" s="258"/>
      <c r="U164" s="258">
        <v>383.33</v>
      </c>
      <c r="V164" s="258"/>
      <c r="W164" s="265"/>
      <c r="X164" s="258"/>
      <c r="Y164" s="258"/>
      <c r="Z164" s="258"/>
      <c r="AA164" s="258"/>
      <c r="AB164" s="258"/>
      <c r="AC164" s="258"/>
      <c r="AD164" s="270"/>
      <c r="AE164" s="258"/>
      <c r="AF164" s="258"/>
      <c r="AG164" s="270">
        <f t="shared" si="94"/>
        <v>2819.89666666667</v>
      </c>
      <c r="AH164" s="270"/>
      <c r="AI164" s="278"/>
      <c r="AJ164" s="280"/>
      <c r="AK164" s="280"/>
      <c r="AL164" s="280"/>
      <c r="AM164" s="281">
        <v>20000</v>
      </c>
      <c r="AN164" s="258"/>
      <c r="AO164" s="299">
        <v>1000</v>
      </c>
      <c r="AP164" s="299"/>
      <c r="AQ164" s="299"/>
      <c r="AR164" s="299">
        <f t="shared" si="95"/>
        <v>3306.55121111111</v>
      </c>
      <c r="AS164" s="300"/>
      <c r="AT164" s="300"/>
      <c r="AU164" s="299">
        <f t="shared" si="89"/>
        <v>15296.4558711111</v>
      </c>
      <c r="AV164" s="299">
        <f>W164+V164+U164+N164+M164+K164+J164+I164+H164</f>
        <v>165327.560555556</v>
      </c>
      <c r="AW164" s="299">
        <f>AU164+AR164+AQ164+AO164+AN164+AM164+AK164+AI164+AH164+AG164+AF164+AE164+AD164</f>
        <v>42422.9037488889</v>
      </c>
      <c r="AX164" s="299"/>
      <c r="AY164" s="299"/>
      <c r="AZ164" s="299">
        <f t="shared" si="90"/>
        <v>122904.656806667</v>
      </c>
      <c r="BA164" s="305">
        <f t="shared" si="92"/>
        <v>1983930.72666667</v>
      </c>
      <c r="BB164" s="306">
        <f t="shared" si="76"/>
        <v>596786.145333333</v>
      </c>
      <c r="BC164" s="307">
        <f t="shared" si="93"/>
        <v>0</v>
      </c>
      <c r="BD164" s="308">
        <f t="shared" si="77"/>
        <v>596786.145333333</v>
      </c>
      <c r="BE164" s="313">
        <f t="shared" si="78"/>
        <v>1387144.58133333</v>
      </c>
      <c r="BF164" s="306"/>
      <c r="BG164" s="307">
        <f t="shared" si="79"/>
        <v>21000</v>
      </c>
      <c r="BH164" s="307">
        <f t="shared" si="80"/>
        <v>33000</v>
      </c>
      <c r="BI164" s="307">
        <f t="shared" si="81"/>
        <v>75000</v>
      </c>
      <c r="BJ164" s="307">
        <f t="shared" si="82"/>
        <v>54557.4704533333</v>
      </c>
      <c r="BK164" s="307" t="str">
        <f t="shared" si="83"/>
        <v/>
      </c>
      <c r="BL164" s="307" t="str">
        <f t="shared" si="84"/>
        <v/>
      </c>
      <c r="BM164" s="305">
        <f t="shared" si="85"/>
        <v>183557.470453333</v>
      </c>
      <c r="BN164" s="320">
        <f t="shared" si="86"/>
        <v>19839.3072666667</v>
      </c>
      <c r="BO164" s="321">
        <f t="shared" si="87"/>
        <v>183557.470453333</v>
      </c>
      <c r="BP164" s="322">
        <f t="shared" si="88"/>
        <v>15296.4558711111</v>
      </c>
      <c r="BQ164" s="323"/>
      <c r="BR164" s="324"/>
      <c r="BS164" s="325"/>
      <c r="BT164" s="326"/>
      <c r="BU164" s="326"/>
      <c r="BV164" s="334"/>
      <c r="BW164" s="335"/>
    </row>
    <row r="165" s="245" customFormat="1" ht="156" customHeight="1" spans="1:75">
      <c r="A165" s="255">
        <v>155</v>
      </c>
      <c r="B165" s="70" t="s">
        <v>484</v>
      </c>
      <c r="C165" s="129" t="s">
        <v>125</v>
      </c>
      <c r="D165" s="129" t="s">
        <v>2078</v>
      </c>
      <c r="E165" s="256" t="s">
        <v>93</v>
      </c>
      <c r="F165" s="256">
        <v>2037312145</v>
      </c>
      <c r="G165" s="257">
        <v>1925958</v>
      </c>
      <c r="H165" s="258">
        <f>G165/12</f>
        <v>160496.5</v>
      </c>
      <c r="I165" s="258">
        <f t="shared" si="70"/>
        <v>18724.5916666667</v>
      </c>
      <c r="J165" s="258">
        <v>5000</v>
      </c>
      <c r="K165" s="258"/>
      <c r="L165" s="258"/>
      <c r="M165" s="258">
        <v>2500</v>
      </c>
      <c r="N165" s="258"/>
      <c r="O165" s="258"/>
      <c r="P165" s="258"/>
      <c r="Q165" s="258"/>
      <c r="R165" s="258"/>
      <c r="S165" s="258"/>
      <c r="T165" s="258"/>
      <c r="U165" s="258">
        <v>383.33</v>
      </c>
      <c r="V165" s="258"/>
      <c r="W165" s="265"/>
      <c r="X165" s="258"/>
      <c r="Y165" s="258"/>
      <c r="Z165" s="258"/>
      <c r="AA165" s="258"/>
      <c r="AB165" s="258"/>
      <c r="AC165" s="258"/>
      <c r="AD165" s="270"/>
      <c r="AE165" s="258"/>
      <c r="AF165" s="258">
        <v>3750</v>
      </c>
      <c r="AG165" s="270">
        <f t="shared" si="94"/>
        <v>3209.93</v>
      </c>
      <c r="AH165" s="270"/>
      <c r="AI165" s="278"/>
      <c r="AJ165" s="280"/>
      <c r="AK165" s="280"/>
      <c r="AL165" s="284">
        <v>1000</v>
      </c>
      <c r="AM165" s="281"/>
      <c r="AN165" s="258"/>
      <c r="AO165" s="299">
        <v>1500</v>
      </c>
      <c r="AP165" s="299"/>
      <c r="AQ165" s="299"/>
      <c r="AR165" s="299">
        <f t="shared" si="95"/>
        <v>3742.08843333333</v>
      </c>
      <c r="AS165" s="300"/>
      <c r="AT165" s="300"/>
      <c r="AU165" s="299">
        <f t="shared" si="89"/>
        <v>18606.53876</v>
      </c>
      <c r="AV165" s="299">
        <f>W165+V165+U165+N165+M165+K165+J165+I165+H165</f>
        <v>187104.421666667</v>
      </c>
      <c r="AW165" s="299">
        <f>AU165+AR165+AQ165+AO165+AN165+AM165+AK165+AI165+AH165+AG165+AF165+AE165+AD165+AL165</f>
        <v>31808.5571933333</v>
      </c>
      <c r="AX165" s="299"/>
      <c r="AY165" s="299"/>
      <c r="AZ165" s="299">
        <f t="shared" si="90"/>
        <v>155295.864473333</v>
      </c>
      <c r="BA165" s="305">
        <f t="shared" si="92"/>
        <v>2245253.06</v>
      </c>
      <c r="BB165" s="306">
        <f t="shared" si="76"/>
        <v>649050.612</v>
      </c>
      <c r="BC165" s="307">
        <f t="shared" si="93"/>
        <v>0</v>
      </c>
      <c r="BD165" s="308">
        <f t="shared" si="77"/>
        <v>649050.612</v>
      </c>
      <c r="BE165" s="313">
        <f t="shared" si="78"/>
        <v>1596202.448</v>
      </c>
      <c r="BF165" s="306"/>
      <c r="BG165" s="307">
        <f t="shared" si="79"/>
        <v>21000</v>
      </c>
      <c r="BH165" s="307">
        <f t="shared" si="80"/>
        <v>33000</v>
      </c>
      <c r="BI165" s="307">
        <f t="shared" si="81"/>
        <v>75000</v>
      </c>
      <c r="BJ165" s="307">
        <f t="shared" si="82"/>
        <v>94278.46512</v>
      </c>
      <c r="BK165" s="307" t="str">
        <f t="shared" si="83"/>
        <v/>
      </c>
      <c r="BL165" s="307" t="str">
        <f t="shared" si="84"/>
        <v/>
      </c>
      <c r="BM165" s="305">
        <f t="shared" si="85"/>
        <v>223278.46512</v>
      </c>
      <c r="BN165" s="320">
        <f t="shared" si="86"/>
        <v>22452.5306</v>
      </c>
      <c r="BO165" s="321">
        <f t="shared" si="87"/>
        <v>223278.46512</v>
      </c>
      <c r="BP165" s="322">
        <f t="shared" si="88"/>
        <v>18606.53876</v>
      </c>
      <c r="BQ165" s="323"/>
      <c r="BR165" s="324"/>
      <c r="BS165" s="325"/>
      <c r="BT165" s="326"/>
      <c r="BU165" s="326"/>
      <c r="BV165" s="334"/>
      <c r="BW165" s="335"/>
    </row>
    <row r="166" s="245" customFormat="1" ht="156" customHeight="1" spans="1:75">
      <c r="A166" s="255">
        <v>156</v>
      </c>
      <c r="B166" s="70" t="s">
        <v>485</v>
      </c>
      <c r="C166" s="129" t="s">
        <v>221</v>
      </c>
      <c r="D166" s="129" t="s">
        <v>2079</v>
      </c>
      <c r="E166" s="256" t="s">
        <v>127</v>
      </c>
      <c r="F166" s="1469" t="s">
        <v>487</v>
      </c>
      <c r="G166" s="257">
        <v>1897166</v>
      </c>
      <c r="H166" s="258">
        <f>G166/12</f>
        <v>158097.166666667</v>
      </c>
      <c r="I166" s="258">
        <f t="shared" si="70"/>
        <v>18444.6694444444</v>
      </c>
      <c r="J166" s="258">
        <v>5000</v>
      </c>
      <c r="K166" s="258"/>
      <c r="L166" s="258"/>
      <c r="M166" s="258">
        <v>2500</v>
      </c>
      <c r="N166" s="258"/>
      <c r="O166" s="258"/>
      <c r="P166" s="258"/>
      <c r="Q166" s="258"/>
      <c r="R166" s="258"/>
      <c r="S166" s="258"/>
      <c r="T166" s="258"/>
      <c r="U166" s="258">
        <v>383.33</v>
      </c>
      <c r="V166" s="258"/>
      <c r="W166" s="265"/>
      <c r="X166" s="258"/>
      <c r="Y166" s="258"/>
      <c r="Z166" s="258"/>
      <c r="AA166" s="258"/>
      <c r="AB166" s="258"/>
      <c r="AC166" s="258"/>
      <c r="AD166" s="270"/>
      <c r="AE166" s="258"/>
      <c r="AF166" s="258">
        <v>500</v>
      </c>
      <c r="AG166" s="270">
        <f t="shared" si="94"/>
        <v>3161.94333333333</v>
      </c>
      <c r="AH166" s="270"/>
      <c r="AI166" s="282">
        <v>1000</v>
      </c>
      <c r="AJ166" s="279"/>
      <c r="AK166" s="279"/>
      <c r="AL166" s="279"/>
      <c r="AM166" s="281"/>
      <c r="AN166" s="258"/>
      <c r="AO166" s="299">
        <v>1000</v>
      </c>
      <c r="AP166" s="299"/>
      <c r="AQ166" s="299"/>
      <c r="AR166" s="299">
        <f t="shared" si="95"/>
        <v>3688.50332222222</v>
      </c>
      <c r="AS166" s="300"/>
      <c r="AT166" s="300"/>
      <c r="AU166" s="299">
        <f t="shared" si="89"/>
        <v>18199.2919155556</v>
      </c>
      <c r="AV166" s="299">
        <f>V166+U166+N166+M166+K166+J166+I166+H166</f>
        <v>184425.166111111</v>
      </c>
      <c r="AW166" s="299">
        <f>AU166+AR166+AQ166+AO166+AN166+AM166+AK166+AI166+AH166+AG166+AF166+AE166+AD166</f>
        <v>27549.7385711111</v>
      </c>
      <c r="AX166" s="299"/>
      <c r="AY166" s="299"/>
      <c r="AZ166" s="299">
        <f t="shared" si="90"/>
        <v>156875.42754</v>
      </c>
      <c r="BA166" s="305">
        <f t="shared" si="92"/>
        <v>2213101.99333333</v>
      </c>
      <c r="BB166" s="306">
        <f t="shared" si="76"/>
        <v>642620.398666667</v>
      </c>
      <c r="BC166" s="307">
        <f t="shared" si="93"/>
        <v>0</v>
      </c>
      <c r="BD166" s="308">
        <f t="shared" si="77"/>
        <v>642620.398666667</v>
      </c>
      <c r="BE166" s="313">
        <f t="shared" si="78"/>
        <v>1570481.59466667</v>
      </c>
      <c r="BF166" s="306"/>
      <c r="BG166" s="307">
        <f t="shared" si="79"/>
        <v>21000</v>
      </c>
      <c r="BH166" s="307">
        <f t="shared" si="80"/>
        <v>33000</v>
      </c>
      <c r="BI166" s="307">
        <f t="shared" si="81"/>
        <v>75000</v>
      </c>
      <c r="BJ166" s="307">
        <f t="shared" si="82"/>
        <v>89391.5029866667</v>
      </c>
      <c r="BK166" s="307" t="str">
        <f t="shared" si="83"/>
        <v/>
      </c>
      <c r="BL166" s="307" t="str">
        <f t="shared" si="84"/>
        <v/>
      </c>
      <c r="BM166" s="305">
        <f t="shared" si="85"/>
        <v>218391.502986667</v>
      </c>
      <c r="BN166" s="320">
        <f t="shared" si="86"/>
        <v>22131.0199333333</v>
      </c>
      <c r="BO166" s="321">
        <f t="shared" si="87"/>
        <v>218391.502986667</v>
      </c>
      <c r="BP166" s="322">
        <f t="shared" si="88"/>
        <v>18199.2919155556</v>
      </c>
      <c r="BQ166" s="323"/>
      <c r="BR166" s="324"/>
      <c r="BS166" s="325"/>
      <c r="BT166" s="326"/>
      <c r="BU166" s="326"/>
      <c r="BV166" s="334"/>
      <c r="BW166" s="335"/>
    </row>
    <row r="167" s="245" customFormat="1" ht="156" customHeight="1" spans="1:75">
      <c r="A167" s="255">
        <v>157</v>
      </c>
      <c r="B167" s="70" t="s">
        <v>2080</v>
      </c>
      <c r="C167" s="129" t="s">
        <v>352</v>
      </c>
      <c r="D167" s="129" t="s">
        <v>353</v>
      </c>
      <c r="E167" s="128" t="s">
        <v>122</v>
      </c>
      <c r="F167" s="1469" t="s">
        <v>489</v>
      </c>
      <c r="G167" s="257">
        <f>G164</f>
        <v>1691938</v>
      </c>
      <c r="H167" s="258">
        <f>G167/12</f>
        <v>140994.833333333</v>
      </c>
      <c r="I167" s="258">
        <f t="shared" si="70"/>
        <v>16449.3972222222</v>
      </c>
      <c r="J167" s="258">
        <v>5000</v>
      </c>
      <c r="K167" s="258"/>
      <c r="L167" s="258"/>
      <c r="M167" s="258">
        <v>2500</v>
      </c>
      <c r="N167" s="258"/>
      <c r="O167" s="258"/>
      <c r="P167" s="258"/>
      <c r="Q167" s="258"/>
      <c r="R167" s="258"/>
      <c r="S167" s="258"/>
      <c r="T167" s="258"/>
      <c r="U167" s="258">
        <v>383.33</v>
      </c>
      <c r="V167" s="258"/>
      <c r="W167" s="265"/>
      <c r="X167" s="258"/>
      <c r="Y167" s="258"/>
      <c r="Z167" s="258"/>
      <c r="AA167" s="258"/>
      <c r="AB167" s="258"/>
      <c r="AC167" s="258"/>
      <c r="AD167" s="270"/>
      <c r="AE167" s="258"/>
      <c r="AF167" s="258">
        <v>2500</v>
      </c>
      <c r="AG167" s="270">
        <f t="shared" si="94"/>
        <v>2819.89666666667</v>
      </c>
      <c r="AH167" s="270"/>
      <c r="AI167" s="282">
        <v>1000</v>
      </c>
      <c r="AJ167" s="279"/>
      <c r="AK167" s="279"/>
      <c r="AL167" s="279"/>
      <c r="AM167" s="281">
        <v>31750</v>
      </c>
      <c r="AN167" s="258"/>
      <c r="AO167" s="299">
        <v>1000</v>
      </c>
      <c r="AP167" s="299"/>
      <c r="AQ167" s="299"/>
      <c r="AR167" s="299">
        <f t="shared" si="95"/>
        <v>3306.55121111111</v>
      </c>
      <c r="AS167" s="300"/>
      <c r="AT167" s="300"/>
      <c r="AU167" s="299">
        <f t="shared" si="89"/>
        <v>15296.4558711111</v>
      </c>
      <c r="AV167" s="299">
        <f>W167+V167+U167+N167+M167+K167+J167+I167+H167</f>
        <v>165327.560555556</v>
      </c>
      <c r="AW167" s="299">
        <f>AU167+AR167+AQ167+AO167+AN167+AM167+AK167+AI167+AH167+AG167+AF167+AE167+AD167</f>
        <v>57672.9037488889</v>
      </c>
      <c r="AX167" s="299"/>
      <c r="AY167" s="299"/>
      <c r="AZ167" s="299">
        <f t="shared" si="90"/>
        <v>107654.656806667</v>
      </c>
      <c r="BA167" s="305">
        <f t="shared" si="92"/>
        <v>1983930.72666667</v>
      </c>
      <c r="BB167" s="306">
        <f t="shared" si="76"/>
        <v>596786.145333333</v>
      </c>
      <c r="BC167" s="307">
        <f t="shared" si="93"/>
        <v>0</v>
      </c>
      <c r="BD167" s="308">
        <f t="shared" si="77"/>
        <v>596786.145333333</v>
      </c>
      <c r="BE167" s="313">
        <f t="shared" si="78"/>
        <v>1387144.58133333</v>
      </c>
      <c r="BF167" s="306"/>
      <c r="BG167" s="307">
        <f t="shared" si="79"/>
        <v>21000</v>
      </c>
      <c r="BH167" s="307">
        <f t="shared" si="80"/>
        <v>33000</v>
      </c>
      <c r="BI167" s="307">
        <f t="shared" si="81"/>
        <v>75000</v>
      </c>
      <c r="BJ167" s="307">
        <f t="shared" si="82"/>
        <v>54557.4704533333</v>
      </c>
      <c r="BK167" s="307" t="str">
        <f t="shared" si="83"/>
        <v/>
      </c>
      <c r="BL167" s="307" t="str">
        <f t="shared" si="84"/>
        <v/>
      </c>
      <c r="BM167" s="305">
        <f t="shared" si="85"/>
        <v>183557.470453333</v>
      </c>
      <c r="BN167" s="320">
        <f t="shared" si="86"/>
        <v>19839.3072666667</v>
      </c>
      <c r="BO167" s="321">
        <f t="shared" si="87"/>
        <v>183557.470453333</v>
      </c>
      <c r="BP167" s="322">
        <f t="shared" si="88"/>
        <v>15296.4558711111</v>
      </c>
      <c r="BQ167" s="323"/>
      <c r="BR167" s="324"/>
      <c r="BS167" s="325"/>
      <c r="BT167" s="326"/>
      <c r="BU167" s="326"/>
      <c r="BV167" s="334"/>
      <c r="BW167" s="335"/>
    </row>
    <row r="168" s="245" customFormat="1" ht="156" customHeight="1" spans="1:75">
      <c r="A168" s="255">
        <v>158</v>
      </c>
      <c r="B168" s="70" t="s">
        <v>490</v>
      </c>
      <c r="C168" s="129" t="s">
        <v>221</v>
      </c>
      <c r="D168" s="129" t="s">
        <v>196</v>
      </c>
      <c r="E168" s="256" t="s">
        <v>127</v>
      </c>
      <c r="F168" s="1469" t="s">
        <v>491</v>
      </c>
      <c r="G168" s="257">
        <v>1846818</v>
      </c>
      <c r="H168" s="258">
        <f>G168/12</f>
        <v>153901.5</v>
      </c>
      <c r="I168" s="258">
        <f t="shared" si="70"/>
        <v>17955.175</v>
      </c>
      <c r="J168" s="258">
        <v>5000</v>
      </c>
      <c r="K168" s="258"/>
      <c r="L168" s="258"/>
      <c r="M168" s="258">
        <v>2500</v>
      </c>
      <c r="N168" s="258"/>
      <c r="O168" s="258"/>
      <c r="P168" s="258"/>
      <c r="Q168" s="258"/>
      <c r="R168" s="258"/>
      <c r="S168" s="258"/>
      <c r="T168" s="258"/>
      <c r="U168" s="258">
        <v>383.33</v>
      </c>
      <c r="V168" s="258"/>
      <c r="W168" s="265"/>
      <c r="X168" s="258"/>
      <c r="Y168" s="258"/>
      <c r="Z168" s="258"/>
      <c r="AA168" s="258"/>
      <c r="AB168" s="258"/>
      <c r="AC168" s="258"/>
      <c r="AD168" s="270"/>
      <c r="AE168" s="258"/>
      <c r="AF168" s="258">
        <v>1250</v>
      </c>
      <c r="AG168" s="270">
        <f t="shared" si="94"/>
        <v>3078.03</v>
      </c>
      <c r="AH168" s="270">
        <v>30000</v>
      </c>
      <c r="AI168" s="278"/>
      <c r="AJ168" s="279">
        <v>1000</v>
      </c>
      <c r="AK168" s="280"/>
      <c r="AL168" s="280"/>
      <c r="AM168" s="281">
        <v>50000</v>
      </c>
      <c r="AN168" s="258"/>
      <c r="AO168" s="299">
        <v>1000</v>
      </c>
      <c r="AP168" s="299"/>
      <c r="AQ168" s="299"/>
      <c r="AR168" s="299">
        <f t="shared" si="95"/>
        <v>3594.8001</v>
      </c>
      <c r="AS168" s="300"/>
      <c r="AT168" s="300"/>
      <c r="AU168" s="299">
        <f t="shared" si="89"/>
        <v>17487.1474266667</v>
      </c>
      <c r="AV168" s="299">
        <f>W168+V168+U168+N168+M168+K168+J168+I168+H168</f>
        <v>179740.005</v>
      </c>
      <c r="AW168" s="299">
        <f>AU168+AR168+AQ168+AO168+AN168+AM168+AK168+AI168+AH168+AG168+AF168+AE168+AD168+AJ168</f>
        <v>107409.977526667</v>
      </c>
      <c r="AX168" s="299"/>
      <c r="AY168" s="299"/>
      <c r="AZ168" s="299">
        <f t="shared" si="90"/>
        <v>72330.0274733333</v>
      </c>
      <c r="BA168" s="305">
        <f t="shared" si="92"/>
        <v>2156880.06</v>
      </c>
      <c r="BB168" s="306">
        <f t="shared" si="76"/>
        <v>631376.012</v>
      </c>
      <c r="BC168" s="307">
        <f t="shared" si="93"/>
        <v>0</v>
      </c>
      <c r="BD168" s="308">
        <f t="shared" si="77"/>
        <v>631376.012</v>
      </c>
      <c r="BE168" s="313">
        <f t="shared" si="78"/>
        <v>1525504.048</v>
      </c>
      <c r="BF168" s="306"/>
      <c r="BG168" s="307">
        <f t="shared" si="79"/>
        <v>21000</v>
      </c>
      <c r="BH168" s="307">
        <f t="shared" si="80"/>
        <v>33000</v>
      </c>
      <c r="BI168" s="307">
        <f t="shared" si="81"/>
        <v>75000</v>
      </c>
      <c r="BJ168" s="307">
        <f t="shared" si="82"/>
        <v>80845.76912</v>
      </c>
      <c r="BK168" s="307" t="str">
        <f t="shared" si="83"/>
        <v/>
      </c>
      <c r="BL168" s="307" t="str">
        <f t="shared" si="84"/>
        <v/>
      </c>
      <c r="BM168" s="305">
        <f t="shared" si="85"/>
        <v>209845.76912</v>
      </c>
      <c r="BN168" s="320">
        <f t="shared" si="86"/>
        <v>21568.8006</v>
      </c>
      <c r="BO168" s="321">
        <f t="shared" si="87"/>
        <v>209845.76912</v>
      </c>
      <c r="BP168" s="322">
        <f t="shared" si="88"/>
        <v>17487.1474266667</v>
      </c>
      <c r="BQ168" s="323"/>
      <c r="BR168" s="324"/>
      <c r="BS168" s="325"/>
      <c r="BT168" s="326"/>
      <c r="BU168" s="326"/>
      <c r="BV168" s="334"/>
      <c r="BW168" s="335"/>
    </row>
    <row r="169" s="245" customFormat="1" ht="156" customHeight="1" spans="1:75">
      <c r="A169" s="255">
        <v>159</v>
      </c>
      <c r="B169" s="70" t="s">
        <v>2081</v>
      </c>
      <c r="C169" s="129" t="s">
        <v>352</v>
      </c>
      <c r="D169" s="129" t="s">
        <v>353</v>
      </c>
      <c r="E169" s="256" t="s">
        <v>135</v>
      </c>
      <c r="F169" s="1469" t="s">
        <v>483</v>
      </c>
      <c r="G169" s="257">
        <f>G167</f>
        <v>1691938</v>
      </c>
      <c r="H169" s="258">
        <f>H167</f>
        <v>140994.833333333</v>
      </c>
      <c r="I169" s="258">
        <f t="shared" si="70"/>
        <v>16449.3972222222</v>
      </c>
      <c r="J169" s="258">
        <v>5000</v>
      </c>
      <c r="K169" s="258"/>
      <c r="L169" s="258"/>
      <c r="M169" s="258">
        <v>2500</v>
      </c>
      <c r="N169" s="258"/>
      <c r="O169" s="258"/>
      <c r="P169" s="258"/>
      <c r="Q169" s="258"/>
      <c r="R169" s="258"/>
      <c r="S169" s="258"/>
      <c r="T169" s="258"/>
      <c r="U169" s="258">
        <v>383.33</v>
      </c>
      <c r="V169" s="258"/>
      <c r="W169" s="265"/>
      <c r="X169" s="258"/>
      <c r="Y169" s="258"/>
      <c r="Z169" s="258"/>
      <c r="AA169" s="258"/>
      <c r="AB169" s="258"/>
      <c r="AC169" s="258"/>
      <c r="AD169" s="270"/>
      <c r="AE169" s="258"/>
      <c r="AF169" s="258">
        <v>500</v>
      </c>
      <c r="AG169" s="270">
        <f t="shared" si="94"/>
        <v>2819.89666666667</v>
      </c>
      <c r="AH169" s="270"/>
      <c r="AI169" s="278"/>
      <c r="AJ169" s="280"/>
      <c r="AK169" s="280"/>
      <c r="AL169" s="284">
        <v>1000</v>
      </c>
      <c r="AM169" s="281"/>
      <c r="AN169" s="258"/>
      <c r="AO169" s="299">
        <v>1000</v>
      </c>
      <c r="AP169" s="299"/>
      <c r="AQ169" s="299"/>
      <c r="AR169" s="299">
        <f t="shared" si="95"/>
        <v>3306.55121111111</v>
      </c>
      <c r="AS169" s="300"/>
      <c r="AT169" s="300"/>
      <c r="AU169" s="299">
        <f t="shared" si="89"/>
        <v>15296.4558711111</v>
      </c>
      <c r="AV169" s="299">
        <f>V169+U169+N169+M169+K169+J169+I169+H169</f>
        <v>165327.560555556</v>
      </c>
      <c r="AW169" s="299">
        <f>AU169+AR169+AQ169+AO169+AN169+AM169+AK169+AI169+AH169+AG169+AF169+AE169+AD169+AL169</f>
        <v>23922.9037488889</v>
      </c>
      <c r="AX169" s="299"/>
      <c r="AY169" s="299"/>
      <c r="AZ169" s="299">
        <f t="shared" si="90"/>
        <v>141404.656806667</v>
      </c>
      <c r="BA169" s="305">
        <f t="shared" si="92"/>
        <v>1983930.72666667</v>
      </c>
      <c r="BB169" s="306">
        <f t="shared" si="76"/>
        <v>596786.145333333</v>
      </c>
      <c r="BC169" s="307">
        <f t="shared" si="93"/>
        <v>0</v>
      </c>
      <c r="BD169" s="308">
        <f t="shared" si="77"/>
        <v>596786.145333333</v>
      </c>
      <c r="BE169" s="313">
        <f t="shared" si="78"/>
        <v>1387144.58133333</v>
      </c>
      <c r="BF169" s="306"/>
      <c r="BG169" s="307">
        <f t="shared" si="79"/>
        <v>21000</v>
      </c>
      <c r="BH169" s="307">
        <f t="shared" si="80"/>
        <v>33000</v>
      </c>
      <c r="BI169" s="307">
        <f t="shared" si="81"/>
        <v>75000</v>
      </c>
      <c r="BJ169" s="307">
        <f t="shared" si="82"/>
        <v>54557.4704533333</v>
      </c>
      <c r="BK169" s="307" t="str">
        <f t="shared" si="83"/>
        <v/>
      </c>
      <c r="BL169" s="307" t="str">
        <f t="shared" si="84"/>
        <v/>
      </c>
      <c r="BM169" s="305">
        <f t="shared" si="85"/>
        <v>183557.470453333</v>
      </c>
      <c r="BN169" s="320">
        <f t="shared" si="86"/>
        <v>19839.3072666667</v>
      </c>
      <c r="BO169" s="321">
        <f t="shared" si="87"/>
        <v>183557.470453333</v>
      </c>
      <c r="BP169" s="322">
        <f t="shared" si="88"/>
        <v>15296.4558711111</v>
      </c>
      <c r="BQ169" s="323"/>
      <c r="BR169" s="324"/>
      <c r="BS169" s="325"/>
      <c r="BT169" s="326"/>
      <c r="BU169" s="326"/>
      <c r="BV169" s="334"/>
      <c r="BW169" s="335"/>
    </row>
    <row r="170" s="245" customFormat="1" ht="156" customHeight="1" spans="1:75">
      <c r="A170" s="255">
        <v>160</v>
      </c>
      <c r="B170" s="70" t="s">
        <v>497</v>
      </c>
      <c r="C170" s="129" t="s">
        <v>352</v>
      </c>
      <c r="D170" s="129" t="s">
        <v>199</v>
      </c>
      <c r="E170" s="256" t="s">
        <v>135</v>
      </c>
      <c r="F170" s="1469" t="s">
        <v>499</v>
      </c>
      <c r="G170" s="257">
        <v>1563603</v>
      </c>
      <c r="H170" s="258">
        <f>H168</f>
        <v>153901.5</v>
      </c>
      <c r="I170" s="258">
        <f t="shared" si="70"/>
        <v>17955.175</v>
      </c>
      <c r="J170" s="258">
        <v>5000</v>
      </c>
      <c r="K170" s="258"/>
      <c r="L170" s="258"/>
      <c r="M170" s="258">
        <v>2500</v>
      </c>
      <c r="N170" s="258"/>
      <c r="O170" s="258"/>
      <c r="P170" s="258"/>
      <c r="Q170" s="258"/>
      <c r="R170" s="258"/>
      <c r="S170" s="258"/>
      <c r="T170" s="258"/>
      <c r="U170" s="258">
        <v>383.33</v>
      </c>
      <c r="V170" s="258"/>
      <c r="W170" s="265"/>
      <c r="X170" s="258"/>
      <c r="Y170" s="258"/>
      <c r="Z170" s="258"/>
      <c r="AA170" s="258"/>
      <c r="AB170" s="258"/>
      <c r="AC170" s="258"/>
      <c r="AD170" s="270"/>
      <c r="AE170" s="258"/>
      <c r="AF170" s="258">
        <v>3750</v>
      </c>
      <c r="AG170" s="270">
        <f t="shared" si="94"/>
        <v>3078.03</v>
      </c>
      <c r="AH170" s="270"/>
      <c r="AI170" s="278"/>
      <c r="AJ170" s="280"/>
      <c r="AK170" s="280"/>
      <c r="AL170" s="280"/>
      <c r="AM170" s="281"/>
      <c r="AN170" s="258"/>
      <c r="AO170" s="299">
        <v>1000</v>
      </c>
      <c r="AP170" s="299"/>
      <c r="AQ170" s="299"/>
      <c r="AR170" s="299">
        <f t="shared" si="95"/>
        <v>3594.8001</v>
      </c>
      <c r="AS170" s="300"/>
      <c r="AT170" s="300"/>
      <c r="AU170" s="299">
        <f t="shared" si="89"/>
        <v>17487.1474266667</v>
      </c>
      <c r="AV170" s="299">
        <f>V170+U170+N170+M170+K170+J170+I170+H170</f>
        <v>179740.005</v>
      </c>
      <c r="AW170" s="299">
        <f>AU170+AR170+AQ170+AO170+AN170+AM170+AK170+AI170+AH170+AG170+AF170+AE170+AD170</f>
        <v>28909.9775266667</v>
      </c>
      <c r="AX170" s="299"/>
      <c r="AY170" s="299"/>
      <c r="AZ170" s="299">
        <f t="shared" si="90"/>
        <v>150830.027473333</v>
      </c>
      <c r="BA170" s="305">
        <f t="shared" si="92"/>
        <v>2156880.06</v>
      </c>
      <c r="BB170" s="306">
        <f t="shared" si="76"/>
        <v>631376.012</v>
      </c>
      <c r="BC170" s="307">
        <f t="shared" si="93"/>
        <v>0</v>
      </c>
      <c r="BD170" s="308">
        <f t="shared" si="77"/>
        <v>631376.012</v>
      </c>
      <c r="BE170" s="313">
        <f t="shared" si="78"/>
        <v>1525504.048</v>
      </c>
      <c r="BF170" s="306"/>
      <c r="BG170" s="307">
        <f t="shared" si="79"/>
        <v>21000</v>
      </c>
      <c r="BH170" s="307">
        <f t="shared" si="80"/>
        <v>33000</v>
      </c>
      <c r="BI170" s="307">
        <f t="shared" si="81"/>
        <v>75000</v>
      </c>
      <c r="BJ170" s="307">
        <f t="shared" si="82"/>
        <v>80845.76912</v>
      </c>
      <c r="BK170" s="307" t="str">
        <f t="shared" si="83"/>
        <v/>
      </c>
      <c r="BL170" s="307" t="str">
        <f t="shared" si="84"/>
        <v/>
      </c>
      <c r="BM170" s="305">
        <f t="shared" si="85"/>
        <v>209845.76912</v>
      </c>
      <c r="BN170" s="320">
        <f t="shared" si="86"/>
        <v>21568.8006</v>
      </c>
      <c r="BO170" s="321">
        <f t="shared" si="87"/>
        <v>209845.76912</v>
      </c>
      <c r="BP170" s="322">
        <f t="shared" si="88"/>
        <v>17487.1474266667</v>
      </c>
      <c r="BQ170" s="323"/>
      <c r="BR170" s="324"/>
      <c r="BS170" s="325"/>
      <c r="BT170" s="326"/>
      <c r="BU170" s="326"/>
      <c r="BV170" s="334"/>
      <c r="BW170" s="335"/>
    </row>
    <row r="171" s="245" customFormat="1" ht="156" customHeight="1" spans="1:75">
      <c r="A171" s="255">
        <v>161</v>
      </c>
      <c r="B171" s="70" t="s">
        <v>500</v>
      </c>
      <c r="C171" s="129" t="s">
        <v>352</v>
      </c>
      <c r="D171" s="129" t="s">
        <v>808</v>
      </c>
      <c r="E171" s="256" t="s">
        <v>135</v>
      </c>
      <c r="F171" s="1469" t="s">
        <v>501</v>
      </c>
      <c r="G171" s="257">
        <v>1520821</v>
      </c>
      <c r="H171" s="258">
        <f>H169</f>
        <v>140994.833333333</v>
      </c>
      <c r="I171" s="258">
        <f t="shared" si="70"/>
        <v>16449.3972222222</v>
      </c>
      <c r="J171" s="258">
        <v>5000</v>
      </c>
      <c r="K171" s="258"/>
      <c r="L171" s="258"/>
      <c r="M171" s="258">
        <v>2500</v>
      </c>
      <c r="N171" s="258"/>
      <c r="O171" s="258"/>
      <c r="P171" s="258"/>
      <c r="Q171" s="258"/>
      <c r="R171" s="258"/>
      <c r="S171" s="258"/>
      <c r="T171" s="258"/>
      <c r="U171" s="258">
        <v>383.33</v>
      </c>
      <c r="V171" s="258"/>
      <c r="W171" s="258"/>
      <c r="X171" s="258"/>
      <c r="Y171" s="258"/>
      <c r="Z171" s="258"/>
      <c r="AA171" s="258"/>
      <c r="AB171" s="258"/>
      <c r="AC171" s="258"/>
      <c r="AD171" s="270"/>
      <c r="AE171" s="258"/>
      <c r="AF171" s="258">
        <v>2750</v>
      </c>
      <c r="AG171" s="270">
        <f t="shared" si="94"/>
        <v>2819.89666666667</v>
      </c>
      <c r="AH171" s="270"/>
      <c r="AI171" s="278"/>
      <c r="AJ171" s="280"/>
      <c r="AK171" s="280"/>
      <c r="AL171" s="280"/>
      <c r="AM171" s="281"/>
      <c r="AN171" s="258"/>
      <c r="AO171" s="299">
        <v>1000</v>
      </c>
      <c r="AP171" s="299"/>
      <c r="AQ171" s="299"/>
      <c r="AR171" s="299">
        <f t="shared" si="95"/>
        <v>3306.55121111111</v>
      </c>
      <c r="AS171" s="300"/>
      <c r="AT171" s="300"/>
      <c r="AU171" s="299">
        <f t="shared" si="89"/>
        <v>15296.4558711111</v>
      </c>
      <c r="AV171" s="299">
        <f>V171+U171+N171+M171+K171+J171+I171+H171</f>
        <v>165327.560555556</v>
      </c>
      <c r="AW171" s="299">
        <f>AU171+AR171+AQ171+AO171+AN171+AM171+AK171+AI171+AH171+AG171+AF171+AE171+AD171</f>
        <v>25172.9037488889</v>
      </c>
      <c r="AX171" s="299"/>
      <c r="AY171" s="299"/>
      <c r="AZ171" s="299">
        <f t="shared" si="90"/>
        <v>140154.656806667</v>
      </c>
      <c r="BA171" s="305">
        <f t="shared" si="92"/>
        <v>1983930.72666667</v>
      </c>
      <c r="BB171" s="306">
        <f t="shared" si="76"/>
        <v>596786.145333333</v>
      </c>
      <c r="BC171" s="307">
        <f t="shared" si="93"/>
        <v>0</v>
      </c>
      <c r="BD171" s="308">
        <f t="shared" si="77"/>
        <v>596786.145333333</v>
      </c>
      <c r="BE171" s="313">
        <f t="shared" si="78"/>
        <v>1387144.58133333</v>
      </c>
      <c r="BF171" s="306"/>
      <c r="BG171" s="307">
        <f t="shared" si="79"/>
        <v>21000</v>
      </c>
      <c r="BH171" s="307">
        <f t="shared" si="80"/>
        <v>33000</v>
      </c>
      <c r="BI171" s="307">
        <f t="shared" si="81"/>
        <v>75000</v>
      </c>
      <c r="BJ171" s="307">
        <f t="shared" si="82"/>
        <v>54557.4704533333</v>
      </c>
      <c r="BK171" s="307" t="str">
        <f t="shared" si="83"/>
        <v/>
      </c>
      <c r="BL171" s="307" t="str">
        <f t="shared" si="84"/>
        <v/>
      </c>
      <c r="BM171" s="305">
        <f t="shared" si="85"/>
        <v>183557.470453333</v>
      </c>
      <c r="BN171" s="320">
        <f t="shared" si="86"/>
        <v>19839.3072666667</v>
      </c>
      <c r="BO171" s="321">
        <f t="shared" si="87"/>
        <v>183557.470453333</v>
      </c>
      <c r="BP171" s="322">
        <f t="shared" si="88"/>
        <v>15296.4558711111</v>
      </c>
      <c r="BQ171" s="323"/>
      <c r="BR171" s="324"/>
      <c r="BS171" s="325"/>
      <c r="BT171" s="326"/>
      <c r="BU171" s="326"/>
      <c r="BV171" s="334"/>
      <c r="BW171" s="335"/>
    </row>
    <row r="172" s="245" customFormat="1" ht="156" customHeight="1" spans="1:75">
      <c r="A172" s="255">
        <v>162</v>
      </c>
      <c r="B172" s="70" t="s">
        <v>507</v>
      </c>
      <c r="C172" s="129" t="s">
        <v>221</v>
      </c>
      <c r="D172" s="129" t="s">
        <v>555</v>
      </c>
      <c r="E172" s="256" t="s">
        <v>113</v>
      </c>
      <c r="F172" s="256">
        <v>2080682242</v>
      </c>
      <c r="G172" s="257">
        <v>1796468</v>
      </c>
      <c r="H172" s="258">
        <f>G172/12</f>
        <v>149705.666666667</v>
      </c>
      <c r="I172" s="258">
        <f t="shared" si="70"/>
        <v>17465.6611111111</v>
      </c>
      <c r="J172" s="258">
        <v>5000</v>
      </c>
      <c r="K172" s="258"/>
      <c r="L172" s="258"/>
      <c r="M172" s="258">
        <v>2500</v>
      </c>
      <c r="N172" s="258"/>
      <c r="O172" s="258"/>
      <c r="P172" s="258"/>
      <c r="Q172" s="258"/>
      <c r="R172" s="258"/>
      <c r="S172" s="258"/>
      <c r="T172" s="258"/>
      <c r="U172" s="258">
        <v>383.33</v>
      </c>
      <c r="V172" s="258"/>
      <c r="W172" s="265"/>
      <c r="X172" s="258"/>
      <c r="Y172" s="258"/>
      <c r="Z172" s="258"/>
      <c r="AA172" s="258"/>
      <c r="AB172" s="258"/>
      <c r="AC172" s="258"/>
      <c r="AD172" s="270"/>
      <c r="AE172" s="258"/>
      <c r="AF172" s="258"/>
      <c r="AG172" s="270">
        <f t="shared" si="94"/>
        <v>2994.11333333333</v>
      </c>
      <c r="AH172" s="270"/>
      <c r="AI172" s="278"/>
      <c r="AJ172" s="280"/>
      <c r="AK172" s="280"/>
      <c r="AL172" s="284">
        <v>1000</v>
      </c>
      <c r="AM172" s="281">
        <v>37500</v>
      </c>
      <c r="AN172" s="258"/>
      <c r="AO172" s="299">
        <v>1000</v>
      </c>
      <c r="AP172" s="299"/>
      <c r="AQ172" s="299"/>
      <c r="AR172" s="299">
        <f t="shared" si="95"/>
        <v>3501.09315555556</v>
      </c>
      <c r="AS172" s="300"/>
      <c r="AT172" s="300"/>
      <c r="AU172" s="299">
        <f t="shared" si="89"/>
        <v>16774.9746488889</v>
      </c>
      <c r="AV172" s="299">
        <f>W172+V172+U172+N172+M172+K172+J172+I172+H172</f>
        <v>175054.657777778</v>
      </c>
      <c r="AW172" s="299">
        <f>AU172+AR172+AQ172+AO172+AN172+AM172+AK172+AI172+AH172+AG172+AF172+AE172+AD172+AL172</f>
        <v>62770.1811377778</v>
      </c>
      <c r="AX172" s="299"/>
      <c r="AY172" s="299"/>
      <c r="AZ172" s="299">
        <f t="shared" si="90"/>
        <v>112284.47664</v>
      </c>
      <c r="BA172" s="305">
        <f t="shared" si="92"/>
        <v>2100655.89333333</v>
      </c>
      <c r="BB172" s="306">
        <f t="shared" si="76"/>
        <v>620131.178666667</v>
      </c>
      <c r="BC172" s="307">
        <f t="shared" si="93"/>
        <v>0</v>
      </c>
      <c r="BD172" s="308">
        <f t="shared" si="77"/>
        <v>620131.178666667</v>
      </c>
      <c r="BE172" s="313">
        <f t="shared" si="78"/>
        <v>1480524.71466667</v>
      </c>
      <c r="BF172" s="306"/>
      <c r="BG172" s="307">
        <f t="shared" si="79"/>
        <v>21000</v>
      </c>
      <c r="BH172" s="307">
        <f t="shared" si="80"/>
        <v>33000</v>
      </c>
      <c r="BI172" s="307">
        <f t="shared" si="81"/>
        <v>75000</v>
      </c>
      <c r="BJ172" s="307">
        <f t="shared" si="82"/>
        <v>72299.6957866666</v>
      </c>
      <c r="BK172" s="307" t="str">
        <f t="shared" si="83"/>
        <v/>
      </c>
      <c r="BL172" s="307" t="str">
        <f t="shared" si="84"/>
        <v/>
      </c>
      <c r="BM172" s="305">
        <f t="shared" si="85"/>
        <v>201299.695786667</v>
      </c>
      <c r="BN172" s="320">
        <f t="shared" si="86"/>
        <v>21006.5589333333</v>
      </c>
      <c r="BO172" s="321">
        <f t="shared" si="87"/>
        <v>201299.695786667</v>
      </c>
      <c r="BP172" s="322">
        <f t="shared" si="88"/>
        <v>16774.9746488889</v>
      </c>
      <c r="BQ172" s="323"/>
      <c r="BR172" s="324"/>
      <c r="BS172" s="325"/>
      <c r="BT172" s="326"/>
      <c r="BU172" s="326"/>
      <c r="BV172" s="334"/>
      <c r="BW172" s="335"/>
    </row>
    <row r="173" s="245" customFormat="1" ht="156" customHeight="1" spans="1:75">
      <c r="A173" s="255">
        <v>163</v>
      </c>
      <c r="B173" s="70" t="s">
        <v>508</v>
      </c>
      <c r="C173" s="129" t="s">
        <v>363</v>
      </c>
      <c r="D173" s="129" t="s">
        <v>208</v>
      </c>
      <c r="E173" s="256" t="s">
        <v>157</v>
      </c>
      <c r="F173" s="1469" t="s">
        <v>509</v>
      </c>
      <c r="G173" s="257">
        <f>H173*12</f>
        <v>1017689.04</v>
      </c>
      <c r="H173" s="258">
        <v>84807.42</v>
      </c>
      <c r="I173" s="258"/>
      <c r="J173" s="258"/>
      <c r="K173" s="258"/>
      <c r="L173" s="258"/>
      <c r="M173" s="258">
        <v>2500</v>
      </c>
      <c r="N173" s="258"/>
      <c r="O173" s="258"/>
      <c r="P173" s="258"/>
      <c r="Q173" s="258"/>
      <c r="R173" s="258"/>
      <c r="S173" s="258"/>
      <c r="T173" s="258"/>
      <c r="U173" s="258"/>
      <c r="V173" s="258"/>
      <c r="W173" s="265"/>
      <c r="X173" s="258"/>
      <c r="Y173" s="258"/>
      <c r="Z173" s="258"/>
      <c r="AA173" s="258"/>
      <c r="AB173" s="258"/>
      <c r="AC173" s="258"/>
      <c r="AD173" s="270"/>
      <c r="AE173" s="258"/>
      <c r="AF173" s="258"/>
      <c r="AG173" s="270">
        <f t="shared" si="94"/>
        <v>1696.1484</v>
      </c>
      <c r="AH173" s="270"/>
      <c r="AI173" s="278"/>
      <c r="AJ173" s="280"/>
      <c r="AK173" s="280"/>
      <c r="AL173" s="284"/>
      <c r="AM173" s="281"/>
      <c r="AN173" s="258"/>
      <c r="AO173" s="299">
        <v>500</v>
      </c>
      <c r="AP173" s="299"/>
      <c r="AQ173" s="299"/>
      <c r="AR173" s="299">
        <f t="shared" si="95"/>
        <v>1746.1484</v>
      </c>
      <c r="AS173" s="300"/>
      <c r="AT173" s="300"/>
      <c r="AU173" s="299">
        <f t="shared" si="89"/>
        <v>4976.8904</v>
      </c>
      <c r="AV173" s="299">
        <f>W173+V173+U173+N173+M173+K173+J173+I173+H173</f>
        <v>87307.42</v>
      </c>
      <c r="AW173" s="299">
        <f>AU173+AR173+AQ173+AO173+AN173+AM173+AK173+AI173+AH173+AG173+AF173+AE173+AD173+AL173</f>
        <v>8919.1872</v>
      </c>
      <c r="AX173" s="299"/>
      <c r="AY173" s="299"/>
      <c r="AZ173" s="299">
        <f t="shared" si="90"/>
        <v>78388.2328</v>
      </c>
      <c r="BA173" s="305">
        <f t="shared" si="92"/>
        <v>1047689.04</v>
      </c>
      <c r="BB173" s="306">
        <f t="shared" si="76"/>
        <v>409537.808</v>
      </c>
      <c r="BC173" s="307">
        <f t="shared" si="93"/>
        <v>0</v>
      </c>
      <c r="BD173" s="308">
        <f t="shared" si="77"/>
        <v>409537.808</v>
      </c>
      <c r="BE173" s="313">
        <f t="shared" si="78"/>
        <v>638151.232</v>
      </c>
      <c r="BF173" s="306"/>
      <c r="BG173" s="307">
        <f t="shared" si="79"/>
        <v>21000</v>
      </c>
      <c r="BH173" s="307">
        <f t="shared" si="80"/>
        <v>33000</v>
      </c>
      <c r="BI173" s="307">
        <f t="shared" si="81"/>
        <v>5722.68480000001</v>
      </c>
      <c r="BJ173" s="307" t="str">
        <f t="shared" si="82"/>
        <v/>
      </c>
      <c r="BK173" s="307" t="str">
        <f t="shared" si="83"/>
        <v/>
      </c>
      <c r="BL173" s="307" t="str">
        <f t="shared" si="84"/>
        <v/>
      </c>
      <c r="BM173" s="305">
        <f t="shared" si="85"/>
        <v>59722.6848</v>
      </c>
      <c r="BN173" s="320">
        <f t="shared" si="86"/>
        <v>10476.8904</v>
      </c>
      <c r="BO173" s="321">
        <f t="shared" si="87"/>
        <v>59722.6848</v>
      </c>
      <c r="BP173" s="322">
        <f t="shared" si="88"/>
        <v>4976.8904</v>
      </c>
      <c r="BQ173" s="323"/>
      <c r="BR173" s="324"/>
      <c r="BS173" s="325"/>
      <c r="BT173" s="326"/>
      <c r="BU173" s="326"/>
      <c r="BV173" s="334"/>
      <c r="BW173" s="335"/>
    </row>
    <row r="174" s="245" customFormat="1" ht="156" customHeight="1" spans="1:75">
      <c r="A174" s="255">
        <v>164</v>
      </c>
      <c r="B174" s="70" t="s">
        <v>2082</v>
      </c>
      <c r="C174" s="129" t="s">
        <v>125</v>
      </c>
      <c r="D174" s="129" t="s">
        <v>208</v>
      </c>
      <c r="E174" s="256" t="s">
        <v>127</v>
      </c>
      <c r="F174" s="1469" t="s">
        <v>2083</v>
      </c>
      <c r="G174" s="257">
        <v>2035173</v>
      </c>
      <c r="H174" s="258">
        <f>G174/12</f>
        <v>169597.75</v>
      </c>
      <c r="I174" s="258">
        <f>H174*0.35/3</f>
        <v>19786.4041666667</v>
      </c>
      <c r="J174" s="258">
        <v>5000</v>
      </c>
      <c r="K174" s="258"/>
      <c r="L174" s="258"/>
      <c r="M174" s="258">
        <v>2500</v>
      </c>
      <c r="N174" s="258"/>
      <c r="O174" s="258"/>
      <c r="P174" s="258"/>
      <c r="Q174" s="258"/>
      <c r="R174" s="258"/>
      <c r="S174" s="258"/>
      <c r="T174" s="258"/>
      <c r="U174" s="258">
        <v>383.33</v>
      </c>
      <c r="V174" s="258"/>
      <c r="W174" s="265"/>
      <c r="X174" s="258"/>
      <c r="Y174" s="258"/>
      <c r="Z174" s="258"/>
      <c r="AA174" s="258"/>
      <c r="AB174" s="258"/>
      <c r="AC174" s="258"/>
      <c r="AD174" s="270"/>
      <c r="AE174" s="258"/>
      <c r="AF174" s="258">
        <v>2750</v>
      </c>
      <c r="AG174" s="270">
        <f t="shared" si="94"/>
        <v>3391.955</v>
      </c>
      <c r="AH174" s="270"/>
      <c r="AI174" s="282">
        <v>1000</v>
      </c>
      <c r="AJ174" s="279"/>
      <c r="AK174" s="279"/>
      <c r="AL174" s="279"/>
      <c r="AM174" s="281"/>
      <c r="AN174" s="258"/>
      <c r="AO174" s="299">
        <v>1500</v>
      </c>
      <c r="AP174" s="299"/>
      <c r="AQ174" s="299"/>
      <c r="AR174" s="299">
        <f t="shared" si="95"/>
        <v>3945.34968333333</v>
      </c>
      <c r="AS174" s="300"/>
      <c r="AT174" s="300"/>
      <c r="AU174" s="299">
        <f>AU151</f>
        <v>20307.6040066667</v>
      </c>
      <c r="AV174" s="299">
        <f>W174+V174+U174+N174+M174+K174+J174+I174+H174</f>
        <v>197267.484166667</v>
      </c>
      <c r="AW174" s="299">
        <f>AU174+AR174+AQ174+AO174+AN174+AM174+AK174+AI174+RAJ157163+AG174+AF174+AE174+AD174</f>
        <v>32894.90869</v>
      </c>
      <c r="AX174" s="299"/>
      <c r="AY174" s="299"/>
      <c r="AZ174" s="299">
        <f t="shared" si="90"/>
        <v>164372.575476667</v>
      </c>
      <c r="BA174" s="305">
        <f t="shared" si="92"/>
        <v>2367209.81</v>
      </c>
      <c r="BB174" s="306">
        <f t="shared" si="76"/>
        <v>673441.962</v>
      </c>
      <c r="BC174" s="307">
        <f t="shared" si="93"/>
        <v>0</v>
      </c>
      <c r="BD174" s="308">
        <f t="shared" si="77"/>
        <v>673441.962</v>
      </c>
      <c r="BE174" s="313">
        <f t="shared" si="78"/>
        <v>1693767.848</v>
      </c>
      <c r="BF174" s="306"/>
      <c r="BG174" s="307">
        <f t="shared" si="79"/>
        <v>21000</v>
      </c>
      <c r="BH174" s="307">
        <f t="shared" si="80"/>
        <v>33000</v>
      </c>
      <c r="BI174" s="307">
        <f t="shared" si="81"/>
        <v>75000</v>
      </c>
      <c r="BJ174" s="307">
        <f t="shared" si="82"/>
        <v>95000</v>
      </c>
      <c r="BK174" s="307">
        <f t="shared" si="83"/>
        <v>19691.24808</v>
      </c>
      <c r="BL174" s="307" t="str">
        <f t="shared" si="84"/>
        <v/>
      </c>
      <c r="BM174" s="305">
        <f t="shared" si="85"/>
        <v>243691.24808</v>
      </c>
      <c r="BN174" s="320">
        <f t="shared" si="86"/>
        <v>23672.0981</v>
      </c>
      <c r="BO174" s="321">
        <f t="shared" si="87"/>
        <v>243691.24808</v>
      </c>
      <c r="BP174" s="322">
        <f t="shared" si="88"/>
        <v>20307.6040066667</v>
      </c>
      <c r="BQ174" s="323"/>
      <c r="BR174" s="324"/>
      <c r="BS174" s="325"/>
      <c r="BT174" s="326"/>
      <c r="BU174" s="326"/>
      <c r="BV174" s="334"/>
      <c r="BW174" s="335"/>
    </row>
    <row r="175" s="245" customFormat="1" ht="156" customHeight="1" spans="1:75">
      <c r="A175" s="255">
        <v>165</v>
      </c>
      <c r="B175" s="70" t="s">
        <v>512</v>
      </c>
      <c r="C175" s="129" t="s">
        <v>125</v>
      </c>
      <c r="D175" s="129" t="s">
        <v>208</v>
      </c>
      <c r="E175" s="256" t="s">
        <v>135</v>
      </c>
      <c r="F175" s="1469" t="s">
        <v>2084</v>
      </c>
      <c r="G175" s="257">
        <v>2035173</v>
      </c>
      <c r="H175" s="258">
        <f>H174</f>
        <v>169597.75</v>
      </c>
      <c r="I175" s="258">
        <f>H175*0.35/3</f>
        <v>19786.4041666667</v>
      </c>
      <c r="J175" s="258">
        <v>5000</v>
      </c>
      <c r="K175" s="258"/>
      <c r="L175" s="258"/>
      <c r="M175" s="258">
        <v>2500</v>
      </c>
      <c r="N175" s="258"/>
      <c r="O175" s="258"/>
      <c r="P175" s="258"/>
      <c r="Q175" s="258"/>
      <c r="R175" s="258"/>
      <c r="S175" s="258"/>
      <c r="T175" s="258"/>
      <c r="U175" s="258">
        <v>383.33</v>
      </c>
      <c r="V175" s="258"/>
      <c r="W175" s="265"/>
      <c r="X175" s="258"/>
      <c r="Y175" s="258"/>
      <c r="Z175" s="258"/>
      <c r="AA175" s="258"/>
      <c r="AB175" s="258"/>
      <c r="AC175" s="258"/>
      <c r="AD175" s="270"/>
      <c r="AE175" s="258"/>
      <c r="AF175" s="258">
        <v>2750</v>
      </c>
      <c r="AG175" s="270">
        <f t="shared" si="94"/>
        <v>3391.955</v>
      </c>
      <c r="AH175" s="270">
        <f>5000</f>
        <v>5000</v>
      </c>
      <c r="AI175" s="278"/>
      <c r="AJ175" s="279">
        <v>1000</v>
      </c>
      <c r="AK175" s="279">
        <v>12000</v>
      </c>
      <c r="AL175" s="279"/>
      <c r="AM175" s="281">
        <f>17500+10000</f>
        <v>27500</v>
      </c>
      <c r="AN175" s="258"/>
      <c r="AO175" s="299">
        <v>1500</v>
      </c>
      <c r="AP175" s="299"/>
      <c r="AQ175" s="299"/>
      <c r="AR175" s="299">
        <f t="shared" si="95"/>
        <v>3945.34968333333</v>
      </c>
      <c r="AS175" s="300"/>
      <c r="AT175" s="300"/>
      <c r="AU175" s="299">
        <f>AU174</f>
        <v>20307.6040066667</v>
      </c>
      <c r="AV175" s="299">
        <f>V175+U175+N175+M175+K175+J175+I175+H175</f>
        <v>197267.484166667</v>
      </c>
      <c r="AW175" s="299">
        <f>AU175+AR175+AQ175+AO175+AN175+AM175+AK175+AJ175+AI175+AG175+AH175+AF175</f>
        <v>77394.90869</v>
      </c>
      <c r="AX175" s="299"/>
      <c r="AY175" s="299"/>
      <c r="AZ175" s="299">
        <f t="shared" si="90"/>
        <v>119872.575476667</v>
      </c>
      <c r="BA175" s="305">
        <f t="shared" si="92"/>
        <v>2367209.81</v>
      </c>
      <c r="BB175" s="306">
        <f t="shared" si="76"/>
        <v>673441.962</v>
      </c>
      <c r="BC175" s="307">
        <f t="shared" si="93"/>
        <v>0</v>
      </c>
      <c r="BD175" s="308">
        <f t="shared" si="77"/>
        <v>673441.962</v>
      </c>
      <c r="BE175" s="313">
        <f t="shared" si="78"/>
        <v>1693767.848</v>
      </c>
      <c r="BF175" s="306"/>
      <c r="BG175" s="307">
        <f t="shared" si="79"/>
        <v>21000</v>
      </c>
      <c r="BH175" s="307">
        <f t="shared" si="80"/>
        <v>33000</v>
      </c>
      <c r="BI175" s="307">
        <f t="shared" si="81"/>
        <v>75000</v>
      </c>
      <c r="BJ175" s="307">
        <f t="shared" si="82"/>
        <v>95000</v>
      </c>
      <c r="BK175" s="307">
        <f t="shared" si="83"/>
        <v>19691.24808</v>
      </c>
      <c r="BL175" s="307" t="str">
        <f t="shared" si="84"/>
        <v/>
      </c>
      <c r="BM175" s="305">
        <f t="shared" si="85"/>
        <v>243691.24808</v>
      </c>
      <c r="BN175" s="320">
        <f t="shared" si="86"/>
        <v>23672.0981</v>
      </c>
      <c r="BO175" s="321">
        <f t="shared" si="87"/>
        <v>243691.24808</v>
      </c>
      <c r="BP175" s="322">
        <f t="shared" si="88"/>
        <v>20307.6040066667</v>
      </c>
      <c r="BQ175" s="323"/>
      <c r="BR175" s="324"/>
      <c r="BS175" s="325"/>
      <c r="BT175" s="326"/>
      <c r="BU175" s="326"/>
      <c r="BV175" s="334"/>
      <c r="BW175" s="335"/>
    </row>
    <row r="176" s="245" customFormat="1" ht="174" customHeight="1" spans="1:75">
      <c r="A176" s="255">
        <v>166</v>
      </c>
      <c r="B176" s="70" t="s">
        <v>2085</v>
      </c>
      <c r="C176" s="129" t="s">
        <v>2086</v>
      </c>
      <c r="D176" s="129" t="s">
        <v>223</v>
      </c>
      <c r="E176" s="256" t="s">
        <v>93</v>
      </c>
      <c r="F176" s="256">
        <v>2013435086</v>
      </c>
      <c r="G176" s="257">
        <f>4631272/2</f>
        <v>2315636</v>
      </c>
      <c r="H176" s="258">
        <f>G176/12</f>
        <v>192969.666666667</v>
      </c>
      <c r="I176" s="258"/>
      <c r="J176" s="258"/>
      <c r="K176" s="258"/>
      <c r="L176" s="258"/>
      <c r="M176" s="258">
        <v>2500</v>
      </c>
      <c r="N176" s="258"/>
      <c r="O176" s="258"/>
      <c r="P176" s="258"/>
      <c r="Q176" s="258"/>
      <c r="R176" s="258"/>
      <c r="S176" s="258"/>
      <c r="T176" s="258"/>
      <c r="U176" s="258">
        <v>383.33</v>
      </c>
      <c r="V176" s="258"/>
      <c r="W176" s="265"/>
      <c r="X176" s="258"/>
      <c r="Y176" s="258"/>
      <c r="Z176" s="258"/>
      <c r="AA176" s="258"/>
      <c r="AB176" s="258"/>
      <c r="AC176" s="258"/>
      <c r="AD176" s="270"/>
      <c r="AE176" s="258"/>
      <c r="AF176" s="258"/>
      <c r="AG176" s="270">
        <f t="shared" si="94"/>
        <v>3859.39333333333</v>
      </c>
      <c r="AH176" s="270"/>
      <c r="AI176" s="278"/>
      <c r="AJ176" s="280"/>
      <c r="AK176" s="280"/>
      <c r="AL176" s="280"/>
      <c r="AM176" s="281"/>
      <c r="AN176" s="258"/>
      <c r="AO176" s="299">
        <v>2500</v>
      </c>
      <c r="AP176" s="299"/>
      <c r="AQ176" s="299"/>
      <c r="AR176" s="299">
        <f t="shared" si="95"/>
        <v>3917.05993333333</v>
      </c>
      <c r="AS176" s="300"/>
      <c r="AT176" s="300"/>
      <c r="AU176" s="299">
        <f t="shared" si="89"/>
        <v>20069.9701066667</v>
      </c>
      <c r="AV176" s="299">
        <f>W176+V176+U176+N176+M176+K176+J176+I176+H176</f>
        <v>195852.996666667</v>
      </c>
      <c r="AW176" s="299">
        <f>AU176+AR176+AQ176+AO176+AN176+AM176+AK176+AI176+AH176+AG176+AF176+AE176+AD176</f>
        <v>30346.4233733333</v>
      </c>
      <c r="AX176" s="299"/>
      <c r="AY176" s="299"/>
      <c r="AZ176" s="299">
        <f t="shared" si="90"/>
        <v>165506.573293333</v>
      </c>
      <c r="BA176" s="305">
        <f t="shared" si="92"/>
        <v>2350235.96</v>
      </c>
      <c r="BB176" s="306">
        <f t="shared" si="76"/>
        <v>670047.192</v>
      </c>
      <c r="BC176" s="307">
        <f t="shared" si="93"/>
        <v>0</v>
      </c>
      <c r="BD176" s="308">
        <f t="shared" si="77"/>
        <v>670047.192</v>
      </c>
      <c r="BE176" s="313">
        <f t="shared" si="78"/>
        <v>1680188.768</v>
      </c>
      <c r="BF176" s="306"/>
      <c r="BG176" s="307">
        <f t="shared" si="79"/>
        <v>21000</v>
      </c>
      <c r="BH176" s="307">
        <f t="shared" si="80"/>
        <v>33000</v>
      </c>
      <c r="BI176" s="307">
        <f t="shared" si="81"/>
        <v>75000</v>
      </c>
      <c r="BJ176" s="307">
        <f t="shared" si="82"/>
        <v>95000</v>
      </c>
      <c r="BK176" s="307">
        <f t="shared" si="83"/>
        <v>16839.64128</v>
      </c>
      <c r="BL176" s="307" t="str">
        <f t="shared" si="84"/>
        <v/>
      </c>
      <c r="BM176" s="305">
        <f t="shared" si="85"/>
        <v>240839.64128</v>
      </c>
      <c r="BN176" s="320">
        <f t="shared" si="86"/>
        <v>23502.3596</v>
      </c>
      <c r="BO176" s="321">
        <f t="shared" si="87"/>
        <v>240839.64128</v>
      </c>
      <c r="BP176" s="322">
        <f t="shared" si="88"/>
        <v>20069.9701066667</v>
      </c>
      <c r="BQ176" s="323"/>
      <c r="BR176" s="324"/>
      <c r="BS176" s="325"/>
      <c r="BT176" s="326"/>
      <c r="BU176" s="326"/>
      <c r="BV176" s="334"/>
      <c r="BW176" s="335"/>
    </row>
    <row r="177" s="245" customFormat="1" ht="156" customHeight="1" spans="1:75">
      <c r="A177" s="255">
        <v>167</v>
      </c>
      <c r="B177" s="70" t="s">
        <v>514</v>
      </c>
      <c r="C177" s="129" t="s">
        <v>100</v>
      </c>
      <c r="D177" s="129" t="s">
        <v>516</v>
      </c>
      <c r="E177" s="256" t="s">
        <v>113</v>
      </c>
      <c r="F177" s="256">
        <v>1005033200</v>
      </c>
      <c r="G177" s="257">
        <v>6664214</v>
      </c>
      <c r="H177" s="258">
        <f>'[12]JACKSON AKPOJARO '!$M$144</f>
        <v>0</v>
      </c>
      <c r="I177" s="258"/>
      <c r="J177" s="258"/>
      <c r="K177" s="258">
        <v>41667</v>
      </c>
      <c r="L177" s="258"/>
      <c r="M177" s="258">
        <v>2500</v>
      </c>
      <c r="N177" s="258"/>
      <c r="O177" s="258"/>
      <c r="P177" s="258"/>
      <c r="Q177" s="258"/>
      <c r="R177" s="258"/>
      <c r="S177" s="258"/>
      <c r="T177" s="258"/>
      <c r="U177" s="258">
        <v>383.33</v>
      </c>
      <c r="V177" s="258"/>
      <c r="W177" s="265"/>
      <c r="X177" s="258"/>
      <c r="Y177" s="258"/>
      <c r="Z177" s="258"/>
      <c r="AA177" s="258"/>
      <c r="AB177" s="258"/>
      <c r="AC177" s="258"/>
      <c r="AD177" s="270"/>
      <c r="AE177" s="258"/>
      <c r="AF177" s="258"/>
      <c r="AG177" s="270">
        <f t="shared" si="94"/>
        <v>0</v>
      </c>
      <c r="AH177" s="270"/>
      <c r="AI177" s="278"/>
      <c r="AJ177" s="280"/>
      <c r="AK177" s="280"/>
      <c r="AL177" s="280"/>
      <c r="AM177" s="281"/>
      <c r="AN177" s="258"/>
      <c r="AO177" s="299">
        <v>3500</v>
      </c>
      <c r="AP177" s="299"/>
      <c r="AQ177" s="299"/>
      <c r="AR177" s="299">
        <f t="shared" si="95"/>
        <v>891.0066</v>
      </c>
      <c r="AS177" s="300"/>
      <c r="AT177" s="300"/>
      <c r="AU177" s="299">
        <v>83779.74</v>
      </c>
      <c r="AV177" s="299">
        <f>W177+V177+U177+N177+M177+K177+J177+I177+H177</f>
        <v>44550.33</v>
      </c>
      <c r="AW177" s="299">
        <f>AU177+AR177+AQ177+AO177+AN177+AM177+AK177+AI177+AH177+AG177+AF177+AE177+AD177</f>
        <v>88170.7466</v>
      </c>
      <c r="AX177" s="299"/>
      <c r="AY177" s="299"/>
      <c r="AZ177" s="299">
        <f t="shared" si="90"/>
        <v>-43620.4166</v>
      </c>
      <c r="BA177" s="305">
        <f t="shared" si="92"/>
        <v>534603.96</v>
      </c>
      <c r="BB177" s="306">
        <f t="shared" si="76"/>
        <v>306920.792</v>
      </c>
      <c r="BC177" s="307">
        <f t="shared" si="93"/>
        <v>0</v>
      </c>
      <c r="BD177" s="308">
        <f t="shared" si="77"/>
        <v>306920.792</v>
      </c>
      <c r="BE177" s="313">
        <f t="shared" si="78"/>
        <v>227683.168</v>
      </c>
      <c r="BF177" s="306"/>
      <c r="BG177" s="307">
        <f t="shared" si="79"/>
        <v>15937.82176</v>
      </c>
      <c r="BH177" s="307" t="str">
        <f t="shared" si="80"/>
        <v/>
      </c>
      <c r="BI177" s="307" t="str">
        <f t="shared" si="81"/>
        <v/>
      </c>
      <c r="BJ177" s="307" t="str">
        <f t="shared" si="82"/>
        <v/>
      </c>
      <c r="BK177" s="307" t="str">
        <f t="shared" si="83"/>
        <v/>
      </c>
      <c r="BL177" s="307" t="str">
        <f t="shared" si="84"/>
        <v/>
      </c>
      <c r="BM177" s="305">
        <f t="shared" si="85"/>
        <v>15937.82176</v>
      </c>
      <c r="BN177" s="320">
        <f t="shared" si="86"/>
        <v>5346.0396</v>
      </c>
      <c r="BO177" s="321">
        <f t="shared" si="87"/>
        <v>15937.82176</v>
      </c>
      <c r="BP177" s="322">
        <f t="shared" si="88"/>
        <v>1328.15181333333</v>
      </c>
      <c r="BQ177" s="323"/>
      <c r="BR177" s="324"/>
      <c r="BS177" s="325"/>
      <c r="BT177" s="326"/>
      <c r="BU177" s="326"/>
      <c r="BV177" s="334"/>
      <c r="BW177" s="335"/>
    </row>
    <row r="178" s="245" customFormat="1" ht="156" customHeight="1" spans="1:75">
      <c r="A178" s="255">
        <v>168</v>
      </c>
      <c r="B178" s="70" t="s">
        <v>2087</v>
      </c>
      <c r="C178" s="129" t="s">
        <v>2047</v>
      </c>
      <c r="D178" s="129" t="s">
        <v>2088</v>
      </c>
      <c r="E178" s="256" t="s">
        <v>165</v>
      </c>
      <c r="F178" s="256">
        <v>2179811764</v>
      </c>
      <c r="G178" s="257">
        <v>4479454</v>
      </c>
      <c r="H178" s="258">
        <f>G178/12</f>
        <v>373287.833333333</v>
      </c>
      <c r="I178" s="258">
        <f>H178*0.35/3</f>
        <v>43550.2472222222</v>
      </c>
      <c r="J178" s="258">
        <v>6666.67</v>
      </c>
      <c r="K178" s="258">
        <f>41667/2</f>
        <v>20833.5</v>
      </c>
      <c r="L178" s="258"/>
      <c r="M178" s="258">
        <v>2500</v>
      </c>
      <c r="N178" s="258"/>
      <c r="O178" s="258"/>
      <c r="P178" s="258"/>
      <c r="Q178" s="258"/>
      <c r="R178" s="258"/>
      <c r="S178" s="258"/>
      <c r="T178" s="258"/>
      <c r="U178" s="258">
        <v>383.33</v>
      </c>
      <c r="V178" s="258"/>
      <c r="W178" s="265"/>
      <c r="X178" s="258"/>
      <c r="Y178" s="258"/>
      <c r="Z178" s="258"/>
      <c r="AA178" s="258"/>
      <c r="AB178" s="258"/>
      <c r="AC178" s="258"/>
      <c r="AD178" s="270"/>
      <c r="AE178" s="258"/>
      <c r="AF178" s="258"/>
      <c r="AG178" s="270">
        <f t="shared" si="94"/>
        <v>7465.75666666667</v>
      </c>
      <c r="AH178" s="270"/>
      <c r="AI178" s="282">
        <v>1000</v>
      </c>
      <c r="AJ178" s="279"/>
      <c r="AK178" s="279"/>
      <c r="AL178" s="279"/>
      <c r="AM178" s="281"/>
      <c r="AN178" s="258">
        <v>8333.33</v>
      </c>
      <c r="AO178" s="299">
        <v>2500</v>
      </c>
      <c r="AP178" s="299"/>
      <c r="AQ178" s="299"/>
      <c r="AR178" s="299">
        <f t="shared" si="95"/>
        <v>8944.43161111111</v>
      </c>
      <c r="AS178" s="300"/>
      <c r="AT178" s="300"/>
      <c r="AU178" s="299">
        <f t="shared" ref="AU178:AU187" si="96">BP178</f>
        <v>64533.2101333333</v>
      </c>
      <c r="AV178" s="299">
        <f>V178+U178+N178+M178+K178+J178+I178+H178</f>
        <v>447221.580555556</v>
      </c>
      <c r="AW178" s="299">
        <f>AU178+AR178+AQ178+AO178+AN178+AM178+AK178+AI178+AH178+AG178+AF178+AE178+AD178</f>
        <v>92776.7284111111</v>
      </c>
      <c r="AX178" s="299"/>
      <c r="AY178" s="299"/>
      <c r="AZ178" s="299">
        <f t="shared" si="90"/>
        <v>354444.852144444</v>
      </c>
      <c r="BA178" s="305">
        <f t="shared" si="92"/>
        <v>5366658.96666667</v>
      </c>
      <c r="BB178" s="306">
        <f t="shared" si="76"/>
        <v>1273331.79333333</v>
      </c>
      <c r="BC178" s="307">
        <f t="shared" si="93"/>
        <v>0</v>
      </c>
      <c r="BD178" s="308">
        <f t="shared" si="77"/>
        <v>1273331.79333333</v>
      </c>
      <c r="BE178" s="313">
        <f t="shared" si="78"/>
        <v>4093327.17333333</v>
      </c>
      <c r="BF178" s="306"/>
      <c r="BG178" s="307">
        <f t="shared" si="79"/>
        <v>21000</v>
      </c>
      <c r="BH178" s="307">
        <f t="shared" si="80"/>
        <v>33000</v>
      </c>
      <c r="BI178" s="307">
        <f t="shared" si="81"/>
        <v>75000</v>
      </c>
      <c r="BJ178" s="307">
        <f t="shared" si="82"/>
        <v>95000</v>
      </c>
      <c r="BK178" s="307">
        <f t="shared" si="83"/>
        <v>336000</v>
      </c>
      <c r="BL178" s="307">
        <f t="shared" si="84"/>
        <v>214398.5216</v>
      </c>
      <c r="BM178" s="305">
        <f t="shared" si="85"/>
        <v>774398.5216</v>
      </c>
      <c r="BN178" s="320">
        <f t="shared" si="86"/>
        <v>53666.5896666667</v>
      </c>
      <c r="BO178" s="321">
        <f t="shared" si="87"/>
        <v>774398.5216</v>
      </c>
      <c r="BP178" s="322">
        <f t="shared" si="88"/>
        <v>64533.2101333333</v>
      </c>
      <c r="BQ178" s="323"/>
      <c r="BR178" s="324"/>
      <c r="BS178" s="325"/>
      <c r="BT178" s="326"/>
      <c r="BU178" s="326"/>
      <c r="BV178" s="334"/>
      <c r="BW178" s="335"/>
    </row>
    <row r="179" s="245" customFormat="1" ht="156" customHeight="1" spans="1:75">
      <c r="A179" s="255">
        <v>169</v>
      </c>
      <c r="B179" s="70" t="s">
        <v>2089</v>
      </c>
      <c r="C179" s="129" t="s">
        <v>2047</v>
      </c>
      <c r="D179" s="129" t="s">
        <v>2090</v>
      </c>
      <c r="E179" s="256" t="s">
        <v>259</v>
      </c>
      <c r="F179" s="256">
        <v>6050821993</v>
      </c>
      <c r="G179" s="257">
        <v>4783091</v>
      </c>
      <c r="H179" s="258">
        <f>G179/12</f>
        <v>398590.916666667</v>
      </c>
      <c r="I179" s="258">
        <f>H179*0.35/3</f>
        <v>46502.2736111111</v>
      </c>
      <c r="J179" s="258">
        <v>6667.67</v>
      </c>
      <c r="K179" s="258"/>
      <c r="L179" s="258"/>
      <c r="M179" s="258">
        <v>2500</v>
      </c>
      <c r="N179" s="258"/>
      <c r="O179" s="258"/>
      <c r="P179" s="258"/>
      <c r="Q179" s="258"/>
      <c r="R179" s="258"/>
      <c r="S179" s="258"/>
      <c r="T179" s="258"/>
      <c r="U179" s="258">
        <v>383.33</v>
      </c>
      <c r="V179" s="258"/>
      <c r="W179" s="265"/>
      <c r="X179" s="258"/>
      <c r="Y179" s="258"/>
      <c r="Z179" s="258"/>
      <c r="AA179" s="258"/>
      <c r="AB179" s="258"/>
      <c r="AC179" s="258"/>
      <c r="AD179" s="270"/>
      <c r="AE179" s="258"/>
      <c r="AF179" s="258"/>
      <c r="AG179" s="270">
        <f t="shared" si="94"/>
        <v>7971.81833333333</v>
      </c>
      <c r="AH179" s="270"/>
      <c r="AI179" s="282"/>
      <c r="AJ179" s="279"/>
      <c r="AK179" s="279"/>
      <c r="AL179" s="279"/>
      <c r="AM179" s="281"/>
      <c r="AN179" s="258"/>
      <c r="AO179" s="299">
        <v>2500</v>
      </c>
      <c r="AP179" s="299"/>
      <c r="AQ179" s="299"/>
      <c r="AR179" s="299">
        <f t="shared" si="95"/>
        <v>9092.88380555556</v>
      </c>
      <c r="AS179" s="300"/>
      <c r="AT179" s="300"/>
      <c r="AU179" s="299">
        <f t="shared" si="96"/>
        <v>65958.3512</v>
      </c>
      <c r="AV179" s="299">
        <f t="shared" ref="AV179:AV184" si="97">W179+V179+U179+N179+M179+K179+J179+I179+H179</f>
        <v>454644.190277778</v>
      </c>
      <c r="AW179" s="299">
        <f>AU179+AR179+AQ179+AO179+AN179+AM179+AK179+AI179+AH179+AG179+AF179+AE179+AD179</f>
        <v>85523.0533388889</v>
      </c>
      <c r="AX179" s="299"/>
      <c r="AY179" s="299"/>
      <c r="AZ179" s="299">
        <f t="shared" ref="AZ179:AZ187" si="98">AV179-AW179</f>
        <v>369121.136938889</v>
      </c>
      <c r="BA179" s="305">
        <f t="shared" si="92"/>
        <v>5455730.28333333</v>
      </c>
      <c r="BB179" s="306">
        <f t="shared" si="76"/>
        <v>1291146.05666667</v>
      </c>
      <c r="BC179" s="307">
        <f t="shared" si="93"/>
        <v>0</v>
      </c>
      <c r="BD179" s="308">
        <f t="shared" si="77"/>
        <v>1291146.05666667</v>
      </c>
      <c r="BE179" s="313">
        <f t="shared" si="78"/>
        <v>4164584.22666667</v>
      </c>
      <c r="BF179" s="306"/>
      <c r="BG179" s="307">
        <f t="shared" si="79"/>
        <v>21000</v>
      </c>
      <c r="BH179" s="307">
        <f t="shared" si="80"/>
        <v>33000</v>
      </c>
      <c r="BI179" s="307">
        <f t="shared" si="81"/>
        <v>75000</v>
      </c>
      <c r="BJ179" s="307">
        <f t="shared" si="82"/>
        <v>95000</v>
      </c>
      <c r="BK179" s="307">
        <f t="shared" si="83"/>
        <v>336000</v>
      </c>
      <c r="BL179" s="307">
        <f t="shared" si="84"/>
        <v>231500.2144</v>
      </c>
      <c r="BM179" s="305">
        <f t="shared" si="85"/>
        <v>791500.2144</v>
      </c>
      <c r="BN179" s="320">
        <f t="shared" si="86"/>
        <v>54557.3028333333</v>
      </c>
      <c r="BO179" s="321">
        <f t="shared" si="87"/>
        <v>791500.2144</v>
      </c>
      <c r="BP179" s="322">
        <f t="shared" si="88"/>
        <v>65958.3512</v>
      </c>
      <c r="BQ179" s="323"/>
      <c r="BR179" s="324"/>
      <c r="BS179" s="325"/>
      <c r="BT179" s="326"/>
      <c r="BU179" s="326"/>
      <c r="BV179" s="334"/>
      <c r="BW179" s="335"/>
    </row>
    <row r="180" s="245" customFormat="1" ht="157" customHeight="1" spans="1:75">
      <c r="A180" s="255">
        <v>170</v>
      </c>
      <c r="B180" s="70" t="s">
        <v>2091</v>
      </c>
      <c r="C180" s="129" t="s">
        <v>2047</v>
      </c>
      <c r="D180" s="129" t="s">
        <v>2092</v>
      </c>
      <c r="E180" s="256" t="s">
        <v>97</v>
      </c>
      <c r="F180" s="256">
        <v>1779871581</v>
      </c>
      <c r="G180" s="257">
        <f>H180*12</f>
        <v>5249996.04</v>
      </c>
      <c r="H180" s="258">
        <v>437499.67</v>
      </c>
      <c r="I180" s="258">
        <f>H180*0.35/3</f>
        <v>51041.6281666667</v>
      </c>
      <c r="J180" s="258">
        <v>6667.67</v>
      </c>
      <c r="K180" s="258">
        <f>K186</f>
        <v>20833.33</v>
      </c>
      <c r="L180" s="258"/>
      <c r="M180" s="258">
        <v>2500</v>
      </c>
      <c r="N180" s="258"/>
      <c r="O180" s="258"/>
      <c r="P180" s="258"/>
      <c r="Q180" s="258"/>
      <c r="R180" s="258"/>
      <c r="S180" s="258"/>
      <c r="T180" s="258"/>
      <c r="U180" s="258">
        <v>383.33</v>
      </c>
      <c r="V180" s="258"/>
      <c r="W180" s="265"/>
      <c r="X180" s="258"/>
      <c r="Y180" s="258"/>
      <c r="Z180" s="258"/>
      <c r="AA180" s="258"/>
      <c r="AB180" s="258"/>
      <c r="AC180" s="258"/>
      <c r="AD180" s="270"/>
      <c r="AE180" s="258"/>
      <c r="AF180" s="258">
        <v>2500</v>
      </c>
      <c r="AG180" s="270">
        <f t="shared" si="94"/>
        <v>8749.9934</v>
      </c>
      <c r="AH180" s="270"/>
      <c r="AI180" s="282"/>
      <c r="AJ180" s="279">
        <v>1000</v>
      </c>
      <c r="AK180" s="279"/>
      <c r="AL180" s="279"/>
      <c r="AM180" s="281"/>
      <c r="AN180" s="258"/>
      <c r="AO180" s="299">
        <v>3500</v>
      </c>
      <c r="AP180" s="299"/>
      <c r="AQ180" s="299"/>
      <c r="AR180" s="299">
        <f t="shared" si="95"/>
        <v>10378.5125633333</v>
      </c>
      <c r="AS180" s="300"/>
      <c r="AT180" s="300"/>
      <c r="AU180" s="299">
        <f t="shared" si="96"/>
        <v>78300.3872746666</v>
      </c>
      <c r="AV180" s="299">
        <f t="shared" si="97"/>
        <v>518925.628166667</v>
      </c>
      <c r="AW180" s="299">
        <f>AU180+AR180+AQ180+AO180+AN180+AM180+AK180+AJ180+AI180+AH180+AG180+AF180</f>
        <v>104428.893238</v>
      </c>
      <c r="AX180" s="299"/>
      <c r="AY180" s="299"/>
      <c r="AZ180" s="299">
        <f t="shared" si="98"/>
        <v>414496.734928667</v>
      </c>
      <c r="BA180" s="305">
        <f t="shared" si="92"/>
        <v>6227107.538</v>
      </c>
      <c r="BB180" s="306">
        <f t="shared" si="76"/>
        <v>1445421.5076</v>
      </c>
      <c r="BC180" s="307">
        <f t="shared" si="93"/>
        <v>0</v>
      </c>
      <c r="BD180" s="308">
        <f t="shared" si="77"/>
        <v>1445421.5076</v>
      </c>
      <c r="BE180" s="313">
        <f t="shared" si="78"/>
        <v>4781686.0304</v>
      </c>
      <c r="BF180" s="306"/>
      <c r="BG180" s="307">
        <f t="shared" si="79"/>
        <v>21000</v>
      </c>
      <c r="BH180" s="307">
        <f t="shared" si="80"/>
        <v>33000</v>
      </c>
      <c r="BI180" s="307">
        <f t="shared" si="81"/>
        <v>75000</v>
      </c>
      <c r="BJ180" s="307">
        <f t="shared" si="82"/>
        <v>95000</v>
      </c>
      <c r="BK180" s="307">
        <f t="shared" si="83"/>
        <v>336000</v>
      </c>
      <c r="BL180" s="307">
        <f t="shared" si="84"/>
        <v>379604.647296</v>
      </c>
      <c r="BM180" s="305">
        <f t="shared" si="85"/>
        <v>939604.647296</v>
      </c>
      <c r="BN180" s="419">
        <f t="shared" si="86"/>
        <v>62271.07538</v>
      </c>
      <c r="BO180" s="321">
        <f t="shared" si="87"/>
        <v>939604.647296</v>
      </c>
      <c r="BP180" s="322">
        <f t="shared" si="88"/>
        <v>78300.3872746666</v>
      </c>
      <c r="BQ180" s="323"/>
      <c r="BR180" s="324"/>
      <c r="BS180" s="325"/>
      <c r="BT180" s="326"/>
      <c r="BU180" s="326"/>
      <c r="BV180" s="334"/>
      <c r="BW180" s="335"/>
    </row>
    <row r="181" s="245" customFormat="1" ht="156" customHeight="1" spans="1:75">
      <c r="A181" s="255">
        <v>171</v>
      </c>
      <c r="B181" s="70" t="s">
        <v>2093</v>
      </c>
      <c r="C181" s="129" t="s">
        <v>2094</v>
      </c>
      <c r="D181" s="129" t="s">
        <v>2095</v>
      </c>
      <c r="E181" s="256" t="s">
        <v>97</v>
      </c>
      <c r="F181" s="1469" t="str">
        <f>'[14]TEACHING STAFF'!$G$164</f>
        <v>0030621811</v>
      </c>
      <c r="G181" s="257">
        <f>5603551/2</f>
        <v>2801775.5</v>
      </c>
      <c r="H181" s="258">
        <f>G181/12</f>
        <v>233481.291666667</v>
      </c>
      <c r="I181" s="258"/>
      <c r="J181" s="258"/>
      <c r="K181" s="258"/>
      <c r="L181" s="258"/>
      <c r="M181" s="258">
        <v>2500</v>
      </c>
      <c r="N181" s="258"/>
      <c r="O181" s="258"/>
      <c r="P181" s="258"/>
      <c r="Q181" s="258"/>
      <c r="R181" s="258"/>
      <c r="S181" s="258"/>
      <c r="T181" s="258"/>
      <c r="U181" s="258"/>
      <c r="V181" s="258"/>
      <c r="W181" s="265"/>
      <c r="X181" s="258"/>
      <c r="Y181" s="258"/>
      <c r="Z181" s="258"/>
      <c r="AA181" s="258"/>
      <c r="AB181" s="258"/>
      <c r="AC181" s="258"/>
      <c r="AD181" s="270"/>
      <c r="AE181" s="258"/>
      <c r="AF181" s="258"/>
      <c r="AG181" s="270">
        <f t="shared" si="94"/>
        <v>4669.62583333333</v>
      </c>
      <c r="AH181" s="270"/>
      <c r="AI181" s="282">
        <v>1000</v>
      </c>
      <c r="AJ181" s="280"/>
      <c r="AK181" s="280"/>
      <c r="AL181" s="280"/>
      <c r="AM181" s="281"/>
      <c r="AN181" s="258"/>
      <c r="AO181" s="299">
        <v>3500</v>
      </c>
      <c r="AP181" s="299"/>
      <c r="AQ181" s="299"/>
      <c r="AR181" s="299">
        <f t="shared" si="95"/>
        <v>4719.62583333333</v>
      </c>
      <c r="AS181" s="300"/>
      <c r="AT181" s="300"/>
      <c r="AU181" s="299">
        <f t="shared" si="96"/>
        <v>26811.5236666667</v>
      </c>
      <c r="AV181" s="299">
        <f t="shared" si="97"/>
        <v>235981.291666667</v>
      </c>
      <c r="AW181" s="299">
        <f>AU181+AR181+AQ181+AO181+AN181+AM181+AK181+AI181+AH181+AG181+AF181+AE181+AD181</f>
        <v>40700.7753333333</v>
      </c>
      <c r="AX181" s="299"/>
      <c r="AY181" s="299"/>
      <c r="AZ181" s="299">
        <f t="shared" si="98"/>
        <v>195280.516333333</v>
      </c>
      <c r="BA181" s="305">
        <f t="shared" si="92"/>
        <v>2831775.5</v>
      </c>
      <c r="BB181" s="306">
        <f t="shared" si="76"/>
        <v>766355.1</v>
      </c>
      <c r="BC181" s="307">
        <f t="shared" si="93"/>
        <v>0</v>
      </c>
      <c r="BD181" s="308">
        <f t="shared" si="77"/>
        <v>766355.1</v>
      </c>
      <c r="BE181" s="313">
        <f t="shared" si="78"/>
        <v>2065420.4</v>
      </c>
      <c r="BF181" s="306"/>
      <c r="BG181" s="307">
        <f t="shared" si="79"/>
        <v>21000</v>
      </c>
      <c r="BH181" s="307">
        <f t="shared" si="80"/>
        <v>33000</v>
      </c>
      <c r="BI181" s="307">
        <f t="shared" si="81"/>
        <v>75000</v>
      </c>
      <c r="BJ181" s="307">
        <f t="shared" si="82"/>
        <v>95000</v>
      </c>
      <c r="BK181" s="307">
        <f t="shared" si="83"/>
        <v>97738.284</v>
      </c>
      <c r="BL181" s="307" t="str">
        <f t="shared" si="84"/>
        <v/>
      </c>
      <c r="BM181" s="305">
        <f t="shared" si="85"/>
        <v>321738.284</v>
      </c>
      <c r="BN181" s="320">
        <f t="shared" si="86"/>
        <v>28317.755</v>
      </c>
      <c r="BO181" s="321">
        <f t="shared" si="87"/>
        <v>321738.284</v>
      </c>
      <c r="BP181" s="322">
        <f t="shared" si="88"/>
        <v>26811.5236666667</v>
      </c>
      <c r="BQ181" s="323"/>
      <c r="BR181" s="324"/>
      <c r="BS181" s="325"/>
      <c r="BT181" s="326"/>
      <c r="BU181" s="326"/>
      <c r="BV181" s="334"/>
      <c r="BW181" s="335"/>
    </row>
    <row r="182" s="245" customFormat="1" ht="156" customHeight="1" spans="1:75">
      <c r="A182" s="255">
        <v>172</v>
      </c>
      <c r="B182" s="70" t="s">
        <v>517</v>
      </c>
      <c r="C182" s="129" t="s">
        <v>2096</v>
      </c>
      <c r="D182" s="129" t="s">
        <v>134</v>
      </c>
      <c r="E182" s="256" t="s">
        <v>113</v>
      </c>
      <c r="F182" s="1469" t="str">
        <f>'[4]TEACHING STAFF'!$G$173</f>
        <v>0029686697</v>
      </c>
      <c r="G182" s="257">
        <f>'[4]TEACHING STAFF'!$I$174</f>
        <v>2863233</v>
      </c>
      <c r="H182" s="258">
        <f>'[4]TEACHING STAFF'!$J$174</f>
        <v>238602.75</v>
      </c>
      <c r="I182" s="258">
        <f>H182*0.35/3</f>
        <v>27836.9875</v>
      </c>
      <c r="J182" s="258"/>
      <c r="K182" s="258"/>
      <c r="L182" s="258"/>
      <c r="M182" s="258">
        <v>2500</v>
      </c>
      <c r="N182" s="258"/>
      <c r="O182" s="258"/>
      <c r="P182" s="258"/>
      <c r="Q182" s="258"/>
      <c r="R182" s="258"/>
      <c r="S182" s="258"/>
      <c r="T182" s="258"/>
      <c r="U182" s="258"/>
      <c r="V182" s="258"/>
      <c r="W182" s="265"/>
      <c r="X182" s="258"/>
      <c r="Y182" s="258"/>
      <c r="Z182" s="258"/>
      <c r="AA182" s="258"/>
      <c r="AB182" s="258"/>
      <c r="AC182" s="258"/>
      <c r="AD182" s="270"/>
      <c r="AE182" s="258"/>
      <c r="AF182" s="258"/>
      <c r="AG182" s="270">
        <f t="shared" si="94"/>
        <v>4772.055</v>
      </c>
      <c r="AH182" s="270"/>
      <c r="AI182" s="278"/>
      <c r="AJ182" s="279">
        <v>1000</v>
      </c>
      <c r="AK182" s="280"/>
      <c r="AL182" s="280"/>
      <c r="AM182" s="281"/>
      <c r="AN182" s="258"/>
      <c r="AO182" s="299">
        <v>1500</v>
      </c>
      <c r="AP182" s="299"/>
      <c r="AQ182" s="299"/>
      <c r="AR182" s="299">
        <f t="shared" si="95"/>
        <v>5378.79475</v>
      </c>
      <c r="AS182" s="300"/>
      <c r="AT182" s="300"/>
      <c r="AU182" s="299">
        <f t="shared" si="96"/>
        <v>32348.5425666667</v>
      </c>
      <c r="AV182" s="299">
        <f t="shared" si="97"/>
        <v>268939.7375</v>
      </c>
      <c r="AW182" s="299">
        <f>AU182+AR182+AQ182+AO182+AN182+AM182+AK182+AI182+AH182+AG182+AF182+AE182+AD182+AJ182</f>
        <v>44999.3923166667</v>
      </c>
      <c r="AX182" s="299"/>
      <c r="AY182" s="299"/>
      <c r="AZ182" s="299">
        <f t="shared" si="98"/>
        <v>223940.345183333</v>
      </c>
      <c r="BA182" s="305">
        <f t="shared" ref="BA182:BA187" si="99">AV182*12</f>
        <v>3227276.85</v>
      </c>
      <c r="BB182" s="306">
        <f t="shared" si="76"/>
        <v>845455.37</v>
      </c>
      <c r="BC182" s="307">
        <f t="shared" ref="BC182:BC187" si="100">AS182*12</f>
        <v>0</v>
      </c>
      <c r="BD182" s="308">
        <f t="shared" si="77"/>
        <v>845455.37</v>
      </c>
      <c r="BE182" s="313">
        <f t="shared" si="78"/>
        <v>2381821.48</v>
      </c>
      <c r="BF182" s="306"/>
      <c r="BG182" s="307">
        <f t="shared" si="79"/>
        <v>21000</v>
      </c>
      <c r="BH182" s="307">
        <f t="shared" si="80"/>
        <v>33000</v>
      </c>
      <c r="BI182" s="307">
        <f t="shared" si="81"/>
        <v>75000</v>
      </c>
      <c r="BJ182" s="307">
        <f t="shared" si="82"/>
        <v>95000</v>
      </c>
      <c r="BK182" s="307">
        <f t="shared" si="83"/>
        <v>164182.5108</v>
      </c>
      <c r="BL182" s="307" t="str">
        <f t="shared" si="84"/>
        <v/>
      </c>
      <c r="BM182" s="305">
        <f t="shared" si="85"/>
        <v>388182.5108</v>
      </c>
      <c r="BN182" s="320">
        <f t="shared" si="86"/>
        <v>32272.7685</v>
      </c>
      <c r="BO182" s="321">
        <f t="shared" si="87"/>
        <v>388182.5108</v>
      </c>
      <c r="BP182" s="322">
        <f t="shared" si="88"/>
        <v>32348.5425666667</v>
      </c>
      <c r="BQ182" s="323"/>
      <c r="BR182" s="324"/>
      <c r="BS182" s="325"/>
      <c r="BT182" s="326"/>
      <c r="BU182" s="326"/>
      <c r="BV182" s="334"/>
      <c r="BW182" s="335"/>
    </row>
    <row r="183" s="245" customFormat="1" ht="156" customHeight="1" spans="1:75">
      <c r="A183" s="255">
        <v>173</v>
      </c>
      <c r="B183" s="70" t="s">
        <v>521</v>
      </c>
      <c r="C183" s="129" t="s">
        <v>155</v>
      </c>
      <c r="D183" s="129" t="s">
        <v>525</v>
      </c>
      <c r="E183" s="256" t="s">
        <v>113</v>
      </c>
      <c r="F183" s="256">
        <f>'[4]TEACHING STAFF'!$G$174</f>
        <v>2010376654</v>
      </c>
      <c r="G183" s="257">
        <v>2890081</v>
      </c>
      <c r="H183" s="258">
        <v>174173.42</v>
      </c>
      <c r="I183" s="258">
        <f>H183*0.35/3</f>
        <v>20320.2323333333</v>
      </c>
      <c r="J183" s="258">
        <f>5000</f>
        <v>5000</v>
      </c>
      <c r="K183" s="258"/>
      <c r="L183" s="258"/>
      <c r="M183" s="258">
        <v>2500</v>
      </c>
      <c r="N183" s="258"/>
      <c r="O183" s="258"/>
      <c r="P183" s="258"/>
      <c r="Q183" s="258"/>
      <c r="R183" s="258"/>
      <c r="S183" s="258"/>
      <c r="T183" s="258"/>
      <c r="U183" s="258">
        <f>383.33</f>
        <v>383.33</v>
      </c>
      <c r="V183" s="258"/>
      <c r="W183" s="265"/>
      <c r="X183" s="258"/>
      <c r="Y183" s="258"/>
      <c r="Z183" s="258"/>
      <c r="AA183" s="258"/>
      <c r="AB183" s="258"/>
      <c r="AC183" s="258"/>
      <c r="AD183" s="270"/>
      <c r="AE183" s="258"/>
      <c r="AF183" s="258">
        <v>1000</v>
      </c>
      <c r="AG183" s="270">
        <f t="shared" si="94"/>
        <v>3483.4684</v>
      </c>
      <c r="AH183" s="270"/>
      <c r="AI183" s="282">
        <v>1000</v>
      </c>
      <c r="AJ183" s="280"/>
      <c r="AK183" s="280"/>
      <c r="AL183" s="280"/>
      <c r="AM183" s="281"/>
      <c r="AN183" s="258"/>
      <c r="AO183" s="299">
        <v>1500</v>
      </c>
      <c r="AP183" s="299"/>
      <c r="AQ183" s="299"/>
      <c r="AR183" s="299">
        <f t="shared" si="95"/>
        <v>4047.53964666667</v>
      </c>
      <c r="AS183" s="300"/>
      <c r="AT183" s="300"/>
      <c r="AU183" s="299">
        <f t="shared" si="96"/>
        <v>21165.9996986667</v>
      </c>
      <c r="AV183" s="299">
        <f t="shared" si="97"/>
        <v>202376.982333333</v>
      </c>
      <c r="AW183" s="299">
        <f>AU183+AR183+AQ183+AO183+AN183+AM183+AK183+AI183+AH183+AG183+AF183+AE183+AD183</f>
        <v>32197.0077453333</v>
      </c>
      <c r="AX183" s="299"/>
      <c r="AY183" s="299"/>
      <c r="AZ183" s="299">
        <f t="shared" si="98"/>
        <v>170179.974588</v>
      </c>
      <c r="BA183" s="305">
        <f t="shared" si="99"/>
        <v>2428523.788</v>
      </c>
      <c r="BB183" s="306">
        <f t="shared" si="76"/>
        <v>685704.7576</v>
      </c>
      <c r="BC183" s="307">
        <f t="shared" si="100"/>
        <v>0</v>
      </c>
      <c r="BD183" s="308">
        <f t="shared" si="77"/>
        <v>685704.7576</v>
      </c>
      <c r="BE183" s="313">
        <f t="shared" si="78"/>
        <v>1742819.0304</v>
      </c>
      <c r="BF183" s="306"/>
      <c r="BG183" s="307">
        <f t="shared" si="79"/>
        <v>21000</v>
      </c>
      <c r="BH183" s="307">
        <f t="shared" si="80"/>
        <v>33000</v>
      </c>
      <c r="BI183" s="307">
        <f t="shared" si="81"/>
        <v>75000</v>
      </c>
      <c r="BJ183" s="307">
        <f t="shared" si="82"/>
        <v>95000</v>
      </c>
      <c r="BK183" s="307">
        <f t="shared" si="83"/>
        <v>29991.996384</v>
      </c>
      <c r="BL183" s="307" t="str">
        <f t="shared" si="84"/>
        <v/>
      </c>
      <c r="BM183" s="305">
        <f t="shared" si="85"/>
        <v>253991.996384</v>
      </c>
      <c r="BN183" s="320">
        <f t="shared" si="86"/>
        <v>24285.23788</v>
      </c>
      <c r="BO183" s="321">
        <f t="shared" si="87"/>
        <v>253991.996384</v>
      </c>
      <c r="BP183" s="322">
        <f t="shared" si="88"/>
        <v>21165.9996986667</v>
      </c>
      <c r="BQ183" s="323"/>
      <c r="BR183" s="324"/>
      <c r="BS183" s="325"/>
      <c r="BT183" s="326"/>
      <c r="BU183" s="326"/>
      <c r="BV183" s="334"/>
      <c r="BW183" s="335"/>
    </row>
    <row r="184" s="245" customFormat="1" ht="166" customHeight="1" spans="1:75">
      <c r="A184" s="255">
        <v>174</v>
      </c>
      <c r="B184" s="70" t="s">
        <v>524</v>
      </c>
      <c r="C184" s="129" t="s">
        <v>204</v>
      </c>
      <c r="D184" s="129" t="s">
        <v>2010</v>
      </c>
      <c r="E184" s="256" t="s">
        <v>259</v>
      </c>
      <c r="F184" s="256">
        <f>'[4]TEACHING STAFF'!$G$178</f>
        <v>2128380019</v>
      </c>
      <c r="G184" s="257">
        <v>2035375</v>
      </c>
      <c r="H184" s="258">
        <v>339195.5</v>
      </c>
      <c r="I184" s="258">
        <f>H184*0.35/3</f>
        <v>39572.8083333333</v>
      </c>
      <c r="J184" s="258">
        <f>5000</f>
        <v>5000</v>
      </c>
      <c r="K184" s="258"/>
      <c r="L184" s="258"/>
      <c r="M184" s="258">
        <v>5000</v>
      </c>
      <c r="N184" s="258"/>
      <c r="O184" s="258"/>
      <c r="P184" s="258"/>
      <c r="Q184" s="258"/>
      <c r="R184" s="258"/>
      <c r="S184" s="258"/>
      <c r="T184" s="258"/>
      <c r="U184" s="258">
        <f>383.33*2</f>
        <v>766.66</v>
      </c>
      <c r="V184" s="258"/>
      <c r="W184" s="265"/>
      <c r="X184" s="258"/>
      <c r="Y184" s="258"/>
      <c r="Z184" s="258"/>
      <c r="AA184" s="258"/>
      <c r="AB184" s="258"/>
      <c r="AC184" s="258"/>
      <c r="AD184" s="270"/>
      <c r="AE184" s="258"/>
      <c r="AF184" s="258">
        <v>6500</v>
      </c>
      <c r="AG184" s="270">
        <f t="shared" si="94"/>
        <v>6783.91</v>
      </c>
      <c r="AH184" s="270"/>
      <c r="AI184" s="282">
        <v>2000</v>
      </c>
      <c r="AJ184" s="280"/>
      <c r="AK184" s="280"/>
      <c r="AL184" s="280"/>
      <c r="AM184" s="281"/>
      <c r="AN184" s="258"/>
      <c r="AO184" s="299">
        <v>3000</v>
      </c>
      <c r="AP184" s="299"/>
      <c r="AQ184" s="299"/>
      <c r="AR184" s="299">
        <f t="shared" si="95"/>
        <v>7790.69936666667</v>
      </c>
      <c r="AS184" s="300"/>
      <c r="AT184" s="300"/>
      <c r="AU184" s="299">
        <f t="shared" si="96"/>
        <v>53457.3805866667</v>
      </c>
      <c r="AV184" s="299">
        <f t="shared" si="97"/>
        <v>389534.968333333</v>
      </c>
      <c r="AW184" s="299">
        <f>AU184+AR184+AQ184+AO184+AN184+AM184+AK184+AI184+AH184+AG184+AF184+AE184+AD184</f>
        <v>79531.9899533333</v>
      </c>
      <c r="AX184" s="299"/>
      <c r="AY184" s="299"/>
      <c r="AZ184" s="299">
        <f t="shared" si="98"/>
        <v>310002.97838</v>
      </c>
      <c r="BA184" s="305">
        <f t="shared" si="99"/>
        <v>4674419.62</v>
      </c>
      <c r="BB184" s="306">
        <f t="shared" si="76"/>
        <v>1134883.924</v>
      </c>
      <c r="BC184" s="307">
        <f t="shared" si="100"/>
        <v>0</v>
      </c>
      <c r="BD184" s="308">
        <f t="shared" si="77"/>
        <v>1134883.924</v>
      </c>
      <c r="BE184" s="313">
        <f t="shared" si="78"/>
        <v>3539535.696</v>
      </c>
      <c r="BF184" s="306"/>
      <c r="BG184" s="307">
        <f t="shared" si="79"/>
        <v>21000</v>
      </c>
      <c r="BH184" s="307">
        <f t="shared" si="80"/>
        <v>33000</v>
      </c>
      <c r="BI184" s="307">
        <f t="shared" si="81"/>
        <v>75000</v>
      </c>
      <c r="BJ184" s="307">
        <f t="shared" si="82"/>
        <v>95000</v>
      </c>
      <c r="BK184" s="307">
        <f t="shared" si="83"/>
        <v>336000</v>
      </c>
      <c r="BL184" s="307">
        <f t="shared" si="84"/>
        <v>81488.56704</v>
      </c>
      <c r="BM184" s="305">
        <f t="shared" si="85"/>
        <v>641488.56704</v>
      </c>
      <c r="BN184" s="320">
        <f t="shared" si="86"/>
        <v>46744.1962</v>
      </c>
      <c r="BO184" s="321">
        <f t="shared" si="87"/>
        <v>641488.56704</v>
      </c>
      <c r="BP184" s="322">
        <f t="shared" si="88"/>
        <v>53457.3805866667</v>
      </c>
      <c r="BQ184" s="323"/>
      <c r="BR184" s="324"/>
      <c r="BS184" s="325"/>
      <c r="BT184" s="326"/>
      <c r="BU184" s="326"/>
      <c r="BV184" s="334"/>
      <c r="BW184" s="335"/>
    </row>
    <row r="185" s="249" customFormat="1" ht="174" customHeight="1" spans="1:75">
      <c r="A185" s="255">
        <v>175</v>
      </c>
      <c r="B185" s="365" t="s">
        <v>2097</v>
      </c>
      <c r="C185" s="366" t="s">
        <v>2098</v>
      </c>
      <c r="D185" s="366" t="s">
        <v>291</v>
      </c>
      <c r="E185" s="367" t="str">
        <f>'[4]TEACHING STAFF'!$F$179</f>
        <v>FIDELITY</v>
      </c>
      <c r="F185" s="367">
        <f>'[4]TEACHING STAFF'!$G$179</f>
        <v>6976347296</v>
      </c>
      <c r="G185" s="368">
        <f>H185*12</f>
        <v>3428046.96</v>
      </c>
      <c r="H185" s="369">
        <f>'[15]TEACHING STAFF'!$L$179</f>
        <v>285670.58</v>
      </c>
      <c r="I185" s="369">
        <f>H185*0.35/3</f>
        <v>33328.2343333333</v>
      </c>
      <c r="J185" s="369">
        <f>5000</f>
        <v>5000</v>
      </c>
      <c r="K185" s="369">
        <v>20833.33</v>
      </c>
      <c r="L185" s="369"/>
      <c r="M185" s="369">
        <f>2500</f>
        <v>2500</v>
      </c>
      <c r="N185" s="369"/>
      <c r="O185" s="369"/>
      <c r="P185" s="369"/>
      <c r="Q185" s="369"/>
      <c r="R185" s="369"/>
      <c r="S185" s="369"/>
      <c r="T185" s="369"/>
      <c r="U185" s="369">
        <f>383.33</f>
        <v>383.33</v>
      </c>
      <c r="V185" s="369"/>
      <c r="W185" s="373"/>
      <c r="X185" s="369"/>
      <c r="Y185" s="369"/>
      <c r="Z185" s="369"/>
      <c r="AA185" s="369"/>
      <c r="AB185" s="369"/>
      <c r="AC185" s="369"/>
      <c r="AD185" s="376"/>
      <c r="AE185" s="369"/>
      <c r="AF185" s="369"/>
      <c r="AG185" s="376">
        <f t="shared" si="94"/>
        <v>5713.4116</v>
      </c>
      <c r="AH185" s="376"/>
      <c r="AI185" s="387"/>
      <c r="AJ185" s="388"/>
      <c r="AK185" s="388"/>
      <c r="AL185" s="388"/>
      <c r="AM185" s="389"/>
      <c r="AN185" s="369"/>
      <c r="AO185" s="395">
        <v>2000</v>
      </c>
      <c r="AP185" s="395"/>
      <c r="AQ185" s="395"/>
      <c r="AR185" s="395">
        <f t="shared" si="95"/>
        <v>6946.64288666667</v>
      </c>
      <c r="AS185" s="396"/>
      <c r="AT185" s="396"/>
      <c r="AU185" s="395">
        <f t="shared" si="96"/>
        <v>45518.4669146667</v>
      </c>
      <c r="AV185" s="395">
        <f>M185+K185+J185+I185+H185</f>
        <v>347332.144333333</v>
      </c>
      <c r="AW185" s="395">
        <f>AU185+AR185+AQ185+AO185+AN185+AM185+AK185+AI185+AH185+AG185+AF185+AE185+AD185</f>
        <v>60178.5214013333</v>
      </c>
      <c r="AX185" s="395"/>
      <c r="AY185" s="395"/>
      <c r="AZ185" s="395">
        <f t="shared" si="98"/>
        <v>287153.622932</v>
      </c>
      <c r="BA185" s="405">
        <f t="shared" si="99"/>
        <v>4167985.732</v>
      </c>
      <c r="BB185" s="406">
        <f t="shared" si="76"/>
        <v>1033597.1464</v>
      </c>
      <c r="BC185" s="407">
        <f t="shared" si="100"/>
        <v>0</v>
      </c>
      <c r="BD185" s="408">
        <f t="shared" si="77"/>
        <v>1033597.1464</v>
      </c>
      <c r="BE185" s="411">
        <f t="shared" si="78"/>
        <v>3134388.5856</v>
      </c>
      <c r="BF185" s="406"/>
      <c r="BG185" s="407">
        <f t="shared" si="79"/>
        <v>21000</v>
      </c>
      <c r="BH185" s="407">
        <f t="shared" si="80"/>
        <v>33000</v>
      </c>
      <c r="BI185" s="407">
        <f t="shared" si="81"/>
        <v>75000</v>
      </c>
      <c r="BJ185" s="407">
        <f t="shared" si="82"/>
        <v>95000</v>
      </c>
      <c r="BK185" s="407">
        <f t="shared" si="83"/>
        <v>322221.602976</v>
      </c>
      <c r="BL185" s="407" t="str">
        <f t="shared" si="84"/>
        <v/>
      </c>
      <c r="BM185" s="405">
        <f t="shared" si="85"/>
        <v>546221.602976</v>
      </c>
      <c r="BN185" s="420">
        <f t="shared" si="86"/>
        <v>41679.85732</v>
      </c>
      <c r="BO185" s="421">
        <f t="shared" si="87"/>
        <v>546221.602976</v>
      </c>
      <c r="BP185" s="422">
        <f t="shared" si="88"/>
        <v>45518.4669146667</v>
      </c>
      <c r="BQ185" s="423"/>
      <c r="BR185" s="424"/>
      <c r="BS185" s="425"/>
      <c r="BT185" s="426"/>
      <c r="BU185" s="426"/>
      <c r="BV185" s="427"/>
      <c r="BW185" s="428"/>
    </row>
    <row r="186" s="249" customFormat="1" ht="156" customHeight="1" spans="1:75">
      <c r="A186" s="255">
        <v>176</v>
      </c>
      <c r="B186" s="365" t="s">
        <v>2099</v>
      </c>
      <c r="C186" s="366" t="s">
        <v>2047</v>
      </c>
      <c r="D186" s="366" t="s">
        <v>186</v>
      </c>
      <c r="E186" s="367" t="str">
        <f>'[4]TEACHING STAFF'!$F$180</f>
        <v>GTB</v>
      </c>
      <c r="F186" s="1474" t="str">
        <f>'[4]TEACHING STAFF'!$G$180</f>
        <v>0246799705</v>
      </c>
      <c r="G186" s="368">
        <f>H186*12</f>
        <v>4327635.96</v>
      </c>
      <c r="H186" s="369">
        <f>H187</f>
        <v>360636.33</v>
      </c>
      <c r="I186" s="369">
        <f t="shared" ref="I186:I187" si="101">H186*0.35/3</f>
        <v>42074.2385</v>
      </c>
      <c r="J186" s="369">
        <f>'[16]TEACHING STAFF'!$M$161/2</f>
        <v>5000</v>
      </c>
      <c r="K186" s="369">
        <f>K31</f>
        <v>20833.33</v>
      </c>
      <c r="L186" s="369"/>
      <c r="M186" s="369">
        <f>2500</f>
        <v>2500</v>
      </c>
      <c r="N186" s="369"/>
      <c r="O186" s="369"/>
      <c r="P186" s="369"/>
      <c r="Q186" s="369"/>
      <c r="R186" s="369"/>
      <c r="S186" s="369"/>
      <c r="T186" s="369"/>
      <c r="U186" s="369">
        <f t="shared" ref="U186:U187" si="102">383.33</f>
        <v>383.33</v>
      </c>
      <c r="V186" s="369"/>
      <c r="W186" s="373"/>
      <c r="X186" s="369"/>
      <c r="Y186" s="369"/>
      <c r="Z186" s="369"/>
      <c r="AA186" s="369"/>
      <c r="AB186" s="369"/>
      <c r="AC186" s="369"/>
      <c r="AD186" s="376"/>
      <c r="AE186" s="369"/>
      <c r="AF186" s="369"/>
      <c r="AG186" s="376">
        <f t="shared" si="94"/>
        <v>7212.7266</v>
      </c>
      <c r="AH186" s="376"/>
      <c r="AI186" s="387"/>
      <c r="AJ186" s="390">
        <v>1000</v>
      </c>
      <c r="AK186" s="388"/>
      <c r="AL186" s="388"/>
      <c r="AM186" s="389"/>
      <c r="AN186" s="369"/>
      <c r="AO186" s="395">
        <v>2500</v>
      </c>
      <c r="AP186" s="395"/>
      <c r="AQ186" s="395"/>
      <c r="AR186" s="395">
        <f t="shared" si="95"/>
        <v>8628.54457</v>
      </c>
      <c r="AS186" s="396"/>
      <c r="AT186" s="396"/>
      <c r="AU186" s="395">
        <f t="shared" si="96"/>
        <v>61500.6945386667</v>
      </c>
      <c r="AV186" s="395">
        <f t="shared" ref="AV186" si="103">V186+U186+N186+M186+K186+J186+I186+H186</f>
        <v>431427.2285</v>
      </c>
      <c r="AW186" s="395">
        <f>AU186+AR186+AQ186+AO186+AN186+AM186+AK186+AI186+AH186+AG186+AF186+AE186+AD186+AJ186</f>
        <v>80841.9657086667</v>
      </c>
      <c r="AX186" s="395"/>
      <c r="AY186" s="395"/>
      <c r="AZ186" s="395">
        <f t="shared" si="98"/>
        <v>350585.262791333</v>
      </c>
      <c r="BA186" s="405">
        <f t="shared" si="99"/>
        <v>5177126.742</v>
      </c>
      <c r="BB186" s="406">
        <f t="shared" si="76"/>
        <v>1235425.3484</v>
      </c>
      <c r="BC186" s="407">
        <f t="shared" si="100"/>
        <v>0</v>
      </c>
      <c r="BD186" s="408">
        <f t="shared" si="77"/>
        <v>1235425.3484</v>
      </c>
      <c r="BE186" s="411">
        <f t="shared" si="78"/>
        <v>3941701.3936</v>
      </c>
      <c r="BF186" s="406"/>
      <c r="BG186" s="407">
        <f t="shared" si="79"/>
        <v>21000</v>
      </c>
      <c r="BH186" s="407">
        <f t="shared" si="80"/>
        <v>33000</v>
      </c>
      <c r="BI186" s="407">
        <f t="shared" si="81"/>
        <v>75000</v>
      </c>
      <c r="BJ186" s="407">
        <f t="shared" si="82"/>
        <v>95000</v>
      </c>
      <c r="BK186" s="407">
        <f t="shared" si="83"/>
        <v>336000</v>
      </c>
      <c r="BL186" s="407">
        <f t="shared" si="84"/>
        <v>178008.334464</v>
      </c>
      <c r="BM186" s="405">
        <f t="shared" si="85"/>
        <v>738008.334464</v>
      </c>
      <c r="BN186" s="420">
        <f t="shared" si="86"/>
        <v>51771.26742</v>
      </c>
      <c r="BO186" s="421">
        <f t="shared" si="87"/>
        <v>738008.334464</v>
      </c>
      <c r="BP186" s="422">
        <f t="shared" si="88"/>
        <v>61500.6945386667</v>
      </c>
      <c r="BQ186" s="423"/>
      <c r="BR186" s="424"/>
      <c r="BS186" s="425"/>
      <c r="BT186" s="426"/>
      <c r="BU186" s="426"/>
      <c r="BV186" s="427"/>
      <c r="BW186" s="428"/>
    </row>
    <row r="187" s="249" customFormat="1" ht="161" customHeight="1" spans="1:75">
      <c r="A187" s="255">
        <v>177</v>
      </c>
      <c r="B187" s="365" t="s">
        <v>2100</v>
      </c>
      <c r="C187" s="366" t="s">
        <v>2047</v>
      </c>
      <c r="D187" s="366" t="s">
        <v>186</v>
      </c>
      <c r="E187" s="367" t="s">
        <v>97</v>
      </c>
      <c r="F187" s="1474" t="s">
        <v>2101</v>
      </c>
      <c r="G187" s="368">
        <f>H187*12</f>
        <v>4327635.96</v>
      </c>
      <c r="H187" s="369">
        <v>360636.33</v>
      </c>
      <c r="I187" s="369">
        <f t="shared" si="101"/>
        <v>42074.2385</v>
      </c>
      <c r="J187" s="369">
        <f>'[16]TEACHING STAFF'!$M$161/2</f>
        <v>5000</v>
      </c>
      <c r="K187" s="369">
        <f>K186</f>
        <v>20833.33</v>
      </c>
      <c r="L187" s="369"/>
      <c r="M187" s="369">
        <f>2500</f>
        <v>2500</v>
      </c>
      <c r="N187" s="369"/>
      <c r="O187" s="369"/>
      <c r="P187" s="369"/>
      <c r="Q187" s="369"/>
      <c r="R187" s="369"/>
      <c r="S187" s="369"/>
      <c r="T187" s="369"/>
      <c r="U187" s="369">
        <f t="shared" si="102"/>
        <v>383.33</v>
      </c>
      <c r="V187" s="369"/>
      <c r="W187" s="373"/>
      <c r="X187" s="369"/>
      <c r="Y187" s="369"/>
      <c r="Z187" s="369"/>
      <c r="AA187" s="369"/>
      <c r="AB187" s="369"/>
      <c r="AC187" s="369"/>
      <c r="AD187" s="376"/>
      <c r="AE187" s="369"/>
      <c r="AF187" s="369"/>
      <c r="AG187" s="376">
        <f t="shared" si="94"/>
        <v>7212.7266</v>
      </c>
      <c r="AH187" s="376"/>
      <c r="AI187" s="387"/>
      <c r="AJ187" s="390">
        <v>1000</v>
      </c>
      <c r="AK187" s="388"/>
      <c r="AL187" s="388"/>
      <c r="AM187" s="389"/>
      <c r="AN187" s="369"/>
      <c r="AO187" s="395">
        <v>2500</v>
      </c>
      <c r="AP187" s="395"/>
      <c r="AQ187" s="395"/>
      <c r="AR187" s="395">
        <f t="shared" si="95"/>
        <v>8628.54457</v>
      </c>
      <c r="AS187" s="396"/>
      <c r="AT187" s="396"/>
      <c r="AU187" s="395">
        <f t="shared" si="96"/>
        <v>61500.6945386667</v>
      </c>
      <c r="AV187" s="395">
        <f t="shared" ref="AV187" si="104">W187+V187+U187+N187+M187+K187+J187+I187+H187</f>
        <v>431427.2285</v>
      </c>
      <c r="AW187" s="395">
        <f>AU187+AR187+AQ187+AO187+AN187+AM187+AK187+AI187+AH187+AG187+AF187+AE187+AD187+AJ187</f>
        <v>80841.9657086667</v>
      </c>
      <c r="AX187" s="395"/>
      <c r="AY187" s="395"/>
      <c r="AZ187" s="395">
        <f t="shared" si="98"/>
        <v>350585.262791333</v>
      </c>
      <c r="BA187" s="405">
        <f t="shared" si="99"/>
        <v>5177126.742</v>
      </c>
      <c r="BB187" s="406">
        <f t="shared" si="76"/>
        <v>1235425.3484</v>
      </c>
      <c r="BC187" s="407">
        <f t="shared" si="100"/>
        <v>0</v>
      </c>
      <c r="BD187" s="408">
        <f t="shared" si="77"/>
        <v>1235425.3484</v>
      </c>
      <c r="BE187" s="411">
        <f t="shared" si="78"/>
        <v>3941701.3936</v>
      </c>
      <c r="BF187" s="406"/>
      <c r="BG187" s="407">
        <f t="shared" si="79"/>
        <v>21000</v>
      </c>
      <c r="BH187" s="407">
        <f t="shared" si="80"/>
        <v>33000</v>
      </c>
      <c r="BI187" s="407">
        <f t="shared" si="81"/>
        <v>75000</v>
      </c>
      <c r="BJ187" s="407">
        <f t="shared" si="82"/>
        <v>95000</v>
      </c>
      <c r="BK187" s="407">
        <f t="shared" si="83"/>
        <v>336000</v>
      </c>
      <c r="BL187" s="407">
        <f t="shared" si="84"/>
        <v>178008.334464</v>
      </c>
      <c r="BM187" s="405">
        <f t="shared" si="85"/>
        <v>738008.334464</v>
      </c>
      <c r="BN187" s="420">
        <f t="shared" si="86"/>
        <v>51771.26742</v>
      </c>
      <c r="BO187" s="421">
        <f t="shared" si="87"/>
        <v>738008.334464</v>
      </c>
      <c r="BP187" s="422">
        <f t="shared" si="88"/>
        <v>61500.6945386667</v>
      </c>
      <c r="BQ187" s="423"/>
      <c r="BR187" s="424"/>
      <c r="BS187" s="425"/>
      <c r="BT187" s="426"/>
      <c r="BU187" s="426"/>
      <c r="BV187" s="427"/>
      <c r="BW187" s="428"/>
    </row>
    <row r="188" ht="15.75"/>
  </sheetData>
  <mergeCells count="1">
    <mergeCell ref="B3:BU3"/>
  </mergeCells>
  <conditionalFormatting sqref="BB2:BC2 BF2:BN2 BR2:BU2 BB5:BC5 BF5:BN5 BR5:BU5 BB7:BC7 BF7:BN7 BR7:BU7 BB9:BC9 BF9:BN9 BR9:BU9 BB11:BC11 BF11:BN11 BR11:BU11 BB13:BC13 BF13:BN13 BR13:BU13 BB15:BC15 BF15:BN15 BR15:BU15 BB17:BC17 BF17:BN17 BR17:BU17 BB19:BC187 BF19:BN187 BR19:BU187">
    <cfRule type="cellIs" dxfId="0" priority="1" stopIfTrue="1" operator="lessThan">
      <formula>0</formula>
    </cfRule>
    <cfRule type="cellIs" dxfId="1" priority="2" stopIfTrue="1" operator="lessThan">
      <formula>0</formula>
    </cfRule>
  </conditionalFormatting>
  <hyperlinks>
    <hyperlink ref="BK1" r:id="rId1" display="next 1.6m @ 21%"/>
    <hyperlink ref="BJ1" r:id="rId2" display="next 500k @ 19%"/>
    <hyperlink ref="BI1" r:id="rId3" display="next 500k @ 15%"/>
    <hyperlink ref="BH1" r:id="rId4" display="next 300k @ 11%"/>
    <hyperlink ref="BG1" r:id="rId5" display="1st 300K @ 7%"/>
    <hyperlink ref="BK4" r:id="rId1" display="next 1.6m @ 21%"/>
    <hyperlink ref="BJ4" r:id="rId2" display="next 500k @ 19%"/>
    <hyperlink ref="BI4" r:id="rId3" display="next 500k @ 15%"/>
    <hyperlink ref="BH4" r:id="rId4" display="next 300k @ 11%"/>
    <hyperlink ref="BG4" r:id="rId5" display="1st 300K @ 7%"/>
    <hyperlink ref="BK6" r:id="rId1" display="next 1.6m @ 21%"/>
    <hyperlink ref="BJ6" r:id="rId2" display="next 500k @ 19%"/>
    <hyperlink ref="BI6" r:id="rId3" display="next 500k @ 15%"/>
    <hyperlink ref="BH6" r:id="rId4" display="next 300k @ 11%"/>
    <hyperlink ref="BG6" r:id="rId5" display="1st 300K @ 7%"/>
    <hyperlink ref="BK8" r:id="rId1" display="next 1.6m @ 21%"/>
    <hyperlink ref="BJ8" r:id="rId2" display="next 500k @ 19%"/>
    <hyperlink ref="BI8" r:id="rId3" display="next 500k @ 15%"/>
    <hyperlink ref="BH8" r:id="rId4" display="next 300k @ 11%"/>
    <hyperlink ref="BG8" r:id="rId5" display="1st 300K @ 7%"/>
    <hyperlink ref="BK10" r:id="rId1" display="next 1.6m @ 21%"/>
    <hyperlink ref="BJ10" r:id="rId2" display="next 500k @ 19%"/>
    <hyperlink ref="BI10" r:id="rId3" display="next 500k @ 15%"/>
    <hyperlink ref="BH10" r:id="rId4" display="next 300k @ 11%"/>
    <hyperlink ref="BG10" r:id="rId5" display="1st 300K @ 7%"/>
    <hyperlink ref="BK12" r:id="rId1" display="next 1.6m @ 21%"/>
    <hyperlink ref="BJ12" r:id="rId2" display="next 500k @ 19%"/>
    <hyperlink ref="BI12" r:id="rId3" display="next 500k @ 15%"/>
    <hyperlink ref="BH12" r:id="rId4" display="next 300k @ 11%"/>
    <hyperlink ref="BG12" r:id="rId5" display="1st 300K @ 7%"/>
    <hyperlink ref="BK14" r:id="rId1" display="next 1.6m @ 21%"/>
    <hyperlink ref="BJ14" r:id="rId2" display="next 500k @ 19%"/>
    <hyperlink ref="BI14" r:id="rId3" display="next 500k @ 15%"/>
    <hyperlink ref="BH14" r:id="rId4" display="next 300k @ 11%"/>
    <hyperlink ref="BG14" r:id="rId5" display="1st 300K @ 7%"/>
    <hyperlink ref="BK16" r:id="rId1" display="next 1.6m @ 21%"/>
    <hyperlink ref="BJ16" r:id="rId2" display="next 500k @ 19%"/>
    <hyperlink ref="BI16" r:id="rId3" display="next 500k @ 15%"/>
    <hyperlink ref="BH16" r:id="rId4" display="next 300k @ 11%"/>
    <hyperlink ref="BG16" r:id="rId5" display="1st 300K @ 7%"/>
    <hyperlink ref="BK18" r:id="rId1" display="next 1.6m @ 21%"/>
    <hyperlink ref="BJ18" r:id="rId2" display="next 500k @ 19%"/>
    <hyperlink ref="BI18" r:id="rId3" display="next 500k @ 15%"/>
    <hyperlink ref="BH18" r:id="rId4" display="next 300k @ 11%"/>
    <hyperlink ref="BG18" r:id="rId5" display="1st 300K @ 7%"/>
  </hyperlinks>
  <pageMargins left="0.7" right="0.7" top="0.75" bottom="0.75" header="0.3" footer="0.3"/>
  <pageSetup paperSize="9" scale="12" orientation="landscape"/>
  <headerFooter/>
  <rowBreaks count="1" manualBreakCount="1">
    <brk id="3" max="67" man="1"/>
  </rowBreaks>
  <colBreaks count="1" manualBreakCount="1">
    <brk id="68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3"/>
  <sheetViews>
    <sheetView view="pageBreakPreview" zoomScale="60" zoomScaleNormal="100" topLeftCell="A363" workbookViewId="0">
      <selection activeCell="C370" sqref="C370"/>
    </sheetView>
  </sheetViews>
  <sheetFormatPr defaultColWidth="8.82857142857143" defaultRowHeight="15" outlineLevelCol="3"/>
  <cols>
    <col min="1" max="1" width="13.3333333333333" customWidth="1"/>
    <col min="2" max="2" width="59.3333333333333" customWidth="1"/>
    <col min="3" max="3" width="30.5047619047619" customWidth="1"/>
    <col min="4" max="4" width="40.6666666666667" customWidth="1"/>
  </cols>
  <sheetData>
    <row r="1" ht="129.75" customHeight="1" spans="1:4">
      <c r="A1" s="215" t="s">
        <v>2104</v>
      </c>
      <c r="B1" s="215"/>
      <c r="C1" s="215"/>
      <c r="D1" s="215"/>
    </row>
    <row r="2" ht="82.5" customHeight="1" spans="1:4">
      <c r="A2" s="216">
        <v>1</v>
      </c>
      <c r="B2" s="217" t="s">
        <v>2105</v>
      </c>
      <c r="C2" s="218">
        <v>864470.491</v>
      </c>
      <c r="D2" s="219">
        <v>17289.40982</v>
      </c>
    </row>
    <row r="3" ht="82.5" customHeight="1" spans="1:4">
      <c r="A3" s="216">
        <v>2</v>
      </c>
      <c r="B3" s="217" t="s">
        <v>2106</v>
      </c>
      <c r="C3" s="218">
        <v>547080.58</v>
      </c>
      <c r="D3" s="219">
        <v>10941.6116</v>
      </c>
    </row>
    <row r="4" ht="82.5" customHeight="1" spans="1:4">
      <c r="A4" s="216">
        <v>3</v>
      </c>
      <c r="B4" s="217" t="s">
        <v>2107</v>
      </c>
      <c r="C4" s="218">
        <v>502913.58</v>
      </c>
      <c r="D4" s="219">
        <v>10058.2716</v>
      </c>
    </row>
    <row r="5" ht="82.5" customHeight="1" spans="1:4">
      <c r="A5" s="216">
        <v>4</v>
      </c>
      <c r="B5" s="217" t="s">
        <v>2108</v>
      </c>
      <c r="C5" s="218">
        <v>233959.43</v>
      </c>
      <c r="D5" s="219">
        <v>4679.1886</v>
      </c>
    </row>
    <row r="6" ht="82.5" customHeight="1" spans="1:4">
      <c r="A6" s="216">
        <v>5</v>
      </c>
      <c r="B6" s="217" t="s">
        <v>2109</v>
      </c>
      <c r="C6" s="218">
        <v>233959.43</v>
      </c>
      <c r="D6" s="219">
        <v>4679.1886</v>
      </c>
    </row>
    <row r="7" ht="82.5" customHeight="1" spans="1:4">
      <c r="A7" s="216">
        <v>6</v>
      </c>
      <c r="B7" s="217" t="s">
        <v>119</v>
      </c>
      <c r="C7" s="218">
        <v>208812.222166667</v>
      </c>
      <c r="D7" s="219">
        <v>4176.24444333333</v>
      </c>
    </row>
    <row r="8" ht="82.5" customHeight="1" spans="1:4">
      <c r="A8" s="216">
        <v>7</v>
      </c>
      <c r="B8" s="217" t="s">
        <v>2002</v>
      </c>
      <c r="C8" s="218">
        <v>156407.813333333</v>
      </c>
      <c r="D8" s="219">
        <v>3128.15626666667</v>
      </c>
    </row>
    <row r="9" ht="82.5" customHeight="1" spans="1:4">
      <c r="A9" s="216">
        <v>8</v>
      </c>
      <c r="B9" s="217" t="s">
        <v>129</v>
      </c>
      <c r="C9" s="218">
        <v>156407.813333333</v>
      </c>
      <c r="D9" s="219">
        <v>3128.15626666667</v>
      </c>
    </row>
    <row r="10" ht="82.5" customHeight="1" spans="1:4">
      <c r="A10" s="216">
        <v>9</v>
      </c>
      <c r="B10" s="217" t="s">
        <v>132</v>
      </c>
      <c r="C10" s="218">
        <v>167145.222166667</v>
      </c>
      <c r="D10" s="219">
        <v>3342.90444333333</v>
      </c>
    </row>
    <row r="11" ht="82.5" customHeight="1" spans="1:4">
      <c r="A11" s="216">
        <v>10</v>
      </c>
      <c r="B11" s="217" t="s">
        <v>2110</v>
      </c>
      <c r="C11" s="218">
        <v>167145.222166667</v>
      </c>
      <c r="D11" s="219">
        <v>3342.90444333333</v>
      </c>
    </row>
    <row r="12" ht="82.5" customHeight="1" spans="1:4">
      <c r="A12" s="216">
        <v>11</v>
      </c>
      <c r="B12" s="217" t="s">
        <v>2111</v>
      </c>
      <c r="C12" s="218">
        <v>167145.222166667</v>
      </c>
      <c r="D12" s="219">
        <v>3342.90444333333</v>
      </c>
    </row>
    <row r="13" ht="82.5" customHeight="1" spans="1:4">
      <c r="A13" s="216">
        <v>12</v>
      </c>
      <c r="B13" s="217" t="s">
        <v>2112</v>
      </c>
      <c r="C13" s="218">
        <v>213200.460333333</v>
      </c>
      <c r="D13" s="219">
        <v>4264.00920666667</v>
      </c>
    </row>
    <row r="14" ht="82.5" customHeight="1" spans="1:4">
      <c r="A14" s="216">
        <v>13</v>
      </c>
      <c r="B14" s="217" t="s">
        <v>2113</v>
      </c>
      <c r="C14" s="218">
        <v>171533.800333333</v>
      </c>
      <c r="D14" s="219">
        <v>3430.67600666667</v>
      </c>
    </row>
    <row r="15" ht="82.5" customHeight="1" spans="1:4">
      <c r="A15" s="216">
        <v>14</v>
      </c>
      <c r="B15" s="217" t="s">
        <v>2114</v>
      </c>
      <c r="C15" s="218">
        <v>131929.38</v>
      </c>
      <c r="D15" s="219">
        <v>2638.5876</v>
      </c>
    </row>
    <row r="16" ht="82.5" customHeight="1" spans="1:4">
      <c r="A16" s="216">
        <v>15</v>
      </c>
      <c r="B16" s="217" t="s">
        <v>244</v>
      </c>
      <c r="C16" s="218">
        <v>131929.38</v>
      </c>
      <c r="D16" s="219">
        <v>2638.5876</v>
      </c>
    </row>
    <row r="17" ht="82.5" customHeight="1" spans="1:4">
      <c r="A17" s="216">
        <v>16</v>
      </c>
      <c r="B17" s="217" t="s">
        <v>2115</v>
      </c>
      <c r="C17" s="218">
        <v>188762.75</v>
      </c>
      <c r="D17" s="219">
        <v>3775.255</v>
      </c>
    </row>
    <row r="18" ht="82.5" customHeight="1" spans="1:4">
      <c r="A18" s="216">
        <v>17</v>
      </c>
      <c r="B18" s="217" t="s">
        <v>2116</v>
      </c>
      <c r="C18" s="218">
        <v>71846.21</v>
      </c>
      <c r="D18" s="219">
        <v>1436.9242</v>
      </c>
    </row>
    <row r="19" ht="82.5" customHeight="1" spans="1:4">
      <c r="A19" s="216">
        <v>18</v>
      </c>
      <c r="B19" s="217" t="s">
        <v>2117</v>
      </c>
      <c r="C19" s="218">
        <v>156407.813333333</v>
      </c>
      <c r="D19" s="219">
        <v>3128.15626666667</v>
      </c>
    </row>
    <row r="20" ht="82.5" customHeight="1" spans="1:4">
      <c r="A20" s="216">
        <v>19</v>
      </c>
      <c r="B20" s="217" t="s">
        <v>152</v>
      </c>
      <c r="C20" s="218">
        <v>156407.813333333</v>
      </c>
      <c r="D20" s="219">
        <v>3128.15626666667</v>
      </c>
    </row>
    <row r="21" ht="82.5" customHeight="1" spans="1:4">
      <c r="A21" s="216">
        <v>20</v>
      </c>
      <c r="B21" s="217" t="s">
        <v>154</v>
      </c>
      <c r="C21" s="218">
        <v>156407.813333333</v>
      </c>
      <c r="D21" s="219">
        <v>3128.15626666667</v>
      </c>
    </row>
    <row r="22" ht="82.5" customHeight="1" spans="1:4">
      <c r="A22" s="216">
        <v>21</v>
      </c>
      <c r="B22" s="217" t="s">
        <v>2007</v>
      </c>
      <c r="C22" s="218">
        <v>156407.813333333</v>
      </c>
      <c r="D22" s="219">
        <v>3128.15626666667</v>
      </c>
    </row>
    <row r="23" ht="82.5" customHeight="1" spans="1:4">
      <c r="A23" s="216">
        <v>22</v>
      </c>
      <c r="B23" s="217" t="s">
        <v>159</v>
      </c>
      <c r="C23" s="218">
        <v>156407.813333333</v>
      </c>
      <c r="D23" s="219">
        <v>3128.15626666667</v>
      </c>
    </row>
    <row r="24" ht="82.5" customHeight="1" spans="1:4">
      <c r="A24" s="216">
        <v>23</v>
      </c>
      <c r="B24" s="217" t="s">
        <v>163</v>
      </c>
      <c r="C24" s="218">
        <v>156407.813333333</v>
      </c>
      <c r="D24" s="219">
        <v>3128.15626666667</v>
      </c>
    </row>
    <row r="25" ht="82.5" customHeight="1" spans="1:4">
      <c r="A25" s="216">
        <v>24</v>
      </c>
      <c r="B25" s="217" t="s">
        <v>166</v>
      </c>
      <c r="C25" s="218">
        <v>217978.552166667</v>
      </c>
      <c r="D25" s="219">
        <v>4359.57104333333</v>
      </c>
    </row>
    <row r="26" ht="82.5" customHeight="1" spans="1:4">
      <c r="A26" s="216">
        <v>25</v>
      </c>
      <c r="B26" s="217" t="s">
        <v>2118</v>
      </c>
      <c r="C26" s="218">
        <v>175922.490166667</v>
      </c>
      <c r="D26" s="219">
        <v>3518.44980333333</v>
      </c>
    </row>
    <row r="27" ht="82.5" customHeight="1" spans="1:4">
      <c r="A27" s="216">
        <v>26</v>
      </c>
      <c r="B27" s="217" t="s">
        <v>180</v>
      </c>
      <c r="C27" s="218">
        <v>156407.813333333</v>
      </c>
      <c r="D27" s="219">
        <v>3128.15626666667</v>
      </c>
    </row>
    <row r="28" ht="82.5" customHeight="1" spans="1:4">
      <c r="A28" s="216">
        <v>27</v>
      </c>
      <c r="B28" s="217" t="s">
        <v>182</v>
      </c>
      <c r="C28" s="218">
        <v>177241.143333333</v>
      </c>
      <c r="D28" s="219">
        <v>3544.82286666667</v>
      </c>
    </row>
    <row r="29" ht="82.5" customHeight="1" spans="1:4">
      <c r="A29" s="216">
        <v>28</v>
      </c>
      <c r="B29" s="217" t="s">
        <v>184</v>
      </c>
      <c r="C29" s="218">
        <v>175922.490166667</v>
      </c>
      <c r="D29" s="219">
        <v>3518.44980333333</v>
      </c>
    </row>
    <row r="30" ht="82.5" customHeight="1" spans="1:4">
      <c r="A30" s="216">
        <v>29</v>
      </c>
      <c r="B30" s="217" t="s">
        <v>187</v>
      </c>
      <c r="C30" s="218">
        <v>175922.490166667</v>
      </c>
      <c r="D30" s="219">
        <v>3518.44980333333</v>
      </c>
    </row>
    <row r="31" ht="82.5" customHeight="1" spans="1:4">
      <c r="A31" s="216">
        <v>30</v>
      </c>
      <c r="B31" s="217" t="s">
        <v>2119</v>
      </c>
      <c r="C31" s="218">
        <v>175922.490166667</v>
      </c>
      <c r="D31" s="219">
        <v>3518.44980333333</v>
      </c>
    </row>
    <row r="32" ht="82.5" customHeight="1" spans="1:4">
      <c r="A32" s="216">
        <v>31</v>
      </c>
      <c r="B32" s="217" t="s">
        <v>190</v>
      </c>
      <c r="C32" s="218">
        <v>217589.490166667</v>
      </c>
      <c r="D32" s="219">
        <v>4351.78980333333</v>
      </c>
    </row>
    <row r="33" ht="82.5" customHeight="1" spans="1:4">
      <c r="A33" s="216">
        <v>32</v>
      </c>
      <c r="B33" s="217" t="s">
        <v>2120</v>
      </c>
      <c r="C33" s="218">
        <v>201144.51</v>
      </c>
      <c r="D33" s="219">
        <v>4022.8902</v>
      </c>
    </row>
    <row r="34" ht="82.5" customHeight="1" spans="1:4">
      <c r="A34" s="216">
        <v>33</v>
      </c>
      <c r="B34" s="217" t="s">
        <v>193</v>
      </c>
      <c r="C34" s="218">
        <v>137119.909166667</v>
      </c>
      <c r="D34" s="219">
        <v>2742.39818333333</v>
      </c>
    </row>
    <row r="35" ht="82.5" customHeight="1" spans="1:4">
      <c r="A35" s="216">
        <v>34</v>
      </c>
      <c r="B35" s="217" t="s">
        <v>211</v>
      </c>
      <c r="C35" s="218">
        <v>137119.909166667</v>
      </c>
      <c r="D35" s="219">
        <v>2742.39818333333</v>
      </c>
    </row>
    <row r="36" ht="82.5" customHeight="1" spans="1:4">
      <c r="A36" s="216">
        <v>35</v>
      </c>
      <c r="B36" s="217" t="s">
        <v>222</v>
      </c>
      <c r="C36" s="218">
        <v>209877.252666667</v>
      </c>
      <c r="D36" s="219">
        <v>4197.54505333333</v>
      </c>
    </row>
    <row r="37" ht="82.5" customHeight="1" spans="1:4">
      <c r="A37" s="216">
        <v>36</v>
      </c>
      <c r="B37" s="217" t="s">
        <v>224</v>
      </c>
      <c r="C37" s="218">
        <v>349507.5345</v>
      </c>
      <c r="D37" s="219">
        <v>6990.15069</v>
      </c>
    </row>
    <row r="38" ht="82.5" customHeight="1" spans="1:4">
      <c r="A38" s="216">
        <v>37</v>
      </c>
      <c r="B38" s="217" t="s">
        <v>2019</v>
      </c>
      <c r="C38" s="218">
        <v>131929.38</v>
      </c>
      <c r="D38" s="219">
        <v>2638.5876</v>
      </c>
    </row>
    <row r="39" ht="82.5" customHeight="1" spans="1:4">
      <c r="A39" s="216">
        <v>38</v>
      </c>
      <c r="B39" s="217" t="s">
        <v>248</v>
      </c>
      <c r="C39" s="218">
        <v>351495.566166667</v>
      </c>
      <c r="D39" s="219">
        <v>7029.91132333333</v>
      </c>
    </row>
    <row r="40" ht="82.5" customHeight="1" spans="1:4">
      <c r="A40" s="216">
        <v>39</v>
      </c>
      <c r="B40" s="217" t="s">
        <v>2121</v>
      </c>
      <c r="C40" s="218">
        <v>155609.96</v>
      </c>
      <c r="D40" s="219">
        <v>3112.1992</v>
      </c>
    </row>
    <row r="41" ht="82.5" customHeight="1" spans="1:4">
      <c r="A41" s="216">
        <v>40</v>
      </c>
      <c r="B41" s="217" t="s">
        <v>2122</v>
      </c>
      <c r="C41" s="218">
        <v>131929.37</v>
      </c>
      <c r="D41" s="219">
        <v>2638.5874</v>
      </c>
    </row>
    <row r="42" ht="82.5" customHeight="1" spans="1:4">
      <c r="A42" s="216">
        <v>41</v>
      </c>
      <c r="B42" s="217" t="s">
        <v>2123</v>
      </c>
      <c r="C42" s="218">
        <v>171575.22</v>
      </c>
      <c r="D42" s="219">
        <v>3431.5044</v>
      </c>
    </row>
    <row r="43" ht="82.5" customHeight="1" spans="1:4">
      <c r="A43" s="216">
        <v>42</v>
      </c>
      <c r="B43" s="217" t="s">
        <v>2124</v>
      </c>
      <c r="C43" s="218">
        <v>188762.75</v>
      </c>
      <c r="D43" s="219">
        <v>3775.255</v>
      </c>
    </row>
    <row r="44" ht="82.5" customHeight="1" spans="1:4">
      <c r="A44" s="216">
        <v>43</v>
      </c>
      <c r="B44" s="217" t="s">
        <v>2125</v>
      </c>
      <c r="C44" s="218">
        <v>353581.08</v>
      </c>
      <c r="D44" s="219">
        <v>7071.6216</v>
      </c>
    </row>
    <row r="45" ht="82.5" customHeight="1" spans="1:4">
      <c r="A45" s="216">
        <v>44</v>
      </c>
      <c r="B45" s="217" t="s">
        <v>256</v>
      </c>
      <c r="C45" s="218">
        <v>425215.536</v>
      </c>
      <c r="D45" s="219">
        <v>8504.31072</v>
      </c>
    </row>
    <row r="46" ht="82.5" customHeight="1" spans="1:4">
      <c r="A46" s="216">
        <v>45</v>
      </c>
      <c r="B46" s="217" t="s">
        <v>260</v>
      </c>
      <c r="C46" s="218">
        <v>223893.284166667</v>
      </c>
      <c r="D46" s="219">
        <v>4477.86568333333</v>
      </c>
    </row>
    <row r="47" ht="82.5" customHeight="1" spans="1:4">
      <c r="A47" s="216">
        <v>46</v>
      </c>
      <c r="B47" s="217" t="s">
        <v>262</v>
      </c>
      <c r="C47" s="218">
        <v>255710.582666667</v>
      </c>
      <c r="D47" s="219">
        <v>5114.21165333333</v>
      </c>
    </row>
    <row r="48" ht="82.5" customHeight="1" spans="1:4">
      <c r="A48" s="216">
        <v>47</v>
      </c>
      <c r="B48" s="217" t="s">
        <v>265</v>
      </c>
      <c r="C48" s="218">
        <v>274726.145166667</v>
      </c>
      <c r="D48" s="219">
        <v>5494.52290333333</v>
      </c>
    </row>
    <row r="49" ht="82.5" customHeight="1" spans="1:4">
      <c r="A49" s="216">
        <v>48</v>
      </c>
      <c r="B49" s="217" t="s">
        <v>268</v>
      </c>
      <c r="C49" s="218">
        <v>177241.143333333</v>
      </c>
      <c r="D49" s="219">
        <v>3544.82286666667</v>
      </c>
    </row>
    <row r="50" ht="82.5" customHeight="1" spans="1:4">
      <c r="A50" s="216">
        <v>49</v>
      </c>
      <c r="B50" s="217" t="s">
        <v>2035</v>
      </c>
      <c r="C50" s="218">
        <v>156407.813333333</v>
      </c>
      <c r="D50" s="219">
        <v>3128.15626666667</v>
      </c>
    </row>
    <row r="51" ht="82.5" customHeight="1" spans="1:4">
      <c r="A51" s="216">
        <v>50</v>
      </c>
      <c r="B51" s="217" t="s">
        <v>271</v>
      </c>
      <c r="C51" s="218">
        <v>156407.813333333</v>
      </c>
      <c r="D51" s="219">
        <v>3128.15626666667</v>
      </c>
    </row>
    <row r="52" ht="82.5" customHeight="1" spans="1:4">
      <c r="A52" s="216">
        <v>51</v>
      </c>
      <c r="B52" s="217" t="s">
        <v>274</v>
      </c>
      <c r="C52" s="218">
        <v>156407.813333333</v>
      </c>
      <c r="D52" s="219">
        <v>3128.15626666667</v>
      </c>
    </row>
    <row r="53" ht="82.5" customHeight="1" spans="1:4">
      <c r="A53" s="216">
        <v>52</v>
      </c>
      <c r="B53" s="217" t="s">
        <v>278</v>
      </c>
      <c r="C53" s="218">
        <v>156407.813333333</v>
      </c>
      <c r="D53" s="219">
        <v>3128.15626666667</v>
      </c>
    </row>
    <row r="54" ht="82.5" customHeight="1" spans="1:4">
      <c r="A54" s="216">
        <v>53</v>
      </c>
      <c r="B54" s="217" t="s">
        <v>282</v>
      </c>
      <c r="C54" s="218">
        <v>156407.813333333</v>
      </c>
      <c r="D54" s="219">
        <v>3128.15626666667</v>
      </c>
    </row>
    <row r="55" ht="82.5" customHeight="1" spans="1:4">
      <c r="A55" s="216">
        <v>54</v>
      </c>
      <c r="B55" s="217" t="s">
        <v>285</v>
      </c>
      <c r="C55" s="218">
        <v>207241.143333333</v>
      </c>
      <c r="D55" s="219">
        <v>4144.82286666667</v>
      </c>
    </row>
    <row r="56" ht="82.5" customHeight="1" spans="1:4">
      <c r="A56" s="216">
        <v>55</v>
      </c>
      <c r="B56" s="217" t="s">
        <v>289</v>
      </c>
      <c r="C56" s="218">
        <v>156407.813333333</v>
      </c>
      <c r="D56" s="219">
        <v>3128.15626666667</v>
      </c>
    </row>
    <row r="57" ht="82.5" customHeight="1" spans="1:4">
      <c r="A57" s="216">
        <v>56</v>
      </c>
      <c r="B57" s="217" t="s">
        <v>290</v>
      </c>
      <c r="C57" s="218">
        <v>156407.813333333</v>
      </c>
      <c r="D57" s="219">
        <v>3128.15626666667</v>
      </c>
    </row>
    <row r="58" ht="82.5" customHeight="1" spans="1:4">
      <c r="A58" s="216">
        <v>57</v>
      </c>
      <c r="B58" s="217" t="s">
        <v>2126</v>
      </c>
      <c r="C58" s="218">
        <v>167145.222166667</v>
      </c>
      <c r="D58" s="219">
        <v>3342.90444333333</v>
      </c>
    </row>
    <row r="59" ht="82.5" customHeight="1" spans="1:4">
      <c r="A59" s="216">
        <v>58</v>
      </c>
      <c r="B59" s="217" t="s">
        <v>293</v>
      </c>
      <c r="C59" s="218">
        <v>156407.813333333</v>
      </c>
      <c r="D59" s="219">
        <v>3128.15626666667</v>
      </c>
    </row>
    <row r="60" ht="82.5" customHeight="1" spans="1:4">
      <c r="A60" s="216">
        <v>59</v>
      </c>
      <c r="B60" s="217" t="s">
        <v>296</v>
      </c>
      <c r="C60" s="218">
        <v>156407.813333333</v>
      </c>
      <c r="D60" s="219">
        <v>3128.15626666667</v>
      </c>
    </row>
    <row r="61" ht="82.5" customHeight="1" spans="1:4">
      <c r="A61" s="216">
        <v>60</v>
      </c>
      <c r="B61" s="217" t="s">
        <v>299</v>
      </c>
      <c r="C61" s="218">
        <v>156407.813333333</v>
      </c>
      <c r="D61" s="219">
        <v>3128.15626666667</v>
      </c>
    </row>
    <row r="62" ht="82.5" customHeight="1" spans="1:4">
      <c r="A62" s="216">
        <v>61</v>
      </c>
      <c r="B62" s="217" t="s">
        <v>300</v>
      </c>
      <c r="C62" s="218">
        <v>156407.813333333</v>
      </c>
      <c r="D62" s="219">
        <v>3128.15626666667</v>
      </c>
    </row>
    <row r="63" ht="82.5" customHeight="1" spans="1:4">
      <c r="A63" s="216">
        <v>62</v>
      </c>
      <c r="B63" s="217" t="s">
        <v>310</v>
      </c>
      <c r="C63" s="218">
        <v>156407.813333333</v>
      </c>
      <c r="D63" s="219">
        <v>3128.15626666667</v>
      </c>
    </row>
    <row r="64" ht="82.5" customHeight="1" spans="1:4">
      <c r="A64" s="216">
        <v>63</v>
      </c>
      <c r="B64" s="217" t="s">
        <v>314</v>
      </c>
      <c r="C64" s="218">
        <v>156407.813333333</v>
      </c>
      <c r="D64" s="219">
        <v>3128.15626666667</v>
      </c>
    </row>
    <row r="65" ht="82.5" customHeight="1" spans="1:4">
      <c r="A65" s="216">
        <v>64</v>
      </c>
      <c r="B65" s="217" t="s">
        <v>316</v>
      </c>
      <c r="C65" s="218">
        <v>156407.813333333</v>
      </c>
      <c r="D65" s="219">
        <v>3128.15626666667</v>
      </c>
    </row>
    <row r="66" ht="82.5" customHeight="1" spans="1:4">
      <c r="A66" s="216">
        <v>65</v>
      </c>
      <c r="B66" s="217" t="s">
        <v>318</v>
      </c>
      <c r="C66" s="218">
        <v>156407.813333333</v>
      </c>
      <c r="D66" s="219">
        <v>3128.15626666667</v>
      </c>
    </row>
    <row r="67" ht="82.5" customHeight="1" spans="1:4">
      <c r="A67" s="216">
        <v>66</v>
      </c>
      <c r="B67" s="217" t="s">
        <v>320</v>
      </c>
      <c r="C67" s="218">
        <v>156407.813333333</v>
      </c>
      <c r="D67" s="219">
        <v>3128.15626666667</v>
      </c>
    </row>
    <row r="68" ht="82.5" customHeight="1" spans="1:4">
      <c r="A68" s="216">
        <v>67</v>
      </c>
      <c r="B68" s="217" t="s">
        <v>321</v>
      </c>
      <c r="C68" s="218">
        <v>156407.813333333</v>
      </c>
      <c r="D68" s="219">
        <v>3128.15626666667</v>
      </c>
    </row>
    <row r="69" ht="82.5" customHeight="1" spans="1:4">
      <c r="A69" s="216">
        <v>68</v>
      </c>
      <c r="B69" s="217" t="s">
        <v>323</v>
      </c>
      <c r="C69" s="218">
        <v>156407.813333333</v>
      </c>
      <c r="D69" s="219">
        <v>3128.15626666667</v>
      </c>
    </row>
    <row r="70" ht="82.5" customHeight="1" spans="1:4">
      <c r="A70" s="216">
        <v>69</v>
      </c>
      <c r="B70" s="217" t="s">
        <v>324</v>
      </c>
      <c r="C70" s="218">
        <v>156407.813333333</v>
      </c>
      <c r="D70" s="219">
        <v>3128.15626666667</v>
      </c>
    </row>
    <row r="71" ht="82.5" customHeight="1" spans="1:4">
      <c r="A71" s="216">
        <v>70</v>
      </c>
      <c r="B71" s="217" t="s">
        <v>326</v>
      </c>
      <c r="C71" s="218">
        <v>156407.813333333</v>
      </c>
      <c r="D71" s="219">
        <v>3128.15626666667</v>
      </c>
    </row>
    <row r="72" ht="82.5" customHeight="1" spans="1:4">
      <c r="A72" s="216">
        <v>71</v>
      </c>
      <c r="B72" s="217" t="s">
        <v>327</v>
      </c>
      <c r="C72" s="218">
        <v>156407.813333333</v>
      </c>
      <c r="D72" s="219">
        <v>3128.15626666667</v>
      </c>
    </row>
    <row r="73" ht="82.5" customHeight="1" spans="1:4">
      <c r="A73" s="216">
        <v>72</v>
      </c>
      <c r="B73" s="217" t="s">
        <v>2127</v>
      </c>
      <c r="C73" s="218">
        <v>167145.222166667</v>
      </c>
      <c r="D73" s="219">
        <v>3342.90444333333</v>
      </c>
    </row>
    <row r="74" ht="82.5" customHeight="1" spans="1:4">
      <c r="A74" s="216">
        <v>73</v>
      </c>
      <c r="B74" s="217" t="s">
        <v>330</v>
      </c>
      <c r="C74" s="218">
        <v>372007.8745</v>
      </c>
      <c r="D74" s="219">
        <v>7440.15749</v>
      </c>
    </row>
    <row r="75" ht="82.5" customHeight="1" spans="1:4">
      <c r="A75" s="216">
        <v>74</v>
      </c>
      <c r="B75" s="217" t="s">
        <v>334</v>
      </c>
      <c r="C75" s="218">
        <v>372007.8745</v>
      </c>
      <c r="D75" s="219">
        <v>7440.15749</v>
      </c>
    </row>
    <row r="76" ht="82.5" customHeight="1" spans="1:4">
      <c r="A76" s="216">
        <v>75</v>
      </c>
      <c r="B76" s="217" t="s">
        <v>2046</v>
      </c>
      <c r="C76" s="218">
        <v>151873.84</v>
      </c>
      <c r="D76" s="219">
        <v>3037.4768</v>
      </c>
    </row>
    <row r="77" ht="82.5" customHeight="1" spans="1:4">
      <c r="A77" s="216">
        <v>76</v>
      </c>
      <c r="B77" s="217" t="s">
        <v>2128</v>
      </c>
      <c r="C77" s="218">
        <v>160346.08</v>
      </c>
      <c r="D77" s="219">
        <v>3206.9216</v>
      </c>
    </row>
    <row r="78" ht="82.5" customHeight="1" spans="1:4">
      <c r="A78" s="216">
        <v>77</v>
      </c>
      <c r="B78" s="217" t="s">
        <v>2129</v>
      </c>
      <c r="C78" s="218">
        <v>220612.71</v>
      </c>
      <c r="D78" s="219">
        <v>4412.2542</v>
      </c>
    </row>
    <row r="79" ht="82.5" customHeight="1" spans="1:4">
      <c r="A79" s="216">
        <v>78</v>
      </c>
      <c r="B79" s="217" t="s">
        <v>2130</v>
      </c>
      <c r="C79" s="218">
        <v>194473.88</v>
      </c>
      <c r="D79" s="219">
        <v>3889.4776</v>
      </c>
    </row>
    <row r="80" ht="82.5" customHeight="1" spans="1:4">
      <c r="A80" s="216">
        <v>79</v>
      </c>
      <c r="B80" s="217" t="s">
        <v>339</v>
      </c>
      <c r="C80" s="218">
        <v>553255.816666667</v>
      </c>
      <c r="D80" s="219">
        <v>11065.1163333333</v>
      </c>
    </row>
    <row r="81" ht="82.5" customHeight="1" spans="1:4">
      <c r="A81" s="216">
        <v>80</v>
      </c>
      <c r="B81" s="217" t="s">
        <v>345</v>
      </c>
      <c r="C81" s="218">
        <v>351174.2045</v>
      </c>
      <c r="D81" s="219">
        <v>7023.48409</v>
      </c>
    </row>
    <row r="82" ht="82.5" customHeight="1" spans="1:4">
      <c r="A82" s="216">
        <v>81</v>
      </c>
      <c r="B82" s="217" t="s">
        <v>2131</v>
      </c>
      <c r="C82" s="218">
        <v>351174.2045</v>
      </c>
      <c r="D82" s="219">
        <v>7023.48409</v>
      </c>
    </row>
    <row r="83" ht="82.5" customHeight="1" spans="1:4">
      <c r="A83" s="216">
        <v>82</v>
      </c>
      <c r="B83" s="217" t="s">
        <v>349</v>
      </c>
      <c r="C83" s="218">
        <v>156407.813333333</v>
      </c>
      <c r="D83" s="219">
        <v>3128.15626666667</v>
      </c>
    </row>
    <row r="84" ht="82.5" customHeight="1" spans="1:4">
      <c r="A84" s="216">
        <v>83</v>
      </c>
      <c r="B84" s="217" t="s">
        <v>351</v>
      </c>
      <c r="C84" s="218">
        <v>137119.909166667</v>
      </c>
      <c r="D84" s="219">
        <v>2742.39818333333</v>
      </c>
    </row>
    <row r="85" ht="82.5" customHeight="1" spans="1:4">
      <c r="A85" s="216">
        <v>84</v>
      </c>
      <c r="B85" s="217" t="s">
        <v>355</v>
      </c>
      <c r="C85" s="218">
        <v>156407.813333333</v>
      </c>
      <c r="D85" s="219">
        <v>3128.15626666667</v>
      </c>
    </row>
    <row r="86" ht="82.5" customHeight="1" spans="1:4">
      <c r="A86" s="216">
        <v>85</v>
      </c>
      <c r="B86" s="217" t="s">
        <v>357</v>
      </c>
      <c r="C86" s="218">
        <v>156407.813333333</v>
      </c>
      <c r="D86" s="219">
        <v>3128.15626666667</v>
      </c>
    </row>
    <row r="87" ht="82.5" customHeight="1" spans="1:4">
      <c r="A87" s="216">
        <v>86</v>
      </c>
      <c r="B87" s="217" t="s">
        <v>2132</v>
      </c>
      <c r="C87" s="218">
        <v>167145.222166667</v>
      </c>
      <c r="D87" s="219">
        <v>3342.90444333333</v>
      </c>
    </row>
    <row r="88" ht="82.5" customHeight="1" spans="1:4">
      <c r="A88" s="216">
        <v>87</v>
      </c>
      <c r="B88" s="217" t="s">
        <v>365</v>
      </c>
      <c r="C88" s="218">
        <v>156407.813333333</v>
      </c>
      <c r="D88" s="219">
        <v>3128.15626666667</v>
      </c>
    </row>
    <row r="89" ht="82.5" customHeight="1" spans="1:4">
      <c r="A89" s="216">
        <v>88</v>
      </c>
      <c r="B89" s="217" t="s">
        <v>2051</v>
      </c>
      <c r="C89" s="218">
        <v>177241.143333333</v>
      </c>
      <c r="D89" s="219">
        <v>3544.82286666667</v>
      </c>
    </row>
    <row r="90" ht="82.5" customHeight="1" spans="1:4">
      <c r="A90" s="216">
        <v>89</v>
      </c>
      <c r="B90" s="217" t="s">
        <v>369</v>
      </c>
      <c r="C90" s="218">
        <v>175922.490166667</v>
      </c>
      <c r="D90" s="219">
        <v>3518.44980333333</v>
      </c>
    </row>
    <row r="91" ht="82.5" customHeight="1" spans="1:4">
      <c r="A91" s="216">
        <v>90</v>
      </c>
      <c r="B91" s="217" t="s">
        <v>2052</v>
      </c>
      <c r="C91" s="218">
        <v>177241.143333333</v>
      </c>
      <c r="D91" s="219">
        <v>3544.82286666667</v>
      </c>
    </row>
    <row r="92" ht="82.5" customHeight="1" spans="1:4">
      <c r="A92" s="216">
        <v>91</v>
      </c>
      <c r="B92" s="217" t="s">
        <v>371</v>
      </c>
      <c r="C92" s="218">
        <v>340596.858666667</v>
      </c>
      <c r="D92" s="219">
        <v>6811.93717333333</v>
      </c>
    </row>
    <row r="93" ht="82.5" customHeight="1" spans="1:4">
      <c r="A93" s="216">
        <v>92</v>
      </c>
      <c r="B93" s="217" t="s">
        <v>2133</v>
      </c>
      <c r="C93" s="218">
        <v>155609.95</v>
      </c>
      <c r="D93" s="219">
        <v>3112.199</v>
      </c>
    </row>
    <row r="94" ht="82.5" customHeight="1" spans="1:4">
      <c r="A94" s="216">
        <v>93</v>
      </c>
      <c r="B94" s="217" t="s">
        <v>2053</v>
      </c>
      <c r="C94" s="218">
        <v>171533.800333333</v>
      </c>
      <c r="D94" s="219">
        <v>3430.67600666667</v>
      </c>
    </row>
    <row r="95" ht="82.5" customHeight="1" spans="1:4">
      <c r="A95" s="216">
        <v>94</v>
      </c>
      <c r="B95" s="217" t="s">
        <v>373</v>
      </c>
      <c r="C95" s="218">
        <v>148329.656833333</v>
      </c>
      <c r="D95" s="219">
        <v>2966.59313666667</v>
      </c>
    </row>
    <row r="96" ht="82.5" customHeight="1" spans="1:4">
      <c r="A96" s="216">
        <v>95</v>
      </c>
      <c r="B96" s="217" t="s">
        <v>2134</v>
      </c>
      <c r="C96" s="218">
        <v>473303.74</v>
      </c>
      <c r="D96" s="219">
        <v>9466.0748</v>
      </c>
    </row>
    <row r="97" ht="82.5" customHeight="1" spans="1:4">
      <c r="A97" s="216">
        <v>96</v>
      </c>
      <c r="B97" s="217" t="s">
        <v>382</v>
      </c>
      <c r="C97" s="218">
        <v>148329.656833333</v>
      </c>
      <c r="D97" s="219">
        <v>2966.59313666667</v>
      </c>
    </row>
    <row r="98" ht="82.5" customHeight="1" spans="1:4">
      <c r="A98" s="216">
        <v>97</v>
      </c>
      <c r="B98" s="217" t="s">
        <v>388</v>
      </c>
      <c r="C98" s="218">
        <v>148329.656833333</v>
      </c>
      <c r="D98" s="219">
        <v>2966.59313666667</v>
      </c>
    </row>
    <row r="99" ht="82.5" customHeight="1" spans="1:4">
      <c r="A99" s="216">
        <v>98</v>
      </c>
      <c r="B99" s="217" t="s">
        <v>392</v>
      </c>
      <c r="C99" s="218">
        <v>328352.943333333</v>
      </c>
      <c r="D99" s="219">
        <v>6567.05886666667</v>
      </c>
    </row>
    <row r="100" ht="82.5" customHeight="1" spans="1:4">
      <c r="A100" s="216">
        <v>99</v>
      </c>
      <c r="B100" s="217" t="s">
        <v>393</v>
      </c>
      <c r="C100" s="218">
        <v>209841.519333333</v>
      </c>
      <c r="D100" s="219">
        <v>4196.83038666667</v>
      </c>
    </row>
    <row r="101" ht="82.5" customHeight="1" spans="1:4">
      <c r="A101" s="216">
        <v>100</v>
      </c>
      <c r="B101" s="217" t="s">
        <v>396</v>
      </c>
      <c r="C101" s="218">
        <v>209841.519333333</v>
      </c>
      <c r="D101" s="219">
        <v>4196.83038666667</v>
      </c>
    </row>
    <row r="102" ht="82.5" customHeight="1" spans="1:4">
      <c r="A102" s="216">
        <v>101</v>
      </c>
      <c r="B102" s="217" t="s">
        <v>403</v>
      </c>
      <c r="C102" s="218">
        <v>167145.222166667</v>
      </c>
      <c r="D102" s="219">
        <v>3342.90444333333</v>
      </c>
    </row>
    <row r="103" ht="82.5" customHeight="1" spans="1:4">
      <c r="A103" s="216">
        <v>102</v>
      </c>
      <c r="B103" s="217" t="s">
        <v>404</v>
      </c>
      <c r="C103" s="218">
        <v>209841.519333333</v>
      </c>
      <c r="D103" s="219">
        <v>4196.83038666667</v>
      </c>
    </row>
    <row r="104" ht="82.5" customHeight="1" spans="1:4">
      <c r="A104" s="216">
        <v>103</v>
      </c>
      <c r="B104" s="217" t="s">
        <v>406</v>
      </c>
      <c r="C104" s="218">
        <v>167145.222166667</v>
      </c>
      <c r="D104" s="219">
        <v>3342.90444333333</v>
      </c>
    </row>
    <row r="105" ht="82.5" customHeight="1" spans="1:4">
      <c r="A105" s="216">
        <v>104</v>
      </c>
      <c r="B105" s="217" t="s">
        <v>2135</v>
      </c>
      <c r="C105" s="218">
        <v>167145.222166667</v>
      </c>
      <c r="D105" s="219">
        <v>3342.90444333333</v>
      </c>
    </row>
    <row r="106" ht="82.5" customHeight="1" spans="1:4">
      <c r="A106" s="216">
        <v>105</v>
      </c>
      <c r="B106" s="217" t="s">
        <v>2065</v>
      </c>
      <c r="C106" s="218">
        <v>167145.222166667</v>
      </c>
      <c r="D106" s="219">
        <v>3342.90444333333</v>
      </c>
    </row>
    <row r="107" ht="82.5" customHeight="1" spans="1:4">
      <c r="A107" s="216">
        <v>106</v>
      </c>
      <c r="B107" s="217" t="s">
        <v>408</v>
      </c>
      <c r="C107" s="218">
        <v>148329.656833333</v>
      </c>
      <c r="D107" s="219">
        <v>2966.59313666667</v>
      </c>
    </row>
    <row r="108" ht="82.5" customHeight="1" spans="1:4">
      <c r="A108" s="216">
        <v>107</v>
      </c>
      <c r="B108" s="217" t="s">
        <v>410</v>
      </c>
      <c r="C108" s="218">
        <v>148329.656833333</v>
      </c>
      <c r="D108" s="219">
        <v>2966.59313666667</v>
      </c>
    </row>
    <row r="109" ht="82.5" customHeight="1" spans="1:4">
      <c r="A109" s="216">
        <v>108</v>
      </c>
      <c r="B109" s="217" t="s">
        <v>412</v>
      </c>
      <c r="C109" s="218">
        <v>167145.211</v>
      </c>
      <c r="D109" s="219">
        <v>3342.90422</v>
      </c>
    </row>
    <row r="110" ht="82.5" customHeight="1" spans="1:4">
      <c r="A110" s="216">
        <v>109</v>
      </c>
      <c r="B110" s="217" t="s">
        <v>413</v>
      </c>
      <c r="C110" s="218">
        <v>167145.211</v>
      </c>
      <c r="D110" s="219">
        <v>3342.90422</v>
      </c>
    </row>
    <row r="111" ht="82.5" customHeight="1" spans="1:4">
      <c r="A111" s="216">
        <v>110</v>
      </c>
      <c r="B111" s="217" t="s">
        <v>414</v>
      </c>
      <c r="C111" s="218">
        <v>167145.211</v>
      </c>
      <c r="D111" s="219">
        <v>3342.90422</v>
      </c>
    </row>
    <row r="112" ht="82.5" customHeight="1" spans="1:4">
      <c r="A112" s="216">
        <v>111</v>
      </c>
      <c r="B112" s="217" t="s">
        <v>423</v>
      </c>
      <c r="C112" s="218">
        <v>167145.211</v>
      </c>
      <c r="D112" s="219">
        <v>3342.90422</v>
      </c>
    </row>
    <row r="113" ht="82.5" customHeight="1" spans="1:4">
      <c r="A113" s="216">
        <v>112</v>
      </c>
      <c r="B113" s="220" t="s">
        <v>425</v>
      </c>
      <c r="C113" s="218">
        <v>209841.519333333</v>
      </c>
      <c r="D113" s="219">
        <v>4196.83038666667</v>
      </c>
    </row>
    <row r="114" ht="82.5" customHeight="1" spans="1:4">
      <c r="A114" s="216">
        <v>113</v>
      </c>
      <c r="B114" s="217" t="s">
        <v>428</v>
      </c>
      <c r="C114" s="218">
        <v>167145.211</v>
      </c>
      <c r="D114" s="219">
        <v>3342.90422</v>
      </c>
    </row>
    <row r="115" ht="82.5" customHeight="1" spans="1:4">
      <c r="A115" s="216">
        <v>114</v>
      </c>
      <c r="B115" s="217" t="s">
        <v>429</v>
      </c>
      <c r="C115" s="218">
        <v>167145.211</v>
      </c>
      <c r="D115" s="219">
        <v>3342.90422</v>
      </c>
    </row>
    <row r="116" ht="82.5" customHeight="1" spans="1:4">
      <c r="A116" s="216">
        <v>115</v>
      </c>
      <c r="B116" s="217" t="s">
        <v>433</v>
      </c>
      <c r="C116" s="218">
        <v>167145.211</v>
      </c>
      <c r="D116" s="219">
        <v>3342.90422</v>
      </c>
    </row>
    <row r="117" ht="82.5" customHeight="1" spans="1:4">
      <c r="A117" s="216">
        <v>116</v>
      </c>
      <c r="B117" s="217" t="s">
        <v>437</v>
      </c>
      <c r="C117" s="218">
        <v>167145.211</v>
      </c>
      <c r="D117" s="219">
        <v>3342.90422</v>
      </c>
    </row>
    <row r="118" ht="82.5" customHeight="1" spans="1:4">
      <c r="A118" s="216">
        <v>117</v>
      </c>
      <c r="B118" s="217" t="s">
        <v>438</v>
      </c>
      <c r="C118" s="218">
        <v>73106.499</v>
      </c>
      <c r="D118" s="219">
        <v>1462.12998</v>
      </c>
    </row>
    <row r="119" ht="82.5" customHeight="1" spans="1:4">
      <c r="A119" s="216">
        <v>118</v>
      </c>
      <c r="B119" s="217" t="s">
        <v>441</v>
      </c>
      <c r="C119" s="218">
        <v>73106.499</v>
      </c>
      <c r="D119" s="219">
        <v>1462.12998</v>
      </c>
    </row>
    <row r="120" ht="82.5" customHeight="1" spans="1:4">
      <c r="A120" s="216">
        <v>119</v>
      </c>
      <c r="B120" s="217" t="s">
        <v>451</v>
      </c>
      <c r="C120" s="218">
        <v>167145.211</v>
      </c>
      <c r="D120" s="219">
        <v>3342.90422</v>
      </c>
    </row>
    <row r="121" ht="82.5" customHeight="1" spans="1:4">
      <c r="A121" s="216">
        <v>120</v>
      </c>
      <c r="B121" s="217" t="s">
        <v>452</v>
      </c>
      <c r="C121" s="218">
        <v>167145.211</v>
      </c>
      <c r="D121" s="219">
        <v>3342.90422</v>
      </c>
    </row>
    <row r="122" ht="82.5" customHeight="1" spans="1:4">
      <c r="A122" s="216">
        <v>121</v>
      </c>
      <c r="B122" s="217" t="s">
        <v>2069</v>
      </c>
      <c r="C122" s="218">
        <v>167145.211</v>
      </c>
      <c r="D122" s="219">
        <v>3342.90422</v>
      </c>
    </row>
    <row r="123" ht="82.5" customHeight="1" spans="1:4">
      <c r="A123" s="216">
        <v>122</v>
      </c>
      <c r="B123" s="217" t="s">
        <v>2136</v>
      </c>
      <c r="C123" s="218">
        <v>167145.211</v>
      </c>
      <c r="D123" s="219">
        <v>3342.90422</v>
      </c>
    </row>
    <row r="124" ht="82.5" customHeight="1" spans="1:4">
      <c r="A124" s="216">
        <v>123</v>
      </c>
      <c r="B124" s="217" t="s">
        <v>455</v>
      </c>
      <c r="C124" s="218">
        <v>167145.211</v>
      </c>
      <c r="D124" s="219">
        <v>3342.90422</v>
      </c>
    </row>
    <row r="125" ht="82.5" customHeight="1" spans="1:4">
      <c r="A125" s="216">
        <v>124</v>
      </c>
      <c r="B125" s="217" t="s">
        <v>462</v>
      </c>
      <c r="C125" s="218">
        <v>148329.656833333</v>
      </c>
      <c r="D125" s="219">
        <v>2966.59313666667</v>
      </c>
    </row>
    <row r="126" ht="82.5" customHeight="1" spans="1:4">
      <c r="A126" s="216">
        <v>125</v>
      </c>
      <c r="B126" s="217" t="s">
        <v>464</v>
      </c>
      <c r="C126" s="218">
        <v>148329.656833333</v>
      </c>
      <c r="D126" s="219">
        <v>2966.59313666667</v>
      </c>
    </row>
    <row r="127" ht="82.5" customHeight="1" spans="1:4">
      <c r="A127" s="216">
        <v>126</v>
      </c>
      <c r="B127" s="217" t="s">
        <v>468</v>
      </c>
      <c r="C127" s="218">
        <v>148329.656833333</v>
      </c>
      <c r="D127" s="219">
        <v>2966.59313666667</v>
      </c>
    </row>
    <row r="128" ht="82.5" customHeight="1" spans="1:4">
      <c r="A128" s="216">
        <v>127</v>
      </c>
      <c r="B128" s="217" t="s">
        <v>470</v>
      </c>
      <c r="C128" s="218">
        <v>148329.656833333</v>
      </c>
      <c r="D128" s="219">
        <v>2966.59313666667</v>
      </c>
    </row>
    <row r="129" ht="82.5" customHeight="1" spans="1:4">
      <c r="A129" s="216">
        <v>128</v>
      </c>
      <c r="B129" s="217" t="s">
        <v>2074</v>
      </c>
      <c r="C129" s="218">
        <v>148329.656833333</v>
      </c>
      <c r="D129" s="219">
        <v>2966.59313666667</v>
      </c>
    </row>
    <row r="130" ht="82.5" customHeight="1" spans="1:4">
      <c r="A130" s="216">
        <v>129</v>
      </c>
      <c r="B130" s="217" t="s">
        <v>475</v>
      </c>
      <c r="C130" s="218">
        <v>148329.656833333</v>
      </c>
      <c r="D130" s="219">
        <v>2966.59313666667</v>
      </c>
    </row>
    <row r="131" ht="82.5" customHeight="1" spans="1:4">
      <c r="A131" s="216">
        <v>130</v>
      </c>
      <c r="B131" s="217" t="s">
        <v>2076</v>
      </c>
      <c r="C131" s="218">
        <v>148329.656833333</v>
      </c>
      <c r="D131" s="219">
        <v>2966.59313666667</v>
      </c>
    </row>
    <row r="132" ht="82.5" customHeight="1" spans="1:4">
      <c r="A132" s="216">
        <v>131</v>
      </c>
      <c r="B132" s="217" t="s">
        <v>477</v>
      </c>
      <c r="C132" s="218">
        <v>130256.496166667</v>
      </c>
      <c r="D132" s="219">
        <v>2605.12992333333</v>
      </c>
    </row>
    <row r="133" ht="82.5" customHeight="1" spans="1:4">
      <c r="A133" s="216">
        <v>132</v>
      </c>
      <c r="B133" s="217" t="s">
        <v>478</v>
      </c>
      <c r="C133" s="218">
        <v>130256.496166667</v>
      </c>
      <c r="D133" s="219">
        <v>2605.12992333333</v>
      </c>
    </row>
    <row r="134" ht="82.5" customHeight="1" spans="1:4">
      <c r="A134" s="216">
        <v>133</v>
      </c>
      <c r="B134" s="217" t="s">
        <v>479</v>
      </c>
      <c r="C134" s="218">
        <v>130256.496166667</v>
      </c>
      <c r="D134" s="219">
        <v>2605.12992333333</v>
      </c>
    </row>
    <row r="135" ht="82.5" customHeight="1" spans="1:4">
      <c r="A135" s="216">
        <v>134</v>
      </c>
      <c r="B135" s="217" t="s">
        <v>2077</v>
      </c>
      <c r="C135" s="218">
        <v>130256.496166667</v>
      </c>
      <c r="D135" s="219">
        <v>2605.12992333333</v>
      </c>
    </row>
    <row r="136" ht="82.5" customHeight="1" spans="1:4">
      <c r="A136" s="216">
        <v>135</v>
      </c>
      <c r="B136" s="217" t="s">
        <v>484</v>
      </c>
      <c r="C136" s="218">
        <v>148329.656833333</v>
      </c>
      <c r="D136" s="219">
        <v>2966.59313666667</v>
      </c>
    </row>
    <row r="137" ht="82.5" customHeight="1" spans="1:4">
      <c r="A137" s="216">
        <v>136</v>
      </c>
      <c r="B137" s="217" t="s">
        <v>485</v>
      </c>
      <c r="C137" s="218">
        <v>148329.656833333</v>
      </c>
      <c r="D137" s="219">
        <v>2966.59313666667</v>
      </c>
    </row>
    <row r="138" ht="82.5" customHeight="1" spans="1:4">
      <c r="A138" s="216">
        <v>137</v>
      </c>
      <c r="B138" s="217" t="s">
        <v>2080</v>
      </c>
      <c r="C138" s="218">
        <v>130256.496166667</v>
      </c>
      <c r="D138" s="219">
        <v>2605.12992333333</v>
      </c>
    </row>
    <row r="139" ht="82.5" customHeight="1" spans="1:4">
      <c r="A139" s="216">
        <v>138</v>
      </c>
      <c r="B139" s="217" t="s">
        <v>490</v>
      </c>
      <c r="C139" s="218">
        <v>148329.656833333</v>
      </c>
      <c r="D139" s="219">
        <v>2966.59313666667</v>
      </c>
    </row>
    <row r="140" ht="82.5" customHeight="1" spans="1:4">
      <c r="A140" s="216">
        <v>139</v>
      </c>
      <c r="B140" s="217" t="s">
        <v>2081</v>
      </c>
      <c r="C140" s="218">
        <v>130256.496166667</v>
      </c>
      <c r="D140" s="219">
        <v>2605.12992333333</v>
      </c>
    </row>
    <row r="141" ht="82.5" customHeight="1" spans="1:4">
      <c r="A141" s="216">
        <v>140</v>
      </c>
      <c r="B141" s="217" t="s">
        <v>507</v>
      </c>
      <c r="C141" s="218">
        <v>130256.496166667</v>
      </c>
      <c r="D141" s="219">
        <v>2605.12992333333</v>
      </c>
    </row>
    <row r="142" ht="82.5" customHeight="1" spans="1:4">
      <c r="A142" s="216">
        <v>141</v>
      </c>
      <c r="B142" s="217" t="s">
        <v>512</v>
      </c>
      <c r="C142" s="218">
        <v>148329.656833333</v>
      </c>
      <c r="D142" s="219">
        <v>2966.59313666667</v>
      </c>
    </row>
    <row r="143" ht="82.5" customHeight="1" spans="1:4">
      <c r="A143" s="216">
        <v>142</v>
      </c>
      <c r="B143" s="217" t="s">
        <v>2085</v>
      </c>
      <c r="C143" s="218">
        <v>152257.16</v>
      </c>
      <c r="D143" s="219">
        <v>3045.1432</v>
      </c>
    </row>
    <row r="144" ht="82.5" customHeight="1" spans="1:4">
      <c r="A144" s="216">
        <v>143</v>
      </c>
      <c r="B144" s="217" t="s">
        <v>2137</v>
      </c>
      <c r="C144" s="218">
        <v>467716.3</v>
      </c>
      <c r="D144" s="219">
        <v>9354.326</v>
      </c>
    </row>
    <row r="145" ht="82.5" customHeight="1" spans="1:4">
      <c r="A145" s="216">
        <v>144</v>
      </c>
      <c r="B145" s="217" t="s">
        <v>2138</v>
      </c>
      <c r="C145" s="218">
        <v>571136.819833333</v>
      </c>
      <c r="D145" s="219">
        <v>11422.7363966667</v>
      </c>
    </row>
    <row r="146" ht="82.5" customHeight="1" spans="1:4">
      <c r="A146" s="216">
        <v>145</v>
      </c>
      <c r="B146" s="217" t="s">
        <v>2139</v>
      </c>
      <c r="C146" s="218">
        <v>547463.9</v>
      </c>
      <c r="D146" s="219">
        <v>10949.278</v>
      </c>
    </row>
    <row r="147" ht="82.5" customHeight="1" spans="1:4">
      <c r="A147" s="216">
        <v>146</v>
      </c>
      <c r="B147" s="217" t="s">
        <v>2140</v>
      </c>
      <c r="C147" s="218">
        <v>151873.83</v>
      </c>
      <c r="D147" s="219">
        <v>3037.4766</v>
      </c>
    </row>
    <row r="148" ht="82.5" customHeight="1" spans="1:4">
      <c r="A148" s="216">
        <v>147</v>
      </c>
      <c r="B148" s="217" t="s">
        <v>2141</v>
      </c>
      <c r="C148" s="218">
        <v>150568.71</v>
      </c>
      <c r="D148" s="219">
        <v>3011.3742</v>
      </c>
    </row>
    <row r="149" ht="82.5" customHeight="1" spans="1:4">
      <c r="A149" s="216">
        <v>148</v>
      </c>
      <c r="B149" s="217" t="s">
        <v>2142</v>
      </c>
      <c r="C149" s="218">
        <v>150568.71</v>
      </c>
      <c r="D149" s="219">
        <v>3011.3742</v>
      </c>
    </row>
    <row r="150" ht="82.5" customHeight="1" spans="1:4">
      <c r="A150" s="216">
        <v>149</v>
      </c>
      <c r="B150" s="217" t="s">
        <v>2143</v>
      </c>
      <c r="C150" s="218">
        <v>141401.58</v>
      </c>
      <c r="D150" s="219">
        <v>2828.0316</v>
      </c>
    </row>
    <row r="151" ht="82.5" customHeight="1" spans="1:4">
      <c r="A151" s="216">
        <v>150</v>
      </c>
      <c r="B151" s="217" t="s">
        <v>2144</v>
      </c>
      <c r="C151" s="218">
        <v>171575.05</v>
      </c>
      <c r="D151" s="219">
        <v>3431.501</v>
      </c>
    </row>
    <row r="152" ht="82.5" customHeight="1" spans="1:4">
      <c r="A152" s="216">
        <v>151</v>
      </c>
      <c r="B152" s="217" t="s">
        <v>517</v>
      </c>
      <c r="C152" s="218">
        <v>157296.33</v>
      </c>
      <c r="D152" s="219">
        <v>3145.9266</v>
      </c>
    </row>
    <row r="153" ht="82.5" customHeight="1" spans="1:4">
      <c r="A153" s="216">
        <v>152</v>
      </c>
      <c r="B153" s="217" t="s">
        <v>521</v>
      </c>
      <c r="C153" s="218">
        <v>167145.212166667</v>
      </c>
      <c r="D153" s="219">
        <v>3342.90424333333</v>
      </c>
    </row>
    <row r="154" ht="82.5" customHeight="1" spans="1:4">
      <c r="A154" s="216">
        <v>153</v>
      </c>
      <c r="B154" s="217" t="s">
        <v>2145</v>
      </c>
      <c r="C154" s="218">
        <v>213961.955</v>
      </c>
      <c r="D154" s="219">
        <v>4279.2391</v>
      </c>
    </row>
    <row r="155" ht="82.5" customHeight="1" spans="1:4">
      <c r="A155" s="216">
        <v>154</v>
      </c>
      <c r="B155" s="217" t="s">
        <v>2021</v>
      </c>
      <c r="C155" s="218">
        <v>136277.95</v>
      </c>
      <c r="D155" s="219">
        <v>2725.559</v>
      </c>
    </row>
    <row r="156" ht="82.5" customHeight="1" spans="1:4">
      <c r="A156" s="216">
        <v>155</v>
      </c>
      <c r="B156" s="217" t="s">
        <v>2146</v>
      </c>
      <c r="C156" s="218">
        <v>67194.955</v>
      </c>
      <c r="D156" s="219">
        <v>1343.8991</v>
      </c>
    </row>
    <row r="157" ht="82.5" customHeight="1" spans="1:4">
      <c r="A157" s="216">
        <v>156</v>
      </c>
      <c r="B157" s="217" t="s">
        <v>2147</v>
      </c>
      <c r="C157" s="218">
        <v>303747.66</v>
      </c>
      <c r="D157" s="219">
        <v>6074.9532</v>
      </c>
    </row>
    <row r="158" ht="82.5" customHeight="1" spans="1:4">
      <c r="A158" s="216">
        <v>157</v>
      </c>
      <c r="B158" s="217" t="s">
        <v>2148</v>
      </c>
      <c r="C158" s="218">
        <v>167145.211</v>
      </c>
      <c r="D158" s="219">
        <v>3342.90422</v>
      </c>
    </row>
    <row r="159" ht="82.5" customHeight="1" spans="1:4">
      <c r="A159" s="216">
        <v>165</v>
      </c>
      <c r="B159" s="217" t="s">
        <v>2149</v>
      </c>
      <c r="C159" s="218">
        <v>745399.072</v>
      </c>
      <c r="D159" s="219">
        <v>14907.98144</v>
      </c>
    </row>
    <row r="160" ht="131.25" customHeight="1" spans="1:4">
      <c r="A160" s="221"/>
      <c r="B160" s="222" t="s">
        <v>867</v>
      </c>
      <c r="C160" s="223">
        <f>SUM(C2:C159)</f>
        <v>31660010.6803333</v>
      </c>
      <c r="D160" s="223">
        <f>SUM(D2:D159)</f>
        <v>633200.213606667</v>
      </c>
    </row>
    <row r="161" ht="82.5" customHeight="1" spans="1:4">
      <c r="A161" s="224" t="s">
        <v>2150</v>
      </c>
      <c r="B161" s="225"/>
      <c r="C161" s="225"/>
      <c r="D161" s="226"/>
    </row>
    <row r="162" ht="82.5" customHeight="1" spans="1:4">
      <c r="A162" s="227">
        <v>166</v>
      </c>
      <c r="B162" s="217" t="s">
        <v>1519</v>
      </c>
      <c r="C162" s="228" t="e">
        <f>#REF!+#REF!+#REF!+#REF!+#REF!+#REF!+#REF!+#REF!+#REF!+#REF!+#REF!+#REF!+#REF!</f>
        <v>#REF!</v>
      </c>
      <c r="D162" s="229" t="e">
        <f>C162*0.02</f>
        <v>#REF!</v>
      </c>
    </row>
    <row r="163" ht="82.5" customHeight="1" spans="1:4">
      <c r="A163" s="227">
        <v>167</v>
      </c>
      <c r="B163" s="217" t="s">
        <v>869</v>
      </c>
      <c r="C163" s="228" t="e">
        <f>#REF!+#REF!+#REF!+#REF!+#REF!+#REF!+#REF!+#REF!+#REF!+#REF!+#REF!+#REF!+#REF!</f>
        <v>#REF!</v>
      </c>
      <c r="D163" s="229">
        <v>2655.4182</v>
      </c>
    </row>
    <row r="164" ht="82.5" customHeight="1" spans="1:4">
      <c r="A164" s="227">
        <v>168</v>
      </c>
      <c r="B164" s="217" t="s">
        <v>2151</v>
      </c>
      <c r="C164" s="228" t="e">
        <f>#REF!+#REF!+#REF!+#REF!+#REF!+#REF!+#REF!+#REF!+#REF!+#REF!+#REF!+#REF!+#REF!</f>
        <v>#REF!</v>
      </c>
      <c r="D164" s="229">
        <v>2655.4182</v>
      </c>
    </row>
    <row r="165" ht="82.5" customHeight="1" spans="1:4">
      <c r="A165" s="227">
        <v>169</v>
      </c>
      <c r="B165" s="217" t="s">
        <v>2152</v>
      </c>
      <c r="C165" s="228" t="e">
        <f>#REF!+#REF!+#REF!+#REF!+#REF!+#REF!+#REF!+#REF!+#REF!+#REF!+#REF!+#REF!+#REF!</f>
        <v>#REF!</v>
      </c>
      <c r="D165" s="229">
        <v>2532.4916</v>
      </c>
    </row>
    <row r="166" ht="82.5" customHeight="1" spans="1:4">
      <c r="A166" s="227">
        <v>170</v>
      </c>
      <c r="B166" s="217" t="s">
        <v>870</v>
      </c>
      <c r="C166" s="228" t="e">
        <f>#REF!+#REF!+#REF!+#REF!+#REF!+#REF!+#REF!+#REF!+#REF!+#REF!+#REF!+#REF!+#REF!</f>
        <v>#REF!</v>
      </c>
      <c r="D166" s="229">
        <v>2655.4182</v>
      </c>
    </row>
    <row r="167" ht="82.5" customHeight="1" spans="1:4">
      <c r="A167" s="227">
        <v>171</v>
      </c>
      <c r="B167" s="217" t="s">
        <v>872</v>
      </c>
      <c r="C167" s="228" t="e">
        <f>#REF!+#REF!+#REF!+#REF!+#REF!+#REF!+#REF!+#REF!+#REF!+#REF!+#REF!+#REF!+#REF!</f>
        <v>#REF!</v>
      </c>
      <c r="D167" s="229">
        <v>2733.7482</v>
      </c>
    </row>
    <row r="168" ht="82.5" customHeight="1" spans="1:4">
      <c r="A168" s="227">
        <v>172</v>
      </c>
      <c r="B168" s="217" t="s">
        <v>875</v>
      </c>
      <c r="C168" s="228" t="e">
        <f>#REF!+#REF!+#REF!+#REF!+#REF!+#REF!+#REF!+#REF!+#REF!+#REF!+#REF!+#REF!</f>
        <v>#REF!</v>
      </c>
      <c r="D168" s="229">
        <v>2655.4182</v>
      </c>
    </row>
    <row r="169" ht="82.5" customHeight="1" spans="1:4">
      <c r="A169" s="227">
        <v>173</v>
      </c>
      <c r="B169" s="217" t="s">
        <v>876</v>
      </c>
      <c r="C169" s="228" t="e">
        <f>#REF!+#REF!+#REF!+#REF!+#REF!+#REF!+#REF!+#REF!+#REF!+#REF!+#REF!+#REF!</f>
        <v>#REF!</v>
      </c>
      <c r="D169" s="229">
        <v>2629.0932</v>
      </c>
    </row>
    <row r="170" ht="82.5" customHeight="1" spans="1:4">
      <c r="A170" s="227">
        <v>174</v>
      </c>
      <c r="B170" s="217" t="s">
        <v>878</v>
      </c>
      <c r="C170" s="228" t="e">
        <f>#REF!+#REF!+#REF!+#REF!+#REF!+#REF!+#REF!+#REF!+#REF!+#REF!+#REF!+#REF!</f>
        <v>#REF!</v>
      </c>
      <c r="D170" s="229">
        <v>2379.0932</v>
      </c>
    </row>
    <row r="171" ht="82.5" customHeight="1" spans="1:4">
      <c r="A171" s="227">
        <v>175</v>
      </c>
      <c r="B171" s="217" t="s">
        <v>880</v>
      </c>
      <c r="C171" s="228" t="e">
        <f>#REF!+#REF!+#REF!+#REF!+#REF!+#REF!+#REF!+#REF!+#REF!+#REF!+#REF!+#REF!</f>
        <v>#REF!</v>
      </c>
      <c r="D171" s="229">
        <v>2379.0932</v>
      </c>
    </row>
    <row r="172" ht="82.5" customHeight="1" spans="1:4">
      <c r="A172" s="227">
        <v>176</v>
      </c>
      <c r="B172" s="217" t="s">
        <v>881</v>
      </c>
      <c r="C172" s="228" t="e">
        <f>#REF!+#REF!+#REF!+#REF!+#REF!+#REF!+#REF!+#REF!+#REF!+#REF!+#REF!+#REF!</f>
        <v>#REF!</v>
      </c>
      <c r="D172" s="229">
        <v>2629.0932</v>
      </c>
    </row>
    <row r="173" ht="82.5" customHeight="1" spans="1:4">
      <c r="A173" s="227">
        <v>177</v>
      </c>
      <c r="B173" s="217" t="s">
        <v>882</v>
      </c>
      <c r="C173" s="228" t="e">
        <f>#REF!+#REF!+#REF!+#REF!+#REF!+#REF!+#REF!+#REF!+#REF!+#REF!+#REF!+#REF!</f>
        <v>#REF!</v>
      </c>
      <c r="D173" s="229">
        <v>2629.0932</v>
      </c>
    </row>
    <row r="174" ht="82.5" customHeight="1" spans="1:4">
      <c r="A174" s="227">
        <v>178</v>
      </c>
      <c r="B174" s="217" t="s">
        <v>883</v>
      </c>
      <c r="C174" s="228" t="e">
        <f>#REF!+#REF!+#REF!+#REF!+#REF!+#REF!+#REF!+#REF!+#REF!+#REF!+#REF!+#REF!</f>
        <v>#REF!</v>
      </c>
      <c r="D174" s="229">
        <v>743.1616</v>
      </c>
    </row>
    <row r="175" ht="82.5" customHeight="1" spans="1:4">
      <c r="A175" s="227">
        <v>179</v>
      </c>
      <c r="B175" s="217" t="s">
        <v>885</v>
      </c>
      <c r="C175" s="228" t="e">
        <f>#REF!+#REF!+#REF!+#REF!+#REF!+#REF!+#REF!+#REF!+#REF!+#REF!+#REF!+#REF!</f>
        <v>#REF!</v>
      </c>
      <c r="D175" s="229">
        <v>743.1616</v>
      </c>
    </row>
    <row r="176" ht="82.5" customHeight="1" spans="1:4">
      <c r="A176" s="227">
        <v>180</v>
      </c>
      <c r="B176" s="217" t="s">
        <v>1840</v>
      </c>
      <c r="C176" s="228" t="e">
        <f>#REF!+#REF!+#REF!+#REF!+#REF!+#REF!+#REF!+#REF!+#REF!+#REF!+#REF!+#REF!</f>
        <v>#REF!</v>
      </c>
      <c r="D176" s="229">
        <v>743.1616</v>
      </c>
    </row>
    <row r="177" ht="82.5" customHeight="1" spans="1:4">
      <c r="A177" s="227">
        <v>181</v>
      </c>
      <c r="B177" s="217" t="s">
        <v>888</v>
      </c>
      <c r="C177" s="228" t="e">
        <f>#REF!+#REF!+#REF!+#REF!+#REF!+#REF!+#REF!+#REF!+#REF!+#REF!+#REF!+#REF!</f>
        <v>#REF!</v>
      </c>
      <c r="D177" s="229">
        <v>743.1616</v>
      </c>
    </row>
    <row r="178" ht="82.5" customHeight="1" spans="1:4">
      <c r="A178" s="227">
        <v>182</v>
      </c>
      <c r="B178" s="217" t="s">
        <v>2153</v>
      </c>
      <c r="C178" s="228" t="e">
        <f>#REF!+#REF!+#REF!+#REF!+#REF!+#REF!+#REF!+#REF!+#REF!+#REF!+#REF!+#REF!</f>
        <v>#REF!</v>
      </c>
      <c r="D178" s="229">
        <v>10615.9382</v>
      </c>
    </row>
    <row r="179" ht="82.5" customHeight="1" spans="1:4">
      <c r="A179" s="227">
        <v>183</v>
      </c>
      <c r="B179" s="217" t="s">
        <v>2154</v>
      </c>
      <c r="C179" s="228" t="e">
        <f>#REF!+#REF!+#REF!+#REF!+#REF!+#REF!+#REF!+#REF!+#REF!+#REF!+#REF!+#REF!</f>
        <v>#REF!</v>
      </c>
      <c r="D179" s="229">
        <v>21134.40322</v>
      </c>
    </row>
    <row r="180" ht="82.5" customHeight="1" spans="1:4">
      <c r="A180" s="227">
        <v>184</v>
      </c>
      <c r="B180" s="217" t="s">
        <v>2155</v>
      </c>
      <c r="C180" s="228" t="e">
        <f>#REF!+#REF!+#REF!+#REF!+#REF!+#REF!+#REF!+#REF!+#REF!+#REF!+#REF!+#REF!</f>
        <v>#REF!</v>
      </c>
      <c r="D180" s="229">
        <v>21134.40322</v>
      </c>
    </row>
    <row r="181" ht="82.5" customHeight="1" spans="1:4">
      <c r="A181" s="227">
        <v>185</v>
      </c>
      <c r="B181" s="217" t="s">
        <v>2156</v>
      </c>
      <c r="C181" s="228" t="e">
        <f>#REF!+#REF!+#REF!+#REF!+#REF!+#REF!+#REF!+#REF!+#REF!+#REF!+#REF!+#REF!</f>
        <v>#REF!</v>
      </c>
      <c r="D181" s="229">
        <v>21134.40322</v>
      </c>
    </row>
    <row r="182" ht="82.5" customHeight="1" spans="1:4">
      <c r="A182" s="227">
        <v>186</v>
      </c>
      <c r="B182" s="217" t="s">
        <v>2157</v>
      </c>
      <c r="C182" s="228" t="e">
        <f>#REF!+#REF!+#REF!+#REF!+#REF!+#REF!+#REF!+#REF!+#REF!+#REF!+#REF!+#REF!</f>
        <v>#REF!</v>
      </c>
      <c r="D182" s="229">
        <v>21134.40322</v>
      </c>
    </row>
    <row r="183" ht="82.5" customHeight="1" spans="1:4">
      <c r="A183" s="227">
        <v>187</v>
      </c>
      <c r="B183" s="217" t="s">
        <v>894</v>
      </c>
      <c r="C183" s="228" t="e">
        <f>#REF!+#REF!+#REF!+#REF!+#REF!+#REF!+#REF!+#REF!+#REF!+#REF!+#REF!+#REF!</f>
        <v>#REF!</v>
      </c>
      <c r="D183" s="229">
        <v>5253.7482</v>
      </c>
    </row>
    <row r="184" ht="82.5" customHeight="1" spans="1:4">
      <c r="A184" s="227">
        <v>188</v>
      </c>
      <c r="B184" s="217" t="s">
        <v>896</v>
      </c>
      <c r="C184" s="228" t="e">
        <f>#REF!+#REF!+#REF!+#REF!+#REF!+#REF!+#REF!+#REF!+#REF!+#REF!+#REF!+#REF!</f>
        <v>#REF!</v>
      </c>
      <c r="D184" s="229">
        <v>5253.7482</v>
      </c>
    </row>
    <row r="185" ht="82.5" customHeight="1" spans="1:4">
      <c r="A185" s="227">
        <v>189</v>
      </c>
      <c r="B185" s="217" t="s">
        <v>898</v>
      </c>
      <c r="C185" s="228" t="e">
        <f>#REF!+#REF!+#REF!+#REF!+#REF!+#REF!+#REF!+#REF!+#REF!+#REF!+#REF!+#REF!</f>
        <v>#REF!</v>
      </c>
      <c r="D185" s="229">
        <v>1932.4916</v>
      </c>
    </row>
    <row r="186" ht="82.5" customHeight="1" spans="1:4">
      <c r="A186" s="227">
        <v>190</v>
      </c>
      <c r="B186" s="217" t="s">
        <v>901</v>
      </c>
      <c r="C186" s="228" t="e">
        <f>#REF!+#REF!+#REF!+#REF!+#REF!+#REF!+#REF!+#REF!+#REF!+#REF!+#REF!+#REF!</f>
        <v>#REF!</v>
      </c>
      <c r="D186" s="229">
        <v>2608.5882</v>
      </c>
    </row>
    <row r="187" ht="82.5" customHeight="1" spans="1:4">
      <c r="A187" s="227">
        <v>191</v>
      </c>
      <c r="B187" s="217" t="s">
        <v>903</v>
      </c>
      <c r="C187" s="228" t="e">
        <f>#REF!+#REF!+#REF!+#REF!+#REF!+#REF!+#REF!+#REF!+#REF!+#REF!+#REF!+#REF!</f>
        <v>#REF!</v>
      </c>
      <c r="D187" s="229">
        <v>3503.1548</v>
      </c>
    </row>
    <row r="188" ht="82.5" customHeight="1" spans="1:4">
      <c r="A188" s="227">
        <v>192</v>
      </c>
      <c r="B188" s="217" t="s">
        <v>2158</v>
      </c>
      <c r="C188" s="228" t="e">
        <f>#REF!+#REF!+#REF!+#REF!+#REF!+#REF!+#REF!+#REF!+#REF!+#REF!+#REF!+#REF!</f>
        <v>#REF!</v>
      </c>
      <c r="D188" s="229">
        <v>2812.3548</v>
      </c>
    </row>
    <row r="189" ht="82.5" customHeight="1" spans="1:4">
      <c r="A189" s="227">
        <v>193</v>
      </c>
      <c r="B189" s="217" t="s">
        <v>905</v>
      </c>
      <c r="C189" s="228" t="e">
        <f>#REF!+#REF!+#REF!+#REF!+#REF!+#REF!+#REF!+#REF!+#REF!+#REF!+#REF!+#REF!</f>
        <v>#REF!</v>
      </c>
      <c r="D189" s="229">
        <v>4232.3496</v>
      </c>
    </row>
    <row r="190" ht="82.5" customHeight="1" spans="1:4">
      <c r="A190" s="227">
        <v>194</v>
      </c>
      <c r="B190" s="217" t="s">
        <v>907</v>
      </c>
      <c r="C190" s="228" t="e">
        <f>#REF!+#REF!+#REF!+#REF!+#REF!+#REF!+#REF!+#REF!+#REF!+#REF!+#REF!+#REF!</f>
        <v>#REF!</v>
      </c>
      <c r="D190" s="229">
        <v>2379.0932</v>
      </c>
    </row>
    <row r="191" ht="82.5" customHeight="1" spans="1:4">
      <c r="A191" s="227">
        <v>195</v>
      </c>
      <c r="B191" s="217" t="s">
        <v>908</v>
      </c>
      <c r="C191" s="228" t="e">
        <f>#REF!+#REF!+#REF!+#REF!+#REF!+#REF!+#REF!+#REF!+#REF!+#REF!+#REF!+#REF!</f>
        <v>#REF!</v>
      </c>
      <c r="D191" s="229">
        <v>6651.66950666667</v>
      </c>
    </row>
    <row r="192" ht="82.5" customHeight="1" spans="1:4">
      <c r="A192" s="227">
        <v>196</v>
      </c>
      <c r="B192" s="217" t="s">
        <v>2159</v>
      </c>
      <c r="C192" s="228" t="e">
        <f>#REF!+#REF!+#REF!+#REF!+#REF!+#REF!+#REF!+#REF!+#REF!+#REF!+#REF!+#REF!</f>
        <v>#REF!</v>
      </c>
      <c r="D192" s="229">
        <v>3086.3366</v>
      </c>
    </row>
    <row r="193" ht="82.5" customHeight="1" spans="1:4">
      <c r="A193" s="227">
        <v>197</v>
      </c>
      <c r="B193" s="217" t="s">
        <v>910</v>
      </c>
      <c r="C193" s="228" t="e">
        <f>#REF!+#REF!+#REF!+#REF!+#REF!+#REF!+#REF!+#REF!+#REF!+#REF!+#REF!+#REF!</f>
        <v>#REF!</v>
      </c>
      <c r="D193" s="229">
        <v>497.6666</v>
      </c>
    </row>
    <row r="194" ht="82.5" customHeight="1" spans="1:4">
      <c r="A194" s="227">
        <v>198</v>
      </c>
      <c r="B194" s="217" t="s">
        <v>912</v>
      </c>
      <c r="C194" s="228" t="e">
        <f>#REF!+#REF!+#REF!+#REF!+#REF!+#REF!+#REF!+#REF!+#REF!+#REF!+#REF!+#REF!</f>
        <v>#REF!</v>
      </c>
      <c r="D194" s="229">
        <v>628.8466</v>
      </c>
    </row>
    <row r="195" ht="82.5" customHeight="1" spans="1:4">
      <c r="A195" s="227">
        <v>199</v>
      </c>
      <c r="B195" s="217" t="s">
        <v>914</v>
      </c>
      <c r="C195" s="228" t="e">
        <f>#REF!+#REF!+#REF!+#REF!+#REF!+#REF!+#REF!+#REF!+#REF!+#REF!+#REF!+#REF!</f>
        <v>#REF!</v>
      </c>
      <c r="D195" s="229">
        <v>2839.8066</v>
      </c>
    </row>
    <row r="196" ht="82.5" customHeight="1" spans="1:4">
      <c r="A196" s="227">
        <v>200</v>
      </c>
      <c r="B196" s="217" t="s">
        <v>917</v>
      </c>
      <c r="C196" s="228" t="e">
        <f>#REF!+#REF!+#REF!+#REF!+#REF!+#REF!+#REF!+#REF!+#REF!+#REF!+#REF!+#REF!</f>
        <v>#REF!</v>
      </c>
      <c r="D196" s="229">
        <v>683.6148</v>
      </c>
    </row>
    <row r="197" ht="82.5" customHeight="1" spans="1:4">
      <c r="A197" s="227">
        <v>201</v>
      </c>
      <c r="B197" s="217" t="s">
        <v>919</v>
      </c>
      <c r="C197" s="228" t="e">
        <f>#REF!+#REF!+#REF!+#REF!+#REF!+#REF!+#REF!+#REF!+#REF!+#REF!+#REF!+#REF!</f>
        <v>#REF!</v>
      </c>
      <c r="D197" s="229">
        <v>2629.0932</v>
      </c>
    </row>
    <row r="198" ht="82.5" customHeight="1" spans="1:4">
      <c r="A198" s="227">
        <v>202</v>
      </c>
      <c r="B198" s="217" t="s">
        <v>921</v>
      </c>
      <c r="C198" s="228" t="e">
        <f>#REF!+#REF!+#REF!+#REF!+#REF!+#REF!+#REF!+#REF!+#REF!+#REF!+#REF!+#REF!</f>
        <v>#REF!</v>
      </c>
      <c r="D198" s="229">
        <v>6422.42450666667</v>
      </c>
    </row>
    <row r="199" ht="82.5" customHeight="1" spans="1:4">
      <c r="A199" s="227">
        <v>203</v>
      </c>
      <c r="B199" s="217" t="s">
        <v>2160</v>
      </c>
      <c r="C199" s="228" t="e">
        <f>#REF!+#REF!+#REF!+#REF!+#REF!+#REF!+#REF!+#REF!+#REF!+#REF!+#REF!+#REF!</f>
        <v>#REF!</v>
      </c>
      <c r="D199" s="229">
        <v>1203.1616</v>
      </c>
    </row>
    <row r="200" ht="82.5" customHeight="1" spans="1:4">
      <c r="A200" s="227">
        <v>204</v>
      </c>
      <c r="B200" s="217" t="s">
        <v>2161</v>
      </c>
      <c r="C200" s="228" t="e">
        <f>#REF!+#REF!+#REF!+#REF!+#REF!+#REF!+#REF!+#REF!+#REF!+#REF!+#REF!+#REF!</f>
        <v>#REF!</v>
      </c>
      <c r="D200" s="229">
        <v>1320.5782</v>
      </c>
    </row>
    <row r="201" ht="82.5" customHeight="1" spans="1:4">
      <c r="A201" s="227">
        <v>205</v>
      </c>
      <c r="B201" s="217" t="s">
        <v>925</v>
      </c>
      <c r="C201" s="228" t="e">
        <f>#REF!+#REF!+#REF!+#REF!+#REF!+#REF!+#REF!+#REF!+#REF!+#REF!+#REF!+#REF!</f>
        <v>#REF!</v>
      </c>
      <c r="D201" s="229">
        <v>2305.4182</v>
      </c>
    </row>
    <row r="202" ht="82.5" customHeight="1" spans="1:4">
      <c r="A202" s="227">
        <v>206</v>
      </c>
      <c r="B202" s="217" t="s">
        <v>927</v>
      </c>
      <c r="C202" s="228" t="e">
        <f>#REF!+#REF!+#REF!+#REF!+#REF!+#REF!+#REF!+#REF!+#REF!+#REF!+#REF!+#REF!</f>
        <v>#REF!</v>
      </c>
      <c r="D202" s="229">
        <v>2305.4182</v>
      </c>
    </row>
    <row r="203" ht="82.5" customHeight="1" spans="1:4">
      <c r="A203" s="227">
        <v>207</v>
      </c>
      <c r="B203" s="217" t="s">
        <v>929</v>
      </c>
      <c r="C203" s="228" t="e">
        <f>#REF!+#REF!+#REF!+#REF!+#REF!+#REF!+#REF!+#REF!+#REF!+#REF!+#REF!+#REF!</f>
        <v>#REF!</v>
      </c>
      <c r="D203" s="229">
        <v>2305.4182</v>
      </c>
    </row>
    <row r="204" ht="82.5" customHeight="1" spans="1:4">
      <c r="A204" s="227">
        <v>208</v>
      </c>
      <c r="B204" s="217" t="s">
        <v>931</v>
      </c>
      <c r="C204" s="228" t="e">
        <f>#REF!+#REF!+#REF!+#REF!+#REF!+#REF!+#REF!+#REF!+#REF!+#REF!+#REF!+#REF!</f>
        <v>#REF!</v>
      </c>
      <c r="D204" s="229">
        <v>2055.4182</v>
      </c>
    </row>
    <row r="205" ht="82.5" customHeight="1" spans="1:4">
      <c r="A205" s="227">
        <v>209</v>
      </c>
      <c r="B205" s="217" t="s">
        <v>2162</v>
      </c>
      <c r="C205" s="228" t="e">
        <f>#REF!+#REF!+#REF!+#REF!+#REF!+#REF!+#REF!+#REF!+#REF!+#REF!+#REF!+#REF!</f>
        <v>#REF!</v>
      </c>
      <c r="D205" s="229">
        <v>2305.4182</v>
      </c>
    </row>
    <row r="206" ht="82.5" customHeight="1" spans="1:4">
      <c r="A206" s="227">
        <v>210</v>
      </c>
      <c r="B206" s="217" t="s">
        <v>936</v>
      </c>
      <c r="C206" s="228" t="e">
        <f>#REF!+#REF!+#REF!+#REF!+#REF!+#REF!+#REF!+#REF!+#REF!+#REF!+#REF!+#REF!</f>
        <v>#REF!</v>
      </c>
      <c r="D206" s="229">
        <v>2305.4182</v>
      </c>
    </row>
    <row r="207" ht="82.5" customHeight="1" spans="1:4">
      <c r="A207" s="227">
        <v>211</v>
      </c>
      <c r="B207" s="217" t="s">
        <v>939</v>
      </c>
      <c r="C207" s="228" t="e">
        <f>#REF!+#REF!+#REF!+#REF!+#REF!+#REF!+#REF!+#REF!+#REF!+#REF!+#REF!+#REF!</f>
        <v>#REF!</v>
      </c>
      <c r="D207" s="229">
        <v>2305.4182</v>
      </c>
    </row>
    <row r="208" ht="82.5" customHeight="1" spans="1:4">
      <c r="A208" s="227">
        <v>212</v>
      </c>
      <c r="B208" s="217" t="s">
        <v>2163</v>
      </c>
      <c r="C208" s="228" t="e">
        <f>#REF!+#REF!+#REF!+#REF!+#REF!+#REF!+#REF!+#REF!+#REF!+#REF!+#REF!+#REF!</f>
        <v>#REF!</v>
      </c>
      <c r="D208" s="229">
        <v>2305.4182</v>
      </c>
    </row>
    <row r="209" ht="82.5" customHeight="1" spans="1:4">
      <c r="A209" s="227">
        <v>213</v>
      </c>
      <c r="B209" s="217" t="s">
        <v>2164</v>
      </c>
      <c r="C209" s="228" t="e">
        <f>#REF!+#REF!+#REF!+#REF!+#REF!+#REF!+#REF!+#REF!+#REF!+#REF!+#REF!+#REF!</f>
        <v>#REF!</v>
      </c>
      <c r="D209" s="229">
        <v>684.026502</v>
      </c>
    </row>
    <row r="210" ht="82.5" customHeight="1" spans="1:4">
      <c r="A210" s="227">
        <v>214</v>
      </c>
      <c r="B210" s="217" t="s">
        <v>2165</v>
      </c>
      <c r="C210" s="228" t="e">
        <f>#REF!+#REF!+#REF!+#REF!+#REF!+#REF!+#REF!+#REF!+#REF!+#REF!+#REF!+#REF!</f>
        <v>#REF!</v>
      </c>
      <c r="D210" s="229">
        <v>2243.9548</v>
      </c>
    </row>
    <row r="211" ht="82.5" customHeight="1" spans="1:4">
      <c r="A211" s="227">
        <v>215</v>
      </c>
      <c r="B211" s="217" t="s">
        <v>2166</v>
      </c>
      <c r="C211" s="228" t="e">
        <f>#REF!+#REF!+#REF!+#REF!+#REF!+#REF!+#REF!+#REF!+#REF!+#REF!+#REF!+#REF!</f>
        <v>#REF!</v>
      </c>
      <c r="D211" s="229">
        <v>1164.1666</v>
      </c>
    </row>
    <row r="212" ht="82.5" customHeight="1" spans="1:4">
      <c r="A212" s="227">
        <v>216</v>
      </c>
      <c r="B212" s="217" t="s">
        <v>951</v>
      </c>
      <c r="C212" s="228" t="e">
        <f>#REF!+#REF!+#REF!+#REF!+#REF!+#REF!+#REF!+#REF!+#REF!+#REF!+#REF!+#REF!</f>
        <v>#REF!</v>
      </c>
      <c r="D212" s="229">
        <v>704.1666</v>
      </c>
    </row>
    <row r="213" ht="82.5" customHeight="1" spans="1:4">
      <c r="A213" s="227">
        <v>217</v>
      </c>
      <c r="B213" s="217" t="s">
        <v>953</v>
      </c>
      <c r="C213" s="228" t="e">
        <f>#REF!+#REF!+#REF!+#REF!+#REF!+#REF!+#REF!+#REF!+#REF!+#REF!+#REF!+#REF!</f>
        <v>#REF!</v>
      </c>
      <c r="D213" s="229">
        <v>1164.1666</v>
      </c>
    </row>
    <row r="214" ht="82.5" customHeight="1" spans="1:4">
      <c r="A214" s="227">
        <v>218</v>
      </c>
      <c r="B214" s="217" t="s">
        <v>2167</v>
      </c>
      <c r="C214" s="228" t="e">
        <f>#REF!+#REF!+#REF!+#REF!+#REF!+#REF!+#REF!+#REF!+#REF!+#REF!+#REF!+#REF!</f>
        <v>#REF!</v>
      </c>
      <c r="D214" s="229">
        <v>8638.7882</v>
      </c>
    </row>
    <row r="215" ht="82.5" customHeight="1" spans="1:4">
      <c r="A215" s="227">
        <v>219</v>
      </c>
      <c r="B215" s="217" t="s">
        <v>955</v>
      </c>
      <c r="C215" s="228" t="e">
        <f>#REF!+#REF!+#REF!+#REF!+#REF!+#REF!+#REF!+#REF!+#REF!+#REF!+#REF!+#REF!</f>
        <v>#REF!</v>
      </c>
      <c r="D215" s="229">
        <v>5386.4816</v>
      </c>
    </row>
    <row r="216" ht="82.5" customHeight="1" spans="1:4">
      <c r="A216" s="227">
        <v>220</v>
      </c>
      <c r="B216" s="217" t="s">
        <v>957</v>
      </c>
      <c r="C216" s="228" t="e">
        <f>#REF!+#REF!+#REF!+#REF!+#REF!+#REF!+#REF!+#REF!+#REF!+#REF!+#REF!+#REF!</f>
        <v>#REF!</v>
      </c>
      <c r="D216" s="229">
        <v>1143.6148</v>
      </c>
    </row>
    <row r="217" ht="82.5" customHeight="1" spans="1:4">
      <c r="A217" s="227">
        <v>221</v>
      </c>
      <c r="B217" s="217" t="s">
        <v>959</v>
      </c>
      <c r="C217" s="228" t="e">
        <f>#REF!+#REF!+#REF!+#REF!+#REF!+#REF!+#REF!+#REF!+#REF!+#REF!+#REF!+#REF!</f>
        <v>#REF!</v>
      </c>
      <c r="D217" s="229">
        <v>704.1666</v>
      </c>
    </row>
    <row r="218" ht="82.5" customHeight="1" spans="1:4">
      <c r="A218" s="227">
        <v>222</v>
      </c>
      <c r="B218" s="217" t="s">
        <v>962</v>
      </c>
      <c r="C218" s="228" t="e">
        <f>#REF!+#REF!+#REF!+#REF!+#REF!+#REF!+#REF!+#REF!+#REF!+#REF!+#REF!+#REF!</f>
        <v>#REF!</v>
      </c>
      <c r="D218" s="229">
        <v>683.6148</v>
      </c>
    </row>
    <row r="219" ht="82.5" customHeight="1" spans="1:4">
      <c r="A219" s="227">
        <v>223</v>
      </c>
      <c r="B219" s="217" t="s">
        <v>964</v>
      </c>
      <c r="C219" s="228" t="e">
        <f>#REF!+#REF!+#REF!+#REF!+#REF!+#REF!+#REF!+#REF!+#REF!+#REF!+#REF!+#REF!</f>
        <v>#REF!</v>
      </c>
      <c r="D219" s="229">
        <v>1143.6148</v>
      </c>
    </row>
    <row r="220" ht="82.5" customHeight="1" spans="1:4">
      <c r="A220" s="227">
        <v>224</v>
      </c>
      <c r="B220" s="217" t="s">
        <v>966</v>
      </c>
      <c r="C220" s="228" t="e">
        <f>#REF!+#REF!+#REF!+#REF!+#REF!+#REF!+#REF!+#REF!+#REF!+#REF!+#REF!+#REF!</f>
        <v>#REF!</v>
      </c>
      <c r="D220" s="229">
        <v>683.6148</v>
      </c>
    </row>
    <row r="221" ht="82.5" customHeight="1" spans="1:4">
      <c r="A221" s="227">
        <v>225</v>
      </c>
      <c r="B221" s="217" t="s">
        <v>968</v>
      </c>
      <c r="C221" s="228" t="e">
        <f>#REF!+#REF!+#REF!+#REF!+#REF!+#REF!+#REF!+#REF!+#REF!+#REF!+#REF!+#REF!</f>
        <v>#REF!</v>
      </c>
      <c r="D221" s="229">
        <v>611.7366</v>
      </c>
    </row>
    <row r="222" ht="82.5" customHeight="1" spans="1:4">
      <c r="A222" s="227">
        <v>226</v>
      </c>
      <c r="B222" s="217" t="s">
        <v>970</v>
      </c>
      <c r="C222" s="228" t="e">
        <f>#REF!+#REF!+#REF!+#REF!+#REF!+#REF!+#REF!+#REF!+#REF!+#REF!+#REF!+#REF!</f>
        <v>#REF!</v>
      </c>
      <c r="D222" s="229">
        <v>611.7366</v>
      </c>
    </row>
    <row r="223" ht="82.5" customHeight="1" spans="1:4">
      <c r="A223" s="227">
        <v>227</v>
      </c>
      <c r="B223" s="217" t="s">
        <v>978</v>
      </c>
      <c r="C223" s="228" t="e">
        <f>#REF!+#REF!+#REF!+#REF!+#REF!+#REF!+#REF!+#REF!+#REF!+#REF!+#REF!+#REF!</f>
        <v>#REF!</v>
      </c>
      <c r="D223" s="229">
        <v>683.6148</v>
      </c>
    </row>
    <row r="224" ht="82.5" customHeight="1" spans="1:4">
      <c r="A224" s="227">
        <v>228</v>
      </c>
      <c r="B224" s="217" t="s">
        <v>980</v>
      </c>
      <c r="C224" s="228" t="e">
        <f>#REF!+#REF!+#REF!+#REF!+#REF!+#REF!+#REF!+#REF!+#REF!+#REF!+#REF!+#REF!</f>
        <v>#REF!</v>
      </c>
      <c r="D224" s="229">
        <v>683.6148</v>
      </c>
    </row>
    <row r="225" ht="82.5" customHeight="1" spans="1:4">
      <c r="A225" s="227">
        <v>229</v>
      </c>
      <c r="B225" s="217" t="s">
        <v>2168</v>
      </c>
      <c r="C225" s="228" t="e">
        <f>#REF!+#REF!+#REF!+#REF!+#REF!+#REF!+#REF!+#REF!+#REF!+#REF!+#REF!+#REF!</f>
        <v>#REF!</v>
      </c>
      <c r="D225" s="229">
        <v>683.6148</v>
      </c>
    </row>
    <row r="226" ht="82.5" customHeight="1" spans="1:4">
      <c r="A226" s="227">
        <v>230</v>
      </c>
      <c r="B226" s="217" t="s">
        <v>989</v>
      </c>
      <c r="C226" s="228" t="e">
        <f>#REF!+#REF!+#REF!+#REF!+#REF!+#REF!+#REF!+#REF!+#REF!+#REF!+#REF!+#REF!</f>
        <v>#REF!</v>
      </c>
      <c r="D226" s="229">
        <v>642.5098</v>
      </c>
    </row>
    <row r="227" ht="82.5" customHeight="1" spans="1:4">
      <c r="A227" s="227">
        <v>231</v>
      </c>
      <c r="B227" s="217" t="s">
        <v>991</v>
      </c>
      <c r="C227" s="228" t="e">
        <f>#REF!+#REF!+#REF!+#REF!+#REF!+#REF!+#REF!+#REF!+#REF!+#REF!+#REF!+#REF!</f>
        <v>#REF!</v>
      </c>
      <c r="D227" s="229">
        <v>642.5098</v>
      </c>
    </row>
    <row r="228" ht="82.5" customHeight="1" spans="1:4">
      <c r="A228" s="227">
        <v>232</v>
      </c>
      <c r="B228" s="217" t="s">
        <v>1004</v>
      </c>
      <c r="C228" s="228" t="e">
        <f>#REF!+#REF!+#REF!+#REF!+#REF!+#REF!+#REF!+#REF!+#REF!+#REF!+#REF!+#REF!</f>
        <v>#REF!</v>
      </c>
      <c r="D228" s="229">
        <v>2683.9548</v>
      </c>
    </row>
    <row r="229" ht="82.5" customHeight="1" spans="1:4">
      <c r="A229" s="227">
        <v>233</v>
      </c>
      <c r="B229" s="217" t="s">
        <v>1006</v>
      </c>
      <c r="C229" s="228" t="e">
        <f>#REF!+#REF!+#REF!+#REF!+#REF!+#REF!+#REF!+#REF!+#REF!+#REF!+#REF!+#REF!</f>
        <v>#REF!</v>
      </c>
      <c r="D229" s="229">
        <v>2659.1548</v>
      </c>
    </row>
    <row r="230" ht="82.5" customHeight="1" spans="1:4">
      <c r="A230" s="227">
        <v>234</v>
      </c>
      <c r="B230" s="217" t="s">
        <v>1008</v>
      </c>
      <c r="C230" s="228" t="e">
        <f>#REF!+#REF!+#REF!+#REF!+#REF!+#REF!+#REF!+#REF!+#REF!+#REF!+#REF!+#REF!</f>
        <v>#REF!</v>
      </c>
      <c r="D230" s="229">
        <v>3913.7916</v>
      </c>
    </row>
    <row r="231" ht="82.5" customHeight="1" spans="1:4">
      <c r="A231" s="227">
        <v>235</v>
      </c>
      <c r="B231" s="217" t="s">
        <v>1010</v>
      </c>
      <c r="C231" s="228" t="e">
        <f>#REF!+#REF!+#REF!+#REF!+#REF!+#REF!+#REF!+#REF!+#REF!+#REF!+#REF!+#REF!</f>
        <v>#REF!</v>
      </c>
      <c r="D231" s="229">
        <v>3696.7682</v>
      </c>
    </row>
    <row r="232" ht="82.5" customHeight="1" spans="1:4">
      <c r="A232" s="227">
        <v>236</v>
      </c>
      <c r="B232" s="217" t="s">
        <v>2169</v>
      </c>
      <c r="C232" s="228" t="e">
        <f>#REF!+#REF!+#REF!+#REF!+#REF!+#REF!+#REF!+#REF!+#REF!+#REF!+#REF!+#REF!</f>
        <v>#REF!</v>
      </c>
      <c r="D232" s="229">
        <v>2234.4282</v>
      </c>
    </row>
    <row r="233" ht="82.5" customHeight="1" spans="1:4">
      <c r="A233" s="227">
        <v>237</v>
      </c>
      <c r="B233" s="217" t="s">
        <v>1015</v>
      </c>
      <c r="C233" s="228" t="e">
        <f>#REF!+#REF!+#REF!+#REF!+#REF!+#REF!+#REF!+#REF!+#REF!+#REF!+#REF!+#REF!</f>
        <v>#REF!</v>
      </c>
      <c r="D233" s="229">
        <v>1993.9548</v>
      </c>
    </row>
    <row r="234" ht="82.5" customHeight="1" spans="1:4">
      <c r="A234" s="227">
        <v>238</v>
      </c>
      <c r="B234" s="217" t="s">
        <v>1017</v>
      </c>
      <c r="C234" s="228" t="e">
        <f>#REF!+#REF!+#REF!+#REF!+#REF!+#REF!+#REF!+#REF!+#REF!+#REF!+#REF!+#REF!</f>
        <v>#REF!</v>
      </c>
      <c r="D234" s="229">
        <v>2234.4282</v>
      </c>
    </row>
    <row r="235" ht="82.5" customHeight="1" spans="1:4">
      <c r="A235" s="227">
        <v>239</v>
      </c>
      <c r="B235" s="217" t="s">
        <v>2170</v>
      </c>
      <c r="C235" s="228" t="e">
        <f>#REF!+#REF!+#REF!+#REF!+#REF!+#REF!+#REF!+#REF!+#REF!+#REF!+#REF!+#REF!</f>
        <v>#REF!</v>
      </c>
      <c r="D235" s="229">
        <v>2655.1448</v>
      </c>
    </row>
    <row r="236" ht="82.5" customHeight="1" spans="1:4">
      <c r="A236" s="227">
        <v>240</v>
      </c>
      <c r="B236" s="217" t="s">
        <v>1020</v>
      </c>
      <c r="C236" s="228" t="e">
        <f>#REF!+#REF!+#REF!+#REF!+#REF!+#REF!+#REF!+#REF!+#REF!+#REF!+#REF!+#REF!</f>
        <v>#REF!</v>
      </c>
      <c r="D236" s="229">
        <v>4446.7616</v>
      </c>
    </row>
    <row r="237" ht="82.5" customHeight="1" spans="1:4">
      <c r="A237" s="227">
        <v>241</v>
      </c>
      <c r="B237" s="217" t="s">
        <v>1022</v>
      </c>
      <c r="C237" s="228" t="e">
        <f>#REF!+#REF!+#REF!+#REF!+#REF!+#REF!+#REF!+#REF!+#REF!+#REF!+#REF!+#REF!</f>
        <v>#REF!</v>
      </c>
      <c r="D237" s="229">
        <v>2996.7682</v>
      </c>
    </row>
    <row r="238" ht="82.5" customHeight="1" spans="1:4">
      <c r="A238" s="227">
        <v>242</v>
      </c>
      <c r="B238" s="217" t="s">
        <v>1024</v>
      </c>
      <c r="C238" s="228" t="e">
        <f>#REF!+#REF!+#REF!+#REF!+#REF!+#REF!+#REF!+#REF!+#REF!+#REF!+#REF!+#REF!</f>
        <v>#REF!</v>
      </c>
      <c r="D238" s="229">
        <v>4232.3496</v>
      </c>
    </row>
    <row r="239" ht="82.5" customHeight="1" spans="1:4">
      <c r="A239" s="227">
        <v>243</v>
      </c>
      <c r="B239" s="217" t="s">
        <v>2171</v>
      </c>
      <c r="C239" s="228" t="e">
        <f>#REF!+#REF!+#REF!+#REF!+#REF!+#REF!+#REF!+#REF!+#REF!+#REF!+#REF!+#REF!</f>
        <v>#REF!</v>
      </c>
      <c r="D239" s="229">
        <v>2306.7682</v>
      </c>
    </row>
    <row r="240" ht="82.5" customHeight="1" spans="1:4">
      <c r="A240" s="227">
        <v>244</v>
      </c>
      <c r="B240" s="217" t="s">
        <v>1028</v>
      </c>
      <c r="C240" s="228" t="e">
        <f>#REF!+#REF!+#REF!+#REF!+#REF!+#REF!+#REF!+#REF!+#REF!+#REF!+#REF!+#REF!</f>
        <v>#REF!</v>
      </c>
      <c r="D240" s="229">
        <v>2306.7682</v>
      </c>
    </row>
    <row r="241" ht="82.5" customHeight="1" spans="1:4">
      <c r="A241" s="227">
        <v>245</v>
      </c>
      <c r="B241" s="217" t="s">
        <v>1030</v>
      </c>
      <c r="C241" s="228" t="e">
        <f>#REF!+#REF!+#REF!+#REF!+#REF!+#REF!+#REF!+#REF!+#REF!+#REF!+#REF!+#REF!</f>
        <v>#REF!</v>
      </c>
      <c r="D241" s="229">
        <v>2306.7682</v>
      </c>
    </row>
    <row r="242" ht="82.5" customHeight="1" spans="1:4">
      <c r="A242" s="227">
        <v>246</v>
      </c>
      <c r="B242" s="217" t="s">
        <v>2172</v>
      </c>
      <c r="C242" s="228" t="e">
        <f>#REF!+#REF!+#REF!+#REF!+#REF!+#REF!+#REF!+#REF!+#REF!+#REF!+#REF!+#REF!</f>
        <v>#REF!</v>
      </c>
      <c r="D242" s="229">
        <v>2306.7682</v>
      </c>
    </row>
    <row r="243" ht="82.5" customHeight="1" spans="1:4">
      <c r="A243" s="227">
        <v>247</v>
      </c>
      <c r="B243" s="217" t="s">
        <v>1032</v>
      </c>
      <c r="C243" s="228" t="e">
        <f>#REF!+#REF!+#REF!+#REF!+#REF!+#REF!+#REF!+#REF!+#REF!+#REF!+#REF!+#REF!</f>
        <v>#REF!</v>
      </c>
      <c r="D243" s="229">
        <v>2306.7682</v>
      </c>
    </row>
    <row r="244" ht="82.5" customHeight="1" spans="1:4">
      <c r="A244" s="227">
        <v>248</v>
      </c>
      <c r="B244" s="217" t="s">
        <v>1034</v>
      </c>
      <c r="C244" s="228" t="e">
        <f>#REF!+#REF!+#REF!+#REF!+#REF!+#REF!+#REF!+#REF!+#REF!+#REF!+#REF!+#REF!</f>
        <v>#REF!</v>
      </c>
      <c r="D244" s="229">
        <v>3412.3496</v>
      </c>
    </row>
    <row r="245" ht="82.5" customHeight="1" spans="1:4">
      <c r="A245" s="227">
        <v>249</v>
      </c>
      <c r="B245" s="217" t="s">
        <v>2173</v>
      </c>
      <c r="C245" s="228" t="e">
        <f>#REF!+#REF!+#REF!+#REF!+#REF!+#REF!+#REF!+#REF!+#REF!+#REF!+#REF!+#REF!</f>
        <v>#REF!</v>
      </c>
      <c r="D245" s="229">
        <v>2306.7682</v>
      </c>
    </row>
    <row r="246" ht="82.5" customHeight="1" spans="1:4">
      <c r="A246" s="227">
        <v>250</v>
      </c>
      <c r="B246" s="217" t="s">
        <v>1036</v>
      </c>
      <c r="C246" s="228" t="e">
        <f>#REF!+#REF!+#REF!+#REF!+#REF!+#REF!+#REF!+#REF!+#REF!+#REF!+#REF!+#REF!</f>
        <v>#REF!</v>
      </c>
      <c r="D246" s="229">
        <v>2206.946502</v>
      </c>
    </row>
    <row r="247" ht="82.5" customHeight="1" spans="1:4">
      <c r="A247" s="227">
        <v>251</v>
      </c>
      <c r="B247" s="217" t="s">
        <v>1039</v>
      </c>
      <c r="C247" s="228" t="e">
        <f>#REF!+#REF!+#REF!+#REF!+#REF!+#REF!+#REF!+#REF!+#REF!+#REF!+#REF!+#REF!</f>
        <v>#REF!</v>
      </c>
      <c r="D247" s="229">
        <v>621.9548</v>
      </c>
    </row>
    <row r="248" ht="82.5" customHeight="1" spans="1:4">
      <c r="A248" s="227">
        <v>252</v>
      </c>
      <c r="B248" s="217" t="s">
        <v>1041</v>
      </c>
      <c r="C248" s="228" t="e">
        <f>#REF!+#REF!+#REF!+#REF!+#REF!+#REF!+#REF!+#REF!+#REF!+#REF!+#REF!+#REF!</f>
        <v>#REF!</v>
      </c>
      <c r="D248" s="229">
        <v>3358.4732</v>
      </c>
    </row>
    <row r="249" ht="82.5" customHeight="1" spans="1:4">
      <c r="A249" s="227">
        <v>253</v>
      </c>
      <c r="B249" s="217" t="s">
        <v>1043</v>
      </c>
      <c r="C249" s="228" t="e">
        <f>#REF!+#REF!+#REF!+#REF!+#REF!+#REF!+#REF!+#REF!+#REF!+#REF!+#REF!+#REF!</f>
        <v>#REF!</v>
      </c>
      <c r="D249" s="229">
        <v>1993.9548</v>
      </c>
    </row>
    <row r="250" ht="82.5" customHeight="1" spans="1:4">
      <c r="A250" s="227">
        <v>254</v>
      </c>
      <c r="B250" s="217" t="s">
        <v>1045</v>
      </c>
      <c r="C250" s="228" t="e">
        <f>#REF!+#REF!+#REF!+#REF!+#REF!+#REF!+#REF!+#REF!+#REF!+#REF!+#REF!+#REF!</f>
        <v>#REF!</v>
      </c>
      <c r="D250" s="229">
        <v>657.6666</v>
      </c>
    </row>
    <row r="251" ht="82.5" customHeight="1" spans="1:4">
      <c r="A251" s="227">
        <v>255</v>
      </c>
      <c r="B251" s="217" t="s">
        <v>1047</v>
      </c>
      <c r="C251" s="228" t="e">
        <f>#REF!+#REF!+#REF!+#REF!+#REF!+#REF!+#REF!+#REF!+#REF!+#REF!+#REF!+#REF!</f>
        <v>#REF!</v>
      </c>
      <c r="D251" s="229">
        <v>657.6666</v>
      </c>
    </row>
    <row r="252" ht="82.5" customHeight="1" spans="1:4">
      <c r="A252" s="227">
        <v>256</v>
      </c>
      <c r="B252" s="217" t="s">
        <v>1051</v>
      </c>
      <c r="C252" s="228" t="e">
        <f>#REF!+#REF!+#REF!+#REF!+#REF!+#REF!+#REF!+#REF!+#REF!+#REF!+#REF!+#REF!</f>
        <v>#REF!</v>
      </c>
      <c r="D252" s="229">
        <v>683.6148</v>
      </c>
    </row>
    <row r="253" ht="82.5" customHeight="1" spans="1:4">
      <c r="A253" s="227">
        <v>257</v>
      </c>
      <c r="B253" s="217" t="s">
        <v>2174</v>
      </c>
      <c r="C253" s="228" t="e">
        <f>#REF!+#REF!+#REF!+#REF!+#REF!+#REF!+#REF!+#REF!+#REF!+#REF!+#REF!+#REF!</f>
        <v>#REF!</v>
      </c>
      <c r="D253" s="229">
        <v>2055.4182</v>
      </c>
    </row>
    <row r="254" ht="82.5" customHeight="1" spans="1:4">
      <c r="A254" s="227">
        <v>258</v>
      </c>
      <c r="B254" s="217" t="s">
        <v>1054</v>
      </c>
      <c r="C254" s="228" t="e">
        <f>#REF!+#REF!+#REF!+#REF!+#REF!+#REF!+#REF!+#REF!+#REF!+#REF!+#REF!+#REF!</f>
        <v>#REF!</v>
      </c>
      <c r="D254" s="229">
        <v>1993.9548</v>
      </c>
    </row>
    <row r="255" ht="82.5" customHeight="1" spans="1:4">
      <c r="A255" s="227">
        <v>259</v>
      </c>
      <c r="B255" s="217" t="s">
        <v>1056</v>
      </c>
      <c r="C255" s="228" t="e">
        <f>#REF!+#REF!+#REF!+#REF!+#REF!+#REF!+#REF!+#REF!+#REF!+#REF!+#REF!+#REF!</f>
        <v>#REF!</v>
      </c>
      <c r="D255" s="229">
        <v>1993.9548</v>
      </c>
    </row>
    <row r="256" ht="82.5" customHeight="1" spans="1:4">
      <c r="A256" s="227">
        <v>260</v>
      </c>
      <c r="B256" s="217" t="s">
        <v>1058</v>
      </c>
      <c r="C256" s="228" t="e">
        <f>#REF!+#REF!+#REF!+#REF!+#REF!+#REF!+#REF!+#REF!+#REF!+#REF!+#REF!+#REF!</f>
        <v>#REF!</v>
      </c>
      <c r="D256" s="229">
        <v>2379.0932</v>
      </c>
    </row>
    <row r="257" ht="82.5" customHeight="1" spans="1:4">
      <c r="A257" s="227">
        <v>261</v>
      </c>
      <c r="B257" s="217" t="s">
        <v>1060</v>
      </c>
      <c r="C257" s="228" t="e">
        <f>#REF!+#REF!+#REF!+#REF!+#REF!+#REF!+#REF!+#REF!+#REF!+#REF!+#REF!+#REF!</f>
        <v>#REF!</v>
      </c>
      <c r="D257" s="229">
        <v>1993.9548</v>
      </c>
    </row>
    <row r="258" ht="82.5" customHeight="1" spans="1:4">
      <c r="A258" s="227">
        <v>262</v>
      </c>
      <c r="B258" s="217" t="s">
        <v>1062</v>
      </c>
      <c r="C258" s="228" t="e">
        <f>#REF!+#REF!+#REF!+#REF!+#REF!+#REF!+#REF!+#REF!+#REF!+#REF!+#REF!+#REF!</f>
        <v>#REF!</v>
      </c>
      <c r="D258" s="229">
        <v>2379.0932</v>
      </c>
    </row>
    <row r="259" ht="82.5" customHeight="1" spans="1:4">
      <c r="A259" s="227">
        <v>263</v>
      </c>
      <c r="B259" s="217" t="s">
        <v>1064</v>
      </c>
      <c r="C259" s="228" t="e">
        <f>#REF!+#REF!+#REF!+#REF!+#REF!+#REF!+#REF!+#REF!+#REF!+#REF!+#REF!+#REF!</f>
        <v>#REF!</v>
      </c>
      <c r="D259" s="229">
        <v>2306.7682</v>
      </c>
    </row>
    <row r="260" ht="82.5" customHeight="1" spans="1:4">
      <c r="A260" s="227">
        <v>264</v>
      </c>
      <c r="B260" s="217" t="s">
        <v>1066</v>
      </c>
      <c r="C260" s="228" t="e">
        <f>#REF!+#REF!+#REF!+#REF!+#REF!+#REF!+#REF!+#REF!+#REF!+#REF!+#REF!+#REF!</f>
        <v>#REF!</v>
      </c>
      <c r="D260" s="229">
        <v>2306.7682</v>
      </c>
    </row>
    <row r="261" ht="82.5" customHeight="1" spans="1:4">
      <c r="A261" s="227">
        <v>265</v>
      </c>
      <c r="B261" s="217" t="s">
        <v>1068</v>
      </c>
      <c r="C261" s="228" t="e">
        <f>#REF!+#REF!+#REF!+#REF!+#REF!+#REF!+#REF!+#REF!+#REF!+#REF!+#REF!+#REF!</f>
        <v>#REF!</v>
      </c>
      <c r="D261" s="229">
        <v>3141.4498</v>
      </c>
    </row>
    <row r="262" ht="82.5" customHeight="1" spans="1:4">
      <c r="A262" s="227">
        <v>266</v>
      </c>
      <c r="B262" s="217" t="s">
        <v>1070</v>
      </c>
      <c r="C262" s="228" t="e">
        <f>#REF!+#REF!+#REF!+#REF!+#REF!+#REF!+#REF!+#REF!+#REF!+#REF!+#REF!+#REF!</f>
        <v>#REF!</v>
      </c>
      <c r="D262" s="229">
        <v>4379.2116</v>
      </c>
    </row>
    <row r="263" ht="82.5" customHeight="1" spans="1:4">
      <c r="A263" s="227">
        <v>267</v>
      </c>
      <c r="B263" s="217" t="s">
        <v>1072</v>
      </c>
      <c r="C263" s="228" t="e">
        <f>#REF!+#REF!+#REF!+#REF!+#REF!+#REF!+#REF!+#REF!+#REF!+#REF!+#REF!+#REF!</f>
        <v>#REF!</v>
      </c>
      <c r="D263" s="229">
        <v>3324.4282</v>
      </c>
    </row>
    <row r="264" ht="82.5" customHeight="1" spans="1:4">
      <c r="A264" s="227">
        <v>268</v>
      </c>
      <c r="B264" s="217" t="s">
        <v>1074</v>
      </c>
      <c r="C264" s="228" t="e">
        <f>#REF!+#REF!+#REF!+#REF!+#REF!+#REF!+#REF!+#REF!+#REF!+#REF!+#REF!+#REF!</f>
        <v>#REF!</v>
      </c>
      <c r="D264" s="229">
        <v>1993.9548</v>
      </c>
    </row>
    <row r="265" ht="82.5" customHeight="1" spans="1:4">
      <c r="A265" s="227">
        <v>269</v>
      </c>
      <c r="B265" s="217" t="s">
        <v>2175</v>
      </c>
      <c r="C265" s="228" t="e">
        <f>#REF!+#REF!+#REF!+#REF!+#REF!+#REF!+#REF!+#REF!+#REF!+#REF!+#REF!+#REF!</f>
        <v>#REF!</v>
      </c>
      <c r="D265" s="229">
        <v>3569.0932</v>
      </c>
    </row>
    <row r="266" ht="82.5" customHeight="1" spans="1:4">
      <c r="A266" s="227">
        <v>270</v>
      </c>
      <c r="B266" s="217" t="s">
        <v>1078</v>
      </c>
      <c r="C266" s="228" t="e">
        <f>#REF!+#REF!+#REF!+#REF!+#REF!+#REF!+#REF!+#REF!+#REF!+#REF!+#REF!+#REF!</f>
        <v>#REF!</v>
      </c>
      <c r="D266" s="229">
        <v>3069.0932</v>
      </c>
    </row>
    <row r="267" ht="82.5" customHeight="1" spans="1:4">
      <c r="A267" s="227">
        <v>271</v>
      </c>
      <c r="B267" s="217" t="s">
        <v>1080</v>
      </c>
      <c r="C267" s="228" t="e">
        <f>#REF!+#REF!+#REF!+#REF!+#REF!+#REF!+#REF!+#REF!+#REF!+#REF!+#REF!+#REF!</f>
        <v>#REF!</v>
      </c>
      <c r="D267" s="229">
        <v>3996.5416</v>
      </c>
    </row>
    <row r="268" ht="82.5" customHeight="1" spans="1:4">
      <c r="A268" s="227">
        <v>272</v>
      </c>
      <c r="B268" s="217" t="s">
        <v>2176</v>
      </c>
      <c r="C268" s="228" t="e">
        <f>#REF!+#REF!+#REF!+#REF!+#REF!+#REF!+#REF!+#REF!+#REF!+#REF!+#REF!+#REF!</f>
        <v>#REF!</v>
      </c>
      <c r="D268" s="229">
        <v>2234.4282</v>
      </c>
    </row>
    <row r="269" ht="82.5" customHeight="1" spans="1:4">
      <c r="A269" s="227">
        <v>273</v>
      </c>
      <c r="B269" s="217" t="s">
        <v>1084</v>
      </c>
      <c r="C269" s="228" t="e">
        <f>#REF!+#REF!+#REF!+#REF!+#REF!+#REF!+#REF!+#REF!+#REF!+#REF!+#REF!+#REF!</f>
        <v>#REF!</v>
      </c>
      <c r="D269" s="229">
        <v>2234.4282</v>
      </c>
    </row>
    <row r="270" ht="82.5" customHeight="1" spans="1:4">
      <c r="A270" s="227">
        <v>274</v>
      </c>
      <c r="B270" s="217" t="s">
        <v>1086</v>
      </c>
      <c r="C270" s="228" t="e">
        <f>#REF!+#REF!+#REF!+#REF!+#REF!+#REF!+#REF!+#REF!+#REF!+#REF!+#REF!+#REF!</f>
        <v>#REF!</v>
      </c>
      <c r="D270" s="229">
        <v>3122.4916</v>
      </c>
    </row>
    <row r="271" ht="82.5" customHeight="1" spans="1:4">
      <c r="A271" s="227">
        <v>275</v>
      </c>
      <c r="B271" s="217" t="s">
        <v>1106</v>
      </c>
      <c r="C271" s="228" t="e">
        <f>#REF!+#REF!+#REF!+#REF!+#REF!+#REF!+#REF!+#REF!+#REF!+#REF!+#REF!+#REF!</f>
        <v>#REF!</v>
      </c>
      <c r="D271" s="229">
        <v>2234.4278</v>
      </c>
    </row>
    <row r="272" ht="82.5" customHeight="1" spans="1:4">
      <c r="A272" s="227">
        <v>276</v>
      </c>
      <c r="B272" s="217" t="s">
        <v>2177</v>
      </c>
      <c r="C272" s="228" t="e">
        <f>#REF!+#REF!+#REF!+#REF!+#REF!+#REF!+#REF!+#REF!+#REF!+#REF!+#REF!+#REF!</f>
        <v>#REF!</v>
      </c>
      <c r="D272" s="229">
        <v>2162.0898</v>
      </c>
    </row>
    <row r="273" ht="82.5" customHeight="1" spans="1:4">
      <c r="A273" s="227">
        <v>277</v>
      </c>
      <c r="B273" s="217" t="s">
        <v>1110</v>
      </c>
      <c r="C273" s="228" t="e">
        <f>#REF!+#REF!+#REF!+#REF!+#REF!+#REF!+#REF!+#REF!+#REF!+#REF!+#REF!+#REF!</f>
        <v>#REF!</v>
      </c>
      <c r="D273" s="229">
        <v>2116.8816</v>
      </c>
    </row>
    <row r="274" ht="82.5" customHeight="1" spans="1:4">
      <c r="A274" s="227">
        <v>278</v>
      </c>
      <c r="B274" s="217" t="s">
        <v>2178</v>
      </c>
      <c r="C274" s="228" t="e">
        <f>#REF!+#REF!+#REF!+#REF!+#REF!+#REF!+#REF!+#REF!+#REF!+#REF!+#REF!+#REF!</f>
        <v>#REF!</v>
      </c>
      <c r="D274" s="229">
        <v>684.026502</v>
      </c>
    </row>
    <row r="275" ht="82.5" customHeight="1" spans="1:4">
      <c r="A275" s="227">
        <v>279</v>
      </c>
      <c r="B275" s="217" t="s">
        <v>1114</v>
      </c>
      <c r="C275" s="228" t="e">
        <f>#REF!+#REF!+#REF!+#REF!+#REF!+#REF!+#REF!+#REF!+#REF!+#REF!+#REF!+#REF!</f>
        <v>#REF!</v>
      </c>
      <c r="D275" s="229">
        <v>1081.9548</v>
      </c>
    </row>
    <row r="276" ht="82.5" customHeight="1" spans="1:4">
      <c r="A276" s="227">
        <v>280</v>
      </c>
      <c r="B276" s="217" t="s">
        <v>1116</v>
      </c>
      <c r="C276" s="228" t="e">
        <f>#REF!+#REF!+#REF!+#REF!+#REF!+#REF!+#REF!+#REF!+#REF!+#REF!+#REF!+#REF!</f>
        <v>#REF!</v>
      </c>
      <c r="D276" s="229">
        <v>621.9548</v>
      </c>
    </row>
    <row r="277" ht="82.5" customHeight="1" spans="1:4">
      <c r="A277" s="227">
        <v>281</v>
      </c>
      <c r="B277" s="217" t="s">
        <v>1118</v>
      </c>
      <c r="C277" s="228" t="e">
        <f>#REF!+#REF!+#REF!+#REF!+#REF!+#REF!+#REF!+#REF!+#REF!+#REF!+#REF!+#REF!</f>
        <v>#REF!</v>
      </c>
      <c r="D277" s="229">
        <v>684.026502</v>
      </c>
    </row>
    <row r="278" ht="82.5" customHeight="1" spans="1:4">
      <c r="A278" s="227">
        <v>282</v>
      </c>
      <c r="B278" s="217" t="s">
        <v>1120</v>
      </c>
      <c r="C278" s="228" t="e">
        <f>#REF!+#REF!+#REF!+#REF!+#REF!+#REF!+#REF!+#REF!+#REF!+#REF!+#REF!+#REF!</f>
        <v>#REF!</v>
      </c>
      <c r="D278" s="229">
        <v>684.026502</v>
      </c>
    </row>
    <row r="279" ht="82.5" customHeight="1" spans="1:4">
      <c r="A279" s="227">
        <v>283</v>
      </c>
      <c r="B279" s="217" t="s">
        <v>1122</v>
      </c>
      <c r="C279" s="228" t="e">
        <f>#REF!+#REF!+#REF!+#REF!+#REF!+#REF!+#REF!+#REF!+#REF!+#REF!+#REF!+#REF!</f>
        <v>#REF!</v>
      </c>
      <c r="D279" s="229">
        <v>594.6266</v>
      </c>
    </row>
    <row r="280" ht="82.5" customHeight="1" spans="1:4">
      <c r="A280" s="227">
        <v>284</v>
      </c>
      <c r="B280" s="217" t="s">
        <v>1130</v>
      </c>
      <c r="C280" s="228" t="e">
        <f>#REF!+#REF!+#REF!+#REF!+#REF!+#REF!+#REF!+#REF!+#REF!+#REF!+#REF!+#REF!</f>
        <v>#REF!</v>
      </c>
      <c r="D280" s="229">
        <v>684.026502</v>
      </c>
    </row>
    <row r="281" ht="82.5" customHeight="1" spans="1:4">
      <c r="A281" s="227">
        <v>285</v>
      </c>
      <c r="B281" s="217" t="s">
        <v>1134</v>
      </c>
      <c r="C281" s="228" t="e">
        <f>#REF!+#REF!+#REF!+#REF!+#REF!+#REF!+#REF!+#REF!+#REF!+#REF!+#REF!+#REF!</f>
        <v>#REF!</v>
      </c>
      <c r="D281" s="229">
        <v>684.026502</v>
      </c>
    </row>
    <row r="282" ht="82.5" customHeight="1" spans="1:4">
      <c r="A282" s="227">
        <v>286</v>
      </c>
      <c r="B282" s="217" t="s">
        <v>1136</v>
      </c>
      <c r="C282" s="228" t="e">
        <f>#REF!+#REF!+#REF!+#REF!+#REF!+#REF!+#REF!+#REF!+#REF!+#REF!+#REF!+#REF!</f>
        <v>#REF!</v>
      </c>
      <c r="D282" s="229">
        <v>684.026502</v>
      </c>
    </row>
    <row r="283" ht="82.5" customHeight="1" spans="1:4">
      <c r="A283" s="227">
        <v>287</v>
      </c>
      <c r="B283" s="217" t="s">
        <v>1138</v>
      </c>
      <c r="C283" s="228" t="e">
        <f>#REF!+#REF!+#REF!+#REF!+#REF!+#REF!+#REF!+#REF!+#REF!+#REF!+#REF!+#REF!</f>
        <v>#REF!</v>
      </c>
      <c r="D283" s="229">
        <v>684.026502</v>
      </c>
    </row>
    <row r="284" ht="82.5" customHeight="1" spans="1:4">
      <c r="A284" s="227">
        <v>288</v>
      </c>
      <c r="B284" s="217" t="s">
        <v>1140</v>
      </c>
      <c r="C284" s="228" t="e">
        <f>#REF!+#REF!+#REF!+#REF!+#REF!+#REF!+#REF!+#REF!+#REF!+#REF!+#REF!+#REF!</f>
        <v>#REF!</v>
      </c>
      <c r="D284" s="229">
        <v>684.026502</v>
      </c>
    </row>
    <row r="285" ht="82.5" customHeight="1" spans="1:4">
      <c r="A285" s="227">
        <v>289</v>
      </c>
      <c r="B285" s="217" t="s">
        <v>2179</v>
      </c>
      <c r="C285" s="228" t="e">
        <f>#REF!+#REF!+#REF!+#REF!+#REF!+#REF!+#REF!+#REF!+#REF!+#REF!+#REF!+#REF!</f>
        <v>#REF!</v>
      </c>
      <c r="D285" s="229">
        <v>684.026502</v>
      </c>
    </row>
    <row r="286" ht="82.5" customHeight="1" spans="1:4">
      <c r="A286" s="227">
        <v>290</v>
      </c>
      <c r="B286" s="217" t="s">
        <v>1144</v>
      </c>
      <c r="C286" s="228" t="e">
        <f>#REF!+#REF!+#REF!+#REF!+#REF!+#REF!+#REF!+#REF!+#REF!+#REF!+#REF!+#REF!</f>
        <v>#REF!</v>
      </c>
      <c r="D286" s="229">
        <v>684.03</v>
      </c>
    </row>
    <row r="287" ht="82.5" customHeight="1" spans="1:4">
      <c r="A287" s="227">
        <v>291</v>
      </c>
      <c r="B287" s="217" t="s">
        <v>1146</v>
      </c>
      <c r="C287" s="228" t="e">
        <f>#REF!+#REF!+#REF!+#REF!+#REF!+#REF!+#REF!+#REF!+#REF!+#REF!+#REF!+#REF!</f>
        <v>#REF!</v>
      </c>
      <c r="D287" s="229">
        <v>684.026502</v>
      </c>
    </row>
    <row r="288" ht="82.5" customHeight="1" spans="1:4">
      <c r="A288" s="227">
        <v>292</v>
      </c>
      <c r="B288" s="217" t="s">
        <v>1148</v>
      </c>
      <c r="C288" s="228" t="e">
        <f>#REF!+#REF!+#REF!+#REF!+#REF!+#REF!+#REF!+#REF!+#REF!+#REF!+#REF!+#REF!</f>
        <v>#REF!</v>
      </c>
      <c r="D288" s="229">
        <v>684.026502</v>
      </c>
    </row>
    <row r="289" ht="82.5" customHeight="1" spans="1:4">
      <c r="A289" s="227">
        <v>293</v>
      </c>
      <c r="B289" s="217" t="s">
        <v>2180</v>
      </c>
      <c r="C289" s="228" t="e">
        <f>#REF!+#REF!+#REF!+#REF!+#REF!+#REF!+#REF!+#REF!+#REF!+#REF!+#REF!+#REF!</f>
        <v>#REF!</v>
      </c>
      <c r="D289" s="229">
        <v>684.026502</v>
      </c>
    </row>
    <row r="290" ht="82.5" customHeight="1" spans="1:4">
      <c r="A290" s="227">
        <v>294</v>
      </c>
      <c r="B290" s="217" t="s">
        <v>1153</v>
      </c>
      <c r="C290" s="228" t="e">
        <f>#REF!+#REF!+#REF!+#REF!+#REF!+#REF!+#REF!+#REF!+#REF!+#REF!+#REF!+#REF!</f>
        <v>#REF!</v>
      </c>
      <c r="D290" s="229">
        <v>594.6266</v>
      </c>
    </row>
    <row r="291" ht="82.5" customHeight="1" spans="1:4">
      <c r="A291" s="227">
        <v>295</v>
      </c>
      <c r="B291" s="217" t="s">
        <v>1155</v>
      </c>
      <c r="C291" s="228" t="e">
        <f>#REF!+#REF!+#REF!+#REF!+#REF!+#REF!+#REF!+#REF!+#REF!+#REF!+#REF!+#REF!</f>
        <v>#REF!</v>
      </c>
      <c r="D291" s="229">
        <v>684.026502</v>
      </c>
    </row>
    <row r="292" ht="82.5" customHeight="1" spans="1:4">
      <c r="A292" s="227">
        <v>296</v>
      </c>
      <c r="B292" s="217" t="s">
        <v>1157</v>
      </c>
      <c r="C292" s="228" t="e">
        <f>#REF!+#REF!+#REF!+#REF!+#REF!+#REF!+#REF!+#REF!+#REF!+#REF!+#REF!+#REF!</f>
        <v>#REF!</v>
      </c>
      <c r="D292" s="229">
        <v>684.026502</v>
      </c>
    </row>
    <row r="293" ht="82.5" customHeight="1" spans="1:4">
      <c r="A293" s="227">
        <v>297</v>
      </c>
      <c r="B293" s="217" t="s">
        <v>1159</v>
      </c>
      <c r="C293" s="228" t="e">
        <f>#REF!+#REF!+#REF!+#REF!+#REF!+#REF!+#REF!+#REF!+#REF!+#REF!+#REF!+#REF!</f>
        <v>#REF!</v>
      </c>
      <c r="D293" s="229">
        <v>594.6266</v>
      </c>
    </row>
    <row r="294" ht="82.5" customHeight="1" spans="1:4">
      <c r="A294" s="227">
        <v>298</v>
      </c>
      <c r="B294" s="217" t="s">
        <v>1161</v>
      </c>
      <c r="C294" s="228" t="e">
        <f>#REF!+#REF!+#REF!+#REF!+#REF!+#REF!+#REF!+#REF!+#REF!+#REF!+#REF!+#REF!</f>
        <v>#REF!</v>
      </c>
      <c r="D294" s="229">
        <v>594.6266</v>
      </c>
    </row>
    <row r="295" ht="82.5" customHeight="1" spans="1:4">
      <c r="A295" s="227">
        <v>299</v>
      </c>
      <c r="B295" s="217" t="s">
        <v>2181</v>
      </c>
      <c r="C295" s="228" t="e">
        <f>#REF!+#REF!+#REF!+#REF!+#REF!+#REF!+#REF!+#REF!+#REF!+#REF!+#REF!+#REF!</f>
        <v>#REF!</v>
      </c>
      <c r="D295" s="229">
        <v>594.6266</v>
      </c>
    </row>
    <row r="296" ht="82.5" customHeight="1" spans="1:4">
      <c r="A296" s="227">
        <v>300</v>
      </c>
      <c r="B296" s="217" t="s">
        <v>1164</v>
      </c>
      <c r="C296" s="228" t="e">
        <f>#REF!+#REF!+#REF!+#REF!+#REF!+#REF!+#REF!+#REF!+#REF!+#REF!+#REF!+#REF!</f>
        <v>#REF!</v>
      </c>
      <c r="D296" s="229">
        <v>594.6266</v>
      </c>
    </row>
    <row r="297" ht="82.5" customHeight="1" spans="1:4">
      <c r="A297" s="227">
        <v>301</v>
      </c>
      <c r="B297" s="217" t="s">
        <v>1166</v>
      </c>
      <c r="C297" s="228" t="e">
        <f>#REF!+#REF!+#REF!+#REF!+#REF!+#REF!+#REF!+#REF!+#REF!+#REF!+#REF!+#REF!</f>
        <v>#REF!</v>
      </c>
      <c r="D297" s="229">
        <v>594.6266</v>
      </c>
    </row>
    <row r="298" ht="82.5" customHeight="1" spans="1:4">
      <c r="A298" s="227">
        <v>302</v>
      </c>
      <c r="B298" s="217" t="s">
        <v>1168</v>
      </c>
      <c r="C298" s="228" t="e">
        <f>#REF!+#REF!+#REF!+#REF!+#REF!+#REF!+#REF!+#REF!+#REF!+#REF!+#REF!+#REF!</f>
        <v>#REF!</v>
      </c>
      <c r="D298" s="229">
        <v>594.6266</v>
      </c>
    </row>
    <row r="299" ht="82.5" customHeight="1" spans="1:4">
      <c r="A299" s="227">
        <v>303</v>
      </c>
      <c r="B299" s="217" t="s">
        <v>1170</v>
      </c>
      <c r="C299" s="228" t="e">
        <f>#REF!+#REF!+#REF!+#REF!+#REF!+#REF!+#REF!+#REF!+#REF!+#REF!+#REF!+#REF!</f>
        <v>#REF!</v>
      </c>
      <c r="D299" s="229">
        <v>594.6266</v>
      </c>
    </row>
    <row r="300" ht="82.5" customHeight="1" spans="1:4">
      <c r="A300" s="227">
        <v>304</v>
      </c>
      <c r="B300" s="217" t="s">
        <v>1172</v>
      </c>
      <c r="C300" s="228" t="e">
        <f>#REF!+#REF!+#REF!+#REF!+#REF!+#REF!+#REF!+#REF!+#REF!+#REF!+#REF!+#REF!</f>
        <v>#REF!</v>
      </c>
      <c r="D300" s="229">
        <v>594.6266</v>
      </c>
    </row>
    <row r="301" ht="82.5" customHeight="1" spans="1:4">
      <c r="A301" s="227">
        <v>305</v>
      </c>
      <c r="B301" s="217" t="s">
        <v>2182</v>
      </c>
      <c r="C301" s="228" t="e">
        <f>#REF!+#REF!+#REF!+#REF!+#REF!+#REF!+#REF!+#REF!+#REF!+#REF!+#REF!+#REF!</f>
        <v>#REF!</v>
      </c>
      <c r="D301" s="229">
        <v>594.6266</v>
      </c>
    </row>
    <row r="302" ht="82.5" customHeight="1" spans="1:4">
      <c r="A302" s="227">
        <v>306</v>
      </c>
      <c r="B302" s="217" t="s">
        <v>1193</v>
      </c>
      <c r="C302" s="228" t="e">
        <f>#REF!+#REF!+#REF!+#REF!+#REF!+#REF!+#REF!+#REF!+#REF!+#REF!+#REF!+#REF!</f>
        <v>#REF!</v>
      </c>
      <c r="D302" s="229">
        <v>594.6266</v>
      </c>
    </row>
    <row r="303" ht="82.5" customHeight="1" spans="1:4">
      <c r="A303" s="227">
        <v>307</v>
      </c>
      <c r="B303" s="217" t="s">
        <v>1194</v>
      </c>
      <c r="C303" s="228" t="e">
        <f>#REF!+#REF!+#REF!+#REF!+#REF!+#REF!+#REF!+#REF!+#REF!+#REF!+#REF!+#REF!</f>
        <v>#REF!</v>
      </c>
      <c r="D303" s="229">
        <v>594.6266</v>
      </c>
    </row>
    <row r="304" ht="82.5" customHeight="1" spans="1:4">
      <c r="A304" s="227">
        <v>308</v>
      </c>
      <c r="B304" s="217" t="s">
        <v>1196</v>
      </c>
      <c r="C304" s="228" t="e">
        <f>#REF!+#REF!+#REF!+#REF!+#REF!+#REF!+#REF!+#REF!+#REF!+#REF!+#REF!+#REF!</f>
        <v>#REF!</v>
      </c>
      <c r="D304" s="229">
        <v>594.6266</v>
      </c>
    </row>
    <row r="305" ht="82.5" customHeight="1" spans="1:4">
      <c r="A305" s="227">
        <v>309</v>
      </c>
      <c r="B305" s="217" t="s">
        <v>1198</v>
      </c>
      <c r="C305" s="228" t="e">
        <f>#REF!+#REF!+#REF!+#REF!+#REF!+#REF!+#REF!+#REF!+#REF!+#REF!+#REF!+#REF!</f>
        <v>#REF!</v>
      </c>
      <c r="D305" s="229">
        <v>594.6266</v>
      </c>
    </row>
    <row r="306" ht="82.5" customHeight="1" spans="1:4">
      <c r="A306" s="227">
        <v>310</v>
      </c>
      <c r="B306" s="217" t="s">
        <v>2183</v>
      </c>
      <c r="C306" s="228" t="e">
        <f>#REF!+#REF!+#REF!+#REF!+#REF!+#REF!+#REF!+#REF!+#REF!+#REF!+#REF!+#REF!</f>
        <v>#REF!</v>
      </c>
      <c r="D306" s="229">
        <v>594.6266</v>
      </c>
    </row>
    <row r="307" ht="82.5" customHeight="1" spans="1:4">
      <c r="A307" s="227">
        <v>311</v>
      </c>
      <c r="B307" s="217" t="s">
        <v>1200</v>
      </c>
      <c r="C307" s="228" t="e">
        <f>#REF!+#REF!+#REF!+#REF!+#REF!+#REF!+#REF!+#REF!+#REF!+#REF!+#REF!+#REF!</f>
        <v>#REF!</v>
      </c>
      <c r="D307" s="229">
        <v>594.6266</v>
      </c>
    </row>
    <row r="308" ht="82.5" customHeight="1" spans="1:4">
      <c r="A308" s="227">
        <v>312</v>
      </c>
      <c r="B308" s="217" t="s">
        <v>1202</v>
      </c>
      <c r="C308" s="228" t="e">
        <f>#REF!+#REF!+#REF!+#REF!+#REF!+#REF!+#REF!+#REF!+#REF!+#REF!+#REF!+#REF!</f>
        <v>#REF!</v>
      </c>
      <c r="D308" s="229">
        <v>594.6266</v>
      </c>
    </row>
    <row r="309" ht="82.5" customHeight="1" spans="1:4">
      <c r="A309" s="227">
        <v>313</v>
      </c>
      <c r="B309" s="217" t="s">
        <v>1204</v>
      </c>
      <c r="C309" s="228" t="e">
        <f>#REF!+#REF!+#REF!+#REF!+#REF!+#REF!+#REF!+#REF!+#REF!+#REF!+#REF!+#REF!</f>
        <v>#REF!</v>
      </c>
      <c r="D309" s="229">
        <v>594.6266</v>
      </c>
    </row>
    <row r="310" ht="82.5" customHeight="1" spans="1:4">
      <c r="A310" s="227">
        <v>314</v>
      </c>
      <c r="B310" s="217" t="s">
        <v>1205</v>
      </c>
      <c r="C310" s="228" t="e">
        <f>#REF!+#REF!+#REF!+#REF!+#REF!+#REF!+#REF!+#REF!+#REF!+#REF!+#REF!+#REF!</f>
        <v>#REF!</v>
      </c>
      <c r="D310" s="229">
        <v>594.6266</v>
      </c>
    </row>
    <row r="311" ht="82.5" customHeight="1" spans="1:4">
      <c r="A311" s="227">
        <v>315</v>
      </c>
      <c r="B311" s="217" t="s">
        <v>1207</v>
      </c>
      <c r="C311" s="228" t="e">
        <f>#REF!+#REF!+#REF!+#REF!+#REF!+#REF!+#REF!+#REF!+#REF!+#REF!+#REF!+#REF!</f>
        <v>#REF!</v>
      </c>
      <c r="D311" s="229">
        <v>594.6266</v>
      </c>
    </row>
    <row r="312" ht="82.5" customHeight="1" spans="1:4">
      <c r="A312" s="227">
        <v>316</v>
      </c>
      <c r="B312" s="217" t="s">
        <v>1208</v>
      </c>
      <c r="C312" s="228" t="e">
        <f>#REF!+#REF!+#REF!+#REF!+#REF!+#REF!+#REF!+#REF!+#REF!+#REF!+#REF!+#REF!</f>
        <v>#REF!</v>
      </c>
      <c r="D312" s="229">
        <v>594.6266</v>
      </c>
    </row>
    <row r="313" ht="82.5" customHeight="1" spans="1:4">
      <c r="A313" s="227">
        <v>317</v>
      </c>
      <c r="B313" s="217" t="s">
        <v>1210</v>
      </c>
      <c r="C313" s="228" t="e">
        <f>#REF!+#REF!+#REF!+#REF!+#REF!+#REF!+#REF!+#REF!+#REF!+#REF!+#REF!+#REF!</f>
        <v>#REF!</v>
      </c>
      <c r="D313" s="229">
        <v>594.6266</v>
      </c>
    </row>
    <row r="314" ht="82.5" customHeight="1" spans="1:4">
      <c r="A314" s="227">
        <v>318</v>
      </c>
      <c r="B314" s="217" t="s">
        <v>2184</v>
      </c>
      <c r="C314" s="228" t="e">
        <f>#REF!+#REF!+#REF!+#REF!+#REF!+#REF!+#REF!+#REF!+#REF!+#REF!+#REF!+#REF!</f>
        <v>#REF!</v>
      </c>
      <c r="D314" s="229">
        <v>594.6266</v>
      </c>
    </row>
    <row r="315" ht="82.5" customHeight="1" spans="1:4">
      <c r="A315" s="227">
        <v>319</v>
      </c>
      <c r="B315" s="217" t="s">
        <v>1214</v>
      </c>
      <c r="C315" s="228" t="e">
        <f>#REF!+#REF!+#REF!+#REF!+#REF!+#REF!+#REF!+#REF!+#REF!+#REF!+#REF!+#REF!</f>
        <v>#REF!</v>
      </c>
      <c r="D315" s="229">
        <v>594.6266</v>
      </c>
    </row>
    <row r="316" ht="82.5" customHeight="1" spans="1:4">
      <c r="A316" s="227">
        <v>320</v>
      </c>
      <c r="B316" s="217" t="s">
        <v>1216</v>
      </c>
      <c r="C316" s="228" t="e">
        <f>#REF!+#REF!+#REF!+#REF!+#REF!+#REF!+#REF!+#REF!+#REF!+#REF!+#REF!+#REF!</f>
        <v>#REF!</v>
      </c>
      <c r="D316" s="229">
        <v>594.6266</v>
      </c>
    </row>
    <row r="317" ht="82.5" customHeight="1" spans="1:4">
      <c r="A317" s="227">
        <v>321</v>
      </c>
      <c r="B317" s="217" t="s">
        <v>1217</v>
      </c>
      <c r="C317" s="228" t="e">
        <f>#REF!+#REF!+#REF!+#REF!+#REF!+#REF!+#REF!+#REF!+#REF!+#REF!+#REF!+#REF!</f>
        <v>#REF!</v>
      </c>
      <c r="D317" s="229">
        <v>594.6266</v>
      </c>
    </row>
    <row r="318" ht="82.5" customHeight="1" spans="1:4">
      <c r="A318" s="227">
        <v>322</v>
      </c>
      <c r="B318" s="217" t="s">
        <v>1219</v>
      </c>
      <c r="C318" s="228" t="e">
        <f>#REF!+#REF!+#REF!+#REF!+#REF!+#REF!+#REF!+#REF!+#REF!+#REF!+#REF!+#REF!</f>
        <v>#REF!</v>
      </c>
      <c r="D318" s="229">
        <v>594.6266</v>
      </c>
    </row>
    <row r="319" ht="82.5" customHeight="1" spans="1:4">
      <c r="A319" s="227">
        <v>323</v>
      </c>
      <c r="B319" s="217" t="s">
        <v>1221</v>
      </c>
      <c r="C319" s="228" t="e">
        <f>#REF!+#REF!+#REF!+#REF!+#REF!+#REF!+#REF!+#REF!+#REF!+#REF!+#REF!+#REF!</f>
        <v>#REF!</v>
      </c>
      <c r="D319" s="229">
        <v>594.6266</v>
      </c>
    </row>
    <row r="320" ht="82.5" customHeight="1" spans="1:4">
      <c r="A320" s="227">
        <v>324</v>
      </c>
      <c r="B320" s="217" t="s">
        <v>1223</v>
      </c>
      <c r="C320" s="228" t="e">
        <f>#REF!+#REF!+#REF!+#REF!+#REF!+#REF!+#REF!+#REF!+#REF!+#REF!+#REF!+#REF!</f>
        <v>#REF!</v>
      </c>
      <c r="D320" s="229">
        <v>594.6266</v>
      </c>
    </row>
    <row r="321" ht="82.5" customHeight="1" spans="1:4">
      <c r="A321" s="227">
        <v>325</v>
      </c>
      <c r="B321" s="217" t="s">
        <v>1225</v>
      </c>
      <c r="C321" s="228" t="e">
        <f>#REF!+#REF!+#REF!+#REF!+#REF!+#REF!+#REF!+#REF!+#REF!+#REF!+#REF!+#REF!</f>
        <v>#REF!</v>
      </c>
      <c r="D321" s="229">
        <v>594.6266</v>
      </c>
    </row>
    <row r="322" ht="82.5" customHeight="1" spans="1:4">
      <c r="A322" s="227">
        <v>326</v>
      </c>
      <c r="B322" s="217" t="s">
        <v>1227</v>
      </c>
      <c r="C322" s="228" t="e">
        <f>#REF!+#REF!+#REF!+#REF!+#REF!+#REF!+#REF!+#REF!+#REF!+#REF!+#REF!+#REF!</f>
        <v>#REF!</v>
      </c>
      <c r="D322" s="229">
        <v>594.6266</v>
      </c>
    </row>
    <row r="323" ht="82.5" customHeight="1" spans="1:4">
      <c r="A323" s="227">
        <v>327</v>
      </c>
      <c r="B323" s="217" t="s">
        <v>1229</v>
      </c>
      <c r="C323" s="228" t="e">
        <f>#REF!+#REF!+#REF!+#REF!+#REF!+#REF!+#REF!+#REF!+#REF!+#REF!+#REF!+#REF!</f>
        <v>#REF!</v>
      </c>
      <c r="D323" s="229">
        <v>594.6266</v>
      </c>
    </row>
    <row r="324" ht="82.5" customHeight="1" spans="1:4">
      <c r="A324" s="227">
        <v>328</v>
      </c>
      <c r="B324" s="217" t="s">
        <v>1231</v>
      </c>
      <c r="C324" s="228" t="e">
        <f>#REF!+#REF!+#REF!+#REF!+#REF!+#REF!+#REF!+#REF!+#REF!+#REF!+#REF!+#REF!</f>
        <v>#REF!</v>
      </c>
      <c r="D324" s="229">
        <v>594.6266</v>
      </c>
    </row>
    <row r="325" ht="82.5" customHeight="1" spans="1:4">
      <c r="A325" s="227">
        <v>329</v>
      </c>
      <c r="B325" s="217" t="s">
        <v>1232</v>
      </c>
      <c r="C325" s="228" t="e">
        <f>#REF!+#REF!+#REF!+#REF!+#REF!+#REF!+#REF!+#REF!+#REF!+#REF!+#REF!+#REF!</f>
        <v>#REF!</v>
      </c>
      <c r="D325" s="229">
        <v>594.6266</v>
      </c>
    </row>
    <row r="326" ht="82.5" customHeight="1" spans="1:4">
      <c r="A326" s="227">
        <v>330</v>
      </c>
      <c r="B326" s="217" t="s">
        <v>1233</v>
      </c>
      <c r="C326" s="228" t="e">
        <f>#REF!+#REF!+#REF!+#REF!+#REF!+#REF!+#REF!+#REF!+#REF!+#REF!+#REF!+#REF!</f>
        <v>#REF!</v>
      </c>
      <c r="D326" s="229">
        <v>594.6266</v>
      </c>
    </row>
    <row r="327" ht="82.5" customHeight="1" spans="1:4">
      <c r="A327" s="227">
        <v>331</v>
      </c>
      <c r="B327" s="217" t="s">
        <v>1235</v>
      </c>
      <c r="C327" s="228" t="e">
        <f>#REF!+#REF!+#REF!+#REF!+#REF!+#REF!+#REF!+#REF!+#REF!+#REF!+#REF!+#REF!</f>
        <v>#REF!</v>
      </c>
      <c r="D327" s="229">
        <v>594.6266</v>
      </c>
    </row>
    <row r="328" ht="82.5" customHeight="1" spans="1:4">
      <c r="A328" s="227">
        <v>332</v>
      </c>
      <c r="B328" s="217" t="s">
        <v>1237</v>
      </c>
      <c r="C328" s="228" t="e">
        <f>#REF!+#REF!+#REF!+#REF!+#REF!+#REF!+#REF!+#REF!+#REF!+#REF!+#REF!+#REF!</f>
        <v>#REF!</v>
      </c>
      <c r="D328" s="229">
        <v>594.6266</v>
      </c>
    </row>
    <row r="329" ht="82.5" customHeight="1" spans="1:4">
      <c r="A329" s="227">
        <v>333</v>
      </c>
      <c r="B329" s="217" t="s">
        <v>1239</v>
      </c>
      <c r="C329" s="228" t="e">
        <f>#REF!+#REF!+#REF!+#REF!+#REF!+#REF!+#REF!+#REF!+#REF!+#REF!+#REF!+#REF!</f>
        <v>#REF!</v>
      </c>
      <c r="D329" s="229">
        <v>594.6266</v>
      </c>
    </row>
    <row r="330" ht="82.5" customHeight="1" spans="1:4">
      <c r="A330" s="227">
        <v>334</v>
      </c>
      <c r="B330" s="217" t="s">
        <v>1241</v>
      </c>
      <c r="C330" s="228" t="e">
        <f>#REF!+#REF!+#REF!+#REF!+#REF!+#REF!+#REF!+#REF!+#REF!+#REF!+#REF!+#REF!</f>
        <v>#REF!</v>
      </c>
      <c r="D330" s="229">
        <v>594.6266</v>
      </c>
    </row>
    <row r="331" ht="82.5" customHeight="1" spans="1:4">
      <c r="A331" s="227">
        <v>335</v>
      </c>
      <c r="B331" s="217" t="s">
        <v>1243</v>
      </c>
      <c r="C331" s="228" t="e">
        <f>#REF!+#REF!+#REF!+#REF!+#REF!+#REF!+#REF!+#REF!+#REF!+#REF!+#REF!+#REF!</f>
        <v>#REF!</v>
      </c>
      <c r="D331" s="229">
        <v>594.6266</v>
      </c>
    </row>
    <row r="332" ht="82.5" customHeight="1" spans="1:4">
      <c r="A332" s="227">
        <v>336</v>
      </c>
      <c r="B332" s="217" t="s">
        <v>2185</v>
      </c>
      <c r="C332" s="228" t="e">
        <f>#REF!+#REF!+#REF!+#REF!+#REF!+#REF!+#REF!+#REF!+#REF!+#REF!+#REF!+#REF!</f>
        <v>#REF!</v>
      </c>
      <c r="D332" s="229">
        <v>657.6666</v>
      </c>
    </row>
    <row r="333" ht="82.5" customHeight="1" spans="1:4">
      <c r="A333" s="227">
        <v>337</v>
      </c>
      <c r="B333" s="217" t="s">
        <v>2186</v>
      </c>
      <c r="C333" s="228" t="e">
        <f>#REF!+#REF!+#REF!+#REF!+#REF!+#REF!+#REF!+#REF!+#REF!+#REF!+#REF!+#REF!</f>
        <v>#REF!</v>
      </c>
      <c r="D333" s="229">
        <v>657.6666</v>
      </c>
    </row>
    <row r="334" ht="82.5" customHeight="1" spans="1:4">
      <c r="A334" s="227">
        <v>338</v>
      </c>
      <c r="B334" s="217" t="s">
        <v>1248</v>
      </c>
      <c r="C334" s="228" t="e">
        <f>#REF!+#REF!+#REF!+#REF!+#REF!+#REF!+#REF!+#REF!+#REF!+#REF!+#REF!+#REF!</f>
        <v>#REF!</v>
      </c>
      <c r="D334" s="229">
        <v>657.6666</v>
      </c>
    </row>
    <row r="335" ht="82.5" customHeight="1" spans="1:4">
      <c r="A335" s="227">
        <v>339</v>
      </c>
      <c r="B335" s="217" t="s">
        <v>1250</v>
      </c>
      <c r="C335" s="228" t="e">
        <f>#REF!+#REF!+#REF!+#REF!+#REF!+#REF!+#REF!+#REF!+#REF!+#REF!+#REF!+#REF!</f>
        <v>#REF!</v>
      </c>
      <c r="D335" s="229">
        <v>1424.968152</v>
      </c>
    </row>
    <row r="336" ht="82.5" customHeight="1" spans="1:4">
      <c r="A336" s="227">
        <v>340</v>
      </c>
      <c r="B336" s="217" t="s">
        <v>1264</v>
      </c>
      <c r="C336" s="228" t="e">
        <f>#REF!+#REF!+#REF!+#REF!+#REF!+#REF!+#REF!+#REF!+#REF!+#REF!+#REF!+#REF!</f>
        <v>#REF!</v>
      </c>
      <c r="D336" s="229">
        <v>2234.4282</v>
      </c>
    </row>
    <row r="337" ht="82.5" customHeight="1" spans="1:4">
      <c r="A337" s="227">
        <v>341</v>
      </c>
      <c r="B337" s="217" t="s">
        <v>2187</v>
      </c>
      <c r="C337" s="228" t="e">
        <f>#REF!+#REF!+#REF!+#REF!+#REF!+#REF!+#REF!+#REF!+#REF!+#REF!+#REF!+#REF!</f>
        <v>#REF!</v>
      </c>
      <c r="D337" s="229">
        <v>2234.43</v>
      </c>
    </row>
    <row r="338" ht="82.5" customHeight="1" spans="1:4">
      <c r="A338" s="227">
        <v>342</v>
      </c>
      <c r="B338" s="217" t="s">
        <v>1266</v>
      </c>
      <c r="C338" s="228" t="e">
        <f>#REF!+#REF!+#REF!+#REF!+#REF!+#REF!+#REF!+#REF!+#REF!+#REF!+#REF!+#REF!</f>
        <v>#REF!</v>
      </c>
      <c r="D338" s="229">
        <v>2924.4282</v>
      </c>
    </row>
    <row r="339" ht="82.5" customHeight="1" spans="1:4">
      <c r="A339" s="227">
        <v>343</v>
      </c>
      <c r="B339" s="217" t="s">
        <v>2188</v>
      </c>
      <c r="C339" s="228" t="e">
        <f>#REF!+#REF!+#REF!+#REF!+#REF!+#REF!+#REF!+#REF!+#REF!+#REF!+#REF!+#REF!</f>
        <v>#REF!</v>
      </c>
      <c r="D339" s="229">
        <v>2924.4282</v>
      </c>
    </row>
    <row r="340" ht="82.5" customHeight="1" spans="1:4">
      <c r="A340" s="227">
        <v>344</v>
      </c>
      <c r="B340" s="217" t="s">
        <v>1269</v>
      </c>
      <c r="C340" s="228" t="e">
        <f>#REF!+#REF!+#REF!+#REF!+#REF!+#REF!+#REF!+#REF!+#REF!+#REF!+#REF!+#REF!</f>
        <v>#REF!</v>
      </c>
      <c r="D340" s="229">
        <v>2234.4282</v>
      </c>
    </row>
    <row r="341" ht="82.5" customHeight="1" spans="1:4">
      <c r="A341" s="227">
        <v>345</v>
      </c>
      <c r="B341" s="217" t="s">
        <v>1271</v>
      </c>
      <c r="C341" s="228" t="e">
        <f>#REF!+#REF!+#REF!+#REF!+#REF!+#REF!+#REF!+#REF!+#REF!+#REF!+#REF!+#REF!</f>
        <v>#REF!</v>
      </c>
      <c r="D341" s="229">
        <v>2532.4916</v>
      </c>
    </row>
    <row r="342" ht="82.5" customHeight="1" spans="1:4">
      <c r="A342" s="227">
        <v>346</v>
      </c>
      <c r="B342" s="217" t="s">
        <v>1273</v>
      </c>
      <c r="C342" s="228" t="e">
        <f>#REF!+#REF!+#REF!+#REF!+#REF!+#REF!+#REF!+#REF!+#REF!+#REF!+#REF!+#REF!</f>
        <v>#REF!</v>
      </c>
      <c r="D342" s="229">
        <v>2532.4916</v>
      </c>
    </row>
    <row r="343" ht="82.5" customHeight="1" spans="1:4">
      <c r="A343" s="227">
        <v>347</v>
      </c>
      <c r="B343" s="217" t="s">
        <v>1275</v>
      </c>
      <c r="C343" s="228" t="e">
        <f>#REF!+#REF!+#REF!+#REF!+#REF!+#REF!+#REF!+#REF!+#REF!+#REF!+#REF!+#REF!</f>
        <v>#REF!</v>
      </c>
      <c r="D343" s="229">
        <v>2532.4916</v>
      </c>
    </row>
    <row r="344" ht="82.5" customHeight="1" spans="1:4">
      <c r="A344" s="227">
        <v>348</v>
      </c>
      <c r="B344" s="217" t="s">
        <v>1276</v>
      </c>
      <c r="C344" s="228" t="e">
        <f>#REF!+#REF!+#REF!+#REF!+#REF!+#REF!+#REF!+#REF!+#REF!+#REF!+#REF!+#REF!</f>
        <v>#REF!</v>
      </c>
      <c r="D344" s="229">
        <v>2532.4916</v>
      </c>
    </row>
    <row r="345" ht="82.5" customHeight="1" spans="1:4">
      <c r="A345" s="227">
        <v>349</v>
      </c>
      <c r="B345" s="217" t="s">
        <v>1278</v>
      </c>
      <c r="C345" s="228" t="e">
        <f>#REF!+#REF!+#REF!+#REF!+#REF!+#REF!+#REF!+#REF!+#REF!+#REF!+#REF!+#REF!</f>
        <v>#REF!</v>
      </c>
      <c r="D345" s="229">
        <v>2532.4916</v>
      </c>
    </row>
    <row r="346" ht="82.5" customHeight="1" spans="1:4">
      <c r="A346" s="227">
        <v>350</v>
      </c>
      <c r="B346" s="217" t="s">
        <v>1280</v>
      </c>
      <c r="C346" s="228" t="e">
        <f>#REF!+#REF!+#REF!+#REF!+#REF!+#REF!+#REF!+#REF!+#REF!+#REF!+#REF!+#REF!</f>
        <v>#REF!</v>
      </c>
      <c r="D346" s="229">
        <v>2532.4916</v>
      </c>
    </row>
    <row r="347" ht="82.5" customHeight="1" spans="1:4">
      <c r="A347" s="227">
        <v>351</v>
      </c>
      <c r="B347" s="217" t="s">
        <v>2189</v>
      </c>
      <c r="C347" s="228" t="e">
        <f>#REF!+#REF!+#REF!+#REF!+#REF!+#REF!+#REF!+#REF!+#REF!+#REF!+#REF!+#REF!</f>
        <v>#REF!</v>
      </c>
      <c r="D347" s="229">
        <v>2532.4916</v>
      </c>
    </row>
    <row r="348" ht="82.5" customHeight="1" spans="1:4">
      <c r="A348" s="227">
        <v>352</v>
      </c>
      <c r="B348" s="217" t="s">
        <v>1284</v>
      </c>
      <c r="C348" s="228" t="e">
        <f>#REF!+#REF!+#REF!+#REF!+#REF!+#REF!+#REF!+#REF!+#REF!+#REF!+#REF!+#REF!</f>
        <v>#REF!</v>
      </c>
      <c r="D348" s="229">
        <v>2532.4916</v>
      </c>
    </row>
    <row r="349" ht="82.5" customHeight="1" spans="1:4">
      <c r="A349" s="227">
        <v>353</v>
      </c>
      <c r="B349" s="217" t="s">
        <v>1286</v>
      </c>
      <c r="C349" s="228" t="e">
        <f>#REF!+#REF!+#REF!+#REF!+#REF!+#REF!+#REF!+#REF!+#REF!+#REF!+#REF!+#REF!</f>
        <v>#REF!</v>
      </c>
      <c r="D349" s="229">
        <v>2532.4916</v>
      </c>
    </row>
    <row r="350" ht="82.5" customHeight="1" spans="1:4">
      <c r="A350" s="227">
        <v>354</v>
      </c>
      <c r="B350" s="217" t="s">
        <v>1288</v>
      </c>
      <c r="C350" s="228" t="e">
        <f>#REF!+#REF!+#REF!+#REF!+#REF!+#REF!+#REF!+#REF!+#REF!+#REF!+#REF!+#REF!</f>
        <v>#REF!</v>
      </c>
      <c r="D350" s="229">
        <v>2532.4916</v>
      </c>
    </row>
    <row r="351" ht="82.5" customHeight="1" spans="1:4">
      <c r="A351" s="227">
        <v>355</v>
      </c>
      <c r="B351" s="217" t="s">
        <v>1290</v>
      </c>
      <c r="C351" s="228" t="e">
        <f>#REF!+#REF!+#REF!+#REF!+#REF!+#REF!+#REF!+#REF!+#REF!+#REF!+#REF!+#REF!</f>
        <v>#REF!</v>
      </c>
      <c r="D351" s="229">
        <v>2532.4916</v>
      </c>
    </row>
    <row r="352" ht="82.5" customHeight="1" spans="1:4">
      <c r="A352" s="227">
        <v>356</v>
      </c>
      <c r="B352" s="217" t="s">
        <v>1292</v>
      </c>
      <c r="C352" s="228" t="e">
        <f>#REF!+#REF!+#REF!+#REF!+#REF!+#REF!+#REF!+#REF!+#REF!+#REF!+#REF!+#REF!</f>
        <v>#REF!</v>
      </c>
      <c r="D352" s="229">
        <v>1932.4916</v>
      </c>
    </row>
    <row r="353" ht="82.5" customHeight="1" spans="1:4">
      <c r="A353" s="227">
        <v>357</v>
      </c>
      <c r="B353" s="217" t="s">
        <v>2190</v>
      </c>
      <c r="C353" s="228" t="e">
        <f>#REF!+#REF!+#REF!+#REF!+#REF!+#REF!+#REF!+#REF!+#REF!+#REF!+#REF!+#REF!</f>
        <v>#REF!</v>
      </c>
      <c r="D353" s="229">
        <v>8445.2998</v>
      </c>
    </row>
    <row r="354" ht="82.5" customHeight="1" spans="1:4">
      <c r="A354" s="227">
        <v>358</v>
      </c>
      <c r="B354" s="217" t="s">
        <v>1302</v>
      </c>
      <c r="C354" s="228" t="e">
        <f>#REF!+#REF!+#REF!+#REF!+#REF!+#REF!+#REF!+#REF!+#REF!+#REF!+#REF!+#REF!</f>
        <v>#REF!</v>
      </c>
      <c r="D354" s="229">
        <v>5511.155</v>
      </c>
    </row>
    <row r="355" ht="82.5" customHeight="1" spans="1:4">
      <c r="A355" s="227">
        <v>359</v>
      </c>
      <c r="B355" s="217" t="s">
        <v>1306</v>
      </c>
      <c r="C355" s="228" t="e">
        <f>#REF!+#REF!+#REF!+#REF!+#REF!+#REF!+#REF!+#REF!+#REF!+#REF!+#REF!+#REF!</f>
        <v>#REF!</v>
      </c>
      <c r="D355" s="229">
        <v>988.5866</v>
      </c>
    </row>
    <row r="356" ht="82.5" customHeight="1" spans="1:4">
      <c r="A356" s="227">
        <v>360</v>
      </c>
      <c r="B356" s="217" t="s">
        <v>2191</v>
      </c>
      <c r="C356" s="228" t="e">
        <f>#REF!+#REF!+#REF!+#REF!+#REF!+#REF!+#REF!+#REF!+#REF!+#REF!+#REF!+#REF!</f>
        <v>#REF!</v>
      </c>
      <c r="D356" s="229">
        <v>557.6666</v>
      </c>
    </row>
    <row r="357" ht="82.5" customHeight="1" spans="1:4">
      <c r="A357" s="227">
        <v>361</v>
      </c>
      <c r="B357" s="217" t="s">
        <v>1312</v>
      </c>
      <c r="C357" s="228" t="e">
        <f>#REF!+#REF!+#REF!+#REF!+#REF!+#REF!+#REF!+#REF!+#REF!+#REF!+#REF!+#REF!</f>
        <v>#REF!</v>
      </c>
      <c r="D357" s="229">
        <v>657.6666</v>
      </c>
    </row>
    <row r="358" ht="82.5" customHeight="1" spans="1:4">
      <c r="A358" s="227">
        <v>362</v>
      </c>
      <c r="B358" s="217" t="s">
        <v>2192</v>
      </c>
      <c r="C358" s="228" t="e">
        <f>#REF!+#REF!+#REF!+#REF!+#REF!+#REF!+#REF!+#REF!+#REF!+#REF!+#REF!+#REF!</f>
        <v>#REF!</v>
      </c>
      <c r="D358" s="229">
        <v>557.6666</v>
      </c>
    </row>
    <row r="359" ht="82.5" customHeight="1" spans="1:4">
      <c r="A359" s="227">
        <v>363</v>
      </c>
      <c r="B359" s="217" t="s">
        <v>1314</v>
      </c>
      <c r="C359" s="228" t="e">
        <f>#REF!+#REF!+#REF!+#REF!+#REF!+#REF!+#REF!+#REF!+#REF!+#REF!+#REF!+#REF!</f>
        <v>#REF!</v>
      </c>
      <c r="D359" s="229">
        <v>557.6666</v>
      </c>
    </row>
    <row r="360" ht="82.5" customHeight="1" spans="1:4">
      <c r="A360" s="227">
        <v>364</v>
      </c>
      <c r="B360" s="217" t="s">
        <v>2193</v>
      </c>
      <c r="C360" s="228" t="e">
        <f>#REF!+#REF!+#REF!+#REF!+#REF!+#REF!+#REF!+#REF!+#REF!+#REF!+#REF!+#REF!</f>
        <v>#REF!</v>
      </c>
      <c r="D360" s="229">
        <v>557.6666</v>
      </c>
    </row>
    <row r="361" ht="82.5" customHeight="1" spans="1:4">
      <c r="A361" s="227">
        <v>365</v>
      </c>
      <c r="B361" s="217" t="s">
        <v>2194</v>
      </c>
      <c r="C361" s="228" t="e">
        <f>#REF!+#REF!+#REF!+#REF!+#REF!+#REF!+#REF!+#REF!+#REF!+#REF!+#REF!+#REF!</f>
        <v>#REF!</v>
      </c>
      <c r="D361" s="229">
        <v>557.6666</v>
      </c>
    </row>
    <row r="362" ht="82.5" customHeight="1" spans="1:4">
      <c r="A362" s="227">
        <v>366</v>
      </c>
      <c r="B362" s="217" t="s">
        <v>2195</v>
      </c>
      <c r="C362" s="228" t="e">
        <f>#REF!+#REF!+#REF!+#REF!+#REF!+#REF!+#REF!+#REF!+#REF!+#REF!+#REF!+#REF!</f>
        <v>#REF!</v>
      </c>
      <c r="D362" s="229">
        <v>557.6666</v>
      </c>
    </row>
    <row r="363" ht="82.5" customHeight="1" spans="1:4">
      <c r="A363" s="227">
        <v>367</v>
      </c>
      <c r="B363" s="217" t="s">
        <v>1328</v>
      </c>
      <c r="C363" s="228" t="e">
        <f>#REF!+#REF!+#REF!+#REF!+#REF!+#REF!+#REF!+#REF!+#REF!+#REF!+#REF!+#REF!</f>
        <v>#REF!</v>
      </c>
      <c r="D363" s="229">
        <v>880</v>
      </c>
    </row>
    <row r="364" ht="82.5" customHeight="1" spans="1:4">
      <c r="A364" s="227">
        <v>368</v>
      </c>
      <c r="B364" s="217" t="s">
        <v>1326</v>
      </c>
      <c r="C364" s="228" t="e">
        <f>#REF!+#REF!+#REF!+#REF!+#REF!+#REF!+#REF!+#REF!+#REF!+#REF!+#REF!+#REF!</f>
        <v>#REF!</v>
      </c>
      <c r="D364" s="229">
        <v>880</v>
      </c>
    </row>
    <row r="365" ht="82.5" customHeight="1" spans="1:4">
      <c r="A365" s="230">
        <v>369</v>
      </c>
      <c r="B365" s="231" t="s">
        <v>2196</v>
      </c>
      <c r="C365" s="232" t="e">
        <f>#REF!+#REF!+#REF!+#REF!+#REF!+#REF!+#REF!+#REF!+#REF!+#REF!+#REF!+#REF!</f>
        <v>#REF!</v>
      </c>
      <c r="D365" s="229">
        <v>1000</v>
      </c>
    </row>
    <row r="366" ht="82.5" customHeight="1" spans="1:4">
      <c r="A366" s="233"/>
      <c r="B366" s="234" t="s">
        <v>867</v>
      </c>
      <c r="C366" s="235"/>
      <c r="D366" s="236" t="e">
        <f>SUM(D162:D365)</f>
        <v>#REF!</v>
      </c>
    </row>
    <row r="367" ht="82.5" customHeight="1" spans="1:4">
      <c r="A367" s="233"/>
      <c r="B367" s="234" t="s">
        <v>1465</v>
      </c>
      <c r="C367" s="235"/>
      <c r="D367" s="236" t="e">
        <f>D366+D160</f>
        <v>#REF!</v>
      </c>
    </row>
    <row r="368" ht="47.25" customHeight="1" spans="1:4">
      <c r="A368" s="237" t="s">
        <v>2197</v>
      </c>
      <c r="B368" s="237"/>
      <c r="C368" s="237"/>
      <c r="D368" s="237"/>
    </row>
    <row r="369" ht="62.25" customHeight="1" spans="1:4">
      <c r="A369" s="238">
        <v>370</v>
      </c>
      <c r="B369" s="217" t="s">
        <v>2053</v>
      </c>
      <c r="C369" s="239"/>
      <c r="D369" s="240" t="e">
        <f>'TEACHING STAFF'!#REF!</f>
        <v>#REF!</v>
      </c>
    </row>
    <row r="370" ht="68.25" customHeight="1" spans="1:4">
      <c r="A370" s="238">
        <v>371</v>
      </c>
      <c r="B370" s="241" t="e">
        <f>#REF!</f>
        <v>#REF!</v>
      </c>
      <c r="C370" s="239"/>
      <c r="D370" s="240">
        <f>'TEACHING STAFF'!BG154</f>
        <v>1250</v>
      </c>
    </row>
    <row r="371" ht="47.25" customHeight="1" spans="1:4">
      <c r="A371" s="242"/>
      <c r="B371" s="237" t="s">
        <v>867</v>
      </c>
      <c r="C371" s="239"/>
      <c r="D371" s="240" t="e">
        <f>SUM(D369:D370)</f>
        <v>#REF!</v>
      </c>
    </row>
    <row r="372" ht="43.5" customHeight="1" spans="4:4">
      <c r="D372" s="243"/>
    </row>
    <row r="373" ht="43.5" customHeight="1"/>
  </sheetData>
  <mergeCells count="3">
    <mergeCell ref="A1:D1"/>
    <mergeCell ref="A161:D161"/>
    <mergeCell ref="A368:D368"/>
  </mergeCells>
  <pageMargins left="0.7" right="0.7" top="0.75" bottom="0.75" header="0.3" footer="0.3"/>
  <pageSetup paperSize="9" scale="5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3"/>
  <sheetViews>
    <sheetView workbookViewId="0">
      <selection activeCell="A1" sqref="A1:D1"/>
    </sheetView>
  </sheetViews>
  <sheetFormatPr defaultColWidth="8.82857142857143" defaultRowHeight="15" outlineLevelCol="3"/>
  <cols>
    <col min="1" max="1" width="8.16190476190476" customWidth="1"/>
    <col min="2" max="2" width="39.8285714285714" customWidth="1"/>
    <col min="3" max="3" width="22.5047619047619" customWidth="1"/>
    <col min="4" max="4" width="18.5047619047619" customWidth="1"/>
  </cols>
  <sheetData>
    <row r="1" ht="66" customHeight="1" spans="1:4">
      <c r="A1" s="202" t="s">
        <v>2198</v>
      </c>
      <c r="B1" s="202"/>
      <c r="C1" s="202"/>
      <c r="D1" s="202"/>
    </row>
    <row r="2" ht="43.5" customHeight="1" spans="1:4">
      <c r="A2" s="203">
        <v>1</v>
      </c>
      <c r="B2" s="204" t="s">
        <v>2105</v>
      </c>
      <c r="C2" s="205">
        <v>502913.58</v>
      </c>
      <c r="D2" s="206">
        <f>C2*0.02</f>
        <v>10058.2716</v>
      </c>
    </row>
    <row r="3" ht="43.5" customHeight="1" spans="1:4">
      <c r="A3" s="203">
        <v>2</v>
      </c>
      <c r="B3" s="204" t="s">
        <v>2106</v>
      </c>
      <c r="C3" s="205">
        <v>502913.58</v>
      </c>
      <c r="D3" s="206">
        <f>C3*0.02</f>
        <v>10058.2716</v>
      </c>
    </row>
    <row r="4" ht="43.5" customHeight="1" spans="1:4">
      <c r="A4" s="203">
        <v>3</v>
      </c>
      <c r="B4" s="204" t="s">
        <v>2107</v>
      </c>
      <c r="C4" s="205">
        <v>502913.58</v>
      </c>
      <c r="D4" s="206">
        <f t="shared" ref="D4:D67" si="0">C4*0.02</f>
        <v>10058.2716</v>
      </c>
    </row>
    <row r="5" ht="43.5" customHeight="1" spans="1:4">
      <c r="A5" s="203">
        <v>4</v>
      </c>
      <c r="B5" s="204" t="s">
        <v>2108</v>
      </c>
      <c r="C5" s="205">
        <v>231459.43</v>
      </c>
      <c r="D5" s="206">
        <f t="shared" si="0"/>
        <v>4629.1886</v>
      </c>
    </row>
    <row r="6" ht="43.5" customHeight="1" spans="1:4">
      <c r="A6" s="203">
        <v>5</v>
      </c>
      <c r="B6" s="204" t="s">
        <v>2109</v>
      </c>
      <c r="C6" s="205">
        <v>231459.43</v>
      </c>
      <c r="D6" s="206">
        <f t="shared" si="0"/>
        <v>4629.1886</v>
      </c>
    </row>
    <row r="7" ht="43.5" customHeight="1" spans="1:4">
      <c r="A7" s="203">
        <v>6</v>
      </c>
      <c r="B7" s="204" t="s">
        <v>119</v>
      </c>
      <c r="C7" s="205">
        <v>142622.59</v>
      </c>
      <c r="D7" s="206">
        <f t="shared" si="0"/>
        <v>2852.4518</v>
      </c>
    </row>
    <row r="8" ht="43.5" customHeight="1" spans="1:4">
      <c r="A8" s="203">
        <v>7</v>
      </c>
      <c r="B8" s="204" t="s">
        <v>2002</v>
      </c>
      <c r="C8" s="205">
        <v>133007</v>
      </c>
      <c r="D8" s="206">
        <f t="shared" si="0"/>
        <v>2660.14</v>
      </c>
    </row>
    <row r="9" ht="43.5" customHeight="1" spans="1:4">
      <c r="A9" s="203">
        <v>8</v>
      </c>
      <c r="B9" s="204" t="s">
        <v>129</v>
      </c>
      <c r="C9" s="205">
        <v>133007</v>
      </c>
      <c r="D9" s="206">
        <f t="shared" si="0"/>
        <v>2660.14</v>
      </c>
    </row>
    <row r="10" ht="43.5" customHeight="1" spans="1:4">
      <c r="A10" s="203">
        <v>9</v>
      </c>
      <c r="B10" s="204" t="s">
        <v>132</v>
      </c>
      <c r="C10" s="205">
        <v>142622.59</v>
      </c>
      <c r="D10" s="206">
        <f t="shared" si="0"/>
        <v>2852.4518</v>
      </c>
    </row>
    <row r="11" ht="43.5" customHeight="1" spans="1:4">
      <c r="A11" s="203">
        <v>10</v>
      </c>
      <c r="B11" s="204" t="s">
        <v>2110</v>
      </c>
      <c r="C11" s="205">
        <v>142622.59</v>
      </c>
      <c r="D11" s="206">
        <f t="shared" si="0"/>
        <v>2852.4518</v>
      </c>
    </row>
    <row r="12" ht="43.5" customHeight="1" spans="1:4">
      <c r="A12" s="203">
        <v>11</v>
      </c>
      <c r="B12" s="204" t="s">
        <v>2111</v>
      </c>
      <c r="C12" s="205">
        <v>142622.59</v>
      </c>
      <c r="D12" s="206">
        <f t="shared" si="0"/>
        <v>2852.4518</v>
      </c>
    </row>
    <row r="13" ht="43.5" customHeight="1" spans="1:4">
      <c r="A13" s="203">
        <v>12</v>
      </c>
      <c r="B13" s="204" t="s">
        <v>2112</v>
      </c>
      <c r="C13" s="205">
        <v>146552.66</v>
      </c>
      <c r="D13" s="206">
        <f t="shared" si="0"/>
        <v>2931.0532</v>
      </c>
    </row>
    <row r="14" ht="43.5" customHeight="1" spans="1:4">
      <c r="A14" s="203">
        <v>13</v>
      </c>
      <c r="B14" s="204" t="s">
        <v>2113</v>
      </c>
      <c r="C14" s="205">
        <v>146552.66</v>
      </c>
      <c r="D14" s="206">
        <f t="shared" si="0"/>
        <v>2931.0532</v>
      </c>
    </row>
    <row r="15" ht="43.5" customHeight="1" spans="1:4">
      <c r="A15" s="203">
        <v>14</v>
      </c>
      <c r="B15" s="204" t="s">
        <v>2114</v>
      </c>
      <c r="C15" s="205">
        <v>129429.38</v>
      </c>
      <c r="D15" s="206">
        <f t="shared" si="0"/>
        <v>2588.5876</v>
      </c>
    </row>
    <row r="16" ht="43.5" customHeight="1" spans="1:4">
      <c r="A16" s="203">
        <v>15</v>
      </c>
      <c r="B16" s="204" t="s">
        <v>244</v>
      </c>
      <c r="C16" s="205">
        <v>129429.38</v>
      </c>
      <c r="D16" s="206">
        <f t="shared" si="0"/>
        <v>2588.5876</v>
      </c>
    </row>
    <row r="17" ht="43.5" customHeight="1" spans="1:4">
      <c r="A17" s="203">
        <v>16</v>
      </c>
      <c r="B17" s="204" t="s">
        <v>2115</v>
      </c>
      <c r="C17" s="205">
        <v>186262.75</v>
      </c>
      <c r="D17" s="206">
        <f t="shared" si="0"/>
        <v>3725.255</v>
      </c>
    </row>
    <row r="18" ht="43.5" customHeight="1" spans="1:4">
      <c r="A18" s="203">
        <v>17</v>
      </c>
      <c r="B18" s="204" t="s">
        <v>2116</v>
      </c>
      <c r="C18" s="205">
        <v>69346.21</v>
      </c>
      <c r="D18" s="206">
        <f t="shared" si="0"/>
        <v>1386.9242</v>
      </c>
    </row>
    <row r="19" ht="43.5" customHeight="1" spans="1:4">
      <c r="A19" s="203">
        <v>18</v>
      </c>
      <c r="B19" s="204" t="s">
        <v>2117</v>
      </c>
      <c r="C19" s="205">
        <v>142622.59</v>
      </c>
      <c r="D19" s="206">
        <f t="shared" si="0"/>
        <v>2852.4518</v>
      </c>
    </row>
    <row r="20" ht="43.5" customHeight="1" spans="1:4">
      <c r="A20" s="203">
        <v>19</v>
      </c>
      <c r="B20" s="204" t="s">
        <v>152</v>
      </c>
      <c r="C20" s="205">
        <v>142622.59</v>
      </c>
      <c r="D20" s="206">
        <f t="shared" si="0"/>
        <v>2852.4518</v>
      </c>
    </row>
    <row r="21" ht="43.5" customHeight="1" spans="1:4">
      <c r="A21" s="203">
        <v>20</v>
      </c>
      <c r="B21" s="204" t="s">
        <v>154</v>
      </c>
      <c r="C21" s="205">
        <v>142622.59</v>
      </c>
      <c r="D21" s="206">
        <f t="shared" si="0"/>
        <v>2852.4518</v>
      </c>
    </row>
    <row r="22" ht="43.5" customHeight="1" spans="1:4">
      <c r="A22" s="203">
        <v>21</v>
      </c>
      <c r="B22" s="204" t="s">
        <v>2007</v>
      </c>
      <c r="C22" s="205">
        <v>142622.59</v>
      </c>
      <c r="D22" s="206">
        <f t="shared" si="0"/>
        <v>2852.4518</v>
      </c>
    </row>
    <row r="23" ht="43.5" customHeight="1" spans="1:4">
      <c r="A23" s="203">
        <v>22</v>
      </c>
      <c r="B23" s="204" t="s">
        <v>159</v>
      </c>
      <c r="C23" s="205">
        <v>142622.59</v>
      </c>
      <c r="D23" s="206">
        <f t="shared" si="0"/>
        <v>2852.4518</v>
      </c>
    </row>
    <row r="24" ht="43.5" customHeight="1" spans="1:4">
      <c r="A24" s="203">
        <v>23</v>
      </c>
      <c r="B24" s="204" t="s">
        <v>163</v>
      </c>
      <c r="C24" s="205">
        <v>142622.59</v>
      </c>
      <c r="D24" s="206">
        <f t="shared" si="0"/>
        <v>2852.4518</v>
      </c>
    </row>
    <row r="25" ht="43.5" customHeight="1" spans="1:4">
      <c r="A25" s="203">
        <v>24</v>
      </c>
      <c r="B25" s="204" t="s">
        <v>166</v>
      </c>
      <c r="C25" s="205">
        <v>142622.59</v>
      </c>
      <c r="D25" s="206">
        <f t="shared" si="0"/>
        <v>2852.4518</v>
      </c>
    </row>
    <row r="26" ht="43.5" customHeight="1" spans="1:4">
      <c r="A26" s="203">
        <v>25</v>
      </c>
      <c r="B26" s="204" t="s">
        <v>2118</v>
      </c>
      <c r="C26" s="205">
        <v>150482.83</v>
      </c>
      <c r="D26" s="206">
        <f t="shared" si="0"/>
        <v>3009.6566</v>
      </c>
    </row>
    <row r="27" ht="43.5" customHeight="1" spans="1:4">
      <c r="A27" s="203">
        <v>26</v>
      </c>
      <c r="B27" s="204" t="s">
        <v>180</v>
      </c>
      <c r="C27" s="205">
        <v>142622.59</v>
      </c>
      <c r="D27" s="206">
        <f t="shared" si="0"/>
        <v>2852.4518</v>
      </c>
    </row>
    <row r="28" ht="43.5" customHeight="1" spans="1:4">
      <c r="A28" s="203">
        <v>27</v>
      </c>
      <c r="B28" s="204" t="s">
        <v>182</v>
      </c>
      <c r="C28" s="205">
        <v>142622.59</v>
      </c>
      <c r="D28" s="206">
        <f t="shared" si="0"/>
        <v>2852.4518</v>
      </c>
    </row>
    <row r="29" ht="43.5" customHeight="1" spans="1:4">
      <c r="A29" s="203">
        <v>28</v>
      </c>
      <c r="B29" s="204" t="s">
        <v>184</v>
      </c>
      <c r="C29" s="205">
        <v>150482.83</v>
      </c>
      <c r="D29" s="206">
        <f t="shared" si="0"/>
        <v>3009.6566</v>
      </c>
    </row>
    <row r="30" ht="43.5" customHeight="1" spans="1:4">
      <c r="A30" s="203">
        <v>29</v>
      </c>
      <c r="B30" s="204" t="s">
        <v>187</v>
      </c>
      <c r="C30" s="205">
        <v>150482.83</v>
      </c>
      <c r="D30" s="206">
        <f t="shared" si="0"/>
        <v>3009.6566</v>
      </c>
    </row>
    <row r="31" ht="43.5" customHeight="1" spans="1:4">
      <c r="A31" s="203">
        <v>30</v>
      </c>
      <c r="B31" s="204" t="s">
        <v>2199</v>
      </c>
      <c r="C31" s="205">
        <v>150482.83</v>
      </c>
      <c r="D31" s="206">
        <f t="shared" si="0"/>
        <v>3009.6566</v>
      </c>
    </row>
    <row r="32" ht="43.5" customHeight="1" spans="1:4">
      <c r="A32" s="203">
        <v>31</v>
      </c>
      <c r="B32" s="204" t="s">
        <v>2119</v>
      </c>
      <c r="C32" s="205">
        <v>150482.83</v>
      </c>
      <c r="D32" s="206">
        <f t="shared" si="0"/>
        <v>3009.6566</v>
      </c>
    </row>
    <row r="33" ht="43.5" customHeight="1" spans="1:4">
      <c r="A33" s="203">
        <v>32</v>
      </c>
      <c r="B33" s="204" t="s">
        <v>190</v>
      </c>
      <c r="C33" s="205">
        <v>150482.83</v>
      </c>
      <c r="D33" s="206">
        <f t="shared" si="0"/>
        <v>3009.6566</v>
      </c>
    </row>
    <row r="34" ht="43.5" customHeight="1" spans="1:4">
      <c r="A34" s="203">
        <v>33</v>
      </c>
      <c r="B34" s="204" t="s">
        <v>2120</v>
      </c>
      <c r="C34" s="205">
        <v>154413</v>
      </c>
      <c r="D34" s="206">
        <f t="shared" si="0"/>
        <v>3088.26</v>
      </c>
    </row>
    <row r="35" ht="43.5" customHeight="1" spans="1:4">
      <c r="A35" s="203">
        <v>34</v>
      </c>
      <c r="B35" s="204" t="s">
        <v>193</v>
      </c>
      <c r="C35" s="205">
        <v>115734.25</v>
      </c>
      <c r="D35" s="206">
        <f t="shared" si="0"/>
        <v>2314.685</v>
      </c>
    </row>
    <row r="36" ht="43.5" customHeight="1" spans="1:4">
      <c r="A36" s="203">
        <v>35</v>
      </c>
      <c r="B36" s="204" t="s">
        <v>211</v>
      </c>
      <c r="C36" s="205">
        <v>115734.25</v>
      </c>
      <c r="D36" s="206">
        <f t="shared" si="0"/>
        <v>2314.685</v>
      </c>
    </row>
    <row r="37" ht="43.5" customHeight="1" spans="1:4">
      <c r="A37" s="203">
        <v>36</v>
      </c>
      <c r="B37" s="204" t="s">
        <v>222</v>
      </c>
      <c r="C37" s="205">
        <v>180890.08</v>
      </c>
      <c r="D37" s="206">
        <f t="shared" si="0"/>
        <v>3617.8016</v>
      </c>
    </row>
    <row r="38" ht="43.5" customHeight="1" spans="1:4">
      <c r="A38" s="203">
        <v>37</v>
      </c>
      <c r="B38" s="204" t="s">
        <v>224</v>
      </c>
      <c r="C38" s="205">
        <v>287275.41</v>
      </c>
      <c r="D38" s="206">
        <f t="shared" si="0"/>
        <v>5745.5082</v>
      </c>
    </row>
    <row r="39" ht="43.5" customHeight="1" spans="1:4">
      <c r="A39" s="203">
        <v>38</v>
      </c>
      <c r="B39" s="204" t="s">
        <v>2019</v>
      </c>
      <c r="C39" s="205">
        <v>129429.38</v>
      </c>
      <c r="D39" s="206">
        <f t="shared" si="0"/>
        <v>2588.5876</v>
      </c>
    </row>
    <row r="40" ht="43.5" customHeight="1" spans="1:4">
      <c r="A40" s="203">
        <v>39</v>
      </c>
      <c r="B40" s="204" t="s">
        <v>248</v>
      </c>
      <c r="C40" s="205">
        <v>306219.91</v>
      </c>
      <c r="D40" s="206">
        <f t="shared" si="0"/>
        <v>6124.3982</v>
      </c>
    </row>
    <row r="41" ht="43.5" customHeight="1" spans="1:4">
      <c r="A41" s="203">
        <v>40</v>
      </c>
      <c r="B41" s="204" t="s">
        <v>2121</v>
      </c>
      <c r="C41" s="205">
        <v>153109.96</v>
      </c>
      <c r="D41" s="206">
        <f t="shared" si="0"/>
        <v>3062.1992</v>
      </c>
    </row>
    <row r="42" ht="43.5" customHeight="1" spans="1:4">
      <c r="A42" s="203">
        <v>41</v>
      </c>
      <c r="B42" s="204" t="s">
        <v>2122</v>
      </c>
      <c r="C42" s="205">
        <v>129429.37</v>
      </c>
      <c r="D42" s="206">
        <f t="shared" si="0"/>
        <v>2588.5874</v>
      </c>
    </row>
    <row r="43" ht="43.5" customHeight="1" spans="1:4">
      <c r="A43" s="203">
        <v>42</v>
      </c>
      <c r="B43" s="204" t="s">
        <v>2123</v>
      </c>
      <c r="C43" s="205">
        <v>169075.22</v>
      </c>
      <c r="D43" s="206">
        <f t="shared" si="0"/>
        <v>3381.5044</v>
      </c>
    </row>
    <row r="44" ht="43.5" customHeight="1" spans="1:4">
      <c r="A44" s="203">
        <v>43</v>
      </c>
      <c r="B44" s="204" t="s">
        <v>2124</v>
      </c>
      <c r="C44" s="205">
        <v>186262.75</v>
      </c>
      <c r="D44" s="206">
        <f t="shared" si="0"/>
        <v>3725.255</v>
      </c>
    </row>
    <row r="45" ht="43.5" customHeight="1" spans="1:4">
      <c r="A45" s="203">
        <v>44</v>
      </c>
      <c r="B45" s="204" t="s">
        <v>2125</v>
      </c>
      <c r="C45" s="205">
        <v>353581.08</v>
      </c>
      <c r="D45" s="206">
        <f t="shared" si="0"/>
        <v>7071.6216</v>
      </c>
    </row>
    <row r="46" ht="43.5" customHeight="1" spans="1:4">
      <c r="A46" s="203">
        <v>45</v>
      </c>
      <c r="B46" s="204" t="s">
        <v>256</v>
      </c>
      <c r="C46" s="205">
        <v>353581.08</v>
      </c>
      <c r="D46" s="206">
        <f t="shared" si="0"/>
        <v>7071.6216</v>
      </c>
    </row>
    <row r="47" ht="43.5" customHeight="1" spans="1:4">
      <c r="A47" s="203">
        <v>46</v>
      </c>
      <c r="B47" s="204" t="s">
        <v>260</v>
      </c>
      <c r="C47" s="205">
        <v>193441.75</v>
      </c>
      <c r="D47" s="206">
        <f t="shared" si="0"/>
        <v>3868.835</v>
      </c>
    </row>
    <row r="48" ht="43.5" customHeight="1" spans="1:4">
      <c r="A48" s="203">
        <v>47</v>
      </c>
      <c r="B48" s="204" t="s">
        <v>262</v>
      </c>
      <c r="C48" s="205">
        <v>180890.08</v>
      </c>
      <c r="D48" s="206">
        <f t="shared" si="0"/>
        <v>3617.8016</v>
      </c>
    </row>
    <row r="49" ht="43.5" customHeight="1" spans="1:4">
      <c r="A49" s="203">
        <v>48</v>
      </c>
      <c r="B49" s="204" t="s">
        <v>265</v>
      </c>
      <c r="C49" s="205">
        <v>193441.33</v>
      </c>
      <c r="D49" s="206">
        <f t="shared" si="0"/>
        <v>3868.8266</v>
      </c>
    </row>
    <row r="50" ht="43.5" customHeight="1" spans="1:4">
      <c r="A50" s="203">
        <v>49</v>
      </c>
      <c r="B50" s="204" t="s">
        <v>268</v>
      </c>
      <c r="C50" s="205">
        <v>142622.59</v>
      </c>
      <c r="D50" s="206">
        <f t="shared" si="0"/>
        <v>2852.4518</v>
      </c>
    </row>
    <row r="51" ht="43.5" customHeight="1" spans="1:4">
      <c r="A51" s="203">
        <v>50</v>
      </c>
      <c r="B51" s="204" t="s">
        <v>2035</v>
      </c>
      <c r="C51" s="205">
        <v>142622.59</v>
      </c>
      <c r="D51" s="206">
        <f t="shared" si="0"/>
        <v>2852.4518</v>
      </c>
    </row>
    <row r="52" ht="43.5" customHeight="1" spans="1:4">
      <c r="A52" s="203">
        <v>51</v>
      </c>
      <c r="B52" s="204" t="s">
        <v>271</v>
      </c>
      <c r="C52" s="205">
        <v>142622.59</v>
      </c>
      <c r="D52" s="206">
        <f t="shared" si="0"/>
        <v>2852.4518</v>
      </c>
    </row>
    <row r="53" ht="43.5" customHeight="1" spans="1:4">
      <c r="A53" s="203">
        <v>52</v>
      </c>
      <c r="B53" s="204" t="s">
        <v>274</v>
      </c>
      <c r="C53" s="205">
        <v>142622.59</v>
      </c>
      <c r="D53" s="206">
        <f t="shared" si="0"/>
        <v>2852.4518</v>
      </c>
    </row>
    <row r="54" ht="43.5" customHeight="1" spans="1:4">
      <c r="A54" s="203">
        <v>53</v>
      </c>
      <c r="B54" s="204" t="s">
        <v>278</v>
      </c>
      <c r="C54" s="205">
        <v>142622.59</v>
      </c>
      <c r="D54" s="206">
        <f t="shared" si="0"/>
        <v>2852.4518</v>
      </c>
    </row>
    <row r="55" ht="43.5" customHeight="1" spans="1:4">
      <c r="A55" s="203">
        <v>54</v>
      </c>
      <c r="B55" s="204" t="s">
        <v>282</v>
      </c>
      <c r="C55" s="205">
        <v>142622.59</v>
      </c>
      <c r="D55" s="206">
        <f t="shared" si="0"/>
        <v>2852.4518</v>
      </c>
    </row>
    <row r="56" ht="43.5" customHeight="1" spans="1:4">
      <c r="A56" s="203">
        <v>55</v>
      </c>
      <c r="B56" s="204" t="s">
        <v>285</v>
      </c>
      <c r="C56" s="205">
        <v>142622.59</v>
      </c>
      <c r="D56" s="206">
        <f t="shared" si="0"/>
        <v>2852.4518</v>
      </c>
    </row>
    <row r="57" ht="43.5" customHeight="1" spans="1:4">
      <c r="A57" s="203">
        <v>56</v>
      </c>
      <c r="B57" s="204" t="s">
        <v>289</v>
      </c>
      <c r="C57" s="205">
        <v>142622.59</v>
      </c>
      <c r="D57" s="206">
        <f t="shared" si="0"/>
        <v>2852.4518</v>
      </c>
    </row>
    <row r="58" ht="43.5" customHeight="1" spans="1:4">
      <c r="A58" s="203">
        <v>57</v>
      </c>
      <c r="B58" s="204" t="s">
        <v>290</v>
      </c>
      <c r="C58" s="205">
        <v>142622.59</v>
      </c>
      <c r="D58" s="206">
        <f t="shared" si="0"/>
        <v>2852.4518</v>
      </c>
    </row>
    <row r="59" ht="43.5" customHeight="1" spans="1:4">
      <c r="A59" s="203">
        <v>58</v>
      </c>
      <c r="B59" s="204" t="s">
        <v>2126</v>
      </c>
      <c r="C59" s="205">
        <v>142622.59</v>
      </c>
      <c r="D59" s="206">
        <f t="shared" si="0"/>
        <v>2852.4518</v>
      </c>
    </row>
    <row r="60" ht="43.5" customHeight="1" spans="1:4">
      <c r="A60" s="203">
        <v>59</v>
      </c>
      <c r="B60" s="204" t="s">
        <v>293</v>
      </c>
      <c r="C60" s="205">
        <v>142622.59</v>
      </c>
      <c r="D60" s="206">
        <f t="shared" si="0"/>
        <v>2852.4518</v>
      </c>
    </row>
    <row r="61" ht="43.5" customHeight="1" spans="1:4">
      <c r="A61" s="203">
        <v>60</v>
      </c>
      <c r="B61" s="204" t="s">
        <v>2200</v>
      </c>
      <c r="C61" s="205">
        <v>142622.59</v>
      </c>
      <c r="D61" s="206">
        <f t="shared" si="0"/>
        <v>2852.4518</v>
      </c>
    </row>
    <row r="62" ht="43.5" customHeight="1" spans="1:4">
      <c r="A62" s="203">
        <v>61</v>
      </c>
      <c r="B62" s="204" t="s">
        <v>299</v>
      </c>
      <c r="C62" s="205">
        <v>142622.59</v>
      </c>
      <c r="D62" s="206">
        <f t="shared" si="0"/>
        <v>2852.4518</v>
      </c>
    </row>
    <row r="63" ht="43.5" customHeight="1" spans="1:4">
      <c r="A63" s="203">
        <v>62</v>
      </c>
      <c r="B63" s="204" t="s">
        <v>300</v>
      </c>
      <c r="C63" s="205">
        <v>142622.59</v>
      </c>
      <c r="D63" s="206">
        <f t="shared" si="0"/>
        <v>2852.4518</v>
      </c>
    </row>
    <row r="64" ht="43.5" customHeight="1" spans="1:4">
      <c r="A64" s="203">
        <v>63</v>
      </c>
      <c r="B64" s="204" t="s">
        <v>310</v>
      </c>
      <c r="C64" s="205">
        <v>142622.59</v>
      </c>
      <c r="D64" s="206">
        <f t="shared" si="0"/>
        <v>2852.4518</v>
      </c>
    </row>
    <row r="65" ht="43.5" customHeight="1" spans="1:4">
      <c r="A65" s="203">
        <v>64</v>
      </c>
      <c r="B65" s="204" t="s">
        <v>314</v>
      </c>
      <c r="C65" s="205">
        <v>142622.59</v>
      </c>
      <c r="D65" s="206">
        <f t="shared" si="0"/>
        <v>2852.4518</v>
      </c>
    </row>
    <row r="66" ht="43.5" customHeight="1" spans="1:4">
      <c r="A66" s="203">
        <v>65</v>
      </c>
      <c r="B66" s="204" t="s">
        <v>316</v>
      </c>
      <c r="C66" s="205">
        <v>142622.59</v>
      </c>
      <c r="D66" s="206">
        <f t="shared" si="0"/>
        <v>2852.4518</v>
      </c>
    </row>
    <row r="67" ht="43.5" customHeight="1" spans="1:4">
      <c r="A67" s="203">
        <v>66</v>
      </c>
      <c r="B67" s="204" t="s">
        <v>318</v>
      </c>
      <c r="C67" s="205">
        <v>142622.59</v>
      </c>
      <c r="D67" s="206">
        <f t="shared" si="0"/>
        <v>2852.4518</v>
      </c>
    </row>
    <row r="68" ht="43.5" customHeight="1" spans="1:4">
      <c r="A68" s="203">
        <v>67</v>
      </c>
      <c r="B68" s="204" t="s">
        <v>320</v>
      </c>
      <c r="C68" s="205">
        <v>142622.59</v>
      </c>
      <c r="D68" s="206">
        <f t="shared" ref="D68:D131" si="1">C68*0.02</f>
        <v>2852.4518</v>
      </c>
    </row>
    <row r="69" ht="43.5" customHeight="1" spans="1:4">
      <c r="A69" s="203">
        <v>68</v>
      </c>
      <c r="B69" s="204" t="s">
        <v>321</v>
      </c>
      <c r="C69" s="205">
        <v>142622.59</v>
      </c>
      <c r="D69" s="206">
        <f t="shared" si="1"/>
        <v>2852.4518</v>
      </c>
    </row>
    <row r="70" ht="43.5" customHeight="1" spans="1:4">
      <c r="A70" s="203">
        <v>69</v>
      </c>
      <c r="B70" s="204" t="s">
        <v>323</v>
      </c>
      <c r="C70" s="205">
        <v>142622.59</v>
      </c>
      <c r="D70" s="206">
        <f t="shared" si="1"/>
        <v>2852.4518</v>
      </c>
    </row>
    <row r="71" ht="43.5" customHeight="1" spans="1:4">
      <c r="A71" s="203">
        <v>70</v>
      </c>
      <c r="B71" s="204" t="s">
        <v>324</v>
      </c>
      <c r="C71" s="205">
        <v>142622.59</v>
      </c>
      <c r="D71" s="206">
        <f t="shared" si="1"/>
        <v>2852.4518</v>
      </c>
    </row>
    <row r="72" ht="43.5" customHeight="1" spans="1:4">
      <c r="A72" s="203">
        <v>71</v>
      </c>
      <c r="B72" s="204" t="s">
        <v>326</v>
      </c>
      <c r="C72" s="205">
        <v>142622.59</v>
      </c>
      <c r="D72" s="206">
        <f t="shared" si="1"/>
        <v>2852.4518</v>
      </c>
    </row>
    <row r="73" ht="43.5" customHeight="1" spans="1:4">
      <c r="A73" s="203">
        <v>72</v>
      </c>
      <c r="B73" s="204" t="s">
        <v>327</v>
      </c>
      <c r="C73" s="205">
        <v>142622.59</v>
      </c>
      <c r="D73" s="206">
        <f t="shared" si="1"/>
        <v>2852.4518</v>
      </c>
    </row>
    <row r="74" ht="43.5" customHeight="1" spans="1:4">
      <c r="A74" s="203">
        <v>73</v>
      </c>
      <c r="B74" s="204" t="s">
        <v>2127</v>
      </c>
      <c r="C74" s="205">
        <v>142622.59</v>
      </c>
      <c r="D74" s="206">
        <f t="shared" si="1"/>
        <v>2852.4518</v>
      </c>
    </row>
    <row r="75" ht="43.5" customHeight="1" spans="1:4">
      <c r="A75" s="203">
        <v>74</v>
      </c>
      <c r="B75" s="204" t="s">
        <v>330</v>
      </c>
      <c r="C75" s="205">
        <v>287275.41</v>
      </c>
      <c r="D75" s="206">
        <f t="shared" si="1"/>
        <v>5745.5082</v>
      </c>
    </row>
    <row r="76" ht="43.5" customHeight="1" spans="1:4">
      <c r="A76" s="203">
        <v>75</v>
      </c>
      <c r="B76" s="204" t="s">
        <v>334</v>
      </c>
      <c r="C76" s="205">
        <v>287275.41</v>
      </c>
      <c r="D76" s="206">
        <f t="shared" si="1"/>
        <v>5745.5082</v>
      </c>
    </row>
    <row r="77" ht="43.5" customHeight="1" spans="1:4">
      <c r="A77" s="203">
        <v>76</v>
      </c>
      <c r="B77" s="204" t="s">
        <v>2046</v>
      </c>
      <c r="C77" s="205">
        <v>149373.84</v>
      </c>
      <c r="D77" s="206">
        <f t="shared" si="1"/>
        <v>2987.4768</v>
      </c>
    </row>
    <row r="78" ht="43.5" customHeight="1" spans="1:4">
      <c r="A78" s="203">
        <v>77</v>
      </c>
      <c r="B78" s="204" t="s">
        <v>2128</v>
      </c>
      <c r="C78" s="205">
        <v>157846.08</v>
      </c>
      <c r="D78" s="206">
        <f t="shared" si="1"/>
        <v>3156.9216</v>
      </c>
    </row>
    <row r="79" ht="43.5" customHeight="1" spans="1:4">
      <c r="A79" s="203">
        <v>78</v>
      </c>
      <c r="B79" s="204" t="s">
        <v>2129</v>
      </c>
      <c r="C79" s="205">
        <v>436225.42</v>
      </c>
      <c r="D79" s="206">
        <f t="shared" si="1"/>
        <v>8724.5084</v>
      </c>
    </row>
    <row r="80" ht="43.5" customHeight="1" spans="1:4">
      <c r="A80" s="203">
        <v>79</v>
      </c>
      <c r="B80" s="204" t="s">
        <v>2130</v>
      </c>
      <c r="C80" s="205">
        <v>191973.88</v>
      </c>
      <c r="D80" s="206">
        <f t="shared" si="1"/>
        <v>3839.4776</v>
      </c>
    </row>
    <row r="81" ht="43.5" customHeight="1" spans="1:4">
      <c r="A81" s="203">
        <v>80</v>
      </c>
      <c r="B81" s="204" t="s">
        <v>339</v>
      </c>
      <c r="C81" s="205">
        <v>418295.83</v>
      </c>
      <c r="D81" s="206">
        <f t="shared" si="1"/>
        <v>8365.9166</v>
      </c>
    </row>
    <row r="82" ht="43.5" customHeight="1" spans="1:4">
      <c r="A82" s="203">
        <v>81</v>
      </c>
      <c r="B82" s="204" t="s">
        <v>345</v>
      </c>
      <c r="C82" s="205">
        <v>287275.41</v>
      </c>
      <c r="D82" s="206">
        <f t="shared" si="1"/>
        <v>5745.5082</v>
      </c>
    </row>
    <row r="83" ht="43.5" customHeight="1" spans="1:4">
      <c r="A83" s="203">
        <v>82</v>
      </c>
      <c r="B83" s="204" t="s">
        <v>2131</v>
      </c>
      <c r="C83" s="205">
        <v>287275.41</v>
      </c>
      <c r="D83" s="206">
        <f t="shared" si="1"/>
        <v>5745.5082</v>
      </c>
    </row>
    <row r="84" ht="43.5" customHeight="1" spans="1:4">
      <c r="A84" s="203">
        <v>83</v>
      </c>
      <c r="B84" s="204" t="s">
        <v>349</v>
      </c>
      <c r="C84" s="205">
        <v>142622.59</v>
      </c>
      <c r="D84" s="206">
        <f t="shared" si="1"/>
        <v>2852.4518</v>
      </c>
    </row>
    <row r="85" ht="43.5" customHeight="1" spans="1:4">
      <c r="A85" s="203">
        <v>84</v>
      </c>
      <c r="B85" s="204" t="s">
        <v>351</v>
      </c>
      <c r="C85" s="205">
        <v>115734.25</v>
      </c>
      <c r="D85" s="206">
        <f t="shared" si="1"/>
        <v>2314.685</v>
      </c>
    </row>
    <row r="86" ht="43.5" customHeight="1" spans="1:4">
      <c r="A86" s="203">
        <v>85</v>
      </c>
      <c r="B86" s="204" t="s">
        <v>355</v>
      </c>
      <c r="C86" s="205">
        <v>142622.59</v>
      </c>
      <c r="D86" s="206">
        <f t="shared" si="1"/>
        <v>2852.4518</v>
      </c>
    </row>
    <row r="87" ht="43.5" customHeight="1" spans="1:4">
      <c r="A87" s="203">
        <v>86</v>
      </c>
      <c r="B87" s="204" t="s">
        <v>357</v>
      </c>
      <c r="C87" s="205">
        <v>142622.59</v>
      </c>
      <c r="D87" s="206">
        <f t="shared" si="1"/>
        <v>2852.4518</v>
      </c>
    </row>
    <row r="88" ht="43.5" customHeight="1" spans="1:4">
      <c r="A88" s="203">
        <v>87</v>
      </c>
      <c r="B88" s="204" t="s">
        <v>2132</v>
      </c>
      <c r="C88" s="205">
        <v>142622.59</v>
      </c>
      <c r="D88" s="206">
        <f t="shared" si="1"/>
        <v>2852.4518</v>
      </c>
    </row>
    <row r="89" ht="43.5" customHeight="1" spans="1:4">
      <c r="A89" s="203">
        <v>88</v>
      </c>
      <c r="B89" s="204" t="s">
        <v>365</v>
      </c>
      <c r="C89" s="205">
        <v>142622.59</v>
      </c>
      <c r="D89" s="206">
        <f t="shared" si="1"/>
        <v>2852.4518</v>
      </c>
    </row>
    <row r="90" ht="43.5" customHeight="1" spans="1:4">
      <c r="A90" s="203">
        <v>89</v>
      </c>
      <c r="B90" s="204" t="s">
        <v>2051</v>
      </c>
      <c r="C90" s="205">
        <v>142622.59</v>
      </c>
      <c r="D90" s="206">
        <f t="shared" si="1"/>
        <v>2852.4518</v>
      </c>
    </row>
    <row r="91" ht="43.5" customHeight="1" spans="1:4">
      <c r="A91" s="203">
        <v>90</v>
      </c>
      <c r="B91" s="204" t="s">
        <v>369</v>
      </c>
      <c r="C91" s="205">
        <v>150482.83</v>
      </c>
      <c r="D91" s="206">
        <f t="shared" si="1"/>
        <v>3009.6566</v>
      </c>
    </row>
    <row r="92" ht="43.5" customHeight="1" spans="1:4">
      <c r="A92" s="203">
        <v>91</v>
      </c>
      <c r="B92" s="204" t="s">
        <v>2052</v>
      </c>
      <c r="C92" s="205">
        <v>142622.59</v>
      </c>
      <c r="D92" s="206">
        <f t="shared" si="1"/>
        <v>2852.4518</v>
      </c>
    </row>
    <row r="93" ht="43.5" customHeight="1" spans="1:4">
      <c r="A93" s="203">
        <v>92</v>
      </c>
      <c r="B93" s="204" t="s">
        <v>371</v>
      </c>
      <c r="C93" s="205">
        <v>277803.16</v>
      </c>
      <c r="D93" s="206">
        <f t="shared" si="1"/>
        <v>5556.0632</v>
      </c>
    </row>
    <row r="94" ht="43.5" customHeight="1" spans="1:4">
      <c r="A94" s="203">
        <v>93</v>
      </c>
      <c r="B94" s="204" t="s">
        <v>2133</v>
      </c>
      <c r="C94" s="205">
        <v>153109.95</v>
      </c>
      <c r="D94" s="206">
        <f t="shared" si="1"/>
        <v>3062.199</v>
      </c>
    </row>
    <row r="95" ht="43.5" customHeight="1" spans="1:4">
      <c r="A95" s="203">
        <v>94</v>
      </c>
      <c r="B95" s="204" t="s">
        <v>2053</v>
      </c>
      <c r="C95" s="205">
        <v>146552.66</v>
      </c>
      <c r="D95" s="206">
        <f t="shared" si="1"/>
        <v>2931.0532</v>
      </c>
    </row>
    <row r="96" ht="43.5" customHeight="1" spans="1:4">
      <c r="A96" s="203">
        <v>95</v>
      </c>
      <c r="B96" s="204" t="s">
        <v>373</v>
      </c>
      <c r="C96" s="205">
        <v>125772.83</v>
      </c>
      <c r="D96" s="206">
        <f t="shared" si="1"/>
        <v>2515.4566</v>
      </c>
    </row>
    <row r="97" ht="43.5" customHeight="1" spans="1:4">
      <c r="A97" s="203">
        <v>96</v>
      </c>
      <c r="B97" s="204" t="s">
        <v>2134</v>
      </c>
      <c r="C97" s="205">
        <v>449587.08</v>
      </c>
      <c r="D97" s="206">
        <f t="shared" si="1"/>
        <v>8991.7416</v>
      </c>
    </row>
    <row r="98" ht="43.5" customHeight="1" spans="1:4">
      <c r="A98" s="203">
        <v>97</v>
      </c>
      <c r="B98" s="204" t="s">
        <v>382</v>
      </c>
      <c r="C98" s="205">
        <v>125772.83</v>
      </c>
      <c r="D98" s="206">
        <f t="shared" si="1"/>
        <v>2515.4566</v>
      </c>
    </row>
    <row r="99" ht="43.5" customHeight="1" spans="1:4">
      <c r="A99" s="203">
        <v>98</v>
      </c>
      <c r="B99" s="204" t="s">
        <v>388</v>
      </c>
      <c r="C99" s="205">
        <v>125772.83</v>
      </c>
      <c r="D99" s="206">
        <f t="shared" si="1"/>
        <v>2515.4566</v>
      </c>
    </row>
    <row r="100" ht="43.5" customHeight="1" spans="1:4">
      <c r="A100" s="203">
        <v>99</v>
      </c>
      <c r="B100" s="204" t="s">
        <v>392</v>
      </c>
      <c r="C100" s="205">
        <v>268331</v>
      </c>
      <c r="D100" s="206">
        <f t="shared" si="1"/>
        <v>5366.62</v>
      </c>
    </row>
    <row r="101" ht="43.5" customHeight="1" spans="1:4">
      <c r="A101" s="203">
        <v>100</v>
      </c>
      <c r="B101" s="204" t="s">
        <v>393</v>
      </c>
      <c r="C101" s="205">
        <v>180858.08</v>
      </c>
      <c r="D101" s="206">
        <f t="shared" si="1"/>
        <v>3617.1616</v>
      </c>
    </row>
    <row r="102" ht="43.5" customHeight="1" spans="1:4">
      <c r="A102" s="203">
        <v>101</v>
      </c>
      <c r="B102" s="204" t="s">
        <v>396</v>
      </c>
      <c r="C102" s="205">
        <v>180858.08</v>
      </c>
      <c r="D102" s="206">
        <f t="shared" si="1"/>
        <v>3617.1616</v>
      </c>
    </row>
    <row r="103" ht="43.5" customHeight="1" spans="1:4">
      <c r="A103" s="203">
        <v>102</v>
      </c>
      <c r="B103" s="204" t="s">
        <v>403</v>
      </c>
      <c r="C103" s="205">
        <v>142622.59</v>
      </c>
      <c r="D103" s="206">
        <f t="shared" si="1"/>
        <v>2852.4518</v>
      </c>
    </row>
    <row r="104" ht="43.5" customHeight="1" spans="1:4">
      <c r="A104" s="203">
        <v>103</v>
      </c>
      <c r="B104" s="204" t="s">
        <v>2201</v>
      </c>
      <c r="C104" s="205">
        <v>180858.08</v>
      </c>
      <c r="D104" s="206">
        <f t="shared" si="1"/>
        <v>3617.1616</v>
      </c>
    </row>
    <row r="105" ht="43.5" customHeight="1" spans="1:4">
      <c r="A105" s="203">
        <v>104</v>
      </c>
      <c r="B105" s="204" t="s">
        <v>406</v>
      </c>
      <c r="C105" s="205">
        <v>142622.59</v>
      </c>
      <c r="D105" s="206">
        <f t="shared" si="1"/>
        <v>2852.4518</v>
      </c>
    </row>
    <row r="106" ht="43.5" customHeight="1" spans="1:4">
      <c r="A106" s="203">
        <v>105</v>
      </c>
      <c r="B106" s="204" t="s">
        <v>2135</v>
      </c>
      <c r="C106" s="205">
        <v>142622.59</v>
      </c>
      <c r="D106" s="206">
        <f t="shared" si="1"/>
        <v>2852.4518</v>
      </c>
    </row>
    <row r="107" ht="43.5" customHeight="1" spans="1:4">
      <c r="A107" s="203">
        <v>106</v>
      </c>
      <c r="B107" s="204" t="s">
        <v>2065</v>
      </c>
      <c r="C107" s="205">
        <v>142622.59</v>
      </c>
      <c r="D107" s="206">
        <f t="shared" si="1"/>
        <v>2852.4518</v>
      </c>
    </row>
    <row r="108" ht="43.5" customHeight="1" spans="1:4">
      <c r="A108" s="203">
        <v>107</v>
      </c>
      <c r="B108" s="204" t="s">
        <v>408</v>
      </c>
      <c r="C108" s="205">
        <v>125772.83</v>
      </c>
      <c r="D108" s="206">
        <f t="shared" si="1"/>
        <v>2515.4566</v>
      </c>
    </row>
    <row r="109" ht="43.5" customHeight="1" spans="1:4">
      <c r="A109" s="203">
        <v>108</v>
      </c>
      <c r="B109" s="204" t="s">
        <v>410</v>
      </c>
      <c r="C109" s="205">
        <v>125772.83</v>
      </c>
      <c r="D109" s="206">
        <f t="shared" si="1"/>
        <v>2515.4566</v>
      </c>
    </row>
    <row r="110" ht="43.5" customHeight="1" spans="1:4">
      <c r="A110" s="203">
        <v>109</v>
      </c>
      <c r="B110" s="207" t="s">
        <v>412</v>
      </c>
      <c r="C110" s="205">
        <v>142622.58</v>
      </c>
      <c r="D110" s="206">
        <f t="shared" si="1"/>
        <v>2852.4516</v>
      </c>
    </row>
    <row r="111" ht="43.5" customHeight="1" spans="1:4">
      <c r="A111" s="203">
        <v>110</v>
      </c>
      <c r="B111" s="204" t="s">
        <v>413</v>
      </c>
      <c r="C111" s="205">
        <v>142622.58</v>
      </c>
      <c r="D111" s="206">
        <f t="shared" si="1"/>
        <v>2852.4516</v>
      </c>
    </row>
    <row r="112" ht="43.5" customHeight="1" spans="1:4">
      <c r="A112" s="203">
        <v>111</v>
      </c>
      <c r="B112" s="204" t="s">
        <v>414</v>
      </c>
      <c r="C112" s="205">
        <v>142622.58</v>
      </c>
      <c r="D112" s="206">
        <f t="shared" si="1"/>
        <v>2852.4516</v>
      </c>
    </row>
    <row r="113" ht="43.5" customHeight="1" spans="1:4">
      <c r="A113" s="203">
        <v>112</v>
      </c>
      <c r="B113" s="204" t="s">
        <v>423</v>
      </c>
      <c r="C113" s="205">
        <v>142622.58</v>
      </c>
      <c r="D113" s="206">
        <f t="shared" si="1"/>
        <v>2852.4516</v>
      </c>
    </row>
    <row r="114" ht="43.5" customHeight="1" spans="1:4">
      <c r="A114" s="203">
        <v>113</v>
      </c>
      <c r="B114" s="204" t="s">
        <v>425</v>
      </c>
      <c r="C114" s="205">
        <v>180858.08</v>
      </c>
      <c r="D114" s="206">
        <f t="shared" si="1"/>
        <v>3617.1616</v>
      </c>
    </row>
    <row r="115" ht="43.5" customHeight="1" spans="1:4">
      <c r="A115" s="203">
        <v>114</v>
      </c>
      <c r="B115" s="204" t="s">
        <v>428</v>
      </c>
      <c r="C115" s="205">
        <v>142622.58</v>
      </c>
      <c r="D115" s="206">
        <f t="shared" si="1"/>
        <v>2852.4516</v>
      </c>
    </row>
    <row r="116" ht="43.5" customHeight="1" spans="1:4">
      <c r="A116" s="203">
        <v>115</v>
      </c>
      <c r="B116" s="204" t="s">
        <v>429</v>
      </c>
      <c r="C116" s="205">
        <v>142622.58</v>
      </c>
      <c r="D116" s="206">
        <f t="shared" si="1"/>
        <v>2852.4516</v>
      </c>
    </row>
    <row r="117" ht="43.5" customHeight="1" spans="1:4">
      <c r="A117" s="203">
        <v>116</v>
      </c>
      <c r="B117" s="204" t="s">
        <v>433</v>
      </c>
      <c r="C117" s="205">
        <v>142622.58</v>
      </c>
      <c r="D117" s="206">
        <f t="shared" si="1"/>
        <v>2852.4516</v>
      </c>
    </row>
    <row r="118" ht="43.5" customHeight="1" spans="1:4">
      <c r="A118" s="203">
        <v>117</v>
      </c>
      <c r="B118" s="204" t="s">
        <v>437</v>
      </c>
      <c r="C118" s="205">
        <v>142622.58</v>
      </c>
      <c r="D118" s="206">
        <f t="shared" si="1"/>
        <v>2852.4516</v>
      </c>
    </row>
    <row r="119" ht="43.5" customHeight="1" spans="1:4">
      <c r="A119" s="203">
        <v>118</v>
      </c>
      <c r="B119" s="204" t="s">
        <v>438</v>
      </c>
      <c r="C119" s="205">
        <v>62886.42</v>
      </c>
      <c r="D119" s="206">
        <f t="shared" si="1"/>
        <v>1257.7284</v>
      </c>
    </row>
    <row r="120" ht="43.5" customHeight="1" spans="1:4">
      <c r="A120" s="203">
        <v>119</v>
      </c>
      <c r="B120" s="204" t="s">
        <v>441</v>
      </c>
      <c r="C120" s="205">
        <v>62886.42</v>
      </c>
      <c r="D120" s="206">
        <f t="shared" si="1"/>
        <v>1257.7284</v>
      </c>
    </row>
    <row r="121" ht="43.5" customHeight="1" spans="1:4">
      <c r="A121" s="203">
        <v>120</v>
      </c>
      <c r="B121" s="204" t="s">
        <v>451</v>
      </c>
      <c r="C121" s="205">
        <v>142622.58</v>
      </c>
      <c r="D121" s="206">
        <f t="shared" si="1"/>
        <v>2852.4516</v>
      </c>
    </row>
    <row r="122" ht="43.5" customHeight="1" spans="1:4">
      <c r="A122" s="203">
        <v>121</v>
      </c>
      <c r="B122" s="204" t="s">
        <v>452</v>
      </c>
      <c r="C122" s="205">
        <v>142622.58</v>
      </c>
      <c r="D122" s="206">
        <f t="shared" si="1"/>
        <v>2852.4516</v>
      </c>
    </row>
    <row r="123" ht="43.5" customHeight="1" spans="1:4">
      <c r="A123" s="203">
        <v>122</v>
      </c>
      <c r="B123" s="204" t="s">
        <v>2069</v>
      </c>
      <c r="C123" s="205">
        <v>142622.58</v>
      </c>
      <c r="D123" s="206">
        <f t="shared" si="1"/>
        <v>2852.4516</v>
      </c>
    </row>
    <row r="124" ht="43.5" customHeight="1" spans="1:4">
      <c r="A124" s="203">
        <v>123</v>
      </c>
      <c r="B124" s="204" t="s">
        <v>2136</v>
      </c>
      <c r="C124" s="205">
        <v>142622.58</v>
      </c>
      <c r="D124" s="206">
        <f t="shared" si="1"/>
        <v>2852.4516</v>
      </c>
    </row>
    <row r="125" ht="43.5" customHeight="1" spans="1:4">
      <c r="A125" s="203">
        <v>124</v>
      </c>
      <c r="B125" s="204" t="s">
        <v>455</v>
      </c>
      <c r="C125" s="205">
        <v>142622.58</v>
      </c>
      <c r="D125" s="206">
        <f t="shared" si="1"/>
        <v>2852.4516</v>
      </c>
    </row>
    <row r="126" ht="43.5" customHeight="1" spans="1:4">
      <c r="A126" s="203">
        <v>125</v>
      </c>
      <c r="B126" s="204" t="s">
        <v>462</v>
      </c>
      <c r="C126" s="205">
        <v>125772.83</v>
      </c>
      <c r="D126" s="206">
        <f t="shared" si="1"/>
        <v>2515.4566</v>
      </c>
    </row>
    <row r="127" ht="43.5" customHeight="1" spans="1:4">
      <c r="A127" s="203">
        <v>126</v>
      </c>
      <c r="B127" s="204" t="s">
        <v>464</v>
      </c>
      <c r="C127" s="205">
        <v>125772.83</v>
      </c>
      <c r="D127" s="206">
        <f t="shared" si="1"/>
        <v>2515.4566</v>
      </c>
    </row>
    <row r="128" ht="43.5" customHeight="1" spans="1:4">
      <c r="A128" s="203">
        <v>127</v>
      </c>
      <c r="B128" s="204" t="s">
        <v>468</v>
      </c>
      <c r="C128" s="205">
        <v>125772.83</v>
      </c>
      <c r="D128" s="206">
        <f t="shared" si="1"/>
        <v>2515.4566</v>
      </c>
    </row>
    <row r="129" ht="43.5" customHeight="1" spans="1:4">
      <c r="A129" s="203">
        <v>128</v>
      </c>
      <c r="B129" s="204" t="s">
        <v>470</v>
      </c>
      <c r="C129" s="205">
        <v>125772.83</v>
      </c>
      <c r="D129" s="206">
        <f t="shared" si="1"/>
        <v>2515.4566</v>
      </c>
    </row>
    <row r="130" ht="43.5" customHeight="1" spans="1:4">
      <c r="A130" s="203">
        <v>129</v>
      </c>
      <c r="B130" s="204" t="s">
        <v>2074</v>
      </c>
      <c r="C130" s="205">
        <v>125772.83</v>
      </c>
      <c r="D130" s="206">
        <f t="shared" si="1"/>
        <v>2515.4566</v>
      </c>
    </row>
    <row r="131" ht="43.5" customHeight="1" spans="1:4">
      <c r="A131" s="203">
        <v>130</v>
      </c>
      <c r="B131" s="204" t="s">
        <v>475</v>
      </c>
      <c r="C131" s="205">
        <v>125772.83</v>
      </c>
      <c r="D131" s="206">
        <f t="shared" si="1"/>
        <v>2515.4566</v>
      </c>
    </row>
    <row r="132" ht="43.5" customHeight="1" spans="1:4">
      <c r="A132" s="203">
        <v>131</v>
      </c>
      <c r="B132" s="204" t="s">
        <v>2076</v>
      </c>
      <c r="C132" s="205">
        <v>125772.83</v>
      </c>
      <c r="D132" s="206">
        <f t="shared" ref="D132:D160" si="2">C132*0.02</f>
        <v>2515.4566</v>
      </c>
    </row>
    <row r="133" ht="43.5" customHeight="1" spans="1:4">
      <c r="A133" s="203">
        <v>132</v>
      </c>
      <c r="B133" s="204" t="s">
        <v>477</v>
      </c>
      <c r="C133" s="205">
        <v>109587.91</v>
      </c>
      <c r="D133" s="206">
        <f t="shared" si="2"/>
        <v>2191.7582</v>
      </c>
    </row>
    <row r="134" ht="43.5" customHeight="1" spans="1:4">
      <c r="A134" s="203">
        <v>133</v>
      </c>
      <c r="B134" s="204" t="s">
        <v>478</v>
      </c>
      <c r="C134" s="205">
        <v>109587.91</v>
      </c>
      <c r="D134" s="206">
        <f t="shared" si="2"/>
        <v>2191.7582</v>
      </c>
    </row>
    <row r="135" ht="43.5" customHeight="1" spans="1:4">
      <c r="A135" s="203">
        <v>134</v>
      </c>
      <c r="B135" s="204" t="s">
        <v>479</v>
      </c>
      <c r="C135" s="205">
        <v>109587.91</v>
      </c>
      <c r="D135" s="206">
        <f t="shared" si="2"/>
        <v>2191.7582</v>
      </c>
    </row>
    <row r="136" ht="43.5" customHeight="1" spans="1:4">
      <c r="A136" s="203">
        <v>135</v>
      </c>
      <c r="B136" s="204" t="s">
        <v>2077</v>
      </c>
      <c r="C136" s="205">
        <v>109587.91</v>
      </c>
      <c r="D136" s="206">
        <f t="shared" si="2"/>
        <v>2191.7582</v>
      </c>
    </row>
    <row r="137" ht="43.5" customHeight="1" spans="1:4">
      <c r="A137" s="203">
        <v>136</v>
      </c>
      <c r="B137" s="204" t="s">
        <v>484</v>
      </c>
      <c r="C137" s="205">
        <v>125772.83</v>
      </c>
      <c r="D137" s="206">
        <f t="shared" si="2"/>
        <v>2515.4566</v>
      </c>
    </row>
    <row r="138" ht="43.5" customHeight="1" spans="1:4">
      <c r="A138" s="203">
        <v>137</v>
      </c>
      <c r="B138" s="204" t="s">
        <v>485</v>
      </c>
      <c r="C138" s="205">
        <v>125772.83</v>
      </c>
      <c r="D138" s="206">
        <f t="shared" si="2"/>
        <v>2515.4566</v>
      </c>
    </row>
    <row r="139" ht="43.5" customHeight="1" spans="1:4">
      <c r="A139" s="203">
        <v>138</v>
      </c>
      <c r="B139" s="204" t="s">
        <v>2080</v>
      </c>
      <c r="C139" s="205">
        <v>109587.91</v>
      </c>
      <c r="D139" s="206">
        <f t="shared" si="2"/>
        <v>2191.7582</v>
      </c>
    </row>
    <row r="140" ht="43.5" customHeight="1" spans="1:4">
      <c r="A140" s="203">
        <v>139</v>
      </c>
      <c r="B140" s="204" t="s">
        <v>490</v>
      </c>
      <c r="C140" s="205">
        <v>125772.83</v>
      </c>
      <c r="D140" s="206">
        <f t="shared" si="2"/>
        <v>2515.4566</v>
      </c>
    </row>
    <row r="141" ht="43.5" customHeight="1" spans="1:4">
      <c r="A141" s="203">
        <v>140</v>
      </c>
      <c r="B141" s="204" t="s">
        <v>2081</v>
      </c>
      <c r="C141" s="205">
        <v>109587.91</v>
      </c>
      <c r="D141" s="206">
        <f t="shared" si="2"/>
        <v>2191.7582</v>
      </c>
    </row>
    <row r="142" ht="43.5" customHeight="1" spans="1:4">
      <c r="A142" s="203">
        <v>141</v>
      </c>
      <c r="B142" s="204" t="s">
        <v>507</v>
      </c>
      <c r="C142" s="205">
        <v>109587.91</v>
      </c>
      <c r="D142" s="206">
        <f t="shared" si="2"/>
        <v>2191.7582</v>
      </c>
    </row>
    <row r="143" ht="43.5" customHeight="1" spans="1:4">
      <c r="A143" s="203">
        <v>142</v>
      </c>
      <c r="B143" s="204" t="s">
        <v>512</v>
      </c>
      <c r="C143" s="205">
        <v>125772.83</v>
      </c>
      <c r="D143" s="206">
        <f t="shared" si="2"/>
        <v>2515.4566</v>
      </c>
    </row>
    <row r="144" ht="43.5" customHeight="1" spans="1:4">
      <c r="A144" s="203">
        <v>143</v>
      </c>
      <c r="B144" s="204" t="s">
        <v>2085</v>
      </c>
      <c r="C144" s="205">
        <v>149373.83</v>
      </c>
      <c r="D144" s="206">
        <f t="shared" si="2"/>
        <v>2987.4766</v>
      </c>
    </row>
    <row r="145" ht="43.5" customHeight="1" spans="1:4">
      <c r="A145" s="203">
        <v>144</v>
      </c>
      <c r="B145" s="204" t="s">
        <v>2137</v>
      </c>
      <c r="C145" s="205">
        <v>465216.3</v>
      </c>
      <c r="D145" s="206">
        <f t="shared" si="2"/>
        <v>9304.326</v>
      </c>
    </row>
    <row r="146" ht="43.5" customHeight="1" spans="1:4">
      <c r="A146" s="203">
        <v>145</v>
      </c>
      <c r="B146" s="204" t="s">
        <v>2138</v>
      </c>
      <c r="C146" s="205">
        <v>502913.57</v>
      </c>
      <c r="D146" s="206">
        <f t="shared" si="2"/>
        <v>10058.2714</v>
      </c>
    </row>
    <row r="147" ht="43.5" customHeight="1" spans="1:4">
      <c r="A147" s="203">
        <v>146</v>
      </c>
      <c r="B147" s="204" t="s">
        <v>2139</v>
      </c>
      <c r="C147" s="205">
        <v>502913.57</v>
      </c>
      <c r="D147" s="206">
        <f t="shared" si="2"/>
        <v>10058.2714</v>
      </c>
    </row>
    <row r="148" ht="43.5" customHeight="1" spans="1:4">
      <c r="A148" s="203">
        <v>147</v>
      </c>
      <c r="B148" s="204" t="s">
        <v>2140</v>
      </c>
      <c r="C148" s="205">
        <v>149373.83</v>
      </c>
      <c r="D148" s="206">
        <f t="shared" si="2"/>
        <v>2987.4766</v>
      </c>
    </row>
    <row r="149" ht="43.5" customHeight="1" spans="1:4">
      <c r="A149" s="203">
        <v>148</v>
      </c>
      <c r="B149" s="204" t="s">
        <v>2141</v>
      </c>
      <c r="C149" s="205">
        <v>148068.71</v>
      </c>
      <c r="D149" s="206">
        <f t="shared" si="2"/>
        <v>2961.3742</v>
      </c>
    </row>
    <row r="150" ht="43.5" customHeight="1" spans="1:4">
      <c r="A150" s="203">
        <v>149</v>
      </c>
      <c r="B150" s="207" t="s">
        <v>2142</v>
      </c>
      <c r="C150" s="205">
        <v>148068.71</v>
      </c>
      <c r="D150" s="206">
        <f t="shared" si="2"/>
        <v>2961.3742</v>
      </c>
    </row>
    <row r="151" ht="43.5" customHeight="1" spans="1:4">
      <c r="A151" s="203">
        <v>150</v>
      </c>
      <c r="B151" s="207" t="s">
        <v>2143</v>
      </c>
      <c r="C151" s="205">
        <v>138901.58</v>
      </c>
      <c r="D151" s="206">
        <f t="shared" si="2"/>
        <v>2778.0316</v>
      </c>
    </row>
    <row r="152" ht="43.5" customHeight="1" spans="1:4">
      <c r="A152" s="203">
        <v>151</v>
      </c>
      <c r="B152" s="207" t="s">
        <v>2144</v>
      </c>
      <c r="C152" s="205">
        <v>169075.05</v>
      </c>
      <c r="D152" s="206">
        <f t="shared" si="2"/>
        <v>3381.501</v>
      </c>
    </row>
    <row r="153" ht="43.5" customHeight="1" spans="1:4">
      <c r="A153" s="203">
        <v>152</v>
      </c>
      <c r="B153" s="207" t="s">
        <v>517</v>
      </c>
      <c r="C153" s="205">
        <v>154413</v>
      </c>
      <c r="D153" s="206">
        <f t="shared" si="2"/>
        <v>3088.26</v>
      </c>
    </row>
    <row r="154" ht="43.5" customHeight="1" spans="1:4">
      <c r="A154" s="203">
        <v>153</v>
      </c>
      <c r="B154" s="207" t="s">
        <v>521</v>
      </c>
      <c r="C154" s="205">
        <v>142622.58</v>
      </c>
      <c r="D154" s="206">
        <f t="shared" si="2"/>
        <v>2852.4516</v>
      </c>
    </row>
    <row r="155" ht="43.5" customHeight="1" spans="1:4">
      <c r="A155" s="203">
        <v>154</v>
      </c>
      <c r="B155" s="207" t="s">
        <v>2145</v>
      </c>
      <c r="C155" s="205">
        <v>211461.955</v>
      </c>
      <c r="D155" s="206">
        <f t="shared" si="2"/>
        <v>4229.2391</v>
      </c>
    </row>
    <row r="156" ht="43.5" customHeight="1" spans="1:4">
      <c r="A156" s="203">
        <v>155</v>
      </c>
      <c r="B156" s="207" t="s">
        <v>2021</v>
      </c>
      <c r="C156" s="205">
        <v>133777.95</v>
      </c>
      <c r="D156" s="206">
        <f t="shared" si="2"/>
        <v>2675.559</v>
      </c>
    </row>
    <row r="157" ht="43.5" customHeight="1" spans="1:4">
      <c r="A157" s="203">
        <v>156</v>
      </c>
      <c r="B157" s="207" t="s">
        <v>2146</v>
      </c>
      <c r="C157" s="205">
        <v>64694.955</v>
      </c>
      <c r="D157" s="206">
        <f t="shared" si="2"/>
        <v>1293.8991</v>
      </c>
    </row>
    <row r="158" ht="43.5" customHeight="1" spans="1:4">
      <c r="A158" s="203">
        <v>157</v>
      </c>
      <c r="B158" s="207" t="s">
        <v>2147</v>
      </c>
      <c r="C158" s="205">
        <v>298747.66</v>
      </c>
      <c r="D158" s="206">
        <f t="shared" si="2"/>
        <v>5974.9532</v>
      </c>
    </row>
    <row r="159" ht="43.5" customHeight="1" spans="1:4">
      <c r="A159" s="203">
        <v>158</v>
      </c>
      <c r="B159" s="207" t="s">
        <v>2148</v>
      </c>
      <c r="C159" s="205">
        <v>142622.58</v>
      </c>
      <c r="D159" s="206">
        <f t="shared" si="2"/>
        <v>2852.4516</v>
      </c>
    </row>
    <row r="160" ht="43.5" customHeight="1" spans="1:4">
      <c r="A160" s="203">
        <v>159</v>
      </c>
      <c r="B160" s="204" t="s">
        <v>2202</v>
      </c>
      <c r="C160" s="205" t="e">
        <f>'TEACHING STAFF'!#REF!</f>
        <v>#REF!</v>
      </c>
      <c r="D160" s="206" t="e">
        <f t="shared" si="2"/>
        <v>#REF!</v>
      </c>
    </row>
    <row r="161" ht="38.25" customHeight="1" spans="1:4">
      <c r="A161" s="203">
        <v>160</v>
      </c>
      <c r="B161" s="208" t="e">
        <f>#REF!</f>
        <v>#REF!</v>
      </c>
      <c r="C161" s="209" t="e">
        <f>'BHIS 2'!C182</f>
        <v>#REF!</v>
      </c>
      <c r="D161" s="210" t="e">
        <f>#REF!</f>
        <v>#REF!</v>
      </c>
    </row>
    <row r="162" ht="42" customHeight="1" spans="1:4">
      <c r="A162" s="203">
        <v>161</v>
      </c>
      <c r="B162" s="211" t="e">
        <f>#REF!</f>
        <v>#REF!</v>
      </c>
      <c r="C162" s="209" t="e">
        <f>'BHIS 2'!C179</f>
        <v>#REF!</v>
      </c>
      <c r="D162" s="210" t="e">
        <f>#REF!</f>
        <v>#REF!</v>
      </c>
    </row>
    <row r="163" ht="21" spans="1:4">
      <c r="A163" s="212"/>
      <c r="B163" s="213" t="s">
        <v>867</v>
      </c>
      <c r="C163" s="214" t="e">
        <f>SUM(C2:C162)</f>
        <v>#REF!</v>
      </c>
      <c r="D163" s="214" t="e">
        <f>SUM(D2:D162)</f>
        <v>#REF!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7"/>
  <sheetViews>
    <sheetView workbookViewId="0">
      <selection activeCell="A1" sqref="A1:C1"/>
    </sheetView>
  </sheetViews>
  <sheetFormatPr defaultColWidth="8.82857142857143" defaultRowHeight="15" outlineLevelCol="2"/>
  <cols>
    <col min="1" max="1" width="7.16190476190476" customWidth="1"/>
    <col min="2" max="2" width="47.5047619047619" customWidth="1"/>
    <col min="3" max="3" width="30.5047619047619" customWidth="1"/>
  </cols>
  <sheetData>
    <row r="1" ht="54.75" customHeight="1" spans="1:3">
      <c r="A1" s="184" t="s">
        <v>2203</v>
      </c>
      <c r="B1" s="185"/>
      <c r="C1" s="186"/>
    </row>
    <row r="2" ht="30.75" customHeight="1" spans="1:3">
      <c r="A2" s="187" t="s">
        <v>2</v>
      </c>
      <c r="B2" s="188" t="s">
        <v>1468</v>
      </c>
      <c r="C2" s="188" t="s">
        <v>862</v>
      </c>
    </row>
    <row r="3" ht="30.75" customHeight="1" spans="1:3">
      <c r="A3" s="189">
        <v>1</v>
      </c>
      <c r="B3" s="190" t="s">
        <v>2105</v>
      </c>
      <c r="C3" s="191">
        <v>10000</v>
      </c>
    </row>
    <row r="4" ht="30.75" customHeight="1" spans="1:3">
      <c r="A4" s="189">
        <v>2</v>
      </c>
      <c r="B4" s="190" t="s">
        <v>2106</v>
      </c>
      <c r="C4" s="191">
        <v>10000</v>
      </c>
    </row>
    <row r="5" ht="30.75" customHeight="1" spans="1:3">
      <c r="A5" s="189">
        <v>3</v>
      </c>
      <c r="B5" s="190" t="s">
        <v>2107</v>
      </c>
      <c r="C5" s="191">
        <v>10000</v>
      </c>
    </row>
    <row r="6" ht="30.75" customHeight="1" spans="1:3">
      <c r="A6" s="189">
        <v>4</v>
      </c>
      <c r="B6" s="190" t="s">
        <v>2108</v>
      </c>
      <c r="C6" s="191">
        <v>5000</v>
      </c>
    </row>
    <row r="7" ht="30.75" customHeight="1" spans="1:3">
      <c r="A7" s="189">
        <v>5</v>
      </c>
      <c r="B7" s="190" t="s">
        <v>2109</v>
      </c>
      <c r="C7" s="191">
        <v>5000</v>
      </c>
    </row>
    <row r="8" ht="30.75" customHeight="1" spans="1:3">
      <c r="A8" s="189">
        <v>6</v>
      </c>
      <c r="B8" s="190" t="s">
        <v>119</v>
      </c>
      <c r="C8" s="191">
        <v>1500</v>
      </c>
    </row>
    <row r="9" ht="30.75" customHeight="1" spans="1:3">
      <c r="A9" s="189">
        <v>7</v>
      </c>
      <c r="B9" s="190" t="s">
        <v>2002</v>
      </c>
      <c r="C9" s="191">
        <v>1000</v>
      </c>
    </row>
    <row r="10" ht="30.75" customHeight="1" spans="1:3">
      <c r="A10" s="189">
        <v>8</v>
      </c>
      <c r="B10" s="190" t="s">
        <v>129</v>
      </c>
      <c r="C10" s="191">
        <v>1000</v>
      </c>
    </row>
    <row r="11" ht="30.75" customHeight="1" spans="1:3">
      <c r="A11" s="189">
        <v>9</v>
      </c>
      <c r="B11" s="190" t="s">
        <v>132</v>
      </c>
      <c r="C11" s="191">
        <v>1000</v>
      </c>
    </row>
    <row r="12" ht="30.75" customHeight="1" spans="1:3">
      <c r="A12" s="189">
        <v>10</v>
      </c>
      <c r="B12" s="190" t="s">
        <v>2110</v>
      </c>
      <c r="C12" s="191">
        <v>1000</v>
      </c>
    </row>
    <row r="13" ht="30.75" customHeight="1" spans="1:3">
      <c r="A13" s="189">
        <v>11</v>
      </c>
      <c r="B13" s="190" t="s">
        <v>2111</v>
      </c>
      <c r="C13" s="191">
        <v>1500</v>
      </c>
    </row>
    <row r="14" ht="30.75" customHeight="1" spans="1:3">
      <c r="A14" s="189">
        <v>12</v>
      </c>
      <c r="B14" s="190" t="s">
        <v>2112</v>
      </c>
      <c r="C14" s="191">
        <v>1500</v>
      </c>
    </row>
    <row r="15" ht="30.75" customHeight="1" spans="1:3">
      <c r="A15" s="189">
        <v>13</v>
      </c>
      <c r="B15" s="190" t="s">
        <v>2113</v>
      </c>
      <c r="C15" s="191">
        <v>1500</v>
      </c>
    </row>
    <row r="16" ht="30.75" customHeight="1" spans="1:3">
      <c r="A16" s="189">
        <v>14</v>
      </c>
      <c r="B16" s="190" t="s">
        <v>2114</v>
      </c>
      <c r="C16" s="191">
        <v>1500</v>
      </c>
    </row>
    <row r="17" ht="30.75" customHeight="1" spans="1:3">
      <c r="A17" s="189">
        <v>15</v>
      </c>
      <c r="B17" s="190" t="s">
        <v>244</v>
      </c>
      <c r="C17" s="191">
        <v>1500</v>
      </c>
    </row>
    <row r="18" ht="30.75" customHeight="1" spans="1:3">
      <c r="A18" s="189">
        <v>16</v>
      </c>
      <c r="B18" s="190" t="s">
        <v>2115</v>
      </c>
      <c r="C18" s="191">
        <v>1500</v>
      </c>
    </row>
    <row r="19" ht="30.75" customHeight="1" spans="1:3">
      <c r="A19" s="189">
        <v>17</v>
      </c>
      <c r="B19" s="190" t="s">
        <v>2116</v>
      </c>
      <c r="C19" s="191">
        <v>1500</v>
      </c>
    </row>
    <row r="20" ht="30.75" customHeight="1" spans="1:3">
      <c r="A20" s="189">
        <v>18</v>
      </c>
      <c r="B20" s="190" t="s">
        <v>2117</v>
      </c>
      <c r="C20" s="191">
        <v>1000</v>
      </c>
    </row>
    <row r="21" ht="30.75" customHeight="1" spans="1:3">
      <c r="A21" s="189">
        <v>19</v>
      </c>
      <c r="B21" s="190" t="s">
        <v>152</v>
      </c>
      <c r="C21" s="191">
        <v>1000</v>
      </c>
    </row>
    <row r="22" ht="30.75" customHeight="1" spans="1:3">
      <c r="A22" s="189">
        <v>20</v>
      </c>
      <c r="B22" s="190" t="s">
        <v>154</v>
      </c>
      <c r="C22" s="191">
        <v>1000</v>
      </c>
    </row>
    <row r="23" ht="30.75" customHeight="1" spans="1:3">
      <c r="A23" s="189">
        <v>21</v>
      </c>
      <c r="B23" s="190" t="s">
        <v>2007</v>
      </c>
      <c r="C23" s="191">
        <v>1000</v>
      </c>
    </row>
    <row r="24" ht="30.75" customHeight="1" spans="1:3">
      <c r="A24" s="189">
        <v>22</v>
      </c>
      <c r="B24" s="190" t="s">
        <v>159</v>
      </c>
      <c r="C24" s="191">
        <v>1000</v>
      </c>
    </row>
    <row r="25" ht="30.75" customHeight="1" spans="1:3">
      <c r="A25" s="189">
        <v>23</v>
      </c>
      <c r="B25" s="190" t="s">
        <v>163</v>
      </c>
      <c r="C25" s="191">
        <v>1000</v>
      </c>
    </row>
    <row r="26" ht="30.75" customHeight="1" spans="1:3">
      <c r="A26" s="189">
        <v>24</v>
      </c>
      <c r="B26" s="190" t="s">
        <v>166</v>
      </c>
      <c r="C26" s="191">
        <v>1500</v>
      </c>
    </row>
    <row r="27" ht="30.75" customHeight="1" spans="1:3">
      <c r="A27" s="189">
        <v>25</v>
      </c>
      <c r="B27" s="190" t="s">
        <v>2118</v>
      </c>
      <c r="C27" s="191">
        <v>1500</v>
      </c>
    </row>
    <row r="28" ht="30.75" customHeight="1" spans="1:3">
      <c r="A28" s="189">
        <v>26</v>
      </c>
      <c r="B28" s="190" t="s">
        <v>180</v>
      </c>
      <c r="C28" s="191">
        <v>1000</v>
      </c>
    </row>
    <row r="29" ht="30.75" customHeight="1" spans="1:3">
      <c r="A29" s="189">
        <v>27</v>
      </c>
      <c r="B29" s="190" t="s">
        <v>182</v>
      </c>
      <c r="C29" s="191">
        <v>1000</v>
      </c>
    </row>
    <row r="30" ht="30.75" customHeight="1" spans="1:3">
      <c r="A30" s="189">
        <v>28</v>
      </c>
      <c r="B30" s="190" t="s">
        <v>184</v>
      </c>
      <c r="C30" s="191">
        <v>1500</v>
      </c>
    </row>
    <row r="31" ht="30.75" customHeight="1" spans="1:3">
      <c r="A31" s="189">
        <v>29</v>
      </c>
      <c r="B31" s="190" t="s">
        <v>187</v>
      </c>
      <c r="C31" s="191">
        <v>1500</v>
      </c>
    </row>
    <row r="32" ht="30.75" customHeight="1" spans="1:3">
      <c r="A32" s="189">
        <v>30</v>
      </c>
      <c r="B32" s="190" t="s">
        <v>2199</v>
      </c>
      <c r="C32" s="191">
        <v>1500</v>
      </c>
    </row>
    <row r="33" ht="30.75" customHeight="1" spans="1:3">
      <c r="A33" s="189">
        <v>31</v>
      </c>
      <c r="B33" s="190" t="s">
        <v>2119</v>
      </c>
      <c r="C33" s="191">
        <v>1500</v>
      </c>
    </row>
    <row r="34" ht="30.75" customHeight="1" spans="1:3">
      <c r="A34" s="189">
        <v>32</v>
      </c>
      <c r="B34" s="190" t="s">
        <v>190</v>
      </c>
      <c r="C34" s="191">
        <v>1500</v>
      </c>
    </row>
    <row r="35" ht="30.75" customHeight="1" spans="1:3">
      <c r="A35" s="189">
        <v>33</v>
      </c>
      <c r="B35" s="190" t="s">
        <v>2120</v>
      </c>
      <c r="C35" s="191">
        <v>1500</v>
      </c>
    </row>
    <row r="36" ht="30.75" customHeight="1" spans="1:3">
      <c r="A36" s="189">
        <v>34</v>
      </c>
      <c r="B36" s="190" t="s">
        <v>193</v>
      </c>
      <c r="C36" s="191">
        <v>1000</v>
      </c>
    </row>
    <row r="37" ht="30.75" customHeight="1" spans="1:3">
      <c r="A37" s="189">
        <v>35</v>
      </c>
      <c r="B37" s="190" t="s">
        <v>211</v>
      </c>
      <c r="C37" s="191">
        <v>1000</v>
      </c>
    </row>
    <row r="38" ht="30.75" customHeight="1" spans="1:3">
      <c r="A38" s="189">
        <v>36</v>
      </c>
      <c r="B38" s="190" t="s">
        <v>222</v>
      </c>
      <c r="C38" s="191">
        <v>2000</v>
      </c>
    </row>
    <row r="39" ht="30.75" customHeight="1" spans="1:3">
      <c r="A39" s="189">
        <v>37</v>
      </c>
      <c r="B39" s="190" t="s">
        <v>224</v>
      </c>
      <c r="C39" s="191">
        <v>3500</v>
      </c>
    </row>
    <row r="40" ht="30.75" customHeight="1" spans="1:3">
      <c r="A40" s="189">
        <v>38</v>
      </c>
      <c r="B40" s="190" t="s">
        <v>2019</v>
      </c>
      <c r="C40" s="191">
        <v>3500</v>
      </c>
    </row>
    <row r="41" ht="30.75" customHeight="1" spans="1:3">
      <c r="A41" s="189">
        <v>39</v>
      </c>
      <c r="B41" s="190" t="s">
        <v>248</v>
      </c>
      <c r="C41" s="191">
        <v>3500</v>
      </c>
    </row>
    <row r="42" ht="30.75" customHeight="1" spans="1:3">
      <c r="A42" s="189">
        <v>40</v>
      </c>
      <c r="B42" s="190" t="s">
        <v>2121</v>
      </c>
      <c r="C42" s="191">
        <v>1750</v>
      </c>
    </row>
    <row r="43" ht="30.75" customHeight="1" spans="1:3">
      <c r="A43" s="189">
        <v>41</v>
      </c>
      <c r="B43" s="190" t="s">
        <v>2122</v>
      </c>
      <c r="C43" s="191">
        <v>1750</v>
      </c>
    </row>
    <row r="44" ht="30.75" customHeight="1" spans="1:3">
      <c r="A44" s="189">
        <v>42</v>
      </c>
      <c r="B44" s="190" t="s">
        <v>2123</v>
      </c>
      <c r="C44" s="191">
        <v>1750</v>
      </c>
    </row>
    <row r="45" ht="30.75" customHeight="1" spans="1:3">
      <c r="A45" s="189">
        <v>43</v>
      </c>
      <c r="B45" s="190" t="s">
        <v>2124</v>
      </c>
      <c r="C45" s="191">
        <v>1750</v>
      </c>
    </row>
    <row r="46" ht="30.75" customHeight="1" spans="1:3">
      <c r="A46" s="189">
        <v>44</v>
      </c>
      <c r="B46" s="190" t="s">
        <v>2125</v>
      </c>
      <c r="C46" s="191">
        <v>3500</v>
      </c>
    </row>
    <row r="47" ht="30.75" customHeight="1" spans="1:3">
      <c r="A47" s="189">
        <v>45</v>
      </c>
      <c r="B47" s="190" t="s">
        <v>256</v>
      </c>
      <c r="C47" s="191">
        <v>3500</v>
      </c>
    </row>
    <row r="48" ht="30.75" customHeight="1" spans="1:3">
      <c r="A48" s="189">
        <v>46</v>
      </c>
      <c r="B48" s="190" t="s">
        <v>260</v>
      </c>
      <c r="C48" s="191">
        <v>2000</v>
      </c>
    </row>
    <row r="49" ht="30.75" customHeight="1" spans="1:3">
      <c r="A49" s="189">
        <v>47</v>
      </c>
      <c r="B49" s="190" t="s">
        <v>262</v>
      </c>
      <c r="C49" s="191">
        <v>2000</v>
      </c>
    </row>
    <row r="50" ht="30.75" customHeight="1" spans="1:3">
      <c r="A50" s="189">
        <v>48</v>
      </c>
      <c r="B50" s="190" t="s">
        <v>265</v>
      </c>
      <c r="C50" s="191">
        <v>2000</v>
      </c>
    </row>
    <row r="51" ht="30.75" customHeight="1" spans="1:3">
      <c r="A51" s="189">
        <v>49</v>
      </c>
      <c r="B51" s="190" t="s">
        <v>268</v>
      </c>
      <c r="C51" s="191">
        <v>1000</v>
      </c>
    </row>
    <row r="52" ht="30.75" customHeight="1" spans="1:3">
      <c r="A52" s="189">
        <v>50</v>
      </c>
      <c r="B52" s="190" t="s">
        <v>2035</v>
      </c>
      <c r="C52" s="191">
        <v>1000</v>
      </c>
    </row>
    <row r="53" ht="30.75" customHeight="1" spans="1:3">
      <c r="A53" s="189">
        <v>51</v>
      </c>
      <c r="B53" s="190" t="s">
        <v>271</v>
      </c>
      <c r="C53" s="191">
        <v>1000</v>
      </c>
    </row>
    <row r="54" ht="30.75" customHeight="1" spans="1:3">
      <c r="A54" s="189">
        <v>52</v>
      </c>
      <c r="B54" s="190" t="s">
        <v>274</v>
      </c>
      <c r="C54" s="191">
        <v>1000</v>
      </c>
    </row>
    <row r="55" ht="30.75" customHeight="1" spans="1:3">
      <c r="A55" s="189">
        <v>53</v>
      </c>
      <c r="B55" s="190" t="s">
        <v>278</v>
      </c>
      <c r="C55" s="191">
        <v>1000</v>
      </c>
    </row>
    <row r="56" ht="30.75" customHeight="1" spans="1:3">
      <c r="A56" s="189">
        <v>54</v>
      </c>
      <c r="B56" s="190" t="s">
        <v>282</v>
      </c>
      <c r="C56" s="191">
        <v>1000</v>
      </c>
    </row>
    <row r="57" ht="30.75" customHeight="1" spans="1:3">
      <c r="A57" s="189">
        <v>55</v>
      </c>
      <c r="B57" s="190" t="s">
        <v>285</v>
      </c>
      <c r="C57" s="191">
        <v>1000</v>
      </c>
    </row>
    <row r="58" ht="30.75" customHeight="1" spans="1:3">
      <c r="A58" s="189">
        <v>56</v>
      </c>
      <c r="B58" s="190" t="s">
        <v>289</v>
      </c>
      <c r="C58" s="191">
        <v>1000</v>
      </c>
    </row>
    <row r="59" ht="30.75" customHeight="1" spans="1:3">
      <c r="A59" s="189">
        <v>57</v>
      </c>
      <c r="B59" s="190" t="s">
        <v>290</v>
      </c>
      <c r="C59" s="191">
        <v>1000</v>
      </c>
    </row>
    <row r="60" ht="30.75" customHeight="1" spans="1:3">
      <c r="A60" s="189">
        <v>58</v>
      </c>
      <c r="B60" s="190" t="s">
        <v>2126</v>
      </c>
      <c r="C60" s="191">
        <v>1500</v>
      </c>
    </row>
    <row r="61" ht="30.75" customHeight="1" spans="1:3">
      <c r="A61" s="189">
        <v>59</v>
      </c>
      <c r="B61" s="190" t="s">
        <v>293</v>
      </c>
      <c r="C61" s="191">
        <v>1000</v>
      </c>
    </row>
    <row r="62" ht="30.75" customHeight="1" spans="1:3">
      <c r="A62" s="189">
        <v>60</v>
      </c>
      <c r="B62" s="190" t="s">
        <v>2200</v>
      </c>
      <c r="C62" s="191">
        <v>1000</v>
      </c>
    </row>
    <row r="63" ht="30.75" customHeight="1" spans="1:3">
      <c r="A63" s="189">
        <v>61</v>
      </c>
      <c r="B63" s="190" t="s">
        <v>299</v>
      </c>
      <c r="C63" s="191">
        <v>1000</v>
      </c>
    </row>
    <row r="64" ht="30.75" customHeight="1" spans="1:3">
      <c r="A64" s="189">
        <v>62</v>
      </c>
      <c r="B64" s="190" t="s">
        <v>300</v>
      </c>
      <c r="C64" s="191">
        <v>1000</v>
      </c>
    </row>
    <row r="65" ht="30.75" customHeight="1" spans="1:3">
      <c r="A65" s="189">
        <v>63</v>
      </c>
      <c r="B65" s="190" t="s">
        <v>310</v>
      </c>
      <c r="C65" s="191">
        <v>1000</v>
      </c>
    </row>
    <row r="66" ht="30.75" customHeight="1" spans="1:3">
      <c r="A66" s="189">
        <v>64</v>
      </c>
      <c r="B66" s="190" t="s">
        <v>314</v>
      </c>
      <c r="C66" s="191">
        <v>1000</v>
      </c>
    </row>
    <row r="67" ht="30.75" customHeight="1" spans="1:3">
      <c r="A67" s="189">
        <v>65</v>
      </c>
      <c r="B67" s="190" t="s">
        <v>316</v>
      </c>
      <c r="C67" s="191">
        <v>1000</v>
      </c>
    </row>
    <row r="68" ht="30.75" customHeight="1" spans="1:3">
      <c r="A68" s="189">
        <v>66</v>
      </c>
      <c r="B68" s="190" t="s">
        <v>318</v>
      </c>
      <c r="C68" s="191">
        <v>1000</v>
      </c>
    </row>
    <row r="69" ht="30.75" customHeight="1" spans="1:3">
      <c r="A69" s="189">
        <v>67</v>
      </c>
      <c r="B69" s="190" t="s">
        <v>320</v>
      </c>
      <c r="C69" s="191">
        <v>1000</v>
      </c>
    </row>
    <row r="70" ht="30.75" customHeight="1" spans="1:3">
      <c r="A70" s="189">
        <v>68</v>
      </c>
      <c r="B70" s="190" t="s">
        <v>321</v>
      </c>
      <c r="C70" s="191">
        <v>1000</v>
      </c>
    </row>
    <row r="71" ht="30.75" customHeight="1" spans="1:3">
      <c r="A71" s="189">
        <v>69</v>
      </c>
      <c r="B71" s="190" t="s">
        <v>323</v>
      </c>
      <c r="C71" s="191">
        <v>1000</v>
      </c>
    </row>
    <row r="72" ht="30.75" customHeight="1" spans="1:3">
      <c r="A72" s="189">
        <v>70</v>
      </c>
      <c r="B72" s="190" t="s">
        <v>324</v>
      </c>
      <c r="C72" s="191">
        <v>1000</v>
      </c>
    </row>
    <row r="73" ht="30.75" customHeight="1" spans="1:3">
      <c r="A73" s="189">
        <v>71</v>
      </c>
      <c r="B73" s="190" t="s">
        <v>326</v>
      </c>
      <c r="C73" s="191">
        <v>1000</v>
      </c>
    </row>
    <row r="74" ht="30.75" customHeight="1" spans="1:3">
      <c r="A74" s="189">
        <v>72</v>
      </c>
      <c r="B74" s="190" t="s">
        <v>327</v>
      </c>
      <c r="C74" s="191">
        <v>1000</v>
      </c>
    </row>
    <row r="75" ht="30.75" customHeight="1" spans="1:3">
      <c r="A75" s="189">
        <v>73</v>
      </c>
      <c r="B75" s="190" t="s">
        <v>2127</v>
      </c>
      <c r="C75" s="191">
        <v>1500</v>
      </c>
    </row>
    <row r="76" ht="30.75" customHeight="1" spans="1:3">
      <c r="A76" s="189">
        <v>74</v>
      </c>
      <c r="B76" s="190" t="s">
        <v>330</v>
      </c>
      <c r="C76" s="191">
        <v>3500</v>
      </c>
    </row>
    <row r="77" ht="30.75" customHeight="1" spans="1:3">
      <c r="A77" s="189">
        <v>75</v>
      </c>
      <c r="B77" s="190" t="s">
        <v>334</v>
      </c>
      <c r="C77" s="191">
        <v>3500</v>
      </c>
    </row>
    <row r="78" ht="30.75" customHeight="1" spans="1:3">
      <c r="A78" s="189">
        <v>76</v>
      </c>
      <c r="B78" s="190" t="s">
        <v>2046</v>
      </c>
      <c r="C78" s="191">
        <v>1500</v>
      </c>
    </row>
    <row r="79" ht="30.75" customHeight="1" spans="1:3">
      <c r="A79" s="189">
        <v>77</v>
      </c>
      <c r="B79" s="190" t="s">
        <v>2128</v>
      </c>
      <c r="C79" s="191">
        <v>1500</v>
      </c>
    </row>
    <row r="80" ht="30.75" customHeight="1" spans="1:3">
      <c r="A80" s="189">
        <v>78</v>
      </c>
      <c r="B80" s="190" t="s">
        <v>2129</v>
      </c>
      <c r="C80" s="191">
        <v>5000</v>
      </c>
    </row>
    <row r="81" ht="30.75" customHeight="1" spans="1:3">
      <c r="A81" s="189">
        <v>79</v>
      </c>
      <c r="B81" s="190" t="s">
        <v>2130</v>
      </c>
      <c r="C81" s="191">
        <v>2500</v>
      </c>
    </row>
    <row r="82" ht="30.75" customHeight="1" spans="1:3">
      <c r="A82" s="189">
        <v>80</v>
      </c>
      <c r="B82" s="190" t="s">
        <v>339</v>
      </c>
      <c r="C82" s="191">
        <v>3500</v>
      </c>
    </row>
    <row r="83" ht="30.75" customHeight="1" spans="1:3">
      <c r="A83" s="189">
        <v>81</v>
      </c>
      <c r="B83" s="190" t="s">
        <v>345</v>
      </c>
      <c r="C83" s="191">
        <v>3500</v>
      </c>
    </row>
    <row r="84" ht="30.75" customHeight="1" spans="1:3">
      <c r="A84" s="189">
        <v>82</v>
      </c>
      <c r="B84" s="190" t="s">
        <v>2131</v>
      </c>
      <c r="C84" s="191">
        <v>3500</v>
      </c>
    </row>
    <row r="85" ht="30.75" customHeight="1" spans="1:3">
      <c r="A85" s="189">
        <v>83</v>
      </c>
      <c r="B85" s="190" t="s">
        <v>349</v>
      </c>
      <c r="C85" s="191">
        <v>1000</v>
      </c>
    </row>
    <row r="86" ht="30.75" customHeight="1" spans="1:3">
      <c r="A86" s="189">
        <v>84</v>
      </c>
      <c r="B86" s="190" t="s">
        <v>351</v>
      </c>
      <c r="C86" s="191">
        <v>1000</v>
      </c>
    </row>
    <row r="87" ht="30.75" customHeight="1" spans="1:3">
      <c r="A87" s="189">
        <v>85</v>
      </c>
      <c r="B87" s="190" t="s">
        <v>355</v>
      </c>
      <c r="C87" s="191">
        <v>1000</v>
      </c>
    </row>
    <row r="88" ht="30.75" customHeight="1" spans="1:3">
      <c r="A88" s="189">
        <v>86</v>
      </c>
      <c r="B88" s="190" t="s">
        <v>357</v>
      </c>
      <c r="C88" s="191">
        <v>1000</v>
      </c>
    </row>
    <row r="89" ht="30.75" customHeight="1" spans="1:3">
      <c r="A89" s="189">
        <v>87</v>
      </c>
      <c r="B89" s="190" t="s">
        <v>2132</v>
      </c>
      <c r="C89" s="191">
        <v>1500</v>
      </c>
    </row>
    <row r="90" ht="30.75" customHeight="1" spans="1:3">
      <c r="A90" s="189">
        <v>88</v>
      </c>
      <c r="B90" s="190" t="s">
        <v>365</v>
      </c>
      <c r="C90" s="191">
        <v>1000</v>
      </c>
    </row>
    <row r="91" ht="30.75" customHeight="1" spans="1:3">
      <c r="A91" s="189">
        <v>89</v>
      </c>
      <c r="B91" s="190" t="s">
        <v>2051</v>
      </c>
      <c r="C91" s="191">
        <v>1000</v>
      </c>
    </row>
    <row r="92" ht="30.75" customHeight="1" spans="1:3">
      <c r="A92" s="189">
        <v>90</v>
      </c>
      <c r="B92" s="190" t="s">
        <v>369</v>
      </c>
      <c r="C92" s="191">
        <v>1500</v>
      </c>
    </row>
    <row r="93" ht="30.75" customHeight="1" spans="1:3">
      <c r="A93" s="189">
        <v>91</v>
      </c>
      <c r="B93" s="190" t="s">
        <v>2052</v>
      </c>
      <c r="C93" s="191">
        <v>1000</v>
      </c>
    </row>
    <row r="94" ht="30.75" customHeight="1" spans="1:3">
      <c r="A94" s="189">
        <v>92</v>
      </c>
      <c r="B94" s="190" t="s">
        <v>371</v>
      </c>
      <c r="C94" s="191">
        <v>3500</v>
      </c>
    </row>
    <row r="95" ht="30.75" customHeight="1" spans="1:3">
      <c r="A95" s="189">
        <v>93</v>
      </c>
      <c r="B95" s="190" t="s">
        <v>2133</v>
      </c>
      <c r="C95" s="191">
        <v>1750</v>
      </c>
    </row>
    <row r="96" ht="30.75" customHeight="1" spans="1:3">
      <c r="A96" s="189">
        <v>94</v>
      </c>
      <c r="B96" s="190" t="s">
        <v>2053</v>
      </c>
      <c r="C96" s="191">
        <v>1500</v>
      </c>
    </row>
    <row r="97" ht="30.75" customHeight="1" spans="1:3">
      <c r="A97" s="189">
        <v>95</v>
      </c>
      <c r="B97" s="190" t="s">
        <v>373</v>
      </c>
      <c r="C97" s="191">
        <v>1750</v>
      </c>
    </row>
    <row r="98" ht="30.75" customHeight="1" spans="1:3">
      <c r="A98" s="189">
        <v>96</v>
      </c>
      <c r="B98" s="190" t="s">
        <v>2134</v>
      </c>
      <c r="C98" s="191">
        <v>5000</v>
      </c>
    </row>
    <row r="99" ht="30.75" customHeight="1" spans="1:3">
      <c r="A99" s="189">
        <v>97</v>
      </c>
      <c r="B99" s="190" t="s">
        <v>382</v>
      </c>
      <c r="C99" s="191">
        <v>1000</v>
      </c>
    </row>
    <row r="100" ht="30.75" customHeight="1" spans="1:3">
      <c r="A100" s="189">
        <v>98</v>
      </c>
      <c r="B100" s="190" t="s">
        <v>388</v>
      </c>
      <c r="C100" s="191">
        <v>1000</v>
      </c>
    </row>
    <row r="101" ht="30.75" customHeight="1" spans="1:3">
      <c r="A101" s="189">
        <v>99</v>
      </c>
      <c r="B101" s="190" t="s">
        <v>392</v>
      </c>
      <c r="C101" s="191">
        <v>5000</v>
      </c>
    </row>
    <row r="102" ht="30.75" customHeight="1" spans="1:3">
      <c r="A102" s="189">
        <v>100</v>
      </c>
      <c r="B102" s="190" t="s">
        <v>393</v>
      </c>
      <c r="C102" s="191">
        <v>3500</v>
      </c>
    </row>
    <row r="103" ht="30.75" customHeight="1" spans="1:3">
      <c r="A103" s="189">
        <v>101</v>
      </c>
      <c r="B103" s="190" t="s">
        <v>396</v>
      </c>
      <c r="C103" s="191">
        <v>3500</v>
      </c>
    </row>
    <row r="104" ht="30.75" customHeight="1" spans="1:3">
      <c r="A104" s="189">
        <v>102</v>
      </c>
      <c r="B104" s="190" t="s">
        <v>403</v>
      </c>
      <c r="C104" s="191">
        <v>3500</v>
      </c>
    </row>
    <row r="105" ht="30.75" customHeight="1" spans="1:3">
      <c r="A105" s="189">
        <v>103</v>
      </c>
      <c r="B105" s="190" t="s">
        <v>2201</v>
      </c>
      <c r="C105" s="191">
        <v>3500</v>
      </c>
    </row>
    <row r="106" ht="30.75" customHeight="1" spans="1:3">
      <c r="A106" s="189">
        <v>104</v>
      </c>
      <c r="B106" s="190" t="s">
        <v>406</v>
      </c>
      <c r="C106" s="191">
        <v>3500</v>
      </c>
    </row>
    <row r="107" ht="30.75" customHeight="1" spans="1:3">
      <c r="A107" s="189">
        <v>105</v>
      </c>
      <c r="B107" s="190" t="s">
        <v>2135</v>
      </c>
      <c r="C107" s="191">
        <v>2000</v>
      </c>
    </row>
    <row r="108" ht="30.75" customHeight="1" spans="1:3">
      <c r="A108" s="189">
        <v>106</v>
      </c>
      <c r="B108" s="190" t="s">
        <v>2065</v>
      </c>
      <c r="C108" s="191">
        <v>2000</v>
      </c>
    </row>
    <row r="109" ht="30.75" customHeight="1" spans="1:3">
      <c r="A109" s="189">
        <v>107</v>
      </c>
      <c r="B109" s="190" t="s">
        <v>408</v>
      </c>
      <c r="C109" s="191">
        <v>1000</v>
      </c>
    </row>
    <row r="110" ht="30.75" customHeight="1" spans="1:3">
      <c r="A110" s="189">
        <v>108</v>
      </c>
      <c r="B110" s="190" t="s">
        <v>410</v>
      </c>
      <c r="C110" s="191">
        <v>1000</v>
      </c>
    </row>
    <row r="111" ht="30.75" customHeight="1" spans="1:3">
      <c r="A111" s="189">
        <v>109</v>
      </c>
      <c r="B111" s="190" t="s">
        <v>412</v>
      </c>
      <c r="C111" s="191">
        <v>1000</v>
      </c>
    </row>
    <row r="112" ht="30.75" customHeight="1" spans="1:3">
      <c r="A112" s="189">
        <v>110</v>
      </c>
      <c r="B112" s="190" t="s">
        <v>413</v>
      </c>
      <c r="C112" s="191">
        <v>1500</v>
      </c>
    </row>
    <row r="113" ht="30.75" customHeight="1" spans="1:3">
      <c r="A113" s="189">
        <v>111</v>
      </c>
      <c r="B113" s="190" t="s">
        <v>414</v>
      </c>
      <c r="C113" s="191">
        <v>1500</v>
      </c>
    </row>
    <row r="114" ht="30.75" customHeight="1" spans="1:3">
      <c r="A114" s="189">
        <v>112</v>
      </c>
      <c r="B114" s="190" t="s">
        <v>423</v>
      </c>
      <c r="C114" s="191">
        <v>1500</v>
      </c>
    </row>
    <row r="115" ht="30.75" customHeight="1" spans="1:3">
      <c r="A115" s="189">
        <v>113</v>
      </c>
      <c r="B115" s="190" t="s">
        <v>425</v>
      </c>
      <c r="C115" s="191">
        <v>3500</v>
      </c>
    </row>
    <row r="116" ht="30.75" customHeight="1" spans="1:3">
      <c r="A116" s="189">
        <v>114</v>
      </c>
      <c r="B116" s="190" t="s">
        <v>428</v>
      </c>
      <c r="C116" s="191">
        <v>1000</v>
      </c>
    </row>
    <row r="117" ht="30.75" customHeight="1" spans="1:3">
      <c r="A117" s="189">
        <v>115</v>
      </c>
      <c r="B117" s="190" t="s">
        <v>429</v>
      </c>
      <c r="C117" s="191">
        <v>1000</v>
      </c>
    </row>
    <row r="118" ht="30.75" customHeight="1" spans="1:3">
      <c r="A118" s="189">
        <v>116</v>
      </c>
      <c r="B118" s="190" t="s">
        <v>433</v>
      </c>
      <c r="C118" s="191">
        <v>1000</v>
      </c>
    </row>
    <row r="119" ht="30.75" customHeight="1" spans="1:3">
      <c r="A119" s="189">
        <v>117</v>
      </c>
      <c r="B119" s="190" t="s">
        <v>437</v>
      </c>
      <c r="C119" s="191">
        <v>1000</v>
      </c>
    </row>
    <row r="120" ht="30.75" customHeight="1" spans="1:3">
      <c r="A120" s="189">
        <v>118</v>
      </c>
      <c r="B120" s="190" t="s">
        <v>438</v>
      </c>
      <c r="C120" s="191">
        <v>1000</v>
      </c>
    </row>
    <row r="121" ht="30.75" customHeight="1" spans="1:3">
      <c r="A121" s="189">
        <v>119</v>
      </c>
      <c r="B121" s="190" t="s">
        <v>441</v>
      </c>
      <c r="C121" s="191">
        <v>1000</v>
      </c>
    </row>
    <row r="122" ht="30.75" customHeight="1" spans="1:3">
      <c r="A122" s="189">
        <v>120</v>
      </c>
      <c r="B122" s="190" t="s">
        <v>451</v>
      </c>
      <c r="C122" s="191">
        <v>1500</v>
      </c>
    </row>
    <row r="123" ht="30.75" customHeight="1" spans="1:3">
      <c r="A123" s="189">
        <v>121</v>
      </c>
      <c r="B123" s="190" t="s">
        <v>452</v>
      </c>
      <c r="C123" s="191">
        <v>1500</v>
      </c>
    </row>
    <row r="124" ht="30.75" customHeight="1" spans="1:3">
      <c r="A124" s="189">
        <v>122</v>
      </c>
      <c r="B124" s="190" t="s">
        <v>2069</v>
      </c>
      <c r="C124" s="191">
        <v>1500</v>
      </c>
    </row>
    <row r="125" ht="30.75" customHeight="1" spans="1:3">
      <c r="A125" s="189">
        <v>123</v>
      </c>
      <c r="B125" s="190" t="s">
        <v>2136</v>
      </c>
      <c r="C125" s="191">
        <v>1500</v>
      </c>
    </row>
    <row r="126" ht="30.75" customHeight="1" spans="1:3">
      <c r="A126" s="189">
        <v>124</v>
      </c>
      <c r="B126" s="190" t="s">
        <v>455</v>
      </c>
      <c r="C126" s="191">
        <v>1500</v>
      </c>
    </row>
    <row r="127" ht="30.75" customHeight="1" spans="1:3">
      <c r="A127" s="189">
        <v>125</v>
      </c>
      <c r="B127" s="190" t="s">
        <v>462</v>
      </c>
      <c r="C127" s="191">
        <v>1000</v>
      </c>
    </row>
    <row r="128" ht="30.75" customHeight="1" spans="1:3">
      <c r="A128" s="189">
        <v>126</v>
      </c>
      <c r="B128" s="190" t="s">
        <v>464</v>
      </c>
      <c r="C128" s="191">
        <v>1000</v>
      </c>
    </row>
    <row r="129" ht="30.75" customHeight="1" spans="1:3">
      <c r="A129" s="189">
        <v>127</v>
      </c>
      <c r="B129" s="190" t="s">
        <v>468</v>
      </c>
      <c r="C129" s="191">
        <v>1000</v>
      </c>
    </row>
    <row r="130" ht="30.75" customHeight="1" spans="1:3">
      <c r="A130" s="189">
        <v>128</v>
      </c>
      <c r="B130" s="190" t="s">
        <v>470</v>
      </c>
      <c r="C130" s="191">
        <v>1000</v>
      </c>
    </row>
    <row r="131" ht="30.75" customHeight="1" spans="1:3">
      <c r="A131" s="189">
        <v>129</v>
      </c>
      <c r="B131" s="190" t="s">
        <v>2074</v>
      </c>
      <c r="C131" s="191">
        <v>1000</v>
      </c>
    </row>
    <row r="132" ht="30.75" customHeight="1" spans="1:3">
      <c r="A132" s="189">
        <v>130</v>
      </c>
      <c r="B132" s="190" t="s">
        <v>475</v>
      </c>
      <c r="C132" s="191">
        <v>1000</v>
      </c>
    </row>
    <row r="133" ht="30.75" customHeight="1" spans="1:3">
      <c r="A133" s="189">
        <v>131</v>
      </c>
      <c r="B133" s="190" t="s">
        <v>2076</v>
      </c>
      <c r="C133" s="191">
        <v>1000</v>
      </c>
    </row>
    <row r="134" ht="30.75" customHeight="1" spans="1:3">
      <c r="A134" s="189">
        <v>132</v>
      </c>
      <c r="B134" s="190" t="s">
        <v>477</v>
      </c>
      <c r="C134" s="191">
        <v>1000</v>
      </c>
    </row>
    <row r="135" ht="30.75" customHeight="1" spans="1:3">
      <c r="A135" s="189">
        <v>133</v>
      </c>
      <c r="B135" s="190" t="s">
        <v>478</v>
      </c>
      <c r="C135" s="191">
        <v>1000</v>
      </c>
    </row>
    <row r="136" ht="30.75" customHeight="1" spans="1:3">
      <c r="A136" s="189">
        <v>134</v>
      </c>
      <c r="B136" s="190" t="s">
        <v>479</v>
      </c>
      <c r="C136" s="191">
        <v>1000</v>
      </c>
    </row>
    <row r="137" ht="30.75" customHeight="1" spans="1:3">
      <c r="A137" s="189">
        <v>135</v>
      </c>
      <c r="B137" s="190" t="s">
        <v>2077</v>
      </c>
      <c r="C137" s="191">
        <v>1000</v>
      </c>
    </row>
    <row r="138" ht="30.75" customHeight="1" spans="1:3">
      <c r="A138" s="189">
        <v>136</v>
      </c>
      <c r="B138" s="190" t="s">
        <v>484</v>
      </c>
      <c r="C138" s="191">
        <v>1000</v>
      </c>
    </row>
    <row r="139" ht="30.75" customHeight="1" spans="1:3">
      <c r="A139" s="189">
        <v>137</v>
      </c>
      <c r="B139" s="190" t="s">
        <v>485</v>
      </c>
      <c r="C139" s="191">
        <v>1000</v>
      </c>
    </row>
    <row r="140" ht="30.75" customHeight="1" spans="1:3">
      <c r="A140" s="189">
        <v>138</v>
      </c>
      <c r="B140" s="190" t="s">
        <v>2080</v>
      </c>
      <c r="C140" s="191">
        <v>1000</v>
      </c>
    </row>
    <row r="141" ht="30.75" customHeight="1" spans="1:3">
      <c r="A141" s="189">
        <v>139</v>
      </c>
      <c r="B141" s="190" t="s">
        <v>490</v>
      </c>
      <c r="C141" s="191">
        <v>1000</v>
      </c>
    </row>
    <row r="142" ht="30.75" customHeight="1" spans="1:3">
      <c r="A142" s="189">
        <v>140</v>
      </c>
      <c r="B142" s="190" t="s">
        <v>2081</v>
      </c>
      <c r="C142" s="191">
        <v>1000</v>
      </c>
    </row>
    <row r="143" ht="30.75" customHeight="1" spans="1:3">
      <c r="A143" s="189">
        <v>141</v>
      </c>
      <c r="B143" s="190" t="s">
        <v>507</v>
      </c>
      <c r="C143" s="191">
        <v>1000</v>
      </c>
    </row>
    <row r="144" ht="30.75" customHeight="1" spans="1:3">
      <c r="A144" s="189">
        <v>142</v>
      </c>
      <c r="B144" s="190" t="s">
        <v>512</v>
      </c>
      <c r="C144" s="191">
        <v>1000</v>
      </c>
    </row>
    <row r="145" ht="30.75" customHeight="1" spans="1:3">
      <c r="A145" s="189">
        <v>143</v>
      </c>
      <c r="B145" s="190" t="s">
        <v>2085</v>
      </c>
      <c r="C145" s="191">
        <v>1700</v>
      </c>
    </row>
    <row r="146" ht="30.75" customHeight="1" spans="1:3">
      <c r="A146" s="189">
        <v>144</v>
      </c>
      <c r="B146" s="190" t="s">
        <v>2137</v>
      </c>
      <c r="C146" s="191">
        <v>3500</v>
      </c>
    </row>
    <row r="147" ht="30.75" customHeight="1" spans="1:3">
      <c r="A147" s="189">
        <v>145</v>
      </c>
      <c r="B147" s="190" t="s">
        <v>2138</v>
      </c>
      <c r="C147" s="191">
        <v>10000</v>
      </c>
    </row>
    <row r="148" ht="30.75" customHeight="1" spans="1:3">
      <c r="A148" s="189">
        <v>146</v>
      </c>
      <c r="B148" s="190" t="s">
        <v>2139</v>
      </c>
      <c r="C148" s="191">
        <v>10000</v>
      </c>
    </row>
    <row r="149" ht="30.75" customHeight="1" spans="1:3">
      <c r="A149" s="189">
        <v>147</v>
      </c>
      <c r="B149" s="190" t="s">
        <v>2140</v>
      </c>
      <c r="C149" s="191">
        <v>7000</v>
      </c>
    </row>
    <row r="150" ht="30.75" customHeight="1" spans="1:3">
      <c r="A150" s="189">
        <v>148</v>
      </c>
      <c r="B150" s="190" t="s">
        <v>2141</v>
      </c>
      <c r="C150" s="191">
        <v>3500</v>
      </c>
    </row>
    <row r="151" ht="30.75" customHeight="1" spans="1:3">
      <c r="A151" s="189">
        <v>149</v>
      </c>
      <c r="B151" s="190" t="s">
        <v>2142</v>
      </c>
      <c r="C151" s="191">
        <v>7000</v>
      </c>
    </row>
    <row r="152" ht="30.75" customHeight="1" spans="1:3">
      <c r="A152" s="189">
        <v>150</v>
      </c>
      <c r="B152" s="190" t="s">
        <v>2143</v>
      </c>
      <c r="C152" s="191">
        <v>1500</v>
      </c>
    </row>
    <row r="153" ht="30.75" customHeight="1" spans="1:3">
      <c r="A153" s="189">
        <v>151</v>
      </c>
      <c r="B153" s="190" t="s">
        <v>2144</v>
      </c>
      <c r="C153" s="191">
        <v>3000</v>
      </c>
    </row>
    <row r="154" ht="30.75" customHeight="1" spans="1:3">
      <c r="A154" s="189">
        <v>152</v>
      </c>
      <c r="B154" s="190" t="s">
        <v>517</v>
      </c>
      <c r="C154" s="191">
        <v>3000</v>
      </c>
    </row>
    <row r="155" ht="30.75" customHeight="1" spans="1:3">
      <c r="A155" s="189">
        <v>153</v>
      </c>
      <c r="B155" s="190" t="s">
        <v>521</v>
      </c>
      <c r="C155" s="191">
        <v>1500</v>
      </c>
    </row>
    <row r="156" ht="30.75" customHeight="1" spans="1:3">
      <c r="A156" s="189">
        <v>154</v>
      </c>
      <c r="B156" s="190" t="s">
        <v>2145</v>
      </c>
      <c r="C156" s="191">
        <v>1500</v>
      </c>
    </row>
    <row r="157" ht="30.75" customHeight="1" spans="1:3">
      <c r="A157" s="189">
        <v>155</v>
      </c>
      <c r="B157" s="190" t="s">
        <v>2021</v>
      </c>
      <c r="C157" s="191">
        <v>1500</v>
      </c>
    </row>
    <row r="158" ht="30.75" customHeight="1" spans="1:3">
      <c r="A158" s="189">
        <v>156</v>
      </c>
      <c r="B158" s="190" t="s">
        <v>2146</v>
      </c>
      <c r="C158" s="191">
        <v>750</v>
      </c>
    </row>
    <row r="159" ht="30.75" customHeight="1" spans="1:3">
      <c r="A159" s="189">
        <v>157</v>
      </c>
      <c r="B159" s="190" t="s">
        <v>2147</v>
      </c>
      <c r="C159" s="191">
        <v>7000</v>
      </c>
    </row>
    <row r="160" ht="30.75" customHeight="1" spans="1:3">
      <c r="A160" s="189">
        <v>158</v>
      </c>
      <c r="B160" s="190" t="s">
        <v>2148</v>
      </c>
      <c r="C160" s="191" t="e">
        <f>'TEACHING STAFF'!#REF!</f>
        <v>#REF!</v>
      </c>
    </row>
    <row r="161" ht="30.75" customHeight="1" spans="1:3">
      <c r="A161" s="189">
        <v>159</v>
      </c>
      <c r="B161" s="190" t="s">
        <v>2202</v>
      </c>
      <c r="C161" s="191">
        <v>1500</v>
      </c>
    </row>
    <row r="162" ht="30.75" customHeight="1" spans="1:3">
      <c r="A162" s="192"/>
      <c r="B162" s="193" t="s">
        <v>867</v>
      </c>
      <c r="C162" s="194" t="e">
        <f>SUM(C3:C161)</f>
        <v>#REF!</v>
      </c>
    </row>
    <row r="163" ht="30.75" customHeight="1" spans="1:3">
      <c r="A163" s="195"/>
      <c r="B163" s="196" t="s">
        <v>868</v>
      </c>
      <c r="C163" s="196"/>
    </row>
    <row r="164" ht="30.75" customHeight="1" spans="1:3">
      <c r="A164" s="187">
        <v>160</v>
      </c>
      <c r="B164" s="197" t="s">
        <v>1519</v>
      </c>
      <c r="C164" s="198">
        <v>1000</v>
      </c>
    </row>
    <row r="165" ht="30.75" customHeight="1" spans="1:3">
      <c r="A165" s="187">
        <v>186</v>
      </c>
      <c r="B165" s="197" t="s">
        <v>869</v>
      </c>
      <c r="C165" s="198">
        <v>1000</v>
      </c>
    </row>
    <row r="166" ht="30.75" customHeight="1" spans="1:3">
      <c r="A166" s="187">
        <v>187</v>
      </c>
      <c r="B166" s="197" t="s">
        <v>2151</v>
      </c>
      <c r="C166" s="198">
        <v>1000</v>
      </c>
    </row>
    <row r="167" ht="30.75" customHeight="1" spans="1:3">
      <c r="A167" s="187">
        <v>188</v>
      </c>
      <c r="B167" s="197" t="s">
        <v>870</v>
      </c>
      <c r="C167" s="198">
        <v>1000</v>
      </c>
    </row>
    <row r="168" ht="30.75" customHeight="1" spans="1:3">
      <c r="A168" s="187">
        <v>189</v>
      </c>
      <c r="B168" s="197" t="s">
        <v>872</v>
      </c>
      <c r="C168" s="198">
        <v>1500</v>
      </c>
    </row>
    <row r="169" ht="30.75" customHeight="1" spans="1:3">
      <c r="A169" s="187">
        <v>190</v>
      </c>
      <c r="B169" s="197" t="s">
        <v>875</v>
      </c>
      <c r="C169" s="198">
        <v>1000</v>
      </c>
    </row>
    <row r="170" ht="30.75" customHeight="1" spans="1:3">
      <c r="A170" s="187">
        <v>191</v>
      </c>
      <c r="B170" s="197" t="s">
        <v>876</v>
      </c>
      <c r="C170" s="198">
        <v>1000</v>
      </c>
    </row>
    <row r="171" ht="30.75" customHeight="1" spans="1:3">
      <c r="A171" s="187">
        <v>192</v>
      </c>
      <c r="B171" s="197" t="s">
        <v>878</v>
      </c>
      <c r="C171" s="198">
        <v>1000</v>
      </c>
    </row>
    <row r="172" ht="30.75" customHeight="1" spans="1:3">
      <c r="A172" s="187">
        <v>193</v>
      </c>
      <c r="B172" s="197" t="s">
        <v>880</v>
      </c>
      <c r="C172" s="198">
        <v>1000</v>
      </c>
    </row>
    <row r="173" ht="30.75" customHeight="1" spans="1:3">
      <c r="A173" s="187">
        <v>194</v>
      </c>
      <c r="B173" s="197" t="s">
        <v>881</v>
      </c>
      <c r="C173" s="198">
        <v>1000</v>
      </c>
    </row>
    <row r="174" ht="30.75" customHeight="1" spans="1:3">
      <c r="A174" s="187">
        <v>195</v>
      </c>
      <c r="B174" s="197" t="s">
        <v>882</v>
      </c>
      <c r="C174" s="198">
        <v>1000</v>
      </c>
    </row>
    <row r="175" ht="30.75" customHeight="1" spans="1:3">
      <c r="A175" s="187">
        <v>196</v>
      </c>
      <c r="B175" s="197" t="s">
        <v>883</v>
      </c>
      <c r="C175" s="198">
        <v>500</v>
      </c>
    </row>
    <row r="176" ht="30.75" customHeight="1" spans="1:3">
      <c r="A176" s="187">
        <v>197</v>
      </c>
      <c r="B176" s="197" t="s">
        <v>885</v>
      </c>
      <c r="C176" s="198">
        <v>500</v>
      </c>
    </row>
    <row r="177" ht="30.75" customHeight="1" spans="1:3">
      <c r="A177" s="187">
        <v>198</v>
      </c>
      <c r="B177" s="197" t="s">
        <v>1840</v>
      </c>
      <c r="C177" s="198">
        <v>500</v>
      </c>
    </row>
    <row r="178" ht="30.75" customHeight="1" spans="1:3">
      <c r="A178" s="187">
        <v>199</v>
      </c>
      <c r="B178" s="197" t="s">
        <v>888</v>
      </c>
      <c r="C178" s="198">
        <v>500</v>
      </c>
    </row>
    <row r="179" ht="30.75" customHeight="1" spans="1:3">
      <c r="A179" s="187">
        <v>200</v>
      </c>
      <c r="B179" s="197" t="s">
        <v>2204</v>
      </c>
      <c r="C179" s="198">
        <v>10000</v>
      </c>
    </row>
    <row r="180" ht="30.75" customHeight="1" spans="1:3">
      <c r="A180" s="187">
        <v>201</v>
      </c>
      <c r="B180" s="197" t="s">
        <v>2154</v>
      </c>
      <c r="C180" s="198">
        <v>10000</v>
      </c>
    </row>
    <row r="181" ht="30.75" customHeight="1" spans="1:3">
      <c r="A181" s="187">
        <v>202</v>
      </c>
      <c r="B181" s="197" t="s">
        <v>2155</v>
      </c>
      <c r="C181" s="198">
        <v>10000</v>
      </c>
    </row>
    <row r="182" ht="30.75" customHeight="1" spans="1:3">
      <c r="A182" s="187">
        <v>203</v>
      </c>
      <c r="B182" s="197" t="s">
        <v>2156</v>
      </c>
      <c r="C182" s="198">
        <v>10000</v>
      </c>
    </row>
    <row r="183" ht="30.75" customHeight="1" spans="1:3">
      <c r="A183" s="187">
        <v>204</v>
      </c>
      <c r="B183" s="197" t="s">
        <v>2157</v>
      </c>
      <c r="C183" s="198">
        <v>10000</v>
      </c>
    </row>
    <row r="184" ht="30.75" customHeight="1" spans="1:3">
      <c r="A184" s="187">
        <v>205</v>
      </c>
      <c r="B184" s="197" t="s">
        <v>894</v>
      </c>
      <c r="C184" s="198">
        <v>1500</v>
      </c>
    </row>
    <row r="185" ht="30.75" customHeight="1" spans="1:3">
      <c r="A185" s="187">
        <v>206</v>
      </c>
      <c r="B185" s="197" t="s">
        <v>896</v>
      </c>
      <c r="C185" s="198">
        <v>1500</v>
      </c>
    </row>
    <row r="186" ht="30.75" customHeight="1" spans="1:3">
      <c r="A186" s="187">
        <v>207</v>
      </c>
      <c r="B186" s="197" t="s">
        <v>898</v>
      </c>
      <c r="C186" s="198">
        <v>1000</v>
      </c>
    </row>
    <row r="187" ht="30.75" customHeight="1" spans="1:3">
      <c r="A187" s="187">
        <v>208</v>
      </c>
      <c r="B187" s="197" t="s">
        <v>901</v>
      </c>
      <c r="C187" s="198">
        <v>1000</v>
      </c>
    </row>
    <row r="188" ht="30.75" customHeight="1" spans="1:3">
      <c r="A188" s="187">
        <v>209</v>
      </c>
      <c r="B188" s="197" t="s">
        <v>903</v>
      </c>
      <c r="C188" s="198">
        <v>1000</v>
      </c>
    </row>
    <row r="189" ht="30.75" customHeight="1" spans="1:3">
      <c r="A189" s="187">
        <v>210</v>
      </c>
      <c r="B189" s="197" t="s">
        <v>2158</v>
      </c>
      <c r="C189" s="198">
        <v>1500</v>
      </c>
    </row>
    <row r="190" ht="30.75" customHeight="1" spans="1:3">
      <c r="A190" s="187">
        <v>211</v>
      </c>
      <c r="B190" s="197" t="s">
        <v>905</v>
      </c>
      <c r="C190" s="198">
        <v>1500</v>
      </c>
    </row>
    <row r="191" ht="30.75" customHeight="1" spans="1:3">
      <c r="A191" s="187">
        <v>212</v>
      </c>
      <c r="B191" s="197" t="s">
        <v>907</v>
      </c>
      <c r="C191" s="198">
        <v>1000</v>
      </c>
    </row>
    <row r="192" ht="30.75" customHeight="1" spans="1:3">
      <c r="A192" s="187">
        <v>213</v>
      </c>
      <c r="B192" s="197" t="s">
        <v>908</v>
      </c>
      <c r="C192" s="198">
        <v>3500</v>
      </c>
    </row>
    <row r="193" ht="30.75" customHeight="1" spans="1:3">
      <c r="A193" s="187">
        <v>214</v>
      </c>
      <c r="B193" s="197" t="s">
        <v>2159</v>
      </c>
      <c r="C193" s="198">
        <v>1500</v>
      </c>
    </row>
    <row r="194" ht="30.75" customHeight="1" spans="1:3">
      <c r="A194" s="187">
        <v>215</v>
      </c>
      <c r="B194" s="197" t="s">
        <v>910</v>
      </c>
      <c r="C194" s="198">
        <v>500</v>
      </c>
    </row>
    <row r="195" ht="30.75" customHeight="1" spans="1:3">
      <c r="A195" s="187">
        <v>216</v>
      </c>
      <c r="B195" s="197" t="s">
        <v>912</v>
      </c>
      <c r="C195" s="198">
        <v>500</v>
      </c>
    </row>
    <row r="196" ht="30.75" customHeight="1" spans="1:3">
      <c r="A196" s="187">
        <v>217</v>
      </c>
      <c r="B196" s="197" t="s">
        <v>914</v>
      </c>
      <c r="C196" s="198">
        <v>1000</v>
      </c>
    </row>
    <row r="197" ht="30.75" customHeight="1" spans="1:3">
      <c r="A197" s="187">
        <v>218</v>
      </c>
      <c r="B197" s="197" t="s">
        <v>917</v>
      </c>
      <c r="C197" s="198">
        <v>500</v>
      </c>
    </row>
    <row r="198" ht="30.75" customHeight="1" spans="1:3">
      <c r="A198" s="187">
        <v>219</v>
      </c>
      <c r="B198" s="197" t="s">
        <v>919</v>
      </c>
      <c r="C198" s="198">
        <v>1000</v>
      </c>
    </row>
    <row r="199" ht="30.75" customHeight="1" spans="1:3">
      <c r="A199" s="187">
        <v>220</v>
      </c>
      <c r="B199" s="197" t="s">
        <v>921</v>
      </c>
      <c r="C199" s="198">
        <v>3500</v>
      </c>
    </row>
    <row r="200" ht="30.75" customHeight="1" spans="1:3">
      <c r="A200" s="187">
        <v>221</v>
      </c>
      <c r="B200" s="197" t="s">
        <v>2160</v>
      </c>
      <c r="C200" s="198">
        <v>500</v>
      </c>
    </row>
    <row r="201" ht="30.75" customHeight="1" spans="1:3">
      <c r="A201" s="187">
        <v>222</v>
      </c>
      <c r="B201" s="197" t="s">
        <v>2161</v>
      </c>
      <c r="C201" s="198">
        <v>500</v>
      </c>
    </row>
    <row r="202" ht="30.75" customHeight="1" spans="1:3">
      <c r="A202" s="187">
        <v>223</v>
      </c>
      <c r="B202" s="197" t="s">
        <v>925</v>
      </c>
      <c r="C202" s="198">
        <v>1000</v>
      </c>
    </row>
    <row r="203" ht="30.75" customHeight="1" spans="1:3">
      <c r="A203" s="187">
        <v>224</v>
      </c>
      <c r="B203" s="197" t="s">
        <v>927</v>
      </c>
      <c r="C203" s="198">
        <v>1000</v>
      </c>
    </row>
    <row r="204" ht="30.75" customHeight="1" spans="1:3">
      <c r="A204" s="187">
        <v>225</v>
      </c>
      <c r="B204" s="197" t="s">
        <v>929</v>
      </c>
      <c r="C204" s="198">
        <v>1000</v>
      </c>
    </row>
    <row r="205" ht="30.75" customHeight="1" spans="1:3">
      <c r="A205" s="187">
        <v>226</v>
      </c>
      <c r="B205" s="197" t="s">
        <v>931</v>
      </c>
      <c r="C205" s="198">
        <v>1000</v>
      </c>
    </row>
    <row r="206" ht="30.75" customHeight="1" spans="1:3">
      <c r="A206" s="187">
        <v>227</v>
      </c>
      <c r="B206" s="197" t="s">
        <v>2162</v>
      </c>
      <c r="C206" s="198">
        <v>1000</v>
      </c>
    </row>
    <row r="207" ht="30.75" customHeight="1" spans="1:3">
      <c r="A207" s="187">
        <v>228</v>
      </c>
      <c r="B207" s="197" t="s">
        <v>936</v>
      </c>
      <c r="C207" s="198">
        <v>1000</v>
      </c>
    </row>
    <row r="208" ht="30.75" customHeight="1" spans="1:3">
      <c r="A208" s="187">
        <v>229</v>
      </c>
      <c r="B208" s="197" t="s">
        <v>939</v>
      </c>
      <c r="C208" s="198">
        <v>1000</v>
      </c>
    </row>
    <row r="209" ht="30.75" customHeight="1" spans="1:3">
      <c r="A209" s="187">
        <v>230</v>
      </c>
      <c r="B209" s="197" t="s">
        <v>2163</v>
      </c>
      <c r="C209" s="198">
        <v>1000</v>
      </c>
    </row>
    <row r="210" ht="30.75" customHeight="1" spans="1:3">
      <c r="A210" s="187">
        <v>231</v>
      </c>
      <c r="B210" s="197" t="s">
        <v>2164</v>
      </c>
      <c r="C210" s="198">
        <v>1000</v>
      </c>
    </row>
    <row r="211" ht="30.75" customHeight="1" spans="1:3">
      <c r="A211" s="187">
        <v>232</v>
      </c>
      <c r="B211" s="197" t="s">
        <v>2165</v>
      </c>
      <c r="C211" s="198">
        <v>1000</v>
      </c>
    </row>
    <row r="212" ht="30.75" customHeight="1" spans="1:3">
      <c r="A212" s="187">
        <v>233</v>
      </c>
      <c r="B212" s="197" t="s">
        <v>2166</v>
      </c>
      <c r="C212" s="198">
        <v>1000</v>
      </c>
    </row>
    <row r="213" ht="30.75" customHeight="1" spans="1:3">
      <c r="A213" s="187">
        <v>234</v>
      </c>
      <c r="B213" s="197" t="s">
        <v>951</v>
      </c>
      <c r="C213" s="198">
        <v>1000</v>
      </c>
    </row>
    <row r="214" ht="30.75" customHeight="1" spans="1:3">
      <c r="A214" s="187">
        <v>235</v>
      </c>
      <c r="B214" s="197" t="s">
        <v>953</v>
      </c>
      <c r="C214" s="198">
        <v>1000</v>
      </c>
    </row>
    <row r="215" ht="30.75" customHeight="1" spans="1:3">
      <c r="A215" s="187">
        <v>236</v>
      </c>
      <c r="B215" s="197" t="s">
        <v>2167</v>
      </c>
      <c r="C215" s="198">
        <v>3500</v>
      </c>
    </row>
    <row r="216" ht="30.75" customHeight="1" spans="1:3">
      <c r="A216" s="187">
        <v>237</v>
      </c>
      <c r="B216" s="197" t="s">
        <v>955</v>
      </c>
      <c r="C216" s="198">
        <v>3500</v>
      </c>
    </row>
    <row r="217" ht="30.75" customHeight="1" spans="1:3">
      <c r="A217" s="187">
        <v>238</v>
      </c>
      <c r="B217" s="197" t="s">
        <v>2205</v>
      </c>
      <c r="C217" s="198">
        <v>500</v>
      </c>
    </row>
    <row r="218" ht="30.75" customHeight="1" spans="1:3">
      <c r="A218" s="187">
        <v>239</v>
      </c>
      <c r="B218" s="197" t="s">
        <v>959</v>
      </c>
      <c r="C218" s="198">
        <v>500</v>
      </c>
    </row>
    <row r="219" ht="30.75" customHeight="1" spans="1:3">
      <c r="A219" s="187">
        <v>240</v>
      </c>
      <c r="B219" s="197" t="s">
        <v>962</v>
      </c>
      <c r="C219" s="198">
        <v>500</v>
      </c>
    </row>
    <row r="220" ht="30.75" customHeight="1" spans="1:3">
      <c r="A220" s="187">
        <v>241</v>
      </c>
      <c r="B220" s="197" t="s">
        <v>964</v>
      </c>
      <c r="C220" s="198">
        <v>500</v>
      </c>
    </row>
    <row r="221" ht="30.75" customHeight="1" spans="1:3">
      <c r="A221" s="187">
        <v>242</v>
      </c>
      <c r="B221" s="197" t="s">
        <v>966</v>
      </c>
      <c r="C221" s="198">
        <v>500</v>
      </c>
    </row>
    <row r="222" ht="30.75" customHeight="1" spans="1:3">
      <c r="A222" s="187">
        <v>243</v>
      </c>
      <c r="B222" s="197" t="s">
        <v>968</v>
      </c>
      <c r="C222" s="198">
        <v>500</v>
      </c>
    </row>
    <row r="223" ht="30.75" customHeight="1" spans="1:3">
      <c r="A223" s="187">
        <v>244</v>
      </c>
      <c r="B223" s="197" t="s">
        <v>970</v>
      </c>
      <c r="C223" s="198">
        <v>500</v>
      </c>
    </row>
    <row r="224" ht="30.75" customHeight="1" spans="1:3">
      <c r="A224" s="187">
        <v>245</v>
      </c>
      <c r="B224" s="197" t="s">
        <v>978</v>
      </c>
      <c r="C224" s="198">
        <v>500</v>
      </c>
    </row>
    <row r="225" ht="30.75" customHeight="1" spans="1:3">
      <c r="A225" s="187">
        <v>246</v>
      </c>
      <c r="B225" s="197" t="s">
        <v>980</v>
      </c>
      <c r="C225" s="198">
        <v>500</v>
      </c>
    </row>
    <row r="226" ht="30.75" customHeight="1" spans="1:3">
      <c r="A226" s="187">
        <v>247</v>
      </c>
      <c r="B226" s="197" t="s">
        <v>2168</v>
      </c>
      <c r="C226" s="198">
        <v>500</v>
      </c>
    </row>
    <row r="227" ht="30.75" customHeight="1" spans="1:3">
      <c r="A227" s="187">
        <v>248</v>
      </c>
      <c r="B227" s="197" t="s">
        <v>989</v>
      </c>
      <c r="C227" s="198">
        <v>500</v>
      </c>
    </row>
    <row r="228" ht="30.75" customHeight="1" spans="1:3">
      <c r="A228" s="187">
        <v>249</v>
      </c>
      <c r="B228" s="197" t="s">
        <v>991</v>
      </c>
      <c r="C228" s="198">
        <v>500</v>
      </c>
    </row>
    <row r="229" ht="30.75" customHeight="1" spans="1:3">
      <c r="A229" s="187">
        <v>250</v>
      </c>
      <c r="B229" s="197" t="s">
        <v>1004</v>
      </c>
      <c r="C229" s="198">
        <v>1000</v>
      </c>
    </row>
    <row r="230" ht="30.75" customHeight="1" spans="1:3">
      <c r="A230" s="187">
        <v>251</v>
      </c>
      <c r="B230" s="197" t="s">
        <v>1006</v>
      </c>
      <c r="C230" s="198">
        <v>1000</v>
      </c>
    </row>
    <row r="231" ht="30.75" customHeight="1" spans="1:3">
      <c r="A231" s="187">
        <v>252</v>
      </c>
      <c r="B231" s="197" t="s">
        <v>1008</v>
      </c>
      <c r="C231" s="198">
        <v>1000</v>
      </c>
    </row>
    <row r="232" ht="30.75" customHeight="1" spans="1:3">
      <c r="A232" s="187">
        <v>253</v>
      </c>
      <c r="B232" s="197" t="s">
        <v>1010</v>
      </c>
      <c r="C232" s="198">
        <v>1000</v>
      </c>
    </row>
    <row r="233" ht="30.75" customHeight="1" spans="1:3">
      <c r="A233" s="187">
        <v>254</v>
      </c>
      <c r="B233" s="197" t="s">
        <v>2169</v>
      </c>
      <c r="C233" s="198">
        <v>1000</v>
      </c>
    </row>
    <row r="234" ht="30.75" customHeight="1" spans="1:3">
      <c r="A234" s="187">
        <v>255</v>
      </c>
      <c r="B234" s="197" t="s">
        <v>1015</v>
      </c>
      <c r="C234" s="198">
        <v>1000</v>
      </c>
    </row>
    <row r="235" ht="30.75" customHeight="1" spans="1:3">
      <c r="A235" s="187">
        <v>256</v>
      </c>
      <c r="B235" s="197" t="s">
        <v>1017</v>
      </c>
      <c r="C235" s="198">
        <v>1000</v>
      </c>
    </row>
    <row r="236" ht="30.75" customHeight="1" spans="1:3">
      <c r="A236" s="187">
        <v>257</v>
      </c>
      <c r="B236" s="197" t="s">
        <v>2170</v>
      </c>
      <c r="C236" s="198">
        <v>1500</v>
      </c>
    </row>
    <row r="237" ht="30.75" customHeight="1" spans="1:3">
      <c r="A237" s="187">
        <v>258</v>
      </c>
      <c r="B237" s="197" t="s">
        <v>1020</v>
      </c>
      <c r="C237" s="198">
        <v>1500</v>
      </c>
    </row>
    <row r="238" ht="30.75" customHeight="1" spans="1:3">
      <c r="A238" s="187">
        <v>259</v>
      </c>
      <c r="B238" s="197" t="s">
        <v>1022</v>
      </c>
      <c r="C238" s="198">
        <v>1000</v>
      </c>
    </row>
    <row r="239" ht="30.75" customHeight="1" spans="1:3">
      <c r="A239" s="187">
        <v>260</v>
      </c>
      <c r="B239" s="197" t="s">
        <v>1024</v>
      </c>
      <c r="C239" s="198">
        <v>1500</v>
      </c>
    </row>
    <row r="240" ht="30.75" customHeight="1" spans="1:3">
      <c r="A240" s="187">
        <v>261</v>
      </c>
      <c r="B240" s="197" t="s">
        <v>2171</v>
      </c>
      <c r="C240" s="198">
        <v>1000</v>
      </c>
    </row>
    <row r="241" ht="30.75" customHeight="1" spans="1:3">
      <c r="A241" s="187">
        <v>262</v>
      </c>
      <c r="B241" s="197" t="s">
        <v>1028</v>
      </c>
      <c r="C241" s="198">
        <v>1000</v>
      </c>
    </row>
    <row r="242" ht="30.75" customHeight="1" spans="1:3">
      <c r="A242" s="187">
        <v>263</v>
      </c>
      <c r="B242" s="197" t="s">
        <v>1030</v>
      </c>
      <c r="C242" s="198">
        <v>1000</v>
      </c>
    </row>
    <row r="243" ht="30.75" customHeight="1" spans="1:3">
      <c r="A243" s="187">
        <v>264</v>
      </c>
      <c r="B243" s="197" t="s">
        <v>2172</v>
      </c>
      <c r="C243" s="198">
        <v>1000</v>
      </c>
    </row>
    <row r="244" ht="30.75" customHeight="1" spans="1:3">
      <c r="A244" s="187">
        <v>265</v>
      </c>
      <c r="B244" s="197" t="s">
        <v>2206</v>
      </c>
      <c r="C244" s="198">
        <v>1000</v>
      </c>
    </row>
    <row r="245" ht="30.75" customHeight="1" spans="1:3">
      <c r="A245" s="187">
        <v>266</v>
      </c>
      <c r="B245" s="197" t="s">
        <v>1034</v>
      </c>
      <c r="C245" s="198">
        <v>1500</v>
      </c>
    </row>
    <row r="246" ht="30.75" customHeight="1" spans="1:3">
      <c r="A246" s="187">
        <v>267</v>
      </c>
      <c r="B246" s="197" t="s">
        <v>2173</v>
      </c>
      <c r="C246" s="198">
        <v>1000</v>
      </c>
    </row>
    <row r="247" ht="30.75" customHeight="1" spans="1:3">
      <c r="A247" s="187">
        <v>268</v>
      </c>
      <c r="B247" s="197" t="s">
        <v>1036</v>
      </c>
      <c r="C247" s="198">
        <v>1000</v>
      </c>
    </row>
    <row r="248" ht="30.75" customHeight="1" spans="1:3">
      <c r="A248" s="187">
        <v>269</v>
      </c>
      <c r="B248" s="197" t="s">
        <v>1039</v>
      </c>
      <c r="C248" s="198">
        <v>500</v>
      </c>
    </row>
    <row r="249" ht="30.75" customHeight="1" spans="1:3">
      <c r="A249" s="187">
        <v>270</v>
      </c>
      <c r="B249" s="197" t="s">
        <v>1041</v>
      </c>
      <c r="C249" s="198">
        <v>1000</v>
      </c>
    </row>
    <row r="250" ht="30.75" customHeight="1" spans="1:3">
      <c r="A250" s="187">
        <v>271</v>
      </c>
      <c r="B250" s="197" t="s">
        <v>1043</v>
      </c>
      <c r="C250" s="198">
        <v>1000</v>
      </c>
    </row>
    <row r="251" ht="30.75" customHeight="1" spans="1:3">
      <c r="A251" s="187">
        <v>272</v>
      </c>
      <c r="B251" s="197" t="s">
        <v>1045</v>
      </c>
      <c r="C251" s="198">
        <v>500</v>
      </c>
    </row>
    <row r="252" ht="30.75" customHeight="1" spans="1:3">
      <c r="A252" s="187">
        <v>273</v>
      </c>
      <c r="B252" s="197" t="s">
        <v>1047</v>
      </c>
      <c r="C252" s="198">
        <v>501</v>
      </c>
    </row>
    <row r="253" ht="30.75" customHeight="1" spans="1:3">
      <c r="A253" s="187">
        <v>274</v>
      </c>
      <c r="B253" s="197" t="s">
        <v>1051</v>
      </c>
      <c r="C253" s="198">
        <v>500</v>
      </c>
    </row>
    <row r="254" ht="30.75" customHeight="1" spans="1:3">
      <c r="A254" s="187">
        <v>275</v>
      </c>
      <c r="B254" s="197" t="s">
        <v>2174</v>
      </c>
      <c r="C254" s="198">
        <v>1000</v>
      </c>
    </row>
    <row r="255" ht="30.75" customHeight="1" spans="1:3">
      <c r="A255" s="187">
        <v>276</v>
      </c>
      <c r="B255" s="197" t="s">
        <v>1054</v>
      </c>
      <c r="C255" s="198">
        <v>1000</v>
      </c>
    </row>
    <row r="256" ht="30.75" customHeight="1" spans="1:3">
      <c r="A256" s="187">
        <v>277</v>
      </c>
      <c r="B256" s="197" t="s">
        <v>1056</v>
      </c>
      <c r="C256" s="198">
        <v>1000</v>
      </c>
    </row>
    <row r="257" ht="30.75" customHeight="1" spans="1:3">
      <c r="A257" s="187">
        <v>278</v>
      </c>
      <c r="B257" s="197" t="s">
        <v>1058</v>
      </c>
      <c r="C257" s="198">
        <v>1000</v>
      </c>
    </row>
    <row r="258" ht="30.75" customHeight="1" spans="1:3">
      <c r="A258" s="187">
        <v>279</v>
      </c>
      <c r="B258" s="197" t="s">
        <v>1060</v>
      </c>
      <c r="C258" s="198">
        <v>1000</v>
      </c>
    </row>
    <row r="259" ht="30.75" customHeight="1" spans="1:3">
      <c r="A259" s="187">
        <v>280</v>
      </c>
      <c r="B259" s="197" t="s">
        <v>1062</v>
      </c>
      <c r="C259" s="198">
        <v>1000</v>
      </c>
    </row>
    <row r="260" ht="30.75" customHeight="1" spans="1:3">
      <c r="A260" s="187">
        <v>281</v>
      </c>
      <c r="B260" s="197" t="s">
        <v>1064</v>
      </c>
      <c r="C260" s="198">
        <v>1000</v>
      </c>
    </row>
    <row r="261" ht="30.75" customHeight="1" spans="1:3">
      <c r="A261" s="187">
        <v>282</v>
      </c>
      <c r="B261" s="197" t="s">
        <v>1066</v>
      </c>
      <c r="C261" s="198">
        <v>1000</v>
      </c>
    </row>
    <row r="262" ht="30.75" customHeight="1" spans="1:3">
      <c r="A262" s="187">
        <v>283</v>
      </c>
      <c r="B262" s="197" t="s">
        <v>1068</v>
      </c>
      <c r="C262" s="198">
        <v>1000</v>
      </c>
    </row>
    <row r="263" ht="30.75" customHeight="1" spans="1:3">
      <c r="A263" s="187">
        <v>284</v>
      </c>
      <c r="B263" s="197" t="s">
        <v>1070</v>
      </c>
      <c r="C263" s="198">
        <v>2000</v>
      </c>
    </row>
    <row r="264" ht="30.75" customHeight="1" spans="1:3">
      <c r="A264" s="187">
        <v>285</v>
      </c>
      <c r="B264" s="197" t="s">
        <v>1072</v>
      </c>
      <c r="C264" s="198">
        <v>1000</v>
      </c>
    </row>
    <row r="265" ht="30.75" customHeight="1" spans="1:3">
      <c r="A265" s="187">
        <v>286</v>
      </c>
      <c r="B265" s="197" t="s">
        <v>1074</v>
      </c>
      <c r="C265" s="198">
        <v>1000</v>
      </c>
    </row>
    <row r="266" ht="30.75" customHeight="1" spans="1:3">
      <c r="A266" s="187">
        <v>287</v>
      </c>
      <c r="B266" s="197" t="s">
        <v>2175</v>
      </c>
      <c r="C266" s="198">
        <v>1000</v>
      </c>
    </row>
    <row r="267" ht="30.75" customHeight="1" spans="1:3">
      <c r="A267" s="187">
        <v>288</v>
      </c>
      <c r="B267" s="197" t="s">
        <v>1078</v>
      </c>
      <c r="C267" s="198">
        <v>1000</v>
      </c>
    </row>
    <row r="268" ht="30.75" customHeight="1" spans="1:3">
      <c r="A268" s="187">
        <v>289</v>
      </c>
      <c r="B268" s="197" t="s">
        <v>1080</v>
      </c>
      <c r="C268" s="198">
        <v>1500</v>
      </c>
    </row>
    <row r="269" ht="30.75" customHeight="1" spans="1:3">
      <c r="A269" s="187">
        <v>290</v>
      </c>
      <c r="B269" s="197" t="s">
        <v>2176</v>
      </c>
      <c r="C269" s="198">
        <v>1000</v>
      </c>
    </row>
    <row r="270" ht="30.75" customHeight="1" spans="1:3">
      <c r="A270" s="187">
        <v>291</v>
      </c>
      <c r="B270" s="197" t="s">
        <v>1084</v>
      </c>
      <c r="C270" s="198">
        <v>1000</v>
      </c>
    </row>
    <row r="271" ht="30.75" customHeight="1" spans="1:3">
      <c r="A271" s="187">
        <v>292</v>
      </c>
      <c r="B271" s="197" t="s">
        <v>1086</v>
      </c>
      <c r="C271" s="198">
        <v>1000</v>
      </c>
    </row>
    <row r="272" ht="30.75" customHeight="1" spans="1:3">
      <c r="A272" s="187">
        <v>293</v>
      </c>
      <c r="B272" s="197" t="s">
        <v>1106</v>
      </c>
      <c r="C272" s="198">
        <v>1000</v>
      </c>
    </row>
    <row r="273" ht="30.75" customHeight="1" spans="1:3">
      <c r="A273" s="187">
        <v>294</v>
      </c>
      <c r="B273" s="197" t="s">
        <v>2177</v>
      </c>
      <c r="C273" s="198">
        <v>1000</v>
      </c>
    </row>
    <row r="274" ht="30.75" customHeight="1" spans="1:3">
      <c r="A274" s="187">
        <v>295</v>
      </c>
      <c r="B274" s="197" t="s">
        <v>1110</v>
      </c>
      <c r="C274" s="198">
        <v>1000</v>
      </c>
    </row>
    <row r="275" ht="30.75" customHeight="1" spans="1:3">
      <c r="A275" s="187">
        <v>296</v>
      </c>
      <c r="B275" s="197" t="s">
        <v>2178</v>
      </c>
      <c r="C275" s="198">
        <v>500</v>
      </c>
    </row>
    <row r="276" ht="30.75" customHeight="1" spans="1:3">
      <c r="A276" s="187">
        <v>297</v>
      </c>
      <c r="B276" s="197" t="s">
        <v>1114</v>
      </c>
      <c r="C276" s="198">
        <v>500</v>
      </c>
    </row>
    <row r="277" ht="30.75" customHeight="1" spans="1:3">
      <c r="A277" s="187">
        <v>298</v>
      </c>
      <c r="B277" s="197" t="s">
        <v>1116</v>
      </c>
      <c r="C277" s="198">
        <v>500</v>
      </c>
    </row>
    <row r="278" ht="30.75" customHeight="1" spans="1:3">
      <c r="A278" s="187">
        <v>299</v>
      </c>
      <c r="B278" s="197" t="s">
        <v>1118</v>
      </c>
      <c r="C278" s="198">
        <v>500</v>
      </c>
    </row>
    <row r="279" ht="30.75" customHeight="1" spans="1:3">
      <c r="A279" s="187">
        <v>300</v>
      </c>
      <c r="B279" s="197" t="s">
        <v>1120</v>
      </c>
      <c r="C279" s="198">
        <v>500</v>
      </c>
    </row>
    <row r="280" ht="30.75" customHeight="1" spans="1:3">
      <c r="A280" s="187">
        <v>301</v>
      </c>
      <c r="B280" s="197" t="s">
        <v>1122</v>
      </c>
      <c r="C280" s="198">
        <v>500</v>
      </c>
    </row>
    <row r="281" ht="30.75" customHeight="1" spans="1:3">
      <c r="A281" s="187">
        <v>302</v>
      </c>
      <c r="B281" s="197" t="s">
        <v>1130</v>
      </c>
      <c r="C281" s="198">
        <v>500</v>
      </c>
    </row>
    <row r="282" ht="30.75" customHeight="1" spans="1:3">
      <c r="A282" s="187">
        <v>303</v>
      </c>
      <c r="B282" s="197" t="s">
        <v>1134</v>
      </c>
      <c r="C282" s="198">
        <v>500</v>
      </c>
    </row>
    <row r="283" ht="30.75" customHeight="1" spans="1:3">
      <c r="A283" s="187">
        <v>304</v>
      </c>
      <c r="B283" s="197" t="s">
        <v>1136</v>
      </c>
      <c r="C283" s="198">
        <v>500</v>
      </c>
    </row>
    <row r="284" ht="30.75" customHeight="1" spans="1:3">
      <c r="A284" s="187">
        <v>305</v>
      </c>
      <c r="B284" s="197" t="s">
        <v>1138</v>
      </c>
      <c r="C284" s="198">
        <v>500</v>
      </c>
    </row>
    <row r="285" ht="30.75" customHeight="1" spans="1:3">
      <c r="A285" s="187">
        <v>306</v>
      </c>
      <c r="B285" s="197" t="s">
        <v>1140</v>
      </c>
      <c r="C285" s="198">
        <v>500</v>
      </c>
    </row>
    <row r="286" ht="30.75" customHeight="1" spans="1:3">
      <c r="A286" s="187">
        <v>307</v>
      </c>
      <c r="B286" s="197" t="s">
        <v>2179</v>
      </c>
      <c r="C286" s="198">
        <v>500</v>
      </c>
    </row>
    <row r="287" ht="30.75" customHeight="1" spans="1:3">
      <c r="A287" s="187">
        <v>308</v>
      </c>
      <c r="B287" s="197" t="s">
        <v>1144</v>
      </c>
      <c r="C287" s="198">
        <v>500</v>
      </c>
    </row>
    <row r="288" ht="30.75" customHeight="1" spans="1:3">
      <c r="A288" s="187">
        <v>309</v>
      </c>
      <c r="B288" s="197" t="s">
        <v>1146</v>
      </c>
      <c r="C288" s="198">
        <v>500</v>
      </c>
    </row>
    <row r="289" ht="30.75" customHeight="1" spans="1:3">
      <c r="A289" s="187">
        <v>310</v>
      </c>
      <c r="B289" s="197" t="s">
        <v>1148</v>
      </c>
      <c r="C289" s="198">
        <v>500</v>
      </c>
    </row>
    <row r="290" ht="30.75" customHeight="1" spans="1:3">
      <c r="A290" s="187">
        <v>311</v>
      </c>
      <c r="B290" s="197" t="s">
        <v>2180</v>
      </c>
      <c r="C290" s="198">
        <v>500</v>
      </c>
    </row>
    <row r="291" ht="30.75" customHeight="1" spans="1:3">
      <c r="A291" s="187">
        <v>312</v>
      </c>
      <c r="B291" s="197" t="s">
        <v>1153</v>
      </c>
      <c r="C291" s="198">
        <v>500</v>
      </c>
    </row>
    <row r="292" ht="30.75" customHeight="1" spans="1:3">
      <c r="A292" s="187">
        <v>313</v>
      </c>
      <c r="B292" s="197" t="s">
        <v>1155</v>
      </c>
      <c r="C292" s="198">
        <v>500</v>
      </c>
    </row>
    <row r="293" ht="30.75" customHeight="1" spans="1:3">
      <c r="A293" s="187">
        <v>314</v>
      </c>
      <c r="B293" s="197" t="s">
        <v>1157</v>
      </c>
      <c r="C293" s="198">
        <v>500</v>
      </c>
    </row>
    <row r="294" ht="30.75" customHeight="1" spans="1:3">
      <c r="A294" s="187">
        <v>315</v>
      </c>
      <c r="B294" s="197" t="s">
        <v>2207</v>
      </c>
      <c r="C294" s="198">
        <v>500</v>
      </c>
    </row>
    <row r="295" ht="30.75" customHeight="1" spans="1:3">
      <c r="A295" s="187">
        <v>316</v>
      </c>
      <c r="B295" s="197" t="s">
        <v>1161</v>
      </c>
      <c r="C295" s="198">
        <v>500</v>
      </c>
    </row>
    <row r="296" ht="30.75" customHeight="1" spans="1:3">
      <c r="A296" s="187">
        <v>317</v>
      </c>
      <c r="B296" s="197" t="s">
        <v>2208</v>
      </c>
      <c r="C296" s="198">
        <v>500</v>
      </c>
    </row>
    <row r="297" ht="30.75" customHeight="1" spans="1:3">
      <c r="A297" s="187">
        <v>318</v>
      </c>
      <c r="B297" s="197" t="s">
        <v>1164</v>
      </c>
      <c r="C297" s="198">
        <v>500</v>
      </c>
    </row>
    <row r="298" ht="30.75" customHeight="1" spans="1:3">
      <c r="A298" s="187">
        <v>319</v>
      </c>
      <c r="B298" s="197" t="s">
        <v>1166</v>
      </c>
      <c r="C298" s="198">
        <v>500</v>
      </c>
    </row>
    <row r="299" ht="30.75" customHeight="1" spans="1:3">
      <c r="A299" s="187">
        <v>320</v>
      </c>
      <c r="B299" s="197" t="s">
        <v>1168</v>
      </c>
      <c r="C299" s="198">
        <v>500</v>
      </c>
    </row>
    <row r="300" ht="30.75" customHeight="1" spans="1:3">
      <c r="A300" s="187">
        <v>321</v>
      </c>
      <c r="B300" s="197" t="s">
        <v>1170</v>
      </c>
      <c r="C300" s="198">
        <v>500</v>
      </c>
    </row>
    <row r="301" ht="30.75" customHeight="1" spans="1:3">
      <c r="A301" s="187">
        <v>322</v>
      </c>
      <c r="B301" s="197" t="s">
        <v>1172</v>
      </c>
      <c r="C301" s="198">
        <v>500</v>
      </c>
    </row>
    <row r="302" ht="30.75" customHeight="1" spans="1:3">
      <c r="A302" s="187">
        <v>323</v>
      </c>
      <c r="B302" s="197" t="s">
        <v>2182</v>
      </c>
      <c r="C302" s="198">
        <v>500</v>
      </c>
    </row>
    <row r="303" ht="30.75" customHeight="1" spans="1:3">
      <c r="A303" s="187">
        <v>324</v>
      </c>
      <c r="B303" s="197" t="s">
        <v>1193</v>
      </c>
      <c r="C303" s="198">
        <v>500</v>
      </c>
    </row>
    <row r="304" ht="30.75" customHeight="1" spans="1:3">
      <c r="A304" s="187">
        <v>325</v>
      </c>
      <c r="B304" s="197" t="s">
        <v>1194</v>
      </c>
      <c r="C304" s="198">
        <v>500</v>
      </c>
    </row>
    <row r="305" ht="30.75" customHeight="1" spans="1:3">
      <c r="A305" s="187">
        <v>326</v>
      </c>
      <c r="B305" s="197" t="s">
        <v>1196</v>
      </c>
      <c r="C305" s="198">
        <v>500</v>
      </c>
    </row>
    <row r="306" ht="30.75" customHeight="1" spans="1:3">
      <c r="A306" s="187">
        <v>327</v>
      </c>
      <c r="B306" s="197" t="s">
        <v>1198</v>
      </c>
      <c r="C306" s="198">
        <v>500</v>
      </c>
    </row>
    <row r="307" ht="30.75" customHeight="1" spans="1:3">
      <c r="A307" s="187">
        <v>328</v>
      </c>
      <c r="B307" s="197" t="s">
        <v>2183</v>
      </c>
      <c r="C307" s="198">
        <v>500</v>
      </c>
    </row>
    <row r="308" ht="30.75" customHeight="1" spans="1:3">
      <c r="A308" s="187">
        <v>329</v>
      </c>
      <c r="B308" s="197" t="s">
        <v>1200</v>
      </c>
      <c r="C308" s="198">
        <v>500</v>
      </c>
    </row>
    <row r="309" ht="30.75" customHeight="1" spans="1:3">
      <c r="A309" s="187">
        <v>330</v>
      </c>
      <c r="B309" s="197" t="s">
        <v>1202</v>
      </c>
      <c r="C309" s="198">
        <v>500</v>
      </c>
    </row>
    <row r="310" ht="30.75" customHeight="1" spans="1:3">
      <c r="A310" s="187">
        <v>331</v>
      </c>
      <c r="B310" s="197" t="s">
        <v>1204</v>
      </c>
      <c r="C310" s="198">
        <v>500</v>
      </c>
    </row>
    <row r="311" ht="30.75" customHeight="1" spans="1:3">
      <c r="A311" s="187">
        <v>332</v>
      </c>
      <c r="B311" s="197" t="s">
        <v>1205</v>
      </c>
      <c r="C311" s="198">
        <v>500</v>
      </c>
    </row>
    <row r="312" ht="30.75" customHeight="1" spans="1:3">
      <c r="A312" s="187">
        <v>333</v>
      </c>
      <c r="B312" s="197" t="s">
        <v>1207</v>
      </c>
      <c r="C312" s="198">
        <v>500</v>
      </c>
    </row>
    <row r="313" ht="30.75" customHeight="1" spans="1:3">
      <c r="A313" s="187">
        <v>334</v>
      </c>
      <c r="B313" s="197" t="s">
        <v>1208</v>
      </c>
      <c r="C313" s="198">
        <v>500</v>
      </c>
    </row>
    <row r="314" ht="30.75" customHeight="1" spans="1:3">
      <c r="A314" s="187">
        <v>335</v>
      </c>
      <c r="B314" s="197" t="s">
        <v>1210</v>
      </c>
      <c r="C314" s="198">
        <v>500</v>
      </c>
    </row>
    <row r="315" ht="30.75" customHeight="1" spans="1:3">
      <c r="A315" s="187">
        <v>336</v>
      </c>
      <c r="B315" s="197" t="s">
        <v>2184</v>
      </c>
      <c r="C315" s="198">
        <v>500</v>
      </c>
    </row>
    <row r="316" ht="30.75" customHeight="1" spans="1:3">
      <c r="A316" s="187">
        <v>337</v>
      </c>
      <c r="B316" s="197" t="s">
        <v>1214</v>
      </c>
      <c r="C316" s="198">
        <v>500</v>
      </c>
    </row>
    <row r="317" ht="30.75" customHeight="1" spans="1:3">
      <c r="A317" s="187">
        <v>338</v>
      </c>
      <c r="B317" s="197" t="s">
        <v>1216</v>
      </c>
      <c r="C317" s="198">
        <v>500</v>
      </c>
    </row>
    <row r="318" ht="30.75" customHeight="1" spans="1:3">
      <c r="A318" s="187">
        <v>339</v>
      </c>
      <c r="B318" s="197" t="s">
        <v>1217</v>
      </c>
      <c r="C318" s="198">
        <v>500</v>
      </c>
    </row>
    <row r="319" ht="30.75" customHeight="1" spans="1:3">
      <c r="A319" s="187">
        <v>340</v>
      </c>
      <c r="B319" s="197" t="s">
        <v>1219</v>
      </c>
      <c r="C319" s="198">
        <v>500</v>
      </c>
    </row>
    <row r="320" ht="30.75" customHeight="1" spans="1:3">
      <c r="A320" s="187">
        <v>341</v>
      </c>
      <c r="B320" s="197" t="s">
        <v>1221</v>
      </c>
      <c r="C320" s="198">
        <v>500</v>
      </c>
    </row>
    <row r="321" ht="30.75" customHeight="1" spans="1:3">
      <c r="A321" s="187">
        <v>342</v>
      </c>
      <c r="B321" s="197" t="s">
        <v>1223</v>
      </c>
      <c r="C321" s="198">
        <v>500</v>
      </c>
    </row>
    <row r="322" ht="30.75" customHeight="1" spans="1:3">
      <c r="A322" s="187">
        <v>343</v>
      </c>
      <c r="B322" s="197" t="s">
        <v>1225</v>
      </c>
      <c r="C322" s="198">
        <v>500</v>
      </c>
    </row>
    <row r="323" ht="30.75" customHeight="1" spans="1:3">
      <c r="A323" s="187">
        <v>344</v>
      </c>
      <c r="B323" s="197" t="s">
        <v>1227</v>
      </c>
      <c r="C323" s="198">
        <v>500</v>
      </c>
    </row>
    <row r="324" ht="30.75" customHeight="1" spans="1:3">
      <c r="A324" s="187">
        <v>345</v>
      </c>
      <c r="B324" s="197" t="s">
        <v>1229</v>
      </c>
      <c r="C324" s="198">
        <v>500</v>
      </c>
    </row>
    <row r="325" ht="30.75" customHeight="1" spans="1:3">
      <c r="A325" s="187">
        <v>346</v>
      </c>
      <c r="B325" s="197" t="s">
        <v>1231</v>
      </c>
      <c r="C325" s="198">
        <v>500</v>
      </c>
    </row>
    <row r="326" ht="30.75" customHeight="1" spans="1:3">
      <c r="A326" s="187">
        <v>347</v>
      </c>
      <c r="B326" s="197" t="s">
        <v>1232</v>
      </c>
      <c r="C326" s="198">
        <v>500</v>
      </c>
    </row>
    <row r="327" ht="30.75" customHeight="1" spans="1:3">
      <c r="A327" s="187">
        <v>348</v>
      </c>
      <c r="B327" s="197" t="s">
        <v>1233</v>
      </c>
      <c r="C327" s="198">
        <v>500</v>
      </c>
    </row>
    <row r="328" ht="30.75" customHeight="1" spans="1:3">
      <c r="A328" s="187">
        <v>349</v>
      </c>
      <c r="B328" s="197" t="s">
        <v>1235</v>
      </c>
      <c r="C328" s="198">
        <v>500</v>
      </c>
    </row>
    <row r="329" ht="30.75" customHeight="1" spans="1:3">
      <c r="A329" s="187">
        <v>350</v>
      </c>
      <c r="B329" s="197" t="s">
        <v>1237</v>
      </c>
      <c r="C329" s="198">
        <v>500</v>
      </c>
    </row>
    <row r="330" ht="30.75" customHeight="1" spans="1:3">
      <c r="A330" s="187">
        <v>351</v>
      </c>
      <c r="B330" s="197" t="s">
        <v>1239</v>
      </c>
      <c r="C330" s="198">
        <v>500</v>
      </c>
    </row>
    <row r="331" ht="30.75" customHeight="1" spans="1:3">
      <c r="A331" s="187">
        <v>352</v>
      </c>
      <c r="B331" s="197" t="s">
        <v>1241</v>
      </c>
      <c r="C331" s="198">
        <v>500</v>
      </c>
    </row>
    <row r="332" ht="30.75" customHeight="1" spans="1:3">
      <c r="A332" s="187">
        <v>353</v>
      </c>
      <c r="B332" s="197" t="s">
        <v>2185</v>
      </c>
      <c r="C332" s="198">
        <v>500</v>
      </c>
    </row>
    <row r="333" ht="30.75" customHeight="1" spans="1:3">
      <c r="A333" s="187">
        <v>354</v>
      </c>
      <c r="B333" s="197" t="s">
        <v>2186</v>
      </c>
      <c r="C333" s="198">
        <v>500</v>
      </c>
    </row>
    <row r="334" ht="30.75" customHeight="1" spans="1:3">
      <c r="A334" s="187">
        <v>355</v>
      </c>
      <c r="B334" s="197" t="s">
        <v>1248</v>
      </c>
      <c r="C334" s="198">
        <v>500</v>
      </c>
    </row>
    <row r="335" ht="30.75" customHeight="1" spans="1:3">
      <c r="A335" s="187">
        <v>356</v>
      </c>
      <c r="B335" s="197" t="s">
        <v>1250</v>
      </c>
      <c r="C335" s="198">
        <v>1000</v>
      </c>
    </row>
    <row r="336" ht="30.75" customHeight="1" spans="1:3">
      <c r="A336" s="187">
        <v>357</v>
      </c>
      <c r="B336" s="197" t="s">
        <v>1264</v>
      </c>
      <c r="C336" s="198">
        <v>1001</v>
      </c>
    </row>
    <row r="337" ht="30.75" customHeight="1" spans="1:3">
      <c r="A337" s="187">
        <v>358</v>
      </c>
      <c r="B337" s="197" t="s">
        <v>1266</v>
      </c>
      <c r="C337" s="198">
        <v>1000</v>
      </c>
    </row>
    <row r="338" ht="30.75" customHeight="1" spans="1:3">
      <c r="A338" s="187">
        <v>359</v>
      </c>
      <c r="B338" s="197" t="s">
        <v>2188</v>
      </c>
      <c r="C338" s="198">
        <v>1000</v>
      </c>
    </row>
    <row r="339" ht="30.75" customHeight="1" spans="1:3">
      <c r="A339" s="187">
        <v>360</v>
      </c>
      <c r="B339" s="197" t="s">
        <v>1269</v>
      </c>
      <c r="C339" s="198">
        <v>1000</v>
      </c>
    </row>
    <row r="340" ht="30.75" customHeight="1" spans="1:3">
      <c r="A340" s="187">
        <v>361</v>
      </c>
      <c r="B340" s="197" t="s">
        <v>1271</v>
      </c>
      <c r="C340" s="198">
        <v>1000</v>
      </c>
    </row>
    <row r="341" ht="30.75" customHeight="1" spans="1:3">
      <c r="A341" s="187">
        <v>362</v>
      </c>
      <c r="B341" s="197" t="s">
        <v>1273</v>
      </c>
      <c r="C341" s="198">
        <v>1000</v>
      </c>
    </row>
    <row r="342" ht="30.75" customHeight="1" spans="1:3">
      <c r="A342" s="187">
        <v>363</v>
      </c>
      <c r="B342" s="197" t="s">
        <v>1275</v>
      </c>
      <c r="C342" s="198">
        <v>1000</v>
      </c>
    </row>
    <row r="343" ht="30.75" customHeight="1" spans="1:3">
      <c r="A343" s="187">
        <v>364</v>
      </c>
      <c r="B343" s="197" t="s">
        <v>1276</v>
      </c>
      <c r="C343" s="198">
        <v>1000</v>
      </c>
    </row>
    <row r="344" ht="30.75" customHeight="1" spans="1:3">
      <c r="A344" s="187">
        <v>365</v>
      </c>
      <c r="B344" s="197" t="s">
        <v>1278</v>
      </c>
      <c r="C344" s="198">
        <v>1000</v>
      </c>
    </row>
    <row r="345" ht="30.75" customHeight="1" spans="1:3">
      <c r="A345" s="187">
        <v>366</v>
      </c>
      <c r="B345" s="197" t="s">
        <v>1280</v>
      </c>
      <c r="C345" s="198">
        <v>1000</v>
      </c>
    </row>
    <row r="346" ht="30.75" customHeight="1" spans="1:3">
      <c r="A346" s="187">
        <v>367</v>
      </c>
      <c r="B346" s="197" t="s">
        <v>2189</v>
      </c>
      <c r="C346" s="198">
        <v>1000</v>
      </c>
    </row>
    <row r="347" ht="30.75" customHeight="1" spans="1:3">
      <c r="A347" s="187">
        <v>368</v>
      </c>
      <c r="B347" s="197" t="s">
        <v>1284</v>
      </c>
      <c r="C347" s="198">
        <v>1000</v>
      </c>
    </row>
    <row r="348" ht="30.75" customHeight="1" spans="1:3">
      <c r="A348" s="187">
        <v>369</v>
      </c>
      <c r="B348" s="197" t="s">
        <v>1286</v>
      </c>
      <c r="C348" s="198">
        <v>1000</v>
      </c>
    </row>
    <row r="349" ht="30.75" customHeight="1" spans="1:3">
      <c r="A349" s="187">
        <v>370</v>
      </c>
      <c r="B349" s="197" t="s">
        <v>1288</v>
      </c>
      <c r="C349" s="198">
        <v>1000</v>
      </c>
    </row>
    <row r="350" ht="30.75" customHeight="1" spans="1:3">
      <c r="A350" s="187">
        <v>371</v>
      </c>
      <c r="B350" s="197" t="s">
        <v>1290</v>
      </c>
      <c r="C350" s="198">
        <v>1000</v>
      </c>
    </row>
    <row r="351" ht="30.75" customHeight="1" spans="1:3">
      <c r="A351" s="187">
        <v>372</v>
      </c>
      <c r="B351" s="197" t="s">
        <v>1292</v>
      </c>
      <c r="C351" s="198">
        <v>1000</v>
      </c>
    </row>
    <row r="352" ht="30.75" customHeight="1" spans="1:3">
      <c r="A352" s="187">
        <v>373</v>
      </c>
      <c r="B352" s="197" t="s">
        <v>2190</v>
      </c>
      <c r="C352" s="198">
        <v>3500</v>
      </c>
    </row>
    <row r="353" ht="30.75" customHeight="1" spans="1:3">
      <c r="A353" s="187">
        <v>374</v>
      </c>
      <c r="B353" s="197" t="s">
        <v>2187</v>
      </c>
      <c r="C353" s="198">
        <v>3000</v>
      </c>
    </row>
    <row r="354" ht="30.75" customHeight="1" spans="1:3">
      <c r="A354" s="187">
        <v>375</v>
      </c>
      <c r="B354" s="197" t="s">
        <v>1302</v>
      </c>
      <c r="C354" s="198">
        <v>1500</v>
      </c>
    </row>
    <row r="355" ht="30.75" customHeight="1" spans="1:3">
      <c r="A355" s="187">
        <v>376</v>
      </c>
      <c r="B355" s="197" t="s">
        <v>1306</v>
      </c>
      <c r="C355" s="198">
        <v>500</v>
      </c>
    </row>
    <row r="356" ht="29.25" spans="1:3">
      <c r="A356" s="199"/>
      <c r="B356" s="200" t="s">
        <v>867</v>
      </c>
      <c r="C356" s="201">
        <f>SUM(C164:C355)</f>
        <v>215502</v>
      </c>
    </row>
    <row r="357" ht="29.25" spans="1:3">
      <c r="A357" s="199"/>
      <c r="B357" s="200" t="s">
        <v>1465</v>
      </c>
      <c r="C357" s="201" t="e">
        <f>C356+C162</f>
        <v>#REF!</v>
      </c>
    </row>
  </sheetData>
  <mergeCells count="2">
    <mergeCell ref="A1:C1"/>
    <mergeCell ref="B163:C163"/>
  </mergeCells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8"/>
  <sheetViews>
    <sheetView view="pageBreakPreview" zoomScale="60" zoomScaleNormal="100" topLeftCell="A373" workbookViewId="0">
      <selection activeCell="E7" sqref="E7"/>
    </sheetView>
  </sheetViews>
  <sheetFormatPr defaultColWidth="8.82857142857143" defaultRowHeight="15" outlineLevelCol="4"/>
  <cols>
    <col min="2" max="2" width="61" customWidth="1"/>
    <col min="3" max="3" width="22.3333333333333" customWidth="1"/>
    <col min="4" max="4" width="23.8285714285714" customWidth="1"/>
    <col min="5" max="5" width="42.1619047619048" customWidth="1"/>
  </cols>
  <sheetData>
    <row r="1" ht="47.25" customHeight="1" spans="1:5">
      <c r="A1" s="127" t="str">
        <f>'BANK SCHDULE'!A1:E1</f>
        <v>BANK SCHEDULE FOR THE MONTH OF JANUARY, 2022</v>
      </c>
      <c r="B1" s="127"/>
      <c r="C1" s="127"/>
      <c r="D1" s="127"/>
      <c r="E1" s="127"/>
    </row>
    <row r="2" ht="47.25" customHeight="1" spans="1:5">
      <c r="A2" s="128">
        <v>1</v>
      </c>
      <c r="B2" s="129" t="s">
        <v>2105</v>
      </c>
      <c r="C2" s="130" t="s">
        <v>675</v>
      </c>
      <c r="D2" s="130">
        <v>2017212564</v>
      </c>
      <c r="E2" s="131">
        <v>157477.808641333</v>
      </c>
    </row>
    <row r="3" ht="47.25" customHeight="1" spans="1:5">
      <c r="A3" s="128">
        <v>2</v>
      </c>
      <c r="B3" s="129" t="s">
        <v>2106</v>
      </c>
      <c r="C3" s="130" t="s">
        <v>97</v>
      </c>
      <c r="D3" s="1471" t="s">
        <v>98</v>
      </c>
      <c r="E3" s="131">
        <v>407374.558773333</v>
      </c>
    </row>
    <row r="4" ht="47.25" customHeight="1" spans="1:5">
      <c r="A4" s="128">
        <v>3</v>
      </c>
      <c r="B4" s="129" t="s">
        <v>2107</v>
      </c>
      <c r="C4" s="132" t="s">
        <v>101</v>
      </c>
      <c r="D4" s="1475" t="str">
        <f>'[9]SEPT SALARY, 2021 BANK COPY'!$E$4</f>
        <v>0072045836</v>
      </c>
      <c r="E4" s="131">
        <v>409570.9668</v>
      </c>
    </row>
    <row r="5" ht="47.25" customHeight="1" spans="1:5">
      <c r="A5" s="128">
        <v>4</v>
      </c>
      <c r="B5" s="129" t="s">
        <v>2108</v>
      </c>
      <c r="C5" s="134" t="s">
        <v>101</v>
      </c>
      <c r="D5" s="132">
        <v>2922038506</v>
      </c>
      <c r="E5" s="131">
        <v>193179.201893333</v>
      </c>
    </row>
    <row r="6" ht="47.25" customHeight="1" spans="1:5">
      <c r="A6" s="128">
        <v>5</v>
      </c>
      <c r="B6" s="129" t="s">
        <v>2109</v>
      </c>
      <c r="C6" s="132" t="s">
        <v>113</v>
      </c>
      <c r="D6" s="135">
        <f>'[9]SEPT SALARY, 2021 BANK COPY'!$E$108</f>
        <v>1006415522</v>
      </c>
      <c r="E6" s="131">
        <v>191050.1428</v>
      </c>
    </row>
    <row r="7" ht="47.25" customHeight="1" spans="1:5">
      <c r="A7" s="128">
        <v>6</v>
      </c>
      <c r="B7" s="129" t="s">
        <v>119</v>
      </c>
      <c r="C7" s="132" t="s">
        <v>113</v>
      </c>
      <c r="D7" s="132">
        <v>2009901290</v>
      </c>
      <c r="E7" s="131">
        <v>178036.405932667</v>
      </c>
    </row>
    <row r="8" ht="47.25" customHeight="1" spans="1:5">
      <c r="A8" s="128">
        <v>7</v>
      </c>
      <c r="B8" s="129" t="s">
        <v>2002</v>
      </c>
      <c r="C8" s="132" t="s">
        <v>127</v>
      </c>
      <c r="D8" s="1476" t="s">
        <v>128</v>
      </c>
      <c r="E8" s="131">
        <v>134178.862773333</v>
      </c>
    </row>
    <row r="9" ht="47.25" customHeight="1" spans="1:5">
      <c r="A9" s="128">
        <v>8</v>
      </c>
      <c r="B9" s="129" t="s">
        <v>129</v>
      </c>
      <c r="C9" s="132" t="s">
        <v>113</v>
      </c>
      <c r="D9" s="132">
        <v>2067246166</v>
      </c>
      <c r="E9" s="131">
        <v>133178.862773333</v>
      </c>
    </row>
    <row r="10" ht="47.25" customHeight="1" spans="1:5">
      <c r="A10" s="128">
        <v>9</v>
      </c>
      <c r="B10" s="129" t="s">
        <v>132</v>
      </c>
      <c r="C10" s="132" t="s">
        <v>127</v>
      </c>
      <c r="D10" s="1476" t="s">
        <v>2209</v>
      </c>
      <c r="E10" s="131">
        <v>134127.125487333</v>
      </c>
    </row>
    <row r="11" ht="47.25" customHeight="1" spans="1:5">
      <c r="A11" s="128">
        <v>10</v>
      </c>
      <c r="B11" s="129" t="s">
        <v>2110</v>
      </c>
      <c r="C11" s="132" t="s">
        <v>675</v>
      </c>
      <c r="D11" s="132">
        <v>3064601972</v>
      </c>
      <c r="E11" s="131">
        <v>142127.125487333</v>
      </c>
    </row>
    <row r="12" ht="47.25" customHeight="1" spans="1:5">
      <c r="A12" s="128">
        <v>11</v>
      </c>
      <c r="B12" s="129" t="s">
        <v>2111</v>
      </c>
      <c r="C12" s="132" t="s">
        <v>135</v>
      </c>
      <c r="D12" s="1476" t="s">
        <v>2210</v>
      </c>
      <c r="E12" s="131">
        <v>133877.125487333</v>
      </c>
    </row>
    <row r="13" ht="47.25" customHeight="1" spans="1:5">
      <c r="A13" s="128">
        <v>12</v>
      </c>
      <c r="B13" s="129" t="s">
        <v>2112</v>
      </c>
      <c r="C13" s="132" t="s">
        <v>113</v>
      </c>
      <c r="D13" s="1476" t="s">
        <v>2211</v>
      </c>
      <c r="E13" s="131">
        <v>56807.2668093333</v>
      </c>
    </row>
    <row r="14" ht="47.25" customHeight="1" spans="1:5">
      <c r="A14" s="128">
        <v>13</v>
      </c>
      <c r="B14" s="129" t="s">
        <v>2113</v>
      </c>
      <c r="C14" s="132" t="s">
        <v>135</v>
      </c>
      <c r="D14" s="1476" t="s">
        <v>2212</v>
      </c>
      <c r="E14" s="131">
        <v>127432.266809333</v>
      </c>
    </row>
    <row r="15" ht="47.25" customHeight="1" spans="1:5">
      <c r="A15" s="128">
        <v>14</v>
      </c>
      <c r="B15" s="129" t="s">
        <v>2114</v>
      </c>
      <c r="C15" s="132" t="s">
        <v>113</v>
      </c>
      <c r="D15" s="132">
        <v>2024492407</v>
      </c>
      <c r="E15" s="131">
        <v>114620.6792</v>
      </c>
    </row>
    <row r="16" ht="47.25" customHeight="1" spans="1:5">
      <c r="A16" s="128">
        <v>15</v>
      </c>
      <c r="B16" s="129" t="s">
        <v>244</v>
      </c>
      <c r="C16" s="132" t="s">
        <v>127</v>
      </c>
      <c r="D16" s="1476" t="s">
        <v>247</v>
      </c>
      <c r="E16" s="131">
        <v>114870.6792</v>
      </c>
    </row>
    <row r="17" ht="47.25" customHeight="1" spans="1:5">
      <c r="A17" s="128">
        <v>16</v>
      </c>
      <c r="B17" s="129" t="s">
        <v>2115</v>
      </c>
      <c r="C17" s="132" t="s">
        <v>422</v>
      </c>
      <c r="D17" s="132">
        <v>1760341894</v>
      </c>
      <c r="E17" s="131">
        <v>160883.431333333</v>
      </c>
    </row>
    <row r="18" ht="47.25" customHeight="1" spans="1:5">
      <c r="A18" s="128">
        <v>17</v>
      </c>
      <c r="B18" s="129" t="s">
        <v>2116</v>
      </c>
      <c r="C18" s="132" t="s">
        <v>113</v>
      </c>
      <c r="D18" s="132">
        <v>2141559500</v>
      </c>
      <c r="E18" s="131">
        <v>64033.2284533333</v>
      </c>
    </row>
    <row r="19" ht="47.25" customHeight="1" spans="1:5">
      <c r="A19" s="128">
        <v>18</v>
      </c>
      <c r="B19" s="129" t="s">
        <v>2117</v>
      </c>
      <c r="C19" s="132" t="s">
        <v>675</v>
      </c>
      <c r="D19" s="132">
        <v>3026407558</v>
      </c>
      <c r="E19" s="131" t="e">
        <f>'TEACHING STAFF'!#REF!</f>
        <v>#REF!</v>
      </c>
    </row>
    <row r="20" ht="47.25" customHeight="1" spans="1:5">
      <c r="A20" s="128">
        <v>19</v>
      </c>
      <c r="B20" s="129" t="s">
        <v>152</v>
      </c>
      <c r="C20" s="132" t="s">
        <v>675</v>
      </c>
      <c r="D20" s="132">
        <v>3041696126</v>
      </c>
      <c r="E20" s="131" t="e">
        <f>'TEACHING STAFF'!#REF!</f>
        <v>#REF!</v>
      </c>
    </row>
    <row r="21" ht="47.25" customHeight="1" spans="1:5">
      <c r="A21" s="128">
        <v>20</v>
      </c>
      <c r="B21" s="129" t="s">
        <v>154</v>
      </c>
      <c r="C21" s="132" t="s">
        <v>157</v>
      </c>
      <c r="D21" s="1476" t="s">
        <v>158</v>
      </c>
      <c r="E21" s="131">
        <f>'TEACHING STAFF'!BP19</f>
        <v>301680.087363333</v>
      </c>
    </row>
    <row r="22" ht="47.25" customHeight="1" spans="1:5">
      <c r="A22" s="128">
        <v>21</v>
      </c>
      <c r="B22" s="129" t="s">
        <v>2007</v>
      </c>
      <c r="C22" s="130" t="s">
        <v>313</v>
      </c>
      <c r="D22" s="130">
        <v>3510704014</v>
      </c>
      <c r="E22" s="131">
        <v>143127.125487333</v>
      </c>
    </row>
    <row r="23" ht="47.25" customHeight="1" spans="1:5">
      <c r="A23" s="128">
        <v>22</v>
      </c>
      <c r="B23" s="129" t="s">
        <v>159</v>
      </c>
      <c r="C23" s="134" t="s">
        <v>122</v>
      </c>
      <c r="D23" s="1476" t="s">
        <v>162</v>
      </c>
      <c r="E23" s="131">
        <f>'TEACHING STAFF'!BP20</f>
        <v>257459.546303333</v>
      </c>
    </row>
    <row r="24" ht="47.25" customHeight="1" spans="1:5">
      <c r="A24" s="128">
        <v>23</v>
      </c>
      <c r="B24" s="129" t="s">
        <v>163</v>
      </c>
      <c r="C24" s="132" t="s">
        <v>675</v>
      </c>
      <c r="D24" s="132">
        <v>3075456815</v>
      </c>
      <c r="E24" s="131">
        <f>'TEACHING STAFF'!BP21</f>
        <v>292489.390886667</v>
      </c>
    </row>
    <row r="25" ht="47.25" customHeight="1" spans="1:5">
      <c r="A25" s="128">
        <v>24</v>
      </c>
      <c r="B25" s="129" t="s">
        <v>166</v>
      </c>
      <c r="C25" s="132" t="s">
        <v>127</v>
      </c>
      <c r="D25" s="1476" t="s">
        <v>2213</v>
      </c>
      <c r="E25" s="131">
        <f>'TEACHING STAFF'!BP22</f>
        <v>344675.661066667</v>
      </c>
    </row>
    <row r="26" ht="47.25" customHeight="1" spans="1:5">
      <c r="A26" s="128">
        <v>25</v>
      </c>
      <c r="B26" s="129" t="s">
        <v>2118</v>
      </c>
      <c r="C26" s="132" t="s">
        <v>127</v>
      </c>
      <c r="D26" s="1476" t="s">
        <v>2214</v>
      </c>
      <c r="E26" s="131">
        <v>150987.498591333</v>
      </c>
    </row>
    <row r="27" ht="47.25" customHeight="1" spans="1:5">
      <c r="A27" s="128">
        <v>26</v>
      </c>
      <c r="B27" s="129" t="s">
        <v>180</v>
      </c>
      <c r="C27" s="132" t="s">
        <v>127</v>
      </c>
      <c r="D27" s="1476" t="s">
        <v>2215</v>
      </c>
      <c r="E27" s="131">
        <f>'TEACHING STAFF'!BP26</f>
        <v>64000.05503</v>
      </c>
    </row>
    <row r="28" ht="47.25" customHeight="1" spans="1:5">
      <c r="A28" s="128">
        <v>27</v>
      </c>
      <c r="B28" s="129" t="s">
        <v>182</v>
      </c>
      <c r="C28" s="132" t="s">
        <v>97</v>
      </c>
      <c r="D28" s="1476" t="s">
        <v>2216</v>
      </c>
      <c r="E28" s="131">
        <f>'TEACHING STAFF'!BP27</f>
        <v>26884.0542866667</v>
      </c>
    </row>
    <row r="29" ht="47.25" customHeight="1" spans="1:5">
      <c r="A29" s="128">
        <v>28</v>
      </c>
      <c r="B29" s="129" t="s">
        <v>184</v>
      </c>
      <c r="C29" s="132" t="s">
        <v>93</v>
      </c>
      <c r="D29" s="132">
        <v>3079414505</v>
      </c>
      <c r="E29" s="131">
        <v>110987.498591333</v>
      </c>
    </row>
    <row r="30" ht="47.25" customHeight="1" spans="1:5">
      <c r="A30" s="128">
        <v>29</v>
      </c>
      <c r="B30" s="129" t="s">
        <v>187</v>
      </c>
      <c r="C30" s="132" t="s">
        <v>135</v>
      </c>
      <c r="D30" s="1476" t="s">
        <v>2016</v>
      </c>
      <c r="E30" s="131">
        <v>143487.498591333</v>
      </c>
    </row>
    <row r="31" ht="47.25" customHeight="1" spans="1:5">
      <c r="A31" s="128">
        <v>30</v>
      </c>
      <c r="B31" s="129" t="s">
        <v>2199</v>
      </c>
      <c r="C31" s="132" t="s">
        <v>93</v>
      </c>
      <c r="D31" s="132">
        <v>2017217387</v>
      </c>
      <c r="E31" s="131">
        <v>115695.498591333</v>
      </c>
    </row>
    <row r="32" ht="47.25" customHeight="1" spans="1:5">
      <c r="A32" s="128">
        <v>31</v>
      </c>
      <c r="B32" s="129" t="s">
        <v>2119</v>
      </c>
      <c r="C32" s="132" t="s">
        <v>93</v>
      </c>
      <c r="D32" s="132">
        <v>3004464221</v>
      </c>
      <c r="E32" s="131">
        <v>138487.498591333</v>
      </c>
    </row>
    <row r="33" ht="47.25" customHeight="1" spans="1:5">
      <c r="A33" s="128">
        <v>32</v>
      </c>
      <c r="B33" s="129" t="s">
        <v>190</v>
      </c>
      <c r="C33" s="132" t="s">
        <v>145</v>
      </c>
      <c r="D33" s="1476" t="s">
        <v>192</v>
      </c>
      <c r="E33" s="131">
        <v>116400.342748667</v>
      </c>
    </row>
    <row r="34" ht="47.25" customHeight="1" spans="1:5">
      <c r="A34" s="128">
        <v>33</v>
      </c>
      <c r="B34" s="129" t="s">
        <v>2120</v>
      </c>
      <c r="C34" s="132" t="s">
        <v>165</v>
      </c>
      <c r="D34" s="132">
        <v>2087460667</v>
      </c>
      <c r="E34" s="131">
        <v>134542.730373333</v>
      </c>
    </row>
    <row r="35" ht="47.25" customHeight="1" spans="1:5">
      <c r="A35" s="128">
        <v>34</v>
      </c>
      <c r="B35" s="129" t="s">
        <v>193</v>
      </c>
      <c r="C35" s="132" t="s">
        <v>165</v>
      </c>
      <c r="D35" s="132">
        <v>2007556061</v>
      </c>
      <c r="E35" s="131">
        <v>105053.933123333</v>
      </c>
    </row>
    <row r="36" ht="47.25" customHeight="1" spans="1:5">
      <c r="A36" s="128">
        <v>35</v>
      </c>
      <c r="B36" s="129" t="s">
        <v>211</v>
      </c>
      <c r="C36" s="132" t="s">
        <v>127</v>
      </c>
      <c r="D36" s="1476" t="s">
        <v>2217</v>
      </c>
      <c r="E36" s="131">
        <v>61479.9331233334</v>
      </c>
    </row>
    <row r="37" ht="47.25" customHeight="1" spans="1:5">
      <c r="A37" s="128">
        <v>36</v>
      </c>
      <c r="B37" s="129" t="s">
        <v>222</v>
      </c>
      <c r="C37" s="132" t="s">
        <v>93</v>
      </c>
      <c r="D37" s="132">
        <v>3051864825</v>
      </c>
      <c r="E37" s="131">
        <v>102385.860898667</v>
      </c>
    </row>
    <row r="38" ht="47.25" customHeight="1" spans="1:5">
      <c r="A38" s="128">
        <v>37</v>
      </c>
      <c r="B38" s="129" t="s">
        <v>224</v>
      </c>
      <c r="C38" s="132" t="s">
        <v>165</v>
      </c>
      <c r="D38" s="132">
        <v>1005415103</v>
      </c>
      <c r="E38" s="131">
        <v>190720.943147333</v>
      </c>
    </row>
    <row r="39" ht="47.25" customHeight="1" spans="1:5">
      <c r="A39" s="128">
        <v>38</v>
      </c>
      <c r="B39" s="129" t="s">
        <v>2019</v>
      </c>
      <c r="C39" s="132" t="s">
        <v>127</v>
      </c>
      <c r="D39" s="1476" t="s">
        <v>2020</v>
      </c>
      <c r="E39" s="131">
        <v>112870.6792</v>
      </c>
    </row>
    <row r="40" ht="47.25" customHeight="1" spans="1:5">
      <c r="A40" s="128">
        <v>39</v>
      </c>
      <c r="B40" s="129" t="s">
        <v>248</v>
      </c>
      <c r="C40" s="132" t="s">
        <v>127</v>
      </c>
      <c r="D40" s="1476" t="s">
        <v>252</v>
      </c>
      <c r="E40" s="131">
        <v>311521.037272667</v>
      </c>
    </row>
    <row r="41" ht="47.25" customHeight="1" spans="1:5">
      <c r="A41" s="128">
        <v>40</v>
      </c>
      <c r="B41" s="129" t="s">
        <v>2121</v>
      </c>
      <c r="C41" s="132" t="s">
        <v>113</v>
      </c>
      <c r="D41" s="132">
        <v>2088596893</v>
      </c>
      <c r="E41" s="131">
        <v>133866.181013333</v>
      </c>
    </row>
    <row r="42" ht="47.25" customHeight="1" spans="1:5">
      <c r="A42" s="128">
        <v>41</v>
      </c>
      <c r="B42" s="129" t="s">
        <v>2122</v>
      </c>
      <c r="C42" s="132" t="s">
        <v>113</v>
      </c>
      <c r="D42" s="132">
        <v>1005527763</v>
      </c>
      <c r="E42" s="131">
        <v>114620.6708</v>
      </c>
    </row>
    <row r="43" ht="47.25" customHeight="1" spans="1:5">
      <c r="A43" s="128">
        <v>42</v>
      </c>
      <c r="B43" s="129" t="s">
        <v>2123</v>
      </c>
      <c r="C43" s="132" t="s">
        <v>93</v>
      </c>
      <c r="D43" s="132">
        <v>3009340128</v>
      </c>
      <c r="E43" s="131">
        <v>146016.111093333</v>
      </c>
    </row>
    <row r="44" ht="47.25" customHeight="1" spans="1:5">
      <c r="A44" s="128">
        <v>43</v>
      </c>
      <c r="B44" s="129" t="s">
        <v>2124</v>
      </c>
      <c r="C44" s="134" t="s">
        <v>122</v>
      </c>
      <c r="D44" s="132">
        <v>90200480279</v>
      </c>
      <c r="E44" s="131">
        <v>160383.431333333</v>
      </c>
    </row>
    <row r="45" ht="47.25" customHeight="1" spans="1:5">
      <c r="A45" s="128">
        <v>44</v>
      </c>
      <c r="B45" s="129" t="s">
        <v>2125</v>
      </c>
      <c r="C45" s="132" t="s">
        <v>93</v>
      </c>
      <c r="D45" s="132">
        <v>3034691118</v>
      </c>
      <c r="E45" s="131">
        <v>289369.548693333</v>
      </c>
    </row>
    <row r="46" ht="47.25" customHeight="1" spans="1:5">
      <c r="A46" s="128">
        <v>45</v>
      </c>
      <c r="B46" s="129" t="s">
        <v>256</v>
      </c>
      <c r="C46" s="132" t="s">
        <v>259</v>
      </c>
      <c r="D46" s="132">
        <v>4021365312</v>
      </c>
      <c r="E46" s="131">
        <v>345831.554101333</v>
      </c>
    </row>
    <row r="47" ht="47.25" customHeight="1" spans="1:5">
      <c r="A47" s="128">
        <v>46</v>
      </c>
      <c r="B47" s="129" t="s">
        <v>260</v>
      </c>
      <c r="C47" s="132" t="s">
        <v>93</v>
      </c>
      <c r="D47" s="132">
        <v>2003315491</v>
      </c>
      <c r="E47" s="131">
        <v>94806.8450766667</v>
      </c>
    </row>
    <row r="48" ht="47.25" customHeight="1" spans="1:5">
      <c r="A48" s="128">
        <v>47</v>
      </c>
      <c r="B48" s="129" t="s">
        <v>262</v>
      </c>
      <c r="C48" s="132" t="s">
        <v>127</v>
      </c>
      <c r="D48" s="1476" t="s">
        <v>264</v>
      </c>
      <c r="E48" s="131">
        <v>194685.860898667</v>
      </c>
    </row>
    <row r="49" ht="47.25" customHeight="1" spans="1:5">
      <c r="A49" s="128">
        <v>48</v>
      </c>
      <c r="B49" s="129" t="s">
        <v>265</v>
      </c>
      <c r="C49" s="132" t="s">
        <v>113</v>
      </c>
      <c r="D49" s="132">
        <v>2008477330</v>
      </c>
      <c r="E49" s="131">
        <v>227542.136608667</v>
      </c>
    </row>
    <row r="50" ht="47.25" customHeight="1" spans="1:5">
      <c r="A50" s="128">
        <v>49</v>
      </c>
      <c r="B50" s="129" t="s">
        <v>268</v>
      </c>
      <c r="C50" s="132" t="s">
        <v>127</v>
      </c>
      <c r="D50" s="1476" t="s">
        <v>270</v>
      </c>
      <c r="E50" s="131">
        <f>'TEACHING STAFF'!BP56</f>
        <v>333477.741196667</v>
      </c>
    </row>
    <row r="51" ht="47.25" customHeight="1" spans="1:5">
      <c r="A51" s="128">
        <v>50</v>
      </c>
      <c r="B51" s="129" t="s">
        <v>2035</v>
      </c>
      <c r="C51" s="132" t="s">
        <v>127</v>
      </c>
      <c r="D51" s="1476" t="s">
        <v>2036</v>
      </c>
      <c r="E51" s="131" t="e">
        <f>'TEACHING STAFF'!#REF!</f>
        <v>#REF!</v>
      </c>
    </row>
    <row r="52" ht="47.25" customHeight="1" spans="1:5">
      <c r="A52" s="128">
        <v>51</v>
      </c>
      <c r="B52" s="129" t="s">
        <v>271</v>
      </c>
      <c r="C52" s="132" t="s">
        <v>145</v>
      </c>
      <c r="D52" s="1476" t="s">
        <v>273</v>
      </c>
      <c r="E52" s="131">
        <f>'TEACHING STAFF'!BP57</f>
        <v>197673.134661333</v>
      </c>
    </row>
    <row r="53" ht="47.25" customHeight="1" spans="1:5">
      <c r="A53" s="128">
        <v>52</v>
      </c>
      <c r="B53" s="129" t="s">
        <v>274</v>
      </c>
      <c r="C53" s="132" t="s">
        <v>127</v>
      </c>
      <c r="D53" s="1476" t="s">
        <v>277</v>
      </c>
      <c r="E53" s="131">
        <f>'TEACHING STAFF'!BP58</f>
        <v>14575.30025</v>
      </c>
    </row>
    <row r="54" ht="47.25" customHeight="1" spans="1:5">
      <c r="A54" s="128">
        <v>53</v>
      </c>
      <c r="B54" s="129" t="s">
        <v>278</v>
      </c>
      <c r="C54" s="132" t="s">
        <v>127</v>
      </c>
      <c r="D54" s="1476" t="s">
        <v>281</v>
      </c>
      <c r="E54" s="131">
        <f>'TEACHING STAFF'!BP59</f>
        <v>213331.308833333</v>
      </c>
    </row>
    <row r="55" ht="47.25" customHeight="1" spans="1:5">
      <c r="A55" s="128">
        <v>54</v>
      </c>
      <c r="B55" s="129" t="s">
        <v>282</v>
      </c>
      <c r="C55" s="132" t="s">
        <v>97</v>
      </c>
      <c r="D55" s="1476" t="s">
        <v>2037</v>
      </c>
      <c r="E55" s="131">
        <f>'TEACHING STAFF'!BP60</f>
        <v>131685.804596667</v>
      </c>
    </row>
    <row r="56" ht="47.25" customHeight="1" spans="1:5">
      <c r="A56" s="128">
        <v>55</v>
      </c>
      <c r="B56" s="129" t="s">
        <v>285</v>
      </c>
      <c r="C56" s="132" t="s">
        <v>101</v>
      </c>
      <c r="D56" s="132">
        <v>1402013635</v>
      </c>
      <c r="E56" s="131">
        <f>'TEACHING STAFF'!BP61</f>
        <v>432923.441104667</v>
      </c>
    </row>
    <row r="57" ht="47.25" customHeight="1" spans="1:5">
      <c r="A57" s="128">
        <v>56</v>
      </c>
      <c r="B57" s="129" t="s">
        <v>289</v>
      </c>
      <c r="C57" s="132" t="s">
        <v>113</v>
      </c>
      <c r="D57" s="132">
        <v>2022811512</v>
      </c>
      <c r="E57" s="131">
        <f>'TEACHING STAFF'!BP62</f>
        <v>173726.804596667</v>
      </c>
    </row>
    <row r="58" ht="47.25" customHeight="1" spans="1:5">
      <c r="A58" s="128">
        <v>57</v>
      </c>
      <c r="B58" s="129" t="s">
        <v>290</v>
      </c>
      <c r="C58" s="132" t="s">
        <v>93</v>
      </c>
      <c r="D58" s="132">
        <v>2032946295</v>
      </c>
      <c r="E58" s="131">
        <f>'TEACHING STAFF'!BP63</f>
        <v>209499.35397</v>
      </c>
    </row>
    <row r="59" ht="47.25" customHeight="1" spans="1:5">
      <c r="A59" s="128">
        <v>58</v>
      </c>
      <c r="B59" s="129" t="s">
        <v>2126</v>
      </c>
      <c r="C59" s="132" t="s">
        <v>165</v>
      </c>
      <c r="D59" s="132">
        <v>2175828353</v>
      </c>
      <c r="E59" s="131">
        <v>133127.125487333</v>
      </c>
    </row>
    <row r="60" ht="47.25" customHeight="1" spans="1:5">
      <c r="A60" s="128">
        <v>59</v>
      </c>
      <c r="B60" s="129" t="s">
        <v>293</v>
      </c>
      <c r="C60" s="132" t="s">
        <v>135</v>
      </c>
      <c r="D60" s="1476" t="s">
        <v>295</v>
      </c>
      <c r="E60" s="131">
        <f>'TEACHING STAFF'!BP64</f>
        <v>256077.646083333</v>
      </c>
    </row>
    <row r="61" ht="47.25" customHeight="1" spans="1:5">
      <c r="A61" s="128">
        <v>60</v>
      </c>
      <c r="B61" s="129" t="s">
        <v>2200</v>
      </c>
      <c r="C61" s="132" t="s">
        <v>113</v>
      </c>
      <c r="D61" s="132">
        <v>2084296463</v>
      </c>
      <c r="E61" s="131">
        <f>'TEACHING STAFF'!BP65</f>
        <v>290798.836303333</v>
      </c>
    </row>
    <row r="62" ht="47.25" customHeight="1" spans="1:5">
      <c r="A62" s="128">
        <v>61</v>
      </c>
      <c r="B62" s="129" t="s">
        <v>299</v>
      </c>
      <c r="C62" s="132" t="s">
        <v>93</v>
      </c>
      <c r="D62" s="132">
        <v>3050764643</v>
      </c>
      <c r="E62" s="131">
        <f>'TEACHING STAFF'!BP66</f>
        <v>292798.836303333</v>
      </c>
    </row>
    <row r="63" ht="47.25" customHeight="1" spans="1:5">
      <c r="A63" s="128">
        <v>62</v>
      </c>
      <c r="B63" s="129" t="s">
        <v>300</v>
      </c>
      <c r="C63" s="132" t="s">
        <v>127</v>
      </c>
      <c r="D63" s="1476" t="s">
        <v>301</v>
      </c>
      <c r="E63" s="131">
        <f>'TEACHING STAFF'!BP67</f>
        <v>249922.716863333</v>
      </c>
    </row>
    <row r="64" ht="47.25" customHeight="1" spans="1:5">
      <c r="A64" s="128">
        <v>63</v>
      </c>
      <c r="B64" s="129" t="s">
        <v>310</v>
      </c>
      <c r="C64" s="132" t="s">
        <v>127</v>
      </c>
      <c r="D64" s="1476" t="s">
        <v>311</v>
      </c>
      <c r="E64" s="131">
        <f>'TEACHING STAFF'!BP70</f>
        <v>271558.25152</v>
      </c>
    </row>
    <row r="65" ht="47.25" customHeight="1" spans="1:5">
      <c r="A65" s="128">
        <v>64</v>
      </c>
      <c r="B65" s="129" t="s">
        <v>314</v>
      </c>
      <c r="C65" s="132" t="s">
        <v>2041</v>
      </c>
      <c r="D65" s="132">
        <v>1909306179</v>
      </c>
      <c r="E65" s="131">
        <f>'TEACHING STAFF'!BP72</f>
        <v>292798.836303333</v>
      </c>
    </row>
    <row r="66" ht="47.25" customHeight="1" spans="1:5">
      <c r="A66" s="128">
        <v>65</v>
      </c>
      <c r="B66" s="129" t="s">
        <v>316</v>
      </c>
      <c r="C66" s="132" t="s">
        <v>135</v>
      </c>
      <c r="D66" s="1476" t="s">
        <v>2042</v>
      </c>
      <c r="E66" s="131">
        <f>'TEACHING STAFF'!BP73</f>
        <v>38144.14453</v>
      </c>
    </row>
    <row r="67" ht="47.25" customHeight="1" spans="1:5">
      <c r="A67" s="128">
        <v>66</v>
      </c>
      <c r="B67" s="129" t="s">
        <v>318</v>
      </c>
      <c r="C67" s="132" t="s">
        <v>127</v>
      </c>
      <c r="D67" s="1476" t="s">
        <v>319</v>
      </c>
      <c r="E67" s="131">
        <f>'TEACHING STAFF'!BP74</f>
        <v>300644.141196667</v>
      </c>
    </row>
    <row r="68" ht="47.25" customHeight="1" spans="1:5">
      <c r="A68" s="128">
        <v>67</v>
      </c>
      <c r="B68" s="129" t="s">
        <v>320</v>
      </c>
      <c r="C68" s="132" t="s">
        <v>93</v>
      </c>
      <c r="D68" s="132">
        <v>3053511556</v>
      </c>
      <c r="E68" s="131">
        <f>'TEACHING STAFF'!BP75</f>
        <v>110325.961196667</v>
      </c>
    </row>
    <row r="69" ht="47.25" customHeight="1" spans="1:5">
      <c r="A69" s="128">
        <v>68</v>
      </c>
      <c r="B69" s="129" t="s">
        <v>321</v>
      </c>
      <c r="C69" s="132" t="s">
        <v>127</v>
      </c>
      <c r="D69" s="1476" t="s">
        <v>322</v>
      </c>
      <c r="E69" s="131">
        <f>'TEACHING STAFF'!BP76</f>
        <v>381001.96365</v>
      </c>
    </row>
    <row r="70" ht="47.25" customHeight="1" spans="1:5">
      <c r="A70" s="128">
        <v>69</v>
      </c>
      <c r="B70" s="129" t="s">
        <v>323</v>
      </c>
      <c r="C70" s="132" t="s">
        <v>93</v>
      </c>
      <c r="D70" s="132">
        <v>3068164624</v>
      </c>
      <c r="E70" s="131">
        <f>'TEACHING STAFF'!BP77</f>
        <v>173918.30365</v>
      </c>
    </row>
    <row r="71" ht="47.25" customHeight="1" spans="1:5">
      <c r="A71" s="128">
        <v>70</v>
      </c>
      <c r="B71" s="129" t="s">
        <v>324</v>
      </c>
      <c r="C71" s="132" t="s">
        <v>97</v>
      </c>
      <c r="D71" s="1476" t="s">
        <v>2043</v>
      </c>
      <c r="E71" s="131">
        <f>'TEACHING STAFF'!BP78</f>
        <v>214584.97025</v>
      </c>
    </row>
    <row r="72" ht="47.25" customHeight="1" spans="1:5">
      <c r="A72" s="128">
        <v>71</v>
      </c>
      <c r="B72" s="129" t="s">
        <v>326</v>
      </c>
      <c r="C72" s="132" t="s">
        <v>165</v>
      </c>
      <c r="D72" s="132">
        <v>2048397326</v>
      </c>
      <c r="E72" s="131">
        <f>'TEACHING STAFF'!BP79</f>
        <v>396589.116863333</v>
      </c>
    </row>
    <row r="73" ht="47.25" customHeight="1" spans="1:5">
      <c r="A73" s="128">
        <v>72</v>
      </c>
      <c r="B73" s="129" t="s">
        <v>327</v>
      </c>
      <c r="C73" s="132" t="s">
        <v>354</v>
      </c>
      <c r="D73" s="132">
        <v>1002056628</v>
      </c>
      <c r="E73" s="131">
        <f>'TEACHING STAFF'!BP80</f>
        <v>491891.12345</v>
      </c>
    </row>
    <row r="74" ht="47.25" customHeight="1" spans="1:5">
      <c r="A74" s="128">
        <v>73</v>
      </c>
      <c r="B74" s="129" t="s">
        <v>2127</v>
      </c>
      <c r="C74" s="132" t="s">
        <v>165</v>
      </c>
      <c r="D74" s="132">
        <v>2009259191</v>
      </c>
      <c r="E74" s="131" t="e">
        <f>'TEACHING STAFF'!#REF!</f>
        <v>#REF!</v>
      </c>
    </row>
    <row r="75" ht="47.25" customHeight="1" spans="1:5">
      <c r="A75" s="128">
        <v>74</v>
      </c>
      <c r="B75" s="129" t="s">
        <v>330</v>
      </c>
      <c r="C75" s="132" t="s">
        <v>101</v>
      </c>
      <c r="D75" s="132">
        <v>2462011867</v>
      </c>
      <c r="E75" s="131">
        <v>123980.030239333</v>
      </c>
    </row>
    <row r="76" ht="47.25" customHeight="1" spans="1:5">
      <c r="A76" s="128">
        <v>75</v>
      </c>
      <c r="B76" s="129" t="s">
        <v>334</v>
      </c>
      <c r="C76" s="132" t="s">
        <v>135</v>
      </c>
      <c r="D76" s="1476" t="s">
        <v>336</v>
      </c>
      <c r="E76" s="131">
        <v>290230.030239333</v>
      </c>
    </row>
    <row r="77" ht="47.25" customHeight="1" spans="1:5">
      <c r="A77" s="128">
        <v>76</v>
      </c>
      <c r="B77" s="129" t="s">
        <v>2046</v>
      </c>
      <c r="C77" s="132" t="s">
        <v>127</v>
      </c>
      <c r="D77" s="1476" t="s">
        <v>2020</v>
      </c>
      <c r="E77" s="131">
        <v>131097.396053333</v>
      </c>
    </row>
    <row r="78" ht="47.25" customHeight="1" spans="1:5">
      <c r="A78" s="128">
        <v>77</v>
      </c>
      <c r="B78" s="129" t="s">
        <v>2128</v>
      </c>
      <c r="C78" s="132" t="s">
        <v>113</v>
      </c>
      <c r="D78" s="132">
        <v>1015391314</v>
      </c>
      <c r="E78" s="131">
        <v>137942.965973333</v>
      </c>
    </row>
    <row r="79" ht="47.25" customHeight="1" spans="1:5">
      <c r="A79" s="128">
        <v>78</v>
      </c>
      <c r="B79" s="129" t="s">
        <v>2129</v>
      </c>
      <c r="C79" s="132" t="s">
        <v>101</v>
      </c>
      <c r="D79" s="1476" t="s">
        <v>2218</v>
      </c>
      <c r="E79" s="131">
        <v>367767.2032</v>
      </c>
    </row>
    <row r="80" ht="47.25" customHeight="1" spans="1:5">
      <c r="A80" s="128">
        <v>79</v>
      </c>
      <c r="B80" s="129" t="s">
        <v>2130</v>
      </c>
      <c r="C80" s="132" t="s">
        <v>313</v>
      </c>
      <c r="D80" s="1476" t="s">
        <v>2033</v>
      </c>
      <c r="E80" s="131">
        <v>164406.646293333</v>
      </c>
    </row>
    <row r="81" ht="47.25" customHeight="1" spans="1:5">
      <c r="A81" s="128">
        <v>80</v>
      </c>
      <c r="B81" s="129" t="s">
        <v>339</v>
      </c>
      <c r="C81" s="132" t="s">
        <v>127</v>
      </c>
      <c r="D81" s="1476" t="s">
        <v>2219</v>
      </c>
      <c r="E81" s="131">
        <v>352898.856744667</v>
      </c>
    </row>
    <row r="82" ht="47.25" customHeight="1" spans="1:5">
      <c r="A82" s="128">
        <v>81</v>
      </c>
      <c r="B82" s="129" t="s">
        <v>345</v>
      </c>
      <c r="C82" s="132" t="s">
        <v>97</v>
      </c>
      <c r="D82" s="1476" t="s">
        <v>2220</v>
      </c>
      <c r="E82" s="131">
        <v>228741.279187333</v>
      </c>
    </row>
    <row r="83" ht="47.25" customHeight="1" spans="1:5">
      <c r="A83" s="128">
        <v>82</v>
      </c>
      <c r="B83" s="129" t="s">
        <v>2131</v>
      </c>
      <c r="C83" s="132" t="s">
        <v>113</v>
      </c>
      <c r="D83" s="132">
        <v>1002404427</v>
      </c>
      <c r="E83" s="131">
        <v>286991.279187333</v>
      </c>
    </row>
    <row r="84" ht="47.25" customHeight="1" spans="1:5">
      <c r="A84" s="128">
        <v>83</v>
      </c>
      <c r="B84" s="129" t="s">
        <v>349</v>
      </c>
      <c r="C84" s="132" t="s">
        <v>157</v>
      </c>
      <c r="D84" s="1476" t="s">
        <v>2221</v>
      </c>
      <c r="E84" s="131">
        <f>'TEACHING STAFF'!BP88</f>
        <v>265644.141196667</v>
      </c>
    </row>
    <row r="85" ht="47.25" customHeight="1" spans="1:5">
      <c r="A85" s="128">
        <v>84</v>
      </c>
      <c r="B85" s="129" t="s">
        <v>351</v>
      </c>
      <c r="C85" s="132" t="s">
        <v>354</v>
      </c>
      <c r="D85" s="132">
        <v>6016293250</v>
      </c>
      <c r="E85" s="131">
        <f>'TEACHING STAFF'!BP89</f>
        <v>97003.0265138889</v>
      </c>
    </row>
    <row r="86" ht="47.25" customHeight="1" spans="1:5">
      <c r="A86" s="128">
        <v>85</v>
      </c>
      <c r="B86" s="129" t="s">
        <v>355</v>
      </c>
      <c r="C86" s="132" t="s">
        <v>135</v>
      </c>
      <c r="D86" s="1476" t="s">
        <v>356</v>
      </c>
      <c r="E86" s="131">
        <f>'TEACHING STAFF'!BP90</f>
        <v>21198.96365</v>
      </c>
    </row>
    <row r="87" ht="47.25" customHeight="1" spans="1:5">
      <c r="A87" s="128">
        <v>86</v>
      </c>
      <c r="B87" s="129" t="s">
        <v>357</v>
      </c>
      <c r="C87" s="132" t="s">
        <v>127</v>
      </c>
      <c r="D87" s="1476" t="s">
        <v>358</v>
      </c>
      <c r="E87" s="131">
        <f>'TEACHING STAFF'!BP91</f>
        <v>276298.499703333</v>
      </c>
    </row>
    <row r="88" ht="47.25" customHeight="1" spans="1:5">
      <c r="A88" s="128">
        <v>87</v>
      </c>
      <c r="B88" s="129" t="s">
        <v>2132</v>
      </c>
      <c r="C88" s="132" t="s">
        <v>361</v>
      </c>
      <c r="D88" s="132">
        <v>2008091891</v>
      </c>
      <c r="E88" s="131">
        <f>'TEACHING STAFF'!BP92</f>
        <v>185824.952854167</v>
      </c>
    </row>
    <row r="89" ht="47.25" customHeight="1" spans="1:5">
      <c r="A89" s="128">
        <v>88</v>
      </c>
      <c r="B89" s="129" t="s">
        <v>365</v>
      </c>
      <c r="C89" s="132" t="s">
        <v>135</v>
      </c>
      <c r="D89" s="1476" t="s">
        <v>366</v>
      </c>
      <c r="E89" s="131">
        <f>'TEACHING STAFF'!BP94</f>
        <v>287394.141196667</v>
      </c>
    </row>
    <row r="90" ht="47.25" customHeight="1" spans="1:5">
      <c r="A90" s="128">
        <v>89</v>
      </c>
      <c r="B90" s="129" t="s">
        <v>2051</v>
      </c>
      <c r="C90" s="132" t="s">
        <v>135</v>
      </c>
      <c r="D90" s="1476" t="s">
        <v>2222</v>
      </c>
      <c r="E90" s="131">
        <f>'TEACHING STAFF'!BP95</f>
        <v>89135.312258889</v>
      </c>
    </row>
    <row r="91" ht="47.25" customHeight="1" spans="1:5">
      <c r="A91" s="128">
        <v>90</v>
      </c>
      <c r="B91" s="129" t="s">
        <v>369</v>
      </c>
      <c r="C91" s="132" t="s">
        <v>97</v>
      </c>
      <c r="D91" s="1476" t="s">
        <v>2223</v>
      </c>
      <c r="E91" s="131">
        <f>'TEACHING STAFF'!BP96</f>
        <v>287798.836303333</v>
      </c>
    </row>
    <row r="92" ht="47.25" customHeight="1" spans="1:5">
      <c r="A92" s="128">
        <v>91</v>
      </c>
      <c r="B92" s="129" t="s">
        <v>2052</v>
      </c>
      <c r="C92" s="132" t="s">
        <v>165</v>
      </c>
      <c r="D92" s="132">
        <v>2000726706</v>
      </c>
      <c r="E92" s="131" t="e">
        <f>'TEACHING STAFF'!#REF!</f>
        <v>#REF!</v>
      </c>
    </row>
    <row r="93" ht="47.25" customHeight="1" spans="1:5">
      <c r="A93" s="128">
        <v>92</v>
      </c>
      <c r="B93" s="129" t="s">
        <v>371</v>
      </c>
      <c r="C93" s="132" t="s">
        <v>165</v>
      </c>
      <c r="D93" s="132">
        <v>2005960363</v>
      </c>
      <c r="E93" s="131">
        <f>'TEACHING STAFF'!BP97</f>
        <v>418870.32225</v>
      </c>
    </row>
    <row r="94" ht="47.25" customHeight="1" spans="1:5">
      <c r="A94" s="128">
        <v>93</v>
      </c>
      <c r="B94" s="129" t="s">
        <v>2133</v>
      </c>
      <c r="C94" s="132" t="s">
        <v>259</v>
      </c>
      <c r="D94" s="132">
        <v>4020735914</v>
      </c>
      <c r="E94" s="131">
        <v>133866.172933333</v>
      </c>
    </row>
    <row r="95" ht="47.25" customHeight="1" spans="1:5">
      <c r="A95" s="128">
        <v>94</v>
      </c>
      <c r="B95" s="129" t="s">
        <v>2053</v>
      </c>
      <c r="C95" s="132" t="s">
        <v>422</v>
      </c>
      <c r="D95" s="132">
        <v>1760353888</v>
      </c>
      <c r="E95" s="131">
        <v>147432.266809333</v>
      </c>
    </row>
    <row r="96" ht="47.25" customHeight="1" spans="1:5">
      <c r="A96" s="128">
        <v>95</v>
      </c>
      <c r="B96" s="129" t="s">
        <v>373</v>
      </c>
      <c r="C96" s="132" t="s">
        <v>113</v>
      </c>
      <c r="D96" s="132">
        <v>2094594805</v>
      </c>
      <c r="E96" s="131">
        <v>78134.8325913333</v>
      </c>
    </row>
    <row r="97" ht="47.25" customHeight="1" spans="1:5">
      <c r="A97" s="128">
        <v>96</v>
      </c>
      <c r="B97" s="129" t="s">
        <v>2134</v>
      </c>
      <c r="C97" s="132" t="s">
        <v>165</v>
      </c>
      <c r="D97" s="132">
        <v>1005655901</v>
      </c>
      <c r="E97" s="131">
        <v>252804.938853333</v>
      </c>
    </row>
    <row r="98" ht="47.25" customHeight="1" spans="1:5">
      <c r="A98" s="128">
        <v>97</v>
      </c>
      <c r="B98" s="129" t="s">
        <v>382</v>
      </c>
      <c r="C98" s="132" t="s">
        <v>93</v>
      </c>
      <c r="D98" s="132">
        <v>3088351059</v>
      </c>
      <c r="E98" s="131">
        <v>106634.832591333</v>
      </c>
    </row>
    <row r="99" ht="47.25" customHeight="1" spans="1:5">
      <c r="A99" s="128">
        <v>98</v>
      </c>
      <c r="B99" s="129" t="s">
        <v>388</v>
      </c>
      <c r="C99" s="132" t="s">
        <v>113</v>
      </c>
      <c r="D99" s="132">
        <v>2035514330</v>
      </c>
      <c r="E99" s="131">
        <v>102134.832591333</v>
      </c>
    </row>
    <row r="100" ht="47.25" customHeight="1" spans="1:5">
      <c r="A100" s="128">
        <v>99</v>
      </c>
      <c r="B100" s="129" t="s">
        <v>392</v>
      </c>
      <c r="C100" s="132" t="s">
        <v>113</v>
      </c>
      <c r="D100" s="132">
        <v>1005205955</v>
      </c>
      <c r="E100" s="131">
        <v>269089.30332</v>
      </c>
    </row>
    <row r="101" ht="47.25" customHeight="1" spans="1:5">
      <c r="A101" s="128">
        <v>100</v>
      </c>
      <c r="B101" s="129" t="s">
        <v>393</v>
      </c>
      <c r="C101" s="132" t="s">
        <v>157</v>
      </c>
      <c r="D101" s="1476" t="s">
        <v>2224</v>
      </c>
      <c r="E101" s="131">
        <v>171107.485432</v>
      </c>
    </row>
    <row r="102" ht="47.25" customHeight="1" spans="1:5">
      <c r="A102" s="128">
        <v>101</v>
      </c>
      <c r="B102" s="129" t="s">
        <v>396</v>
      </c>
      <c r="C102" s="132" t="s">
        <v>113</v>
      </c>
      <c r="D102" s="132">
        <v>2050863738</v>
      </c>
      <c r="E102" s="131">
        <v>166107.485432</v>
      </c>
    </row>
    <row r="103" ht="47.25" customHeight="1" spans="1:5">
      <c r="A103" s="128">
        <v>102</v>
      </c>
      <c r="B103" s="129" t="s">
        <v>403</v>
      </c>
      <c r="C103" s="132" t="s">
        <v>675</v>
      </c>
      <c r="D103" s="132">
        <v>3078559755</v>
      </c>
      <c r="E103" s="131">
        <v>141877.125487333</v>
      </c>
    </row>
    <row r="104" ht="47.25" customHeight="1" spans="1:5">
      <c r="A104" s="128">
        <v>103</v>
      </c>
      <c r="B104" s="129" t="s">
        <v>2201</v>
      </c>
      <c r="C104" s="132" t="s">
        <v>127</v>
      </c>
      <c r="D104" s="1476" t="s">
        <v>2225</v>
      </c>
      <c r="E104" s="131">
        <v>111774.149392</v>
      </c>
    </row>
    <row r="105" ht="47.25" customHeight="1" spans="1:5">
      <c r="A105" s="128">
        <v>104</v>
      </c>
      <c r="B105" s="129" t="s">
        <v>406</v>
      </c>
      <c r="C105" s="132" t="s">
        <v>675</v>
      </c>
      <c r="D105" s="132">
        <v>3064601972</v>
      </c>
      <c r="E105" s="131">
        <v>139877.125487333</v>
      </c>
    </row>
    <row r="106" ht="47.25" customHeight="1" spans="1:5">
      <c r="A106" s="128">
        <v>105</v>
      </c>
      <c r="B106" s="129" t="s">
        <v>2135</v>
      </c>
      <c r="C106" s="132" t="s">
        <v>113</v>
      </c>
      <c r="D106" s="132">
        <v>1019451812</v>
      </c>
      <c r="E106" s="131">
        <v>133377.125487333</v>
      </c>
    </row>
    <row r="107" ht="47.25" customHeight="1" spans="1:5">
      <c r="A107" s="128">
        <v>106</v>
      </c>
      <c r="B107" s="129" t="s">
        <v>2065</v>
      </c>
      <c r="C107" s="132" t="s">
        <v>1037</v>
      </c>
      <c r="D107" s="1476" t="s">
        <v>2066</v>
      </c>
      <c r="E107" s="131">
        <v>118711.125487333</v>
      </c>
    </row>
    <row r="108" ht="47.25" customHeight="1" spans="1:5">
      <c r="A108" s="128">
        <v>107</v>
      </c>
      <c r="B108" s="129" t="s">
        <v>408</v>
      </c>
      <c r="C108" s="132" t="s">
        <v>127</v>
      </c>
      <c r="D108" s="1476" t="s">
        <v>2226</v>
      </c>
      <c r="E108" s="131">
        <v>127884.832591333</v>
      </c>
    </row>
    <row r="109" ht="47.25" customHeight="1" spans="1:5">
      <c r="A109" s="128">
        <v>108</v>
      </c>
      <c r="B109" s="129" t="s">
        <v>410</v>
      </c>
      <c r="C109" s="132" t="s">
        <v>2041</v>
      </c>
      <c r="D109" s="132">
        <v>6001992260</v>
      </c>
      <c r="E109" s="131">
        <v>95884.8325913333</v>
      </c>
    </row>
    <row r="110" ht="47.25" customHeight="1" spans="1:5">
      <c r="A110" s="136">
        <v>109</v>
      </c>
      <c r="B110" s="137" t="s">
        <v>412</v>
      </c>
      <c r="C110" s="138" t="s">
        <v>93</v>
      </c>
      <c r="D110" s="138">
        <v>20021309014</v>
      </c>
      <c r="E110" s="131">
        <v>142627.116441333</v>
      </c>
    </row>
    <row r="111" ht="47.25" customHeight="1" spans="1:5">
      <c r="A111" s="128">
        <v>110</v>
      </c>
      <c r="B111" s="129" t="s">
        <v>413</v>
      </c>
      <c r="C111" s="132" t="s">
        <v>157</v>
      </c>
      <c r="D111" s="1476" t="s">
        <v>158</v>
      </c>
      <c r="E111" s="131">
        <v>143127.116441333</v>
      </c>
    </row>
    <row r="112" ht="47.25" customHeight="1" spans="1:5">
      <c r="A112" s="128">
        <v>111</v>
      </c>
      <c r="B112" s="129" t="s">
        <v>414</v>
      </c>
      <c r="C112" s="132" t="s">
        <v>313</v>
      </c>
      <c r="D112" s="132">
        <v>3510704014</v>
      </c>
      <c r="E112" s="131">
        <v>119127.116441333</v>
      </c>
    </row>
    <row r="113" ht="47.25" customHeight="1" spans="1:5">
      <c r="A113" s="128">
        <v>112</v>
      </c>
      <c r="B113" s="129" t="s">
        <v>423</v>
      </c>
      <c r="C113" s="132" t="s">
        <v>135</v>
      </c>
      <c r="D113" s="1476" t="s">
        <v>424</v>
      </c>
      <c r="E113" s="131">
        <v>112877.116441333</v>
      </c>
    </row>
    <row r="114" ht="47.25" customHeight="1" spans="1:5">
      <c r="A114" s="128">
        <v>113</v>
      </c>
      <c r="B114" s="129" t="s">
        <v>425</v>
      </c>
      <c r="C114" s="132" t="s">
        <v>93</v>
      </c>
      <c r="D114" s="132">
        <v>3003332680</v>
      </c>
      <c r="E114" s="131">
        <v>174607.485432</v>
      </c>
    </row>
    <row r="115" ht="47.25" customHeight="1" spans="1:5">
      <c r="A115" s="128">
        <v>114</v>
      </c>
      <c r="B115" s="129" t="s">
        <v>428</v>
      </c>
      <c r="C115" s="134" t="s">
        <v>122</v>
      </c>
      <c r="D115" s="1476" t="s">
        <v>162</v>
      </c>
      <c r="E115" s="131">
        <v>109690.116441333</v>
      </c>
    </row>
    <row r="116" ht="47.25" customHeight="1" spans="1:5">
      <c r="A116" s="128">
        <v>115</v>
      </c>
      <c r="B116" s="129" t="s">
        <v>429</v>
      </c>
      <c r="C116" s="132" t="s">
        <v>93</v>
      </c>
      <c r="D116" s="132">
        <v>3075456815</v>
      </c>
      <c r="E116" s="131">
        <v>138627.116441333</v>
      </c>
    </row>
    <row r="117" ht="47.25" customHeight="1" spans="1:5">
      <c r="A117" s="128">
        <v>116</v>
      </c>
      <c r="B117" s="129" t="s">
        <v>433</v>
      </c>
      <c r="C117" s="132" t="s">
        <v>165</v>
      </c>
      <c r="D117" s="132">
        <v>1006686724</v>
      </c>
      <c r="E117" s="131">
        <v>138377.116441333</v>
      </c>
    </row>
    <row r="118" ht="47.25" customHeight="1" spans="1:5">
      <c r="A118" s="128">
        <v>117</v>
      </c>
      <c r="B118" s="129" t="s">
        <v>437</v>
      </c>
      <c r="C118" s="132" t="s">
        <v>93</v>
      </c>
      <c r="D118" s="132">
        <v>3045562177</v>
      </c>
      <c r="E118" s="131">
        <v>144377.116441333</v>
      </c>
    </row>
    <row r="119" ht="47.25" customHeight="1" spans="1:5">
      <c r="A119" s="128">
        <v>118</v>
      </c>
      <c r="B119" s="129" t="s">
        <v>438</v>
      </c>
      <c r="C119" s="132" t="s">
        <v>97</v>
      </c>
      <c r="D119" s="1476" t="s">
        <v>2227</v>
      </c>
      <c r="E119" s="131">
        <v>65286.6020413333</v>
      </c>
    </row>
    <row r="120" ht="47.25" customHeight="1" spans="1:5">
      <c r="A120" s="128">
        <v>119</v>
      </c>
      <c r="B120" s="129" t="s">
        <v>441</v>
      </c>
      <c r="C120" s="132" t="s">
        <v>259</v>
      </c>
      <c r="D120" s="132">
        <v>4021422945</v>
      </c>
      <c r="E120" s="131">
        <v>65286.6020413333</v>
      </c>
    </row>
    <row r="121" ht="47.25" customHeight="1" spans="1:5">
      <c r="A121" s="128">
        <v>120</v>
      </c>
      <c r="B121" s="129" t="s">
        <v>451</v>
      </c>
      <c r="C121" s="132" t="s">
        <v>127</v>
      </c>
      <c r="D121" s="1476" t="s">
        <v>2215</v>
      </c>
      <c r="E121" s="131">
        <v>143877.116441333</v>
      </c>
    </row>
    <row r="122" ht="47.25" customHeight="1" spans="1:5">
      <c r="A122" s="128">
        <v>121</v>
      </c>
      <c r="B122" s="129" t="s">
        <v>452</v>
      </c>
      <c r="C122" s="132" t="s">
        <v>135</v>
      </c>
      <c r="D122" s="1476" t="s">
        <v>453</v>
      </c>
      <c r="E122" s="131">
        <v>133377.116441333</v>
      </c>
    </row>
    <row r="123" ht="47.25" customHeight="1" spans="1:5">
      <c r="A123" s="128">
        <v>122</v>
      </c>
      <c r="B123" s="129" t="s">
        <v>2069</v>
      </c>
      <c r="C123" s="132" t="s">
        <v>93</v>
      </c>
      <c r="D123" s="132">
        <v>3045166049</v>
      </c>
      <c r="E123" s="131">
        <v>143877.116441333</v>
      </c>
    </row>
    <row r="124" ht="47.25" customHeight="1" spans="1:5">
      <c r="A124" s="128">
        <v>123</v>
      </c>
      <c r="B124" s="129" t="s">
        <v>2136</v>
      </c>
      <c r="C124" s="132" t="s">
        <v>165</v>
      </c>
      <c r="D124" s="132">
        <v>2080297507</v>
      </c>
      <c r="E124" s="131">
        <v>141877.116441333</v>
      </c>
    </row>
    <row r="125" ht="47.25" customHeight="1" spans="1:5">
      <c r="A125" s="128">
        <v>124</v>
      </c>
      <c r="B125" s="129" t="s">
        <v>455</v>
      </c>
      <c r="C125" s="132" t="s">
        <v>127</v>
      </c>
      <c r="D125" s="1476" t="s">
        <v>2071</v>
      </c>
      <c r="E125" s="131">
        <v>118877.116441333</v>
      </c>
    </row>
    <row r="126" ht="47.25" customHeight="1" spans="1:5">
      <c r="A126" s="128">
        <v>125</v>
      </c>
      <c r="B126" s="129" t="s">
        <v>462</v>
      </c>
      <c r="C126" s="132" t="s">
        <v>93</v>
      </c>
      <c r="D126" s="132">
        <v>3079414505</v>
      </c>
      <c r="E126" s="131">
        <v>129134.832591333</v>
      </c>
    </row>
    <row r="127" ht="47.25" customHeight="1" spans="1:5">
      <c r="A127" s="128">
        <v>126</v>
      </c>
      <c r="B127" s="129" t="s">
        <v>464</v>
      </c>
      <c r="C127" s="132" t="s">
        <v>127</v>
      </c>
      <c r="D127" s="1476" t="s">
        <v>2228</v>
      </c>
      <c r="E127" s="131">
        <v>129134.832591333</v>
      </c>
    </row>
    <row r="128" ht="47.25" customHeight="1" spans="1:5">
      <c r="A128" s="128">
        <v>127</v>
      </c>
      <c r="B128" s="129" t="s">
        <v>468</v>
      </c>
      <c r="C128" s="132" t="s">
        <v>127</v>
      </c>
      <c r="D128" s="1476" t="s">
        <v>469</v>
      </c>
      <c r="E128" s="131">
        <v>129134.832591333</v>
      </c>
    </row>
    <row r="129" ht="47.25" customHeight="1" spans="1:5">
      <c r="A129" s="128">
        <v>128</v>
      </c>
      <c r="B129" s="129" t="s">
        <v>470</v>
      </c>
      <c r="C129" s="132" t="s">
        <v>127</v>
      </c>
      <c r="D129" s="1476" t="s">
        <v>471</v>
      </c>
      <c r="E129" s="131">
        <v>126884.832591333</v>
      </c>
    </row>
    <row r="130" ht="47.25" customHeight="1" spans="1:5">
      <c r="A130" s="128">
        <v>129</v>
      </c>
      <c r="B130" s="129" t="s">
        <v>2074</v>
      </c>
      <c r="C130" s="132" t="s">
        <v>127</v>
      </c>
      <c r="D130" s="1476" t="s">
        <v>2075</v>
      </c>
      <c r="E130" s="131">
        <v>105884.832591333</v>
      </c>
    </row>
    <row r="131" ht="47.25" customHeight="1" spans="1:5">
      <c r="A131" s="128">
        <v>130</v>
      </c>
      <c r="B131" s="129" t="s">
        <v>475</v>
      </c>
      <c r="C131" s="132" t="s">
        <v>113</v>
      </c>
      <c r="D131" s="132">
        <v>20842149096</v>
      </c>
      <c r="E131" s="131">
        <v>129134.832591333</v>
      </c>
    </row>
    <row r="132" ht="47.25" customHeight="1" spans="1:5">
      <c r="A132" s="128">
        <v>131</v>
      </c>
      <c r="B132" s="129" t="s">
        <v>2076</v>
      </c>
      <c r="C132" s="132" t="s">
        <v>127</v>
      </c>
      <c r="D132" s="1476" t="s">
        <v>2008</v>
      </c>
      <c r="E132" s="131">
        <v>129134.832591333</v>
      </c>
    </row>
    <row r="133" ht="47.25" customHeight="1" spans="1:5">
      <c r="A133" s="128">
        <v>132</v>
      </c>
      <c r="B133" s="129" t="s">
        <v>477</v>
      </c>
      <c r="C133" s="132" t="s">
        <v>165</v>
      </c>
      <c r="D133" s="132">
        <v>2115918742</v>
      </c>
      <c r="E133" s="131">
        <v>92578.8285033334</v>
      </c>
    </row>
    <row r="134" ht="47.25" customHeight="1" spans="1:5">
      <c r="A134" s="128">
        <v>133</v>
      </c>
      <c r="B134" s="129" t="s">
        <v>478</v>
      </c>
      <c r="C134" s="132" t="s">
        <v>127</v>
      </c>
      <c r="D134" s="1476" t="s">
        <v>2217</v>
      </c>
      <c r="E134" s="131">
        <v>113328.828503333</v>
      </c>
    </row>
    <row r="135" ht="47.25" customHeight="1" spans="1:5">
      <c r="A135" s="128">
        <v>134</v>
      </c>
      <c r="B135" s="129" t="s">
        <v>479</v>
      </c>
      <c r="C135" s="132" t="s">
        <v>93</v>
      </c>
      <c r="D135" s="132">
        <v>3007542265</v>
      </c>
      <c r="E135" s="131">
        <v>112078.828503333</v>
      </c>
    </row>
    <row r="136" ht="47.25" customHeight="1" spans="1:5">
      <c r="A136" s="128">
        <v>135</v>
      </c>
      <c r="B136" s="129" t="s">
        <v>2077</v>
      </c>
      <c r="C136" s="132" t="s">
        <v>93</v>
      </c>
      <c r="D136" s="132">
        <v>3051864825</v>
      </c>
      <c r="E136" s="131">
        <v>74328.8285033334</v>
      </c>
    </row>
    <row r="137" ht="47.25" customHeight="1" spans="1:5">
      <c r="A137" s="128">
        <v>136</v>
      </c>
      <c r="B137" s="129" t="s">
        <v>484</v>
      </c>
      <c r="C137" s="132" t="s">
        <v>127</v>
      </c>
      <c r="D137" s="1476" t="s">
        <v>252</v>
      </c>
      <c r="E137" s="131">
        <v>126134.832591333</v>
      </c>
    </row>
    <row r="138" ht="47.25" customHeight="1" spans="1:5">
      <c r="A138" s="128">
        <v>137</v>
      </c>
      <c r="B138" s="129" t="s">
        <v>485</v>
      </c>
      <c r="C138" s="132" t="s">
        <v>127</v>
      </c>
      <c r="D138" s="1476" t="s">
        <v>487</v>
      </c>
      <c r="E138" s="131">
        <v>127384.832591333</v>
      </c>
    </row>
    <row r="139" ht="47.25" customHeight="1" spans="1:5">
      <c r="A139" s="128">
        <v>138</v>
      </c>
      <c r="B139" s="129" t="s">
        <v>2080</v>
      </c>
      <c r="C139" s="132" t="s">
        <v>93</v>
      </c>
      <c r="D139" s="132">
        <v>2003315491</v>
      </c>
      <c r="E139" s="131">
        <v>114328.828503333</v>
      </c>
    </row>
    <row r="140" ht="47.25" customHeight="1" spans="1:5">
      <c r="A140" s="128">
        <v>139</v>
      </c>
      <c r="B140" s="129" t="s">
        <v>490</v>
      </c>
      <c r="C140" s="132" t="s">
        <v>127</v>
      </c>
      <c r="D140" s="1476" t="s">
        <v>264</v>
      </c>
      <c r="E140" s="131">
        <v>52384.8325913333</v>
      </c>
    </row>
    <row r="141" ht="47.25" customHeight="1" spans="1:5">
      <c r="A141" s="128">
        <v>140</v>
      </c>
      <c r="B141" s="129" t="s">
        <v>2081</v>
      </c>
      <c r="C141" s="132" t="s">
        <v>127</v>
      </c>
      <c r="D141" s="1476" t="s">
        <v>2229</v>
      </c>
      <c r="E141" s="131">
        <v>113078.828503333</v>
      </c>
    </row>
    <row r="142" ht="47.25" customHeight="1" spans="1:5">
      <c r="A142" s="128">
        <v>141</v>
      </c>
      <c r="B142" s="129" t="s">
        <v>507</v>
      </c>
      <c r="C142" s="132" t="s">
        <v>93</v>
      </c>
      <c r="D142" s="132">
        <v>3003626226</v>
      </c>
      <c r="E142" s="131">
        <v>88828.8285033334</v>
      </c>
    </row>
    <row r="143" ht="47.25" customHeight="1" spans="1:5">
      <c r="A143" s="128">
        <v>142</v>
      </c>
      <c r="B143" s="129" t="s">
        <v>512</v>
      </c>
      <c r="C143" s="132" t="s">
        <v>165</v>
      </c>
      <c r="D143" s="132">
        <v>204144135</v>
      </c>
      <c r="E143" s="131">
        <v>123884.832591333</v>
      </c>
    </row>
    <row r="144" ht="47.25" customHeight="1" spans="1:5">
      <c r="A144" s="128">
        <v>143</v>
      </c>
      <c r="B144" s="129" t="s">
        <v>2085</v>
      </c>
      <c r="C144" s="132" t="s">
        <v>93</v>
      </c>
      <c r="D144" s="132">
        <v>2013435086</v>
      </c>
      <c r="E144" s="131">
        <v>131214.785213333</v>
      </c>
    </row>
    <row r="145" ht="47.25" customHeight="1" spans="1:5">
      <c r="A145" s="128">
        <v>144</v>
      </c>
      <c r="B145" s="129" t="s">
        <v>2137</v>
      </c>
      <c r="C145" s="132" t="s">
        <v>97</v>
      </c>
      <c r="D145" s="1476" t="s">
        <v>116</v>
      </c>
      <c r="E145" s="131">
        <v>368506.115773333</v>
      </c>
    </row>
    <row r="146" ht="47.25" customHeight="1" spans="1:5">
      <c r="A146" s="128">
        <v>145</v>
      </c>
      <c r="B146" s="129" t="s">
        <v>2138</v>
      </c>
      <c r="C146" s="132" t="s">
        <v>93</v>
      </c>
      <c r="D146" s="132">
        <v>2000127529</v>
      </c>
      <c r="E146" s="131">
        <v>452747.540002</v>
      </c>
    </row>
    <row r="147" ht="47.25" customHeight="1" spans="1:5">
      <c r="A147" s="128">
        <v>146</v>
      </c>
      <c r="B147" s="129" t="s">
        <v>2139</v>
      </c>
      <c r="C147" s="132" t="s">
        <v>113</v>
      </c>
      <c r="D147" s="132">
        <v>1005033200</v>
      </c>
      <c r="E147" s="131">
        <v>432676.615133333</v>
      </c>
    </row>
    <row r="148" ht="47.25" customHeight="1" spans="1:5">
      <c r="A148" s="128">
        <v>147</v>
      </c>
      <c r="B148" s="129" t="s">
        <v>2140</v>
      </c>
      <c r="C148" s="132" t="s">
        <v>165</v>
      </c>
      <c r="D148" s="132">
        <v>2179811764</v>
      </c>
      <c r="E148" s="131">
        <v>115597.387973333</v>
      </c>
    </row>
    <row r="149" ht="47.25" customHeight="1" spans="1:5">
      <c r="A149" s="128">
        <v>148</v>
      </c>
      <c r="B149" s="129" t="s">
        <v>2141</v>
      </c>
      <c r="C149" s="132" t="s">
        <v>145</v>
      </c>
      <c r="D149" s="1476" t="s">
        <v>2027</v>
      </c>
      <c r="E149" s="131">
        <v>128042.851013333</v>
      </c>
    </row>
    <row r="150" ht="47.25" customHeight="1" spans="1:5">
      <c r="A150" s="128">
        <v>149</v>
      </c>
      <c r="B150" s="137" t="s">
        <v>2142</v>
      </c>
      <c r="C150" s="139" t="s">
        <v>127</v>
      </c>
      <c r="D150" s="1477" t="s">
        <v>2023</v>
      </c>
      <c r="E150" s="131">
        <v>124542.851013333</v>
      </c>
    </row>
    <row r="151" ht="47.25" customHeight="1" spans="1:5">
      <c r="A151" s="128">
        <v>150</v>
      </c>
      <c r="B151" s="137" t="s">
        <v>2143</v>
      </c>
      <c r="C151" s="139" t="s">
        <v>113</v>
      </c>
      <c r="D151" s="139">
        <v>1011517246</v>
      </c>
      <c r="E151" s="131">
        <v>122635.809973333</v>
      </c>
    </row>
    <row r="152" ht="47.25" customHeight="1" spans="1:5">
      <c r="A152" s="128">
        <v>151</v>
      </c>
      <c r="B152" s="137" t="s">
        <v>2144</v>
      </c>
      <c r="C152" s="140" t="s">
        <v>2230</v>
      </c>
      <c r="D152" s="1478" t="s">
        <v>2231</v>
      </c>
      <c r="E152" s="131">
        <v>145515.973733333</v>
      </c>
    </row>
    <row r="153" ht="47.25" customHeight="1" spans="1:5">
      <c r="A153" s="128">
        <v>152</v>
      </c>
      <c r="B153" s="137" t="s">
        <v>517</v>
      </c>
      <c r="C153" s="139" t="s">
        <v>113</v>
      </c>
      <c r="D153" s="139">
        <v>2010376654</v>
      </c>
      <c r="E153" s="131">
        <v>132669.037333333</v>
      </c>
    </row>
    <row r="154" ht="47.25" customHeight="1" spans="1:5">
      <c r="A154" s="128">
        <v>153</v>
      </c>
      <c r="B154" s="137" t="s">
        <v>521</v>
      </c>
      <c r="C154" s="139" t="s">
        <v>113</v>
      </c>
      <c r="D154" s="139">
        <v>2025128968</v>
      </c>
      <c r="E154" s="131">
        <v>131414.97099</v>
      </c>
    </row>
    <row r="155" ht="47.25" customHeight="1" spans="1:5">
      <c r="A155" s="136">
        <v>154</v>
      </c>
      <c r="B155" s="137" t="s">
        <v>2145</v>
      </c>
      <c r="C155" s="139" t="s">
        <v>113</v>
      </c>
      <c r="D155" s="139">
        <v>1005008228</v>
      </c>
      <c r="E155" s="131">
        <v>180841.201693333</v>
      </c>
    </row>
    <row r="156" ht="47.25" customHeight="1" spans="1:5">
      <c r="A156" s="128">
        <v>155</v>
      </c>
      <c r="B156" s="137" t="s">
        <v>2021</v>
      </c>
      <c r="C156" s="139" t="s">
        <v>93</v>
      </c>
      <c r="D156" s="139">
        <v>3053689736</v>
      </c>
      <c r="E156" s="131">
        <v>118495.916933333</v>
      </c>
    </row>
    <row r="157" ht="47.25" customHeight="1" spans="1:5">
      <c r="A157" s="128">
        <v>156</v>
      </c>
      <c r="B157" s="137" t="s">
        <v>2146</v>
      </c>
      <c r="C157" s="139" t="s">
        <v>113</v>
      </c>
      <c r="D157" s="139">
        <v>2128380019</v>
      </c>
      <c r="E157" s="131">
        <v>40727.3340933333</v>
      </c>
    </row>
    <row r="158" ht="47.25" customHeight="1" spans="1:5">
      <c r="A158" s="128">
        <v>157</v>
      </c>
      <c r="B158" s="137" t="s">
        <v>2147</v>
      </c>
      <c r="C158" s="139" t="s">
        <v>165</v>
      </c>
      <c r="D158" s="139">
        <v>2265912803</v>
      </c>
      <c r="E158" s="131">
        <v>246501.480053333</v>
      </c>
    </row>
    <row r="159" ht="47.25" customHeight="1" spans="1:5">
      <c r="A159" s="128">
        <v>158</v>
      </c>
      <c r="B159" s="137" t="s">
        <v>2148</v>
      </c>
      <c r="C159" s="139" t="s">
        <v>127</v>
      </c>
      <c r="D159" s="1477" t="s">
        <v>2232</v>
      </c>
      <c r="E159" s="131" t="e">
        <f>'TEACHING STAFF'!#REF!</f>
        <v>#REF!</v>
      </c>
    </row>
    <row r="160" ht="47.25" customHeight="1" spans="1:5">
      <c r="A160" s="128">
        <v>159</v>
      </c>
      <c r="B160" s="129" t="s">
        <v>2202</v>
      </c>
      <c r="C160" s="132" t="s">
        <v>113</v>
      </c>
      <c r="D160" s="132">
        <v>2027432176</v>
      </c>
      <c r="E160" s="131">
        <v>133877.116441333</v>
      </c>
    </row>
    <row r="161" ht="47.25" customHeight="1" spans="1:5">
      <c r="A161" s="141"/>
      <c r="B161" s="142" t="s">
        <v>867</v>
      </c>
      <c r="C161" s="143"/>
      <c r="D161" s="143"/>
      <c r="E161" s="144" t="e">
        <f>SUM(E2:E160)</f>
        <v>#REF!</v>
      </c>
    </row>
    <row r="162" ht="47.25" customHeight="1" spans="1:5">
      <c r="A162" s="141"/>
      <c r="B162" s="145" t="s">
        <v>1750</v>
      </c>
      <c r="C162" s="146"/>
      <c r="D162" s="146"/>
      <c r="E162" s="146"/>
    </row>
    <row r="163" ht="47.25" customHeight="1" spans="1:5">
      <c r="A163" s="147">
        <v>160</v>
      </c>
      <c r="B163" s="129" t="s">
        <v>2233</v>
      </c>
      <c r="C163" s="132" t="s">
        <v>259</v>
      </c>
      <c r="D163" s="148">
        <v>6552858105</v>
      </c>
      <c r="E163" s="149">
        <v>27883.33</v>
      </c>
    </row>
    <row r="164" ht="47.25" customHeight="1" spans="1:5">
      <c r="A164" s="147">
        <v>161</v>
      </c>
      <c r="B164" s="129" t="s">
        <v>2234</v>
      </c>
      <c r="C164" s="132" t="s">
        <v>97</v>
      </c>
      <c r="D164" s="1479" t="s">
        <v>1313</v>
      </c>
      <c r="E164" s="149">
        <v>10549.33</v>
      </c>
    </row>
    <row r="165" ht="47.25" customHeight="1" spans="1:5">
      <c r="A165" s="147">
        <v>162</v>
      </c>
      <c r="B165" s="129" t="s">
        <v>2235</v>
      </c>
      <c r="C165" s="132" t="s">
        <v>1037</v>
      </c>
      <c r="D165" s="1479" t="s">
        <v>2236</v>
      </c>
      <c r="E165" s="149">
        <v>27883.33</v>
      </c>
    </row>
    <row r="166" ht="47.25" customHeight="1" spans="1:5">
      <c r="A166" s="147">
        <v>163</v>
      </c>
      <c r="B166" s="129" t="s">
        <v>2237</v>
      </c>
      <c r="C166" s="132" t="s">
        <v>135</v>
      </c>
      <c r="D166" s="1479" t="s">
        <v>2238</v>
      </c>
      <c r="E166" s="149">
        <v>27883.33</v>
      </c>
    </row>
    <row r="167" ht="47.25" customHeight="1" spans="1:5">
      <c r="A167" s="147">
        <v>164</v>
      </c>
      <c r="B167" s="150" t="s">
        <v>2239</v>
      </c>
      <c r="C167" s="132" t="s">
        <v>135</v>
      </c>
      <c r="D167" s="1480" t="s">
        <v>2240</v>
      </c>
      <c r="E167" s="149">
        <v>27883.33</v>
      </c>
    </row>
    <row r="168" ht="47.25" customHeight="1" spans="1:5">
      <c r="A168" s="147">
        <v>165</v>
      </c>
      <c r="B168" s="150" t="s">
        <v>2241</v>
      </c>
      <c r="C168" s="132" t="s">
        <v>135</v>
      </c>
      <c r="D168" s="1480" t="s">
        <v>1321</v>
      </c>
      <c r="E168" s="149">
        <v>27883.33</v>
      </c>
    </row>
    <row r="169" ht="47.25" customHeight="1" spans="1:5">
      <c r="A169" s="147">
        <v>166</v>
      </c>
      <c r="B169" s="150" t="s">
        <v>2242</v>
      </c>
      <c r="C169" s="132" t="s">
        <v>165</v>
      </c>
      <c r="D169" s="151">
        <v>2265117718</v>
      </c>
      <c r="E169" s="149">
        <v>27883.33</v>
      </c>
    </row>
    <row r="170" ht="47.25" customHeight="1" spans="1:5">
      <c r="A170" s="147">
        <v>167</v>
      </c>
      <c r="B170" s="150" t="s">
        <v>1328</v>
      </c>
      <c r="C170" s="132" t="s">
        <v>313</v>
      </c>
      <c r="D170" s="151">
        <v>2962056016</v>
      </c>
      <c r="E170" s="149">
        <v>44000</v>
      </c>
    </row>
    <row r="171" ht="47.25" customHeight="1" spans="1:5">
      <c r="A171" s="147">
        <v>168</v>
      </c>
      <c r="B171" s="150" t="s">
        <v>2243</v>
      </c>
      <c r="C171" s="132" t="s">
        <v>422</v>
      </c>
      <c r="D171" s="151">
        <v>1763601528</v>
      </c>
      <c r="E171" s="149">
        <v>44000</v>
      </c>
    </row>
    <row r="172" ht="47.25" customHeight="1" spans="1:5">
      <c r="A172" s="147">
        <v>169</v>
      </c>
      <c r="B172" s="150" t="s">
        <v>2196</v>
      </c>
      <c r="C172" s="132" t="s">
        <v>2244</v>
      </c>
      <c r="D172" s="151">
        <v>2083690745</v>
      </c>
      <c r="E172" s="149">
        <v>25000</v>
      </c>
    </row>
    <row r="173" ht="47.25" customHeight="1" spans="1:5">
      <c r="A173" s="147">
        <v>170</v>
      </c>
      <c r="B173" s="152" t="s">
        <v>2245</v>
      </c>
      <c r="C173" s="138" t="s">
        <v>93</v>
      </c>
      <c r="D173" s="153">
        <v>3079457171</v>
      </c>
      <c r="E173" s="149">
        <v>40000</v>
      </c>
    </row>
    <row r="174" ht="47.25" customHeight="1" spans="1:5">
      <c r="A174" s="147">
        <v>171</v>
      </c>
      <c r="B174" s="152" t="s">
        <v>2246</v>
      </c>
      <c r="C174" s="138" t="s">
        <v>259</v>
      </c>
      <c r="D174" s="153">
        <v>6554782394</v>
      </c>
      <c r="E174" s="149">
        <v>40000</v>
      </c>
    </row>
    <row r="175" ht="47.25" customHeight="1" spans="1:5">
      <c r="A175" s="147">
        <v>172</v>
      </c>
      <c r="B175" s="152" t="s">
        <v>2247</v>
      </c>
      <c r="C175" s="139" t="s">
        <v>127</v>
      </c>
      <c r="D175" s="1481" t="s">
        <v>2248</v>
      </c>
      <c r="E175" s="149">
        <v>10000</v>
      </c>
    </row>
    <row r="176" ht="47.25" customHeight="1" spans="1:5">
      <c r="A176" s="147">
        <v>173</v>
      </c>
      <c r="B176" s="152" t="s">
        <v>2249</v>
      </c>
      <c r="C176" s="139" t="s">
        <v>93</v>
      </c>
      <c r="D176" s="153">
        <v>3146300560</v>
      </c>
      <c r="E176" s="149">
        <v>20000</v>
      </c>
    </row>
    <row r="177" ht="47.25" customHeight="1" spans="1:5">
      <c r="A177" s="147">
        <v>174</v>
      </c>
      <c r="B177" s="152" t="s">
        <v>2250</v>
      </c>
      <c r="C177" s="139" t="s">
        <v>127</v>
      </c>
      <c r="D177" s="1481" t="s">
        <v>2251</v>
      </c>
      <c r="E177" s="149">
        <v>10000</v>
      </c>
    </row>
    <row r="178" ht="47.25" customHeight="1" spans="1:5">
      <c r="A178" s="147">
        <v>175</v>
      </c>
      <c r="B178" s="152" t="s">
        <v>2252</v>
      </c>
      <c r="C178" s="139" t="s">
        <v>127</v>
      </c>
      <c r="D178" s="1481" t="s">
        <v>2253</v>
      </c>
      <c r="E178" s="149">
        <v>10000</v>
      </c>
    </row>
    <row r="179" ht="47.25" customHeight="1" spans="1:5">
      <c r="A179" s="147">
        <v>176</v>
      </c>
      <c r="B179" s="152" t="s">
        <v>2254</v>
      </c>
      <c r="C179" s="139" t="s">
        <v>97</v>
      </c>
      <c r="D179" s="153">
        <v>1457933215</v>
      </c>
      <c r="E179" s="149">
        <v>40000</v>
      </c>
    </row>
    <row r="180" ht="47.25" customHeight="1" spans="1:5">
      <c r="A180" s="147">
        <v>177</v>
      </c>
      <c r="B180" s="152" t="s">
        <v>2255</v>
      </c>
      <c r="C180" s="139" t="s">
        <v>127</v>
      </c>
      <c r="D180" s="1481" t="s">
        <v>2256</v>
      </c>
      <c r="E180" s="149">
        <v>10000</v>
      </c>
    </row>
    <row r="181" ht="47.25" customHeight="1" spans="1:5">
      <c r="A181" s="147">
        <v>178</v>
      </c>
      <c r="B181" s="152" t="s">
        <v>2257</v>
      </c>
      <c r="C181" s="139" t="s">
        <v>127</v>
      </c>
      <c r="D181" s="1481" t="s">
        <v>2258</v>
      </c>
      <c r="E181" s="149">
        <v>10000</v>
      </c>
    </row>
    <row r="182" ht="47.25" customHeight="1" spans="1:5">
      <c r="A182" s="147">
        <v>179</v>
      </c>
      <c r="B182" s="152" t="s">
        <v>2259</v>
      </c>
      <c r="C182" s="139" t="s">
        <v>93</v>
      </c>
      <c r="D182" s="153">
        <v>3104734521</v>
      </c>
      <c r="E182" s="149">
        <v>10000</v>
      </c>
    </row>
    <row r="183" ht="47.25" customHeight="1" spans="1:5">
      <c r="A183" s="147">
        <v>180</v>
      </c>
      <c r="B183" s="152" t="s">
        <v>2260</v>
      </c>
      <c r="C183" s="139" t="s">
        <v>422</v>
      </c>
      <c r="D183" s="153">
        <v>3025978249</v>
      </c>
      <c r="E183" s="149">
        <v>10000</v>
      </c>
    </row>
    <row r="184" ht="47.25" customHeight="1" spans="1:5">
      <c r="A184" s="147">
        <v>181</v>
      </c>
      <c r="B184" s="152" t="s">
        <v>2261</v>
      </c>
      <c r="C184" s="139" t="s">
        <v>127</v>
      </c>
      <c r="D184" s="1481" t="s">
        <v>2262</v>
      </c>
      <c r="E184" s="149">
        <v>40000</v>
      </c>
    </row>
    <row r="185" ht="47.25" customHeight="1" spans="1:5">
      <c r="A185" s="147">
        <v>182</v>
      </c>
      <c r="B185" s="152" t="s">
        <v>2263</v>
      </c>
      <c r="C185" s="1477" t="s">
        <v>127</v>
      </c>
      <c r="D185" s="1481" t="s">
        <v>2264</v>
      </c>
      <c r="E185" s="149">
        <v>10000</v>
      </c>
    </row>
    <row r="186" ht="47.25" customHeight="1" spans="1:5">
      <c r="A186" s="147">
        <v>183</v>
      </c>
      <c r="B186" s="152" t="s">
        <v>2265</v>
      </c>
      <c r="C186" s="1477" t="s">
        <v>93</v>
      </c>
      <c r="D186" s="153">
        <v>3095557754</v>
      </c>
      <c r="E186" s="149">
        <v>10000</v>
      </c>
    </row>
    <row r="187" ht="47.25" customHeight="1" spans="1:5">
      <c r="A187" s="147">
        <v>184</v>
      </c>
      <c r="B187" s="152" t="s">
        <v>2266</v>
      </c>
      <c r="C187" s="1477" t="s">
        <v>127</v>
      </c>
      <c r="D187" s="1481" t="s">
        <v>2267</v>
      </c>
      <c r="E187" s="149">
        <v>10000</v>
      </c>
    </row>
    <row r="188" ht="47.25" customHeight="1" spans="1:5">
      <c r="A188" s="147">
        <v>185</v>
      </c>
      <c r="B188" s="152" t="s">
        <v>2268</v>
      </c>
      <c r="C188" s="1477" t="s">
        <v>97</v>
      </c>
      <c r="D188" s="1481" t="s">
        <v>2269</v>
      </c>
      <c r="E188" s="149">
        <v>13333.33</v>
      </c>
    </row>
    <row r="189" ht="47.25" customHeight="1" spans="1:5">
      <c r="A189" s="147">
        <v>186</v>
      </c>
      <c r="B189" s="152" t="s">
        <v>2270</v>
      </c>
      <c r="C189" s="1477" t="s">
        <v>127</v>
      </c>
      <c r="D189" s="1481" t="s">
        <v>2271</v>
      </c>
      <c r="E189" s="149">
        <v>5000</v>
      </c>
    </row>
    <row r="190" ht="47.25" customHeight="1" spans="1:5">
      <c r="A190" s="147">
        <v>187</v>
      </c>
      <c r="B190" s="152" t="s">
        <v>2272</v>
      </c>
      <c r="C190" s="139" t="s">
        <v>422</v>
      </c>
      <c r="D190" s="153">
        <v>1130608400</v>
      </c>
      <c r="E190" s="149">
        <v>10000</v>
      </c>
    </row>
    <row r="191" ht="47.25" customHeight="1" spans="1:5">
      <c r="A191" s="147">
        <v>188</v>
      </c>
      <c r="B191" s="154" t="s">
        <v>900</v>
      </c>
      <c r="C191" s="155" t="s">
        <v>93</v>
      </c>
      <c r="D191" s="156">
        <v>3080189126</v>
      </c>
      <c r="E191" s="157">
        <v>10000</v>
      </c>
    </row>
    <row r="192" ht="38.25" customHeight="1" spans="1:5">
      <c r="A192" s="158"/>
      <c r="B192" s="159" t="s">
        <v>867</v>
      </c>
      <c r="C192" s="160"/>
      <c r="D192" s="160"/>
      <c r="E192" s="161">
        <f>SUM(E163:E191)</f>
        <v>609182.64</v>
      </c>
    </row>
    <row r="193" s="125" customFormat="1" ht="37.5" spans="1:5">
      <c r="A193" s="158"/>
      <c r="B193" s="162" t="s">
        <v>868</v>
      </c>
      <c r="C193" s="163"/>
      <c r="D193" s="163"/>
      <c r="E193" s="164"/>
    </row>
    <row r="194" s="126" customFormat="1" ht="49.5" customHeight="1" spans="1:5">
      <c r="A194" s="165">
        <v>189</v>
      </c>
      <c r="B194" s="4" t="s">
        <v>1519</v>
      </c>
      <c r="C194" s="166" t="s">
        <v>873</v>
      </c>
      <c r="D194" s="1482" t="s">
        <v>1522</v>
      </c>
      <c r="E194" s="167">
        <v>108682.9826</v>
      </c>
    </row>
    <row r="195" s="126" customFormat="1" ht="49.5" customHeight="1" spans="1:5">
      <c r="A195" s="165">
        <v>190</v>
      </c>
      <c r="B195" s="4" t="s">
        <v>869</v>
      </c>
      <c r="C195" s="168" t="s">
        <v>113</v>
      </c>
      <c r="D195" s="168">
        <v>2067399897</v>
      </c>
      <c r="E195" s="167">
        <v>116182.9826</v>
      </c>
    </row>
    <row r="196" s="126" customFormat="1" ht="49.5" customHeight="1" spans="1:5">
      <c r="A196" s="165">
        <v>191</v>
      </c>
      <c r="B196" s="4" t="s">
        <v>2151</v>
      </c>
      <c r="C196" s="168" t="s">
        <v>873</v>
      </c>
      <c r="D196" s="1483" t="s">
        <v>172</v>
      </c>
      <c r="E196" s="167">
        <v>117682.9826</v>
      </c>
    </row>
    <row r="197" s="126" customFormat="1" ht="49.5" customHeight="1" spans="1:5">
      <c r="A197" s="165">
        <v>192</v>
      </c>
      <c r="B197" s="4" t="s">
        <v>870</v>
      </c>
      <c r="C197" s="169" t="s">
        <v>871</v>
      </c>
      <c r="D197" s="169">
        <v>6017466005</v>
      </c>
      <c r="E197" s="167">
        <v>115432.9826</v>
      </c>
    </row>
    <row r="198" s="126" customFormat="1" ht="49.5" customHeight="1" spans="1:5">
      <c r="A198" s="165">
        <v>193</v>
      </c>
      <c r="B198" s="4" t="s">
        <v>872</v>
      </c>
      <c r="C198" s="169" t="s">
        <v>873</v>
      </c>
      <c r="D198" s="1484" t="s">
        <v>172</v>
      </c>
      <c r="E198" s="167">
        <v>90510.5088133333</v>
      </c>
    </row>
    <row r="199" s="126" customFormat="1" ht="49.5" customHeight="1" spans="1:5">
      <c r="A199" s="165">
        <v>194</v>
      </c>
      <c r="B199" s="4" t="s">
        <v>875</v>
      </c>
      <c r="C199" s="168" t="s">
        <v>871</v>
      </c>
      <c r="D199" s="169">
        <v>5331903472</v>
      </c>
      <c r="E199" s="167">
        <v>107932.9826</v>
      </c>
    </row>
    <row r="200" s="126" customFormat="1" ht="49.5" customHeight="1" spans="1:5">
      <c r="A200" s="165">
        <v>195</v>
      </c>
      <c r="B200" s="4" t="s">
        <v>876</v>
      </c>
      <c r="C200" s="169" t="s">
        <v>135</v>
      </c>
      <c r="D200" s="1484" t="s">
        <v>2273</v>
      </c>
      <c r="E200" s="167">
        <v>105801.0076</v>
      </c>
    </row>
    <row r="201" s="126" customFormat="1" ht="49.5" customHeight="1" spans="1:5">
      <c r="A201" s="165">
        <v>196</v>
      </c>
      <c r="B201" s="4" t="s">
        <v>878</v>
      </c>
      <c r="C201" s="168" t="s">
        <v>97</v>
      </c>
      <c r="D201" s="168" t="s">
        <v>2274</v>
      </c>
      <c r="E201" s="167">
        <v>78368.0076</v>
      </c>
    </row>
    <row r="202" s="126" customFormat="1" ht="49.5" customHeight="1" spans="1:5">
      <c r="A202" s="165">
        <v>197</v>
      </c>
      <c r="B202" s="4" t="s">
        <v>880</v>
      </c>
      <c r="C202" s="168" t="s">
        <v>871</v>
      </c>
      <c r="D202" s="168">
        <v>6170236860</v>
      </c>
      <c r="E202" s="167">
        <v>85051.0076</v>
      </c>
    </row>
    <row r="203" s="126" customFormat="1" ht="49.5" customHeight="1" spans="1:5">
      <c r="A203" s="165">
        <v>198</v>
      </c>
      <c r="B203" s="4" t="s">
        <v>881</v>
      </c>
      <c r="C203" s="168" t="s">
        <v>675</v>
      </c>
      <c r="D203" s="168">
        <v>3119660547</v>
      </c>
      <c r="E203" s="167">
        <v>104551.0076</v>
      </c>
    </row>
    <row r="204" s="126" customFormat="1" ht="49.5" customHeight="1" spans="1:5">
      <c r="A204" s="165">
        <v>199</v>
      </c>
      <c r="B204" s="4" t="s">
        <v>882</v>
      </c>
      <c r="C204" s="168" t="s">
        <v>871</v>
      </c>
      <c r="D204" s="168">
        <v>6239775462</v>
      </c>
      <c r="E204" s="167">
        <v>73260.0076</v>
      </c>
    </row>
    <row r="205" s="126" customFormat="1" ht="49.5" customHeight="1" spans="1:5">
      <c r="A205" s="165">
        <v>200</v>
      </c>
      <c r="B205" s="4" t="s">
        <v>883</v>
      </c>
      <c r="C205" s="168" t="s">
        <v>97</v>
      </c>
      <c r="D205" s="168" t="s">
        <v>884</v>
      </c>
      <c r="E205" s="167">
        <v>24000.7325866667</v>
      </c>
    </row>
    <row r="206" s="126" customFormat="1" ht="49.5" customHeight="1" spans="1:5">
      <c r="A206" s="165">
        <v>201</v>
      </c>
      <c r="B206" s="4" t="s">
        <v>885</v>
      </c>
      <c r="C206" s="168" t="s">
        <v>165</v>
      </c>
      <c r="D206" s="168">
        <v>2120701852</v>
      </c>
      <c r="E206" s="167">
        <v>35000.7325866667</v>
      </c>
    </row>
    <row r="207" s="126" customFormat="1" ht="49.5" customHeight="1" spans="1:5">
      <c r="A207" s="165">
        <v>202</v>
      </c>
      <c r="B207" s="4" t="s">
        <v>1840</v>
      </c>
      <c r="C207" s="168" t="s">
        <v>165</v>
      </c>
      <c r="D207" s="168">
        <v>2120701900</v>
      </c>
      <c r="E207" s="167">
        <v>35000.7325866667</v>
      </c>
    </row>
    <row r="208" s="126" customFormat="1" ht="49.5" customHeight="1" spans="1:5">
      <c r="A208" s="165">
        <v>203</v>
      </c>
      <c r="B208" s="4" t="s">
        <v>888</v>
      </c>
      <c r="C208" s="168" t="s">
        <v>889</v>
      </c>
      <c r="D208" s="168" t="s">
        <v>890</v>
      </c>
      <c r="E208" s="167">
        <v>35000.7325866667</v>
      </c>
    </row>
    <row r="209" s="126" customFormat="1" ht="49.5" customHeight="1" spans="1:5">
      <c r="A209" s="165">
        <v>204</v>
      </c>
      <c r="B209" s="4" t="s">
        <v>2204</v>
      </c>
      <c r="C209" s="168" t="s">
        <v>113</v>
      </c>
      <c r="D209" s="168">
        <v>2004573571</v>
      </c>
      <c r="E209" s="167">
        <v>414601.298413333</v>
      </c>
    </row>
    <row r="210" s="126" customFormat="1" ht="49.5" customHeight="1" spans="1:5">
      <c r="A210" s="165">
        <v>205</v>
      </c>
      <c r="B210" s="4" t="s">
        <v>2154</v>
      </c>
      <c r="C210" s="168" t="s">
        <v>127</v>
      </c>
      <c r="D210" s="1483" t="s">
        <v>2275</v>
      </c>
      <c r="E210" s="167">
        <v>844028.820201333</v>
      </c>
    </row>
    <row r="211" s="126" customFormat="1" ht="49.5" customHeight="1" spans="1:5">
      <c r="A211" s="165">
        <v>206</v>
      </c>
      <c r="B211" s="4" t="s">
        <v>2155</v>
      </c>
      <c r="C211" s="168" t="s">
        <v>313</v>
      </c>
      <c r="D211" s="168" t="s">
        <v>2276</v>
      </c>
      <c r="E211" s="167">
        <v>844028.820201333</v>
      </c>
    </row>
    <row r="212" s="126" customFormat="1" ht="49.5" customHeight="1" spans="1:5">
      <c r="A212" s="165">
        <v>207</v>
      </c>
      <c r="B212" s="4" t="s">
        <v>2156</v>
      </c>
      <c r="C212" s="168" t="s">
        <v>97</v>
      </c>
      <c r="D212" s="168" t="s">
        <v>2277</v>
      </c>
      <c r="E212" s="167">
        <v>544028.820201333</v>
      </c>
    </row>
    <row r="213" s="126" customFormat="1" ht="49.5" customHeight="1" spans="1:5">
      <c r="A213" s="165">
        <v>208</v>
      </c>
      <c r="B213" s="4" t="s">
        <v>2157</v>
      </c>
      <c r="C213" s="168" t="s">
        <v>165</v>
      </c>
      <c r="D213" s="168">
        <v>1004833067</v>
      </c>
      <c r="E213" s="167">
        <v>783970.548601333</v>
      </c>
    </row>
    <row r="214" s="126" customFormat="1" ht="49.5" customHeight="1" spans="1:5">
      <c r="A214" s="165">
        <v>209</v>
      </c>
      <c r="B214" s="4" t="s">
        <v>894</v>
      </c>
      <c r="C214" s="168" t="s">
        <v>165</v>
      </c>
      <c r="D214" s="168" t="s">
        <v>2278</v>
      </c>
      <c r="E214" s="167">
        <v>148885.510253333</v>
      </c>
    </row>
    <row r="215" s="126" customFormat="1" ht="49.5" customHeight="1" spans="1:5">
      <c r="A215" s="165">
        <v>210</v>
      </c>
      <c r="B215" s="4" t="s">
        <v>896</v>
      </c>
      <c r="C215" s="168" t="s">
        <v>113</v>
      </c>
      <c r="D215" s="168" t="s">
        <v>897</v>
      </c>
      <c r="E215" s="167">
        <v>199385.510253333</v>
      </c>
    </row>
    <row r="216" s="126" customFormat="1" ht="49.5" customHeight="1" spans="1:5">
      <c r="A216" s="165">
        <v>211</v>
      </c>
      <c r="B216" s="4" t="s">
        <v>898</v>
      </c>
      <c r="C216" s="168" t="s">
        <v>135</v>
      </c>
      <c r="D216" s="1483" t="s">
        <v>899</v>
      </c>
      <c r="E216" s="167">
        <v>81347.1388</v>
      </c>
    </row>
    <row r="217" s="126" customFormat="1" ht="49.5" customHeight="1" spans="1:5">
      <c r="A217" s="165">
        <v>212</v>
      </c>
      <c r="B217" s="4" t="s">
        <v>901</v>
      </c>
      <c r="C217" s="168" t="s">
        <v>97</v>
      </c>
      <c r="D217" s="168" t="s">
        <v>2279</v>
      </c>
      <c r="E217" s="167">
        <v>72085.2926</v>
      </c>
    </row>
    <row r="218" s="126" customFormat="1" ht="49.5" customHeight="1" spans="1:5">
      <c r="A218" s="165">
        <v>213</v>
      </c>
      <c r="B218" s="4" t="s">
        <v>903</v>
      </c>
      <c r="C218" s="168" t="s">
        <v>675</v>
      </c>
      <c r="D218" s="168">
        <v>2019881070</v>
      </c>
      <c r="E218" s="167">
        <v>138863.942053333</v>
      </c>
    </row>
    <row r="219" s="126" customFormat="1" ht="49.5" customHeight="1" spans="1:5">
      <c r="A219" s="165">
        <v>214</v>
      </c>
      <c r="B219" s="4" t="s">
        <v>2158</v>
      </c>
      <c r="C219" s="168" t="s">
        <v>2280</v>
      </c>
      <c r="D219" s="168">
        <v>1401070897</v>
      </c>
      <c r="E219" s="167">
        <v>123264.822053333</v>
      </c>
    </row>
    <row r="220" s="126" customFormat="1" ht="49.5" customHeight="1" spans="1:5">
      <c r="A220" s="165">
        <v>215</v>
      </c>
      <c r="B220" s="4" t="s">
        <v>905</v>
      </c>
      <c r="C220" s="170" t="s">
        <v>873</v>
      </c>
      <c r="D220" s="170" t="s">
        <v>2281</v>
      </c>
      <c r="E220" s="167">
        <v>117499.727093333</v>
      </c>
    </row>
    <row r="221" s="126" customFormat="1" ht="49.5" customHeight="1" spans="1:5">
      <c r="A221" s="165">
        <v>216</v>
      </c>
      <c r="B221" s="4" t="s">
        <v>907</v>
      </c>
      <c r="C221" s="168" t="s">
        <v>675</v>
      </c>
      <c r="D221" s="168">
        <v>3061017477</v>
      </c>
      <c r="E221" s="167">
        <v>103051.0076</v>
      </c>
    </row>
    <row r="222" s="126" customFormat="1" ht="49.5" customHeight="1" spans="1:5">
      <c r="A222" s="165">
        <v>217</v>
      </c>
      <c r="B222" s="4" t="s">
        <v>908</v>
      </c>
      <c r="C222" s="170" t="s">
        <v>873</v>
      </c>
      <c r="D222" s="1485" t="s">
        <v>909</v>
      </c>
      <c r="E222" s="167">
        <v>229391.115304</v>
      </c>
    </row>
    <row r="223" s="126" customFormat="1" ht="49.5" customHeight="1" spans="1:5">
      <c r="A223" s="165">
        <v>218</v>
      </c>
      <c r="B223" s="4" t="s">
        <v>2159</v>
      </c>
      <c r="C223" s="170" t="s">
        <v>97</v>
      </c>
      <c r="D223" s="170" t="s">
        <v>2282</v>
      </c>
      <c r="E223" s="167" t="e">
        <f>#REF!</f>
        <v>#REF!</v>
      </c>
    </row>
    <row r="224" s="126" customFormat="1" ht="49.5" customHeight="1" spans="1:5">
      <c r="A224" s="165">
        <v>219</v>
      </c>
      <c r="B224" s="4" t="s">
        <v>910</v>
      </c>
      <c r="C224" s="171" t="s">
        <v>113</v>
      </c>
      <c r="D224" s="171" t="s">
        <v>911</v>
      </c>
      <c r="E224" s="167">
        <v>7586.8301</v>
      </c>
    </row>
    <row r="225" s="126" customFormat="1" ht="49.5" customHeight="1" spans="1:5">
      <c r="A225" s="165">
        <v>220</v>
      </c>
      <c r="B225" s="4" t="s">
        <v>912</v>
      </c>
      <c r="C225" s="168" t="s">
        <v>113</v>
      </c>
      <c r="D225" s="168" t="s">
        <v>913</v>
      </c>
      <c r="E225" s="167">
        <v>29719.3795866667</v>
      </c>
    </row>
    <row r="226" s="126" customFormat="1" ht="49.5" customHeight="1" spans="1:5">
      <c r="A226" s="165">
        <v>221</v>
      </c>
      <c r="B226" s="4" t="s">
        <v>914</v>
      </c>
      <c r="C226" s="168" t="s">
        <v>97</v>
      </c>
      <c r="D226" s="1483" t="s">
        <v>2283</v>
      </c>
      <c r="E226" s="167">
        <v>88182.5765733334</v>
      </c>
    </row>
    <row r="227" s="126" customFormat="1" ht="49.5" customHeight="1" spans="1:5">
      <c r="A227" s="165">
        <v>222</v>
      </c>
      <c r="B227" s="4" t="s">
        <v>917</v>
      </c>
      <c r="C227" s="170" t="s">
        <v>165</v>
      </c>
      <c r="D227" s="170" t="s">
        <v>2284</v>
      </c>
      <c r="E227" s="167">
        <v>24249.6704266667</v>
      </c>
    </row>
    <row r="228" s="126" customFormat="1" ht="49.5" customHeight="1" spans="1:5">
      <c r="A228" s="165">
        <v>223</v>
      </c>
      <c r="B228" s="4" t="s">
        <v>919</v>
      </c>
      <c r="C228" s="168" t="s">
        <v>93</v>
      </c>
      <c r="D228" s="168" t="s">
        <v>920</v>
      </c>
      <c r="E228" s="167">
        <v>83551.0076</v>
      </c>
    </row>
    <row r="229" s="126" customFormat="1" ht="49.5" customHeight="1" spans="1:5">
      <c r="A229" s="165">
        <v>224</v>
      </c>
      <c r="B229" s="4" t="s">
        <v>921</v>
      </c>
      <c r="C229" s="168" t="s">
        <v>93</v>
      </c>
      <c r="D229" s="168" t="s">
        <v>2285</v>
      </c>
      <c r="E229" s="167">
        <v>203102.658304</v>
      </c>
    </row>
    <row r="230" s="126" customFormat="1" ht="49.5" customHeight="1" spans="1:5">
      <c r="A230" s="165">
        <v>225</v>
      </c>
      <c r="B230" s="4" t="s">
        <v>2160</v>
      </c>
      <c r="C230" s="168" t="s">
        <v>165</v>
      </c>
      <c r="D230" s="168" t="s">
        <v>2286</v>
      </c>
      <c r="E230" s="167">
        <v>55994.3406933333</v>
      </c>
    </row>
    <row r="231" s="126" customFormat="1" ht="49.5" customHeight="1" spans="1:5">
      <c r="A231" s="165">
        <v>226</v>
      </c>
      <c r="B231" s="4" t="s">
        <v>2161</v>
      </c>
      <c r="C231" s="168" t="s">
        <v>113</v>
      </c>
      <c r="D231" s="168" t="s">
        <v>924</v>
      </c>
      <c r="E231" s="167">
        <v>31300.1125866667</v>
      </c>
    </row>
    <row r="232" s="126" customFormat="1" ht="49.5" customHeight="1" spans="1:5">
      <c r="A232" s="165">
        <v>227</v>
      </c>
      <c r="B232" s="4" t="s">
        <v>925</v>
      </c>
      <c r="C232" s="168" t="s">
        <v>1037</v>
      </c>
      <c r="D232" s="1483" t="s">
        <v>2287</v>
      </c>
      <c r="E232" s="167">
        <v>100132.9826</v>
      </c>
    </row>
    <row r="233" s="126" customFormat="1" ht="49.5" customHeight="1" spans="1:5">
      <c r="A233" s="165">
        <v>228</v>
      </c>
      <c r="B233" s="4" t="s">
        <v>927</v>
      </c>
      <c r="C233" s="168" t="s">
        <v>873</v>
      </c>
      <c r="D233" s="1483" t="s">
        <v>2288</v>
      </c>
      <c r="E233" s="167">
        <v>100382.9826</v>
      </c>
    </row>
    <row r="234" s="126" customFormat="1" ht="49.5" customHeight="1" spans="1:5">
      <c r="A234" s="165">
        <v>229</v>
      </c>
      <c r="B234" s="4" t="s">
        <v>929</v>
      </c>
      <c r="C234" s="168" t="s">
        <v>873</v>
      </c>
      <c r="D234" s="1483" t="s">
        <v>930</v>
      </c>
      <c r="E234" s="167">
        <v>100882.9826</v>
      </c>
    </row>
    <row r="235" s="126" customFormat="1" ht="49.5" customHeight="1" spans="1:5">
      <c r="A235" s="165">
        <v>230</v>
      </c>
      <c r="B235" s="4" t="s">
        <v>931</v>
      </c>
      <c r="C235" s="168" t="s">
        <v>113</v>
      </c>
      <c r="D235" s="168" t="s">
        <v>932</v>
      </c>
      <c r="E235" s="167">
        <v>78382.9826</v>
      </c>
    </row>
    <row r="236" s="126" customFormat="1" ht="49.5" customHeight="1" spans="1:5">
      <c r="A236" s="165">
        <v>231</v>
      </c>
      <c r="B236" s="4" t="s">
        <v>2162</v>
      </c>
      <c r="C236" s="168" t="s">
        <v>873</v>
      </c>
      <c r="D236" s="1483" t="s">
        <v>1578</v>
      </c>
      <c r="E236" s="167">
        <v>90882.9826</v>
      </c>
    </row>
    <row r="237" s="126" customFormat="1" ht="49.5" customHeight="1" spans="1:5">
      <c r="A237" s="165">
        <v>232</v>
      </c>
      <c r="B237" s="4" t="s">
        <v>936</v>
      </c>
      <c r="C237" s="168" t="s">
        <v>97</v>
      </c>
      <c r="D237" s="1483" t="s">
        <v>2289</v>
      </c>
      <c r="E237" s="167">
        <v>100132.9826</v>
      </c>
    </row>
    <row r="238" s="126" customFormat="1" ht="49.5" customHeight="1" spans="1:5">
      <c r="A238" s="165">
        <v>233</v>
      </c>
      <c r="B238" s="4" t="s">
        <v>939</v>
      </c>
      <c r="C238" s="168" t="s">
        <v>873</v>
      </c>
      <c r="D238" s="1483" t="s">
        <v>2290</v>
      </c>
      <c r="E238" s="167">
        <v>72382.9826</v>
      </c>
    </row>
    <row r="239" s="126" customFormat="1" ht="49.5" customHeight="1" spans="1:5">
      <c r="A239" s="165">
        <v>234</v>
      </c>
      <c r="B239" s="4" t="s">
        <v>2163</v>
      </c>
      <c r="C239" s="168" t="s">
        <v>145</v>
      </c>
      <c r="D239" s="1483" t="s">
        <v>2291</v>
      </c>
      <c r="E239" s="167">
        <v>103632.9826</v>
      </c>
    </row>
    <row r="240" s="126" customFormat="1" ht="49.5" customHeight="1" spans="1:5">
      <c r="A240" s="165">
        <v>235</v>
      </c>
      <c r="B240" s="4" t="s">
        <v>2164</v>
      </c>
      <c r="C240" s="168" t="s">
        <v>97</v>
      </c>
      <c r="D240" s="1483" t="s">
        <v>2292</v>
      </c>
      <c r="E240" s="167">
        <v>31768.6910590667</v>
      </c>
    </row>
    <row r="241" s="126" customFormat="1" ht="49.5" customHeight="1" spans="1:5">
      <c r="A241" s="165">
        <v>236</v>
      </c>
      <c r="B241" s="4" t="s">
        <v>2165</v>
      </c>
      <c r="C241" s="172" t="s">
        <v>549</v>
      </c>
      <c r="D241" s="172" t="s">
        <v>947</v>
      </c>
      <c r="E241" s="167">
        <v>87740.0564</v>
      </c>
    </row>
    <row r="242" s="126" customFormat="1" ht="49.5" customHeight="1" spans="1:5">
      <c r="A242" s="165">
        <v>237</v>
      </c>
      <c r="B242" s="4" t="s">
        <v>2166</v>
      </c>
      <c r="C242" s="168" t="s">
        <v>113</v>
      </c>
      <c r="D242" s="168" t="s">
        <v>2293</v>
      </c>
      <c r="E242" s="167">
        <v>53755.1636933333</v>
      </c>
    </row>
    <row r="243" s="126" customFormat="1" ht="49.5" customHeight="1" spans="1:5">
      <c r="A243" s="165">
        <v>238</v>
      </c>
      <c r="B243" s="4" t="s">
        <v>951</v>
      </c>
      <c r="C243" s="168" t="s">
        <v>113</v>
      </c>
      <c r="D243" s="168" t="s">
        <v>952</v>
      </c>
      <c r="E243" s="167">
        <v>32699.1635866667</v>
      </c>
    </row>
    <row r="244" s="126" customFormat="1" ht="49.5" customHeight="1" spans="1:5">
      <c r="A244" s="165">
        <v>239</v>
      </c>
      <c r="B244" s="4" t="s">
        <v>953</v>
      </c>
      <c r="C244" s="168" t="s">
        <v>113</v>
      </c>
      <c r="D244" s="168" t="s">
        <v>954</v>
      </c>
      <c r="E244" s="167">
        <v>53755.1636933333</v>
      </c>
    </row>
    <row r="245" s="126" customFormat="1" ht="49.5" customHeight="1" spans="1:5">
      <c r="A245" s="165">
        <v>240</v>
      </c>
      <c r="B245" s="4" t="s">
        <v>2167</v>
      </c>
      <c r="C245" s="168" t="s">
        <v>113</v>
      </c>
      <c r="D245" s="168" t="s">
        <v>2294</v>
      </c>
      <c r="E245" s="167">
        <v>323201.588413333</v>
      </c>
    </row>
    <row r="246" s="126" customFormat="1" ht="49.5" customHeight="1" spans="1:5">
      <c r="A246" s="165">
        <v>241</v>
      </c>
      <c r="B246" s="4" t="s">
        <v>955</v>
      </c>
      <c r="C246" s="168" t="s">
        <v>313</v>
      </c>
      <c r="D246" s="1483" t="s">
        <v>956</v>
      </c>
      <c r="E246" s="167">
        <v>228024.486293333</v>
      </c>
    </row>
    <row r="247" s="126" customFormat="1" ht="49.5" customHeight="1" spans="1:5">
      <c r="A247" s="165">
        <v>242</v>
      </c>
      <c r="B247" s="4" t="s">
        <v>2205</v>
      </c>
      <c r="C247" s="168" t="s">
        <v>113</v>
      </c>
      <c r="D247" s="168" t="s">
        <v>958</v>
      </c>
      <c r="E247" s="167">
        <v>30005.2234133333</v>
      </c>
    </row>
    <row r="248" s="126" customFormat="1" ht="49.5" customHeight="1" spans="1:5">
      <c r="A248" s="165">
        <v>243</v>
      </c>
      <c r="B248" s="4" t="s">
        <v>959</v>
      </c>
      <c r="C248" s="168" t="s">
        <v>93</v>
      </c>
      <c r="D248" s="168" t="s">
        <v>960</v>
      </c>
      <c r="E248" s="167">
        <v>33199.1635866667</v>
      </c>
    </row>
    <row r="249" s="126" customFormat="1" ht="49.5" customHeight="1" spans="1:5">
      <c r="A249" s="165">
        <v>244</v>
      </c>
      <c r="B249" s="4" t="s">
        <v>962</v>
      </c>
      <c r="C249" s="168" t="s">
        <v>873</v>
      </c>
      <c r="D249" s="1483" t="s">
        <v>963</v>
      </c>
      <c r="E249" s="167">
        <v>13915.6704266667</v>
      </c>
    </row>
    <row r="250" s="126" customFormat="1" ht="49.5" customHeight="1" spans="1:5">
      <c r="A250" s="165">
        <v>245</v>
      </c>
      <c r="B250" s="4" t="s">
        <v>964</v>
      </c>
      <c r="C250" s="168" t="s">
        <v>93</v>
      </c>
      <c r="D250" s="168" t="s">
        <v>965</v>
      </c>
      <c r="E250" s="167">
        <v>43338.5534133333</v>
      </c>
    </row>
    <row r="251" s="126" customFormat="1" ht="49.5" customHeight="1" spans="1:5">
      <c r="A251" s="165">
        <v>246</v>
      </c>
      <c r="B251" s="4" t="s">
        <v>966</v>
      </c>
      <c r="C251" s="168" t="s">
        <v>93</v>
      </c>
      <c r="D251" s="168" t="s">
        <v>967</v>
      </c>
      <c r="E251" s="167">
        <v>29249.6704266667</v>
      </c>
    </row>
    <row r="252" s="126" customFormat="1" ht="49.5" customHeight="1" spans="1:5">
      <c r="A252" s="165">
        <v>247</v>
      </c>
      <c r="B252" s="4" t="s">
        <v>968</v>
      </c>
      <c r="C252" s="168" t="s">
        <v>93</v>
      </c>
      <c r="D252" s="168" t="s">
        <v>969</v>
      </c>
      <c r="E252" s="167">
        <v>28928.8975866667</v>
      </c>
    </row>
    <row r="253" s="126" customFormat="1" ht="49.5" customHeight="1" spans="1:5">
      <c r="A253" s="165">
        <v>248</v>
      </c>
      <c r="B253" s="4" t="s">
        <v>970</v>
      </c>
      <c r="C253" s="168" t="s">
        <v>93</v>
      </c>
      <c r="D253" s="168" t="s">
        <v>971</v>
      </c>
      <c r="E253" s="167">
        <v>28928.8975866667</v>
      </c>
    </row>
    <row r="254" s="126" customFormat="1" ht="49.5" customHeight="1" spans="1:5">
      <c r="A254" s="165">
        <v>249</v>
      </c>
      <c r="B254" s="4" t="s">
        <v>978</v>
      </c>
      <c r="C254" s="168" t="s">
        <v>97</v>
      </c>
      <c r="D254" s="1483" t="s">
        <v>2295</v>
      </c>
      <c r="E254" s="167">
        <v>32249.6704266667</v>
      </c>
    </row>
    <row r="255" s="126" customFormat="1" ht="49.5" customHeight="1" spans="1:5">
      <c r="A255" s="165">
        <v>250</v>
      </c>
      <c r="B255" s="4" t="s">
        <v>980</v>
      </c>
      <c r="C255" s="168" t="s">
        <v>873</v>
      </c>
      <c r="D255" s="1483" t="s">
        <v>1606</v>
      </c>
      <c r="E255" s="167">
        <v>17249.6704266667</v>
      </c>
    </row>
    <row r="256" s="126" customFormat="1" ht="49.5" customHeight="1" spans="1:5">
      <c r="A256" s="165">
        <v>251</v>
      </c>
      <c r="B256" s="4" t="s">
        <v>2168</v>
      </c>
      <c r="C256" s="168" t="s">
        <v>97</v>
      </c>
      <c r="D256" s="1483" t="s">
        <v>2296</v>
      </c>
      <c r="E256" s="167">
        <v>27249.6704266667</v>
      </c>
    </row>
    <row r="257" s="126" customFormat="1" ht="49.5" customHeight="1" spans="1:5">
      <c r="A257" s="165">
        <v>252</v>
      </c>
      <c r="B257" s="4" t="s">
        <v>989</v>
      </c>
      <c r="C257" s="168" t="s">
        <v>93</v>
      </c>
      <c r="D257" s="168" t="s">
        <v>990</v>
      </c>
      <c r="E257" s="167">
        <v>30350.6194266667</v>
      </c>
    </row>
    <row r="258" s="126" customFormat="1" ht="49.5" customHeight="1" spans="1:5">
      <c r="A258" s="165">
        <v>253</v>
      </c>
      <c r="B258" s="4" t="s">
        <v>991</v>
      </c>
      <c r="C258" s="168" t="s">
        <v>113</v>
      </c>
      <c r="D258" s="168" t="s">
        <v>2297</v>
      </c>
      <c r="E258" s="167">
        <v>30350.6194266667</v>
      </c>
    </row>
    <row r="259" s="126" customFormat="1" ht="49.5" customHeight="1" spans="1:5">
      <c r="A259" s="165">
        <v>254</v>
      </c>
      <c r="B259" s="4" t="s">
        <v>1004</v>
      </c>
      <c r="C259" s="168" t="s">
        <v>93</v>
      </c>
      <c r="D259" s="168" t="s">
        <v>1005</v>
      </c>
      <c r="E259" s="167">
        <v>28303.0564</v>
      </c>
    </row>
    <row r="260" s="126" customFormat="1" ht="49.5" customHeight="1" spans="1:5">
      <c r="A260" s="165">
        <v>255</v>
      </c>
      <c r="B260" s="4" t="s">
        <v>1006</v>
      </c>
      <c r="C260" s="168" t="s">
        <v>93</v>
      </c>
      <c r="D260" s="168" t="s">
        <v>2298</v>
      </c>
      <c r="E260" s="167">
        <v>116093.6564</v>
      </c>
    </row>
    <row r="261" s="126" customFormat="1" ht="49.5" customHeight="1" spans="1:5">
      <c r="A261" s="165">
        <v>256</v>
      </c>
      <c r="B261" s="4" t="s">
        <v>1008</v>
      </c>
      <c r="C261" s="168" t="s">
        <v>873</v>
      </c>
      <c r="D261" s="1483" t="s">
        <v>1009</v>
      </c>
      <c r="E261" s="167">
        <v>86645.3722933333</v>
      </c>
    </row>
    <row r="262" s="126" customFormat="1" ht="49.5" customHeight="1" spans="1:5">
      <c r="A262" s="165">
        <v>257</v>
      </c>
      <c r="B262" s="4" t="s">
        <v>1010</v>
      </c>
      <c r="C262" s="168" t="s">
        <v>93</v>
      </c>
      <c r="D262" s="168" t="s">
        <v>2299</v>
      </c>
      <c r="E262" s="167">
        <v>96879.5368133333</v>
      </c>
    </row>
    <row r="263" s="126" customFormat="1" ht="49.5" customHeight="1" spans="1:5">
      <c r="A263" s="165">
        <v>258</v>
      </c>
      <c r="B263" s="4" t="s">
        <v>2169</v>
      </c>
      <c r="C263" s="168" t="s">
        <v>113</v>
      </c>
      <c r="D263" s="168" t="s">
        <v>1013</v>
      </c>
      <c r="E263" s="167">
        <v>50330.4126</v>
      </c>
    </row>
    <row r="264" s="126" customFormat="1" ht="49.5" customHeight="1" spans="1:5">
      <c r="A264" s="165">
        <v>259</v>
      </c>
      <c r="B264" s="4" t="s">
        <v>1015</v>
      </c>
      <c r="C264" s="168" t="s">
        <v>93</v>
      </c>
      <c r="D264" s="168" t="s">
        <v>2300</v>
      </c>
      <c r="E264" s="167">
        <v>86240.0564</v>
      </c>
    </row>
    <row r="265" s="126" customFormat="1" ht="49.5" customHeight="1" spans="1:5">
      <c r="A265" s="165">
        <v>260</v>
      </c>
      <c r="B265" s="4" t="s">
        <v>1017</v>
      </c>
      <c r="C265" s="168" t="s">
        <v>135</v>
      </c>
      <c r="D265" s="1483" t="s">
        <v>1018</v>
      </c>
      <c r="E265" s="167">
        <v>67163.7426</v>
      </c>
    </row>
    <row r="266" s="126" customFormat="1" ht="49.5" customHeight="1" spans="1:5">
      <c r="A266" s="165">
        <v>261</v>
      </c>
      <c r="B266" s="4" t="s">
        <v>2170</v>
      </c>
      <c r="C266" s="168" t="s">
        <v>113</v>
      </c>
      <c r="D266" s="168">
        <v>2011462879</v>
      </c>
      <c r="E266" s="167">
        <v>106671.2264</v>
      </c>
    </row>
    <row r="267" s="126" customFormat="1" ht="49.5" customHeight="1" spans="1:5">
      <c r="A267" s="165">
        <v>262</v>
      </c>
      <c r="B267" s="4" t="s">
        <v>1020</v>
      </c>
      <c r="C267" s="173" t="s">
        <v>873</v>
      </c>
      <c r="D267" s="173" t="s">
        <v>1021</v>
      </c>
      <c r="E267" s="167">
        <v>147871.854293333</v>
      </c>
    </row>
    <row r="268" s="126" customFormat="1" ht="49.5" customHeight="1" spans="1:5">
      <c r="A268" s="165">
        <v>263</v>
      </c>
      <c r="B268" s="4" t="s">
        <v>1022</v>
      </c>
      <c r="C268" s="168" t="s">
        <v>873</v>
      </c>
      <c r="D268" s="1483" t="s">
        <v>1023</v>
      </c>
      <c r="E268" s="167">
        <v>120399.536813333</v>
      </c>
    </row>
    <row r="269" s="126" customFormat="1" ht="49.5" customHeight="1" spans="1:5">
      <c r="A269" s="165">
        <v>264</v>
      </c>
      <c r="B269" s="4" t="s">
        <v>1024</v>
      </c>
      <c r="C269" s="171" t="s">
        <v>113</v>
      </c>
      <c r="D269" s="1486" t="s">
        <v>2301</v>
      </c>
      <c r="E269" s="167">
        <v>104996.727093333</v>
      </c>
    </row>
    <row r="270" s="126" customFormat="1" ht="49.5" customHeight="1" spans="1:5">
      <c r="A270" s="165">
        <v>265</v>
      </c>
      <c r="B270" s="4" t="s">
        <v>2171</v>
      </c>
      <c r="C270" s="168" t="s">
        <v>93</v>
      </c>
      <c r="D270" s="168" t="s">
        <v>1027</v>
      </c>
      <c r="E270" s="167">
        <v>81691.0326</v>
      </c>
    </row>
    <row r="271" s="126" customFormat="1" ht="49.5" customHeight="1" spans="1:5">
      <c r="A271" s="165">
        <v>266</v>
      </c>
      <c r="B271" s="4" t="s">
        <v>1028</v>
      </c>
      <c r="C271" s="174" t="s">
        <v>871</v>
      </c>
      <c r="D271" s="174" t="s">
        <v>1029</v>
      </c>
      <c r="E271" s="167">
        <v>70441.0326</v>
      </c>
    </row>
    <row r="272" s="126" customFormat="1" ht="49.5" customHeight="1" spans="1:5">
      <c r="A272" s="165">
        <v>267</v>
      </c>
      <c r="B272" s="4" t="s">
        <v>1030</v>
      </c>
      <c r="C272" s="168" t="s">
        <v>873</v>
      </c>
      <c r="D272" s="1483" t="s">
        <v>1031</v>
      </c>
      <c r="E272" s="167">
        <v>87191.0326</v>
      </c>
    </row>
    <row r="273" s="126" customFormat="1" ht="49.5" customHeight="1" spans="1:5">
      <c r="A273" s="165">
        <v>268</v>
      </c>
      <c r="B273" s="4" t="s">
        <v>2172</v>
      </c>
      <c r="C273" s="168" t="s">
        <v>113</v>
      </c>
      <c r="D273" s="168" t="s">
        <v>2302</v>
      </c>
      <c r="E273" s="167">
        <v>87191.0326</v>
      </c>
    </row>
    <row r="274" s="126" customFormat="1" ht="49.5" customHeight="1" spans="1:5">
      <c r="A274" s="165">
        <v>269</v>
      </c>
      <c r="B274" s="4" t="s">
        <v>2206</v>
      </c>
      <c r="C274" s="168" t="s">
        <v>873</v>
      </c>
      <c r="D274" s="1483" t="s">
        <v>1033</v>
      </c>
      <c r="E274" s="167">
        <v>42191.0326</v>
      </c>
    </row>
    <row r="275" s="126" customFormat="1" ht="49.5" customHeight="1" spans="1:5">
      <c r="A275" s="165">
        <v>270</v>
      </c>
      <c r="B275" s="4" t="s">
        <v>1034</v>
      </c>
      <c r="C275" s="168" t="s">
        <v>93</v>
      </c>
      <c r="D275" s="168" t="s">
        <v>1035</v>
      </c>
      <c r="E275" s="167">
        <v>102104.606773333</v>
      </c>
    </row>
    <row r="276" s="126" customFormat="1" ht="49.5" customHeight="1" spans="1:5">
      <c r="A276" s="165">
        <v>271</v>
      </c>
      <c r="B276" s="4" t="s">
        <v>2173</v>
      </c>
      <c r="C276" s="175" t="s">
        <v>97</v>
      </c>
      <c r="D276" s="1487" t="s">
        <v>2303</v>
      </c>
      <c r="E276" s="167">
        <v>17441.0326</v>
      </c>
    </row>
    <row r="277" s="126" customFormat="1" ht="49.5" customHeight="1" spans="1:5">
      <c r="A277" s="165">
        <v>272</v>
      </c>
      <c r="B277" s="4" t="s">
        <v>1036</v>
      </c>
      <c r="C277" s="175" t="s">
        <v>1037</v>
      </c>
      <c r="D277" s="1487" t="s">
        <v>2304</v>
      </c>
      <c r="E277" s="167">
        <v>99398.699586</v>
      </c>
    </row>
    <row r="278" s="126" customFormat="1" ht="49.5" customHeight="1" spans="1:5">
      <c r="A278" s="165">
        <v>273</v>
      </c>
      <c r="B278" s="4" t="s">
        <v>1039</v>
      </c>
      <c r="C278" s="175" t="s">
        <v>151</v>
      </c>
      <c r="D278" s="175" t="s">
        <v>1040</v>
      </c>
      <c r="E278" s="167">
        <v>29400.9784266667</v>
      </c>
    </row>
    <row r="279" s="126" customFormat="1" ht="49.5" customHeight="1" spans="1:5">
      <c r="A279" s="165">
        <v>274</v>
      </c>
      <c r="B279" s="4" t="s">
        <v>1041</v>
      </c>
      <c r="C279" s="175" t="s">
        <v>93</v>
      </c>
      <c r="D279" s="175" t="s">
        <v>2305</v>
      </c>
      <c r="E279" s="167">
        <v>116624.123813333</v>
      </c>
    </row>
    <row r="280" s="126" customFormat="1" ht="49.5" customHeight="1" spans="1:5">
      <c r="A280" s="165">
        <v>275</v>
      </c>
      <c r="B280" s="4" t="s">
        <v>1043</v>
      </c>
      <c r="C280" s="175" t="s">
        <v>135</v>
      </c>
      <c r="D280" s="1487" t="s">
        <v>2306</v>
      </c>
      <c r="E280" s="167">
        <v>88990.0564</v>
      </c>
    </row>
    <row r="281" s="126" customFormat="1" ht="49.5" customHeight="1" spans="1:5">
      <c r="A281" s="165">
        <v>276</v>
      </c>
      <c r="B281" s="4" t="s">
        <v>1045</v>
      </c>
      <c r="C281" s="175" t="s">
        <v>135</v>
      </c>
      <c r="D281" s="1487" t="s">
        <v>1046</v>
      </c>
      <c r="E281" s="167">
        <v>31050.8635866667</v>
      </c>
    </row>
    <row r="282" s="126" customFormat="1" ht="49.5" customHeight="1" spans="1:5">
      <c r="A282" s="165">
        <v>277</v>
      </c>
      <c r="B282" s="4" t="s">
        <v>1047</v>
      </c>
      <c r="C282" s="175" t="s">
        <v>145</v>
      </c>
      <c r="D282" s="1487" t="s">
        <v>2307</v>
      </c>
      <c r="E282" s="167">
        <v>31049.8635866667</v>
      </c>
    </row>
    <row r="283" s="126" customFormat="1" ht="49.5" customHeight="1" spans="1:5">
      <c r="A283" s="165">
        <v>278</v>
      </c>
      <c r="B283" s="4" t="s">
        <v>1051</v>
      </c>
      <c r="C283" s="175" t="s">
        <v>93</v>
      </c>
      <c r="D283" s="175" t="s">
        <v>1052</v>
      </c>
      <c r="E283" s="167">
        <v>20249.6704266667</v>
      </c>
    </row>
    <row r="284" s="126" customFormat="1" ht="49.5" customHeight="1" spans="1:5">
      <c r="A284" s="165">
        <v>279</v>
      </c>
      <c r="B284" s="4" t="s">
        <v>2174</v>
      </c>
      <c r="C284" s="175" t="s">
        <v>1149</v>
      </c>
      <c r="D284" s="175" t="s">
        <v>2308</v>
      </c>
      <c r="E284" s="167">
        <v>92632.9826</v>
      </c>
    </row>
    <row r="285" s="126" customFormat="1" ht="49.5" customHeight="1" spans="1:5">
      <c r="A285" s="165">
        <v>280</v>
      </c>
      <c r="B285" s="4" t="s">
        <v>1054</v>
      </c>
      <c r="C285" s="175" t="s">
        <v>135</v>
      </c>
      <c r="D285" s="1487" t="s">
        <v>1055</v>
      </c>
      <c r="E285" s="167">
        <v>58490.0564</v>
      </c>
    </row>
    <row r="286" s="126" customFormat="1" ht="49.5" customHeight="1" spans="1:5">
      <c r="A286" s="165">
        <v>281</v>
      </c>
      <c r="B286" s="4" t="s">
        <v>1056</v>
      </c>
      <c r="C286" s="175" t="s">
        <v>165</v>
      </c>
      <c r="D286" s="175" t="s">
        <v>2309</v>
      </c>
      <c r="E286" s="167">
        <v>88990.0564</v>
      </c>
    </row>
    <row r="287" s="126" customFormat="1" ht="49.5" customHeight="1" spans="1:5">
      <c r="A287" s="165">
        <v>282</v>
      </c>
      <c r="B287" s="4" t="s">
        <v>1058</v>
      </c>
      <c r="C287" s="175" t="s">
        <v>165</v>
      </c>
      <c r="D287" s="1487" t="s">
        <v>1059</v>
      </c>
      <c r="E287" s="167">
        <v>61051.0076</v>
      </c>
    </row>
    <row r="288" s="126" customFormat="1" ht="49.5" customHeight="1" spans="1:5">
      <c r="A288" s="165">
        <v>283</v>
      </c>
      <c r="B288" s="4" t="s">
        <v>1060</v>
      </c>
      <c r="C288" s="175" t="s">
        <v>873</v>
      </c>
      <c r="D288" s="1487" t="s">
        <v>1061</v>
      </c>
      <c r="E288" s="167">
        <v>57803.0564</v>
      </c>
    </row>
    <row r="289" s="126" customFormat="1" ht="49.5" customHeight="1" spans="1:5">
      <c r="A289" s="165">
        <v>284</v>
      </c>
      <c r="B289" s="4" t="s">
        <v>1062</v>
      </c>
      <c r="C289" s="175" t="s">
        <v>871</v>
      </c>
      <c r="D289" s="1487" t="s">
        <v>1063</v>
      </c>
      <c r="E289" s="167">
        <v>31801.0076</v>
      </c>
    </row>
    <row r="290" s="126" customFormat="1" ht="49.5" customHeight="1" spans="1:5">
      <c r="A290" s="165">
        <v>285</v>
      </c>
      <c r="B290" s="4" t="s">
        <v>1064</v>
      </c>
      <c r="C290" s="175" t="s">
        <v>871</v>
      </c>
      <c r="D290" s="175" t="s">
        <v>1065</v>
      </c>
      <c r="E290" s="167">
        <v>93691.0326</v>
      </c>
    </row>
    <row r="291" s="126" customFormat="1" ht="49.5" customHeight="1" spans="1:5">
      <c r="A291" s="165">
        <v>286</v>
      </c>
      <c r="B291" s="4" t="s">
        <v>1066</v>
      </c>
      <c r="C291" s="175" t="s">
        <v>113</v>
      </c>
      <c r="D291" s="175" t="s">
        <v>1067</v>
      </c>
      <c r="E291" s="167">
        <v>103191.0326</v>
      </c>
    </row>
    <row r="292" s="126" customFormat="1" ht="49.5" customHeight="1" spans="1:5">
      <c r="A292" s="165">
        <v>287</v>
      </c>
      <c r="B292" s="4" t="s">
        <v>1068</v>
      </c>
      <c r="C292" s="175" t="s">
        <v>127</v>
      </c>
      <c r="D292" s="1487" t="s">
        <v>2310</v>
      </c>
      <c r="E292" s="167">
        <v>129389.355053333</v>
      </c>
    </row>
    <row r="293" s="126" customFormat="1" ht="49.5" customHeight="1" spans="1:5">
      <c r="A293" s="165">
        <v>288</v>
      </c>
      <c r="B293" s="4" t="s">
        <v>1070</v>
      </c>
      <c r="C293" s="175" t="s">
        <v>873</v>
      </c>
      <c r="D293" s="1487" t="s">
        <v>1071</v>
      </c>
      <c r="E293" s="167">
        <v>178629.324293333</v>
      </c>
    </row>
    <row r="294" s="126" customFormat="1" ht="49.5" customHeight="1" spans="1:5">
      <c r="A294" s="165">
        <v>289</v>
      </c>
      <c r="B294" s="4" t="s">
        <v>1072</v>
      </c>
      <c r="C294" s="175" t="s">
        <v>873</v>
      </c>
      <c r="D294" s="1487" t="s">
        <v>1073</v>
      </c>
      <c r="E294" s="167">
        <v>126464.660813333</v>
      </c>
    </row>
    <row r="295" s="126" customFormat="1" ht="49.5" customHeight="1" spans="1:5">
      <c r="A295" s="165">
        <v>290</v>
      </c>
      <c r="B295" s="4" t="s">
        <v>1074</v>
      </c>
      <c r="C295" s="175" t="s">
        <v>135</v>
      </c>
      <c r="D295" s="1487" t="s">
        <v>1075</v>
      </c>
      <c r="E295" s="167">
        <v>81240.0564</v>
      </c>
    </row>
    <row r="296" s="126" customFormat="1" ht="49.5" customHeight="1" spans="1:5">
      <c r="A296" s="165">
        <v>291</v>
      </c>
      <c r="B296" s="4" t="s">
        <v>2175</v>
      </c>
      <c r="C296" s="175" t="s">
        <v>113</v>
      </c>
      <c r="D296" s="175" t="s">
        <v>1077</v>
      </c>
      <c r="E296" s="167">
        <v>76843.7918133333</v>
      </c>
    </row>
    <row r="297" s="126" customFormat="1" ht="49.5" customHeight="1" spans="1:5">
      <c r="A297" s="165">
        <v>292</v>
      </c>
      <c r="B297" s="4" t="s">
        <v>1078</v>
      </c>
      <c r="C297" s="175" t="s">
        <v>135</v>
      </c>
      <c r="D297" s="1487" t="s">
        <v>1079</v>
      </c>
      <c r="E297" s="167">
        <v>110893.791813333</v>
      </c>
    </row>
    <row r="298" s="126" customFormat="1" ht="49.5" customHeight="1" spans="1:5">
      <c r="A298" s="165">
        <v>293</v>
      </c>
      <c r="B298" s="4" t="s">
        <v>1080</v>
      </c>
      <c r="C298" s="175" t="s">
        <v>93</v>
      </c>
      <c r="D298" s="175" t="s">
        <v>1081</v>
      </c>
      <c r="E298" s="167">
        <v>131092.922293333</v>
      </c>
    </row>
    <row r="299" s="126" customFormat="1" ht="49.5" customHeight="1" spans="1:5">
      <c r="A299" s="165">
        <v>294</v>
      </c>
      <c r="B299" s="4" t="s">
        <v>2176</v>
      </c>
      <c r="C299" s="176" t="s">
        <v>93</v>
      </c>
      <c r="D299" s="176" t="s">
        <v>2311</v>
      </c>
      <c r="E299" s="167">
        <v>99830.4126</v>
      </c>
    </row>
    <row r="300" s="126" customFormat="1" ht="49.5" customHeight="1" spans="1:5">
      <c r="A300" s="165">
        <v>295</v>
      </c>
      <c r="B300" s="4" t="s">
        <v>1084</v>
      </c>
      <c r="C300" s="176" t="s">
        <v>93</v>
      </c>
      <c r="D300" s="176" t="s">
        <v>1085</v>
      </c>
      <c r="E300" s="167">
        <v>85080.4126</v>
      </c>
    </row>
    <row r="301" s="126" customFormat="1" ht="49.5" customHeight="1" spans="1:5">
      <c r="A301" s="165">
        <v>296</v>
      </c>
      <c r="B301" s="4" t="s">
        <v>1086</v>
      </c>
      <c r="C301" s="176" t="s">
        <v>873</v>
      </c>
      <c r="D301" s="1488" t="s">
        <v>1087</v>
      </c>
      <c r="E301" s="167">
        <v>106354.485573333</v>
      </c>
    </row>
    <row r="302" s="126" customFormat="1" ht="49.5" customHeight="1" spans="1:5">
      <c r="A302" s="165">
        <v>297</v>
      </c>
      <c r="B302" s="4" t="s">
        <v>1106</v>
      </c>
      <c r="C302" s="176" t="s">
        <v>135</v>
      </c>
      <c r="D302" s="1488" t="s">
        <v>2312</v>
      </c>
      <c r="E302" s="167">
        <v>70330.3954</v>
      </c>
    </row>
    <row r="303" s="126" customFormat="1" ht="49.5" customHeight="1" spans="1:5">
      <c r="A303" s="165">
        <v>298</v>
      </c>
      <c r="B303" s="4" t="s">
        <v>2177</v>
      </c>
      <c r="C303" s="176" t="s">
        <v>873</v>
      </c>
      <c r="D303" s="1488" t="s">
        <v>1109</v>
      </c>
      <c r="E303" s="167">
        <v>44302.8614</v>
      </c>
    </row>
    <row r="304" s="126" customFormat="1" ht="49.5" customHeight="1" spans="1:5">
      <c r="A304" s="165">
        <v>299</v>
      </c>
      <c r="B304" s="4" t="s">
        <v>1110</v>
      </c>
      <c r="C304" s="176" t="s">
        <v>873</v>
      </c>
      <c r="D304" s="1488" t="s">
        <v>2313</v>
      </c>
      <c r="E304" s="167">
        <v>80025.9088</v>
      </c>
    </row>
    <row r="305" s="126" customFormat="1" ht="49.5" customHeight="1" spans="1:5">
      <c r="A305" s="165">
        <v>300</v>
      </c>
      <c r="B305" s="4" t="s">
        <v>2178</v>
      </c>
      <c r="C305" s="176" t="s">
        <v>165</v>
      </c>
      <c r="D305" s="176" t="s">
        <v>1113</v>
      </c>
      <c r="E305" s="167">
        <v>29400.9784266667</v>
      </c>
    </row>
    <row r="306" s="126" customFormat="1" ht="49.5" customHeight="1" spans="1:5">
      <c r="A306" s="165">
        <v>301</v>
      </c>
      <c r="B306" s="4" t="s">
        <v>1114</v>
      </c>
      <c r="C306" s="176" t="s">
        <v>93</v>
      </c>
      <c r="D306" s="176" t="s">
        <v>1115</v>
      </c>
      <c r="E306" s="167">
        <v>50588.5174133333</v>
      </c>
    </row>
    <row r="307" s="126" customFormat="1" ht="49.5" customHeight="1" spans="1:5">
      <c r="A307" s="165">
        <v>302</v>
      </c>
      <c r="B307" s="4" t="s">
        <v>1116</v>
      </c>
      <c r="C307" s="176" t="s">
        <v>313</v>
      </c>
      <c r="D307" s="176" t="s">
        <v>2314</v>
      </c>
      <c r="E307" s="167">
        <v>29400.9784266667</v>
      </c>
    </row>
    <row r="308" s="126" customFormat="1" ht="49.5" customHeight="1" spans="1:5">
      <c r="A308" s="165">
        <v>303</v>
      </c>
      <c r="B308" s="4" t="s">
        <v>1118</v>
      </c>
      <c r="C308" s="176" t="s">
        <v>165</v>
      </c>
      <c r="D308" s="176" t="s">
        <v>1119</v>
      </c>
      <c r="E308" s="167">
        <v>32268.6910590667</v>
      </c>
    </row>
    <row r="309" s="126" customFormat="1" ht="49.5" customHeight="1" spans="1:5">
      <c r="A309" s="165">
        <v>304</v>
      </c>
      <c r="B309" s="4" t="s">
        <v>1120</v>
      </c>
      <c r="C309" s="176" t="s">
        <v>151</v>
      </c>
      <c r="D309" s="176" t="s">
        <v>1121</v>
      </c>
      <c r="E309" s="167">
        <v>32268.6910590667</v>
      </c>
    </row>
    <row r="310" s="126" customFormat="1" ht="49.5" customHeight="1" spans="1:5">
      <c r="A310" s="165">
        <v>305</v>
      </c>
      <c r="B310" s="4" t="s">
        <v>1122</v>
      </c>
      <c r="C310" s="177" t="s">
        <v>135</v>
      </c>
      <c r="D310" s="1489" t="s">
        <v>1123</v>
      </c>
      <c r="E310" s="178">
        <v>28138.4155866667</v>
      </c>
    </row>
    <row r="311" s="126" customFormat="1" ht="49.5" customHeight="1" spans="1:5">
      <c r="A311" s="165">
        <v>306</v>
      </c>
      <c r="B311" s="4" t="s">
        <v>1130</v>
      </c>
      <c r="C311" s="176" t="s">
        <v>113</v>
      </c>
      <c r="D311" s="176" t="s">
        <v>1131</v>
      </c>
      <c r="E311" s="167">
        <v>32268.6910590667</v>
      </c>
    </row>
    <row r="312" s="126" customFormat="1" ht="49.5" customHeight="1" spans="1:5">
      <c r="A312" s="165">
        <v>307</v>
      </c>
      <c r="B312" s="4" t="s">
        <v>1134</v>
      </c>
      <c r="C312" s="176" t="s">
        <v>135</v>
      </c>
      <c r="D312" s="1488" t="s">
        <v>2315</v>
      </c>
      <c r="E312" s="167">
        <v>32268.6910590667</v>
      </c>
    </row>
    <row r="313" s="126" customFormat="1" ht="49.5" customHeight="1" spans="1:5">
      <c r="A313" s="165">
        <v>308</v>
      </c>
      <c r="B313" s="4" t="s">
        <v>1136</v>
      </c>
      <c r="C313" s="176" t="s">
        <v>113</v>
      </c>
      <c r="D313" s="176" t="s">
        <v>1137</v>
      </c>
      <c r="E313" s="167">
        <v>32268.6910590667</v>
      </c>
    </row>
    <row r="314" s="126" customFormat="1" ht="49.5" customHeight="1" spans="1:5">
      <c r="A314" s="165">
        <v>309</v>
      </c>
      <c r="B314" s="4" t="s">
        <v>1138</v>
      </c>
      <c r="C314" s="176" t="s">
        <v>127</v>
      </c>
      <c r="D314" s="176" t="s">
        <v>1139</v>
      </c>
      <c r="E314" s="167">
        <v>32268.6910590667</v>
      </c>
    </row>
    <row r="315" s="126" customFormat="1" ht="49.5" customHeight="1" spans="1:5">
      <c r="A315" s="165">
        <v>310</v>
      </c>
      <c r="B315" s="4" t="s">
        <v>1140</v>
      </c>
      <c r="C315" s="176" t="s">
        <v>135</v>
      </c>
      <c r="D315" s="1488" t="s">
        <v>1141</v>
      </c>
      <c r="E315" s="167">
        <v>32268.6910590667</v>
      </c>
    </row>
    <row r="316" s="126" customFormat="1" ht="49.5" customHeight="1" spans="1:5">
      <c r="A316" s="165">
        <v>311</v>
      </c>
      <c r="B316" s="4" t="s">
        <v>2179</v>
      </c>
      <c r="C316" s="176" t="s">
        <v>313</v>
      </c>
      <c r="D316" s="176" t="s">
        <v>2316</v>
      </c>
      <c r="E316" s="167">
        <v>32268.6910590667</v>
      </c>
    </row>
    <row r="317" s="126" customFormat="1" ht="49.5" customHeight="1" spans="1:5">
      <c r="A317" s="165">
        <v>312</v>
      </c>
      <c r="B317" s="4" t="s">
        <v>1144</v>
      </c>
      <c r="C317" s="176" t="s">
        <v>165</v>
      </c>
      <c r="D317" s="176" t="s">
        <v>1145</v>
      </c>
      <c r="E317" s="167">
        <v>32268.6910590667</v>
      </c>
    </row>
    <row r="318" s="126" customFormat="1" ht="49.5" customHeight="1" spans="1:5">
      <c r="A318" s="165">
        <v>313</v>
      </c>
      <c r="B318" s="4" t="s">
        <v>1146</v>
      </c>
      <c r="C318" s="176" t="s">
        <v>135</v>
      </c>
      <c r="D318" s="1488" t="s">
        <v>1147</v>
      </c>
      <c r="E318" s="167">
        <v>32268.6910590667</v>
      </c>
    </row>
    <row r="319" s="126" customFormat="1" ht="49.5" customHeight="1" spans="1:5">
      <c r="A319" s="165">
        <v>314</v>
      </c>
      <c r="B319" s="4" t="s">
        <v>1148</v>
      </c>
      <c r="C319" s="176" t="s">
        <v>1149</v>
      </c>
      <c r="D319" s="176" t="s">
        <v>1150</v>
      </c>
      <c r="E319" s="167">
        <v>32268.6910590667</v>
      </c>
    </row>
    <row r="320" s="126" customFormat="1" ht="49.5" customHeight="1" spans="1:5">
      <c r="A320" s="165">
        <v>315</v>
      </c>
      <c r="B320" s="4" t="s">
        <v>2180</v>
      </c>
      <c r="C320" s="176" t="s">
        <v>97</v>
      </c>
      <c r="D320" s="1488" t="s">
        <v>2317</v>
      </c>
      <c r="E320" s="167">
        <v>31268.6910590667</v>
      </c>
    </row>
    <row r="321" s="126" customFormat="1" ht="49.5" customHeight="1" spans="1:5">
      <c r="A321" s="165">
        <v>316</v>
      </c>
      <c r="B321" s="4" t="s">
        <v>1153</v>
      </c>
      <c r="C321" s="176" t="s">
        <v>165</v>
      </c>
      <c r="D321" s="176" t="s">
        <v>1154</v>
      </c>
      <c r="E321" s="167">
        <v>28138.4155866667</v>
      </c>
    </row>
    <row r="322" s="126" customFormat="1" ht="49.5" customHeight="1" spans="1:5">
      <c r="A322" s="165">
        <v>317</v>
      </c>
      <c r="B322" s="4" t="s">
        <v>1155</v>
      </c>
      <c r="C322" s="176" t="s">
        <v>135</v>
      </c>
      <c r="D322" s="1488" t="s">
        <v>1156</v>
      </c>
      <c r="E322" s="167">
        <v>32268.6910590667</v>
      </c>
    </row>
    <row r="323" s="126" customFormat="1" ht="49.5" customHeight="1" spans="1:5">
      <c r="A323" s="165">
        <v>318</v>
      </c>
      <c r="B323" s="4" t="s">
        <v>1157</v>
      </c>
      <c r="C323" s="176" t="s">
        <v>135</v>
      </c>
      <c r="D323" s="1488" t="s">
        <v>1158</v>
      </c>
      <c r="E323" s="167">
        <v>32268.6910590667</v>
      </c>
    </row>
    <row r="324" s="126" customFormat="1" ht="49.5" customHeight="1" spans="1:5">
      <c r="A324" s="165">
        <v>319</v>
      </c>
      <c r="B324" s="4" t="s">
        <v>2207</v>
      </c>
      <c r="C324" s="176" t="s">
        <v>135</v>
      </c>
      <c r="D324" s="1488" t="s">
        <v>2318</v>
      </c>
      <c r="E324" s="167">
        <v>28138.4155866667</v>
      </c>
    </row>
    <row r="325" s="126" customFormat="1" ht="49.5" customHeight="1" spans="1:5">
      <c r="A325" s="165">
        <v>320</v>
      </c>
      <c r="B325" s="4" t="s">
        <v>1161</v>
      </c>
      <c r="C325" s="176" t="s">
        <v>135</v>
      </c>
      <c r="D325" s="1488" t="s">
        <v>1162</v>
      </c>
      <c r="E325" s="167">
        <v>28138.4155866667</v>
      </c>
    </row>
    <row r="326" s="126" customFormat="1" ht="49.5" customHeight="1" spans="1:5">
      <c r="A326" s="165">
        <v>321</v>
      </c>
      <c r="B326" s="4" t="s">
        <v>2208</v>
      </c>
      <c r="C326" s="176" t="s">
        <v>135</v>
      </c>
      <c r="D326" s="1488" t="s">
        <v>2319</v>
      </c>
      <c r="E326" s="167">
        <v>28138.4155866667</v>
      </c>
    </row>
    <row r="327" s="126" customFormat="1" ht="49.5" customHeight="1" spans="1:5">
      <c r="A327" s="165">
        <v>322</v>
      </c>
      <c r="B327" s="4" t="s">
        <v>1164</v>
      </c>
      <c r="C327" s="176" t="s">
        <v>135</v>
      </c>
      <c r="D327" s="1488" t="s">
        <v>1165</v>
      </c>
      <c r="E327" s="167">
        <v>28138.4155866667</v>
      </c>
    </row>
    <row r="328" s="126" customFormat="1" ht="49.5" customHeight="1" spans="1:5">
      <c r="A328" s="165">
        <v>323</v>
      </c>
      <c r="B328" s="4" t="s">
        <v>1166</v>
      </c>
      <c r="C328" s="176" t="s">
        <v>127</v>
      </c>
      <c r="D328" s="1488" t="s">
        <v>2320</v>
      </c>
      <c r="E328" s="167">
        <v>28138.4155866667</v>
      </c>
    </row>
    <row r="329" s="126" customFormat="1" ht="49.5" customHeight="1" spans="1:5">
      <c r="A329" s="165">
        <v>324</v>
      </c>
      <c r="B329" s="4" t="s">
        <v>1168</v>
      </c>
      <c r="C329" s="176" t="s">
        <v>135</v>
      </c>
      <c r="D329" s="1488" t="s">
        <v>1169</v>
      </c>
      <c r="E329" s="167">
        <v>28138.4155866667</v>
      </c>
    </row>
    <row r="330" s="126" customFormat="1" ht="49.5" customHeight="1" spans="1:5">
      <c r="A330" s="165">
        <v>325</v>
      </c>
      <c r="B330" s="4" t="s">
        <v>1170</v>
      </c>
      <c r="C330" s="176" t="s">
        <v>165</v>
      </c>
      <c r="D330" s="176" t="s">
        <v>1171</v>
      </c>
      <c r="E330" s="167">
        <v>28138.4155866667</v>
      </c>
    </row>
    <row r="331" s="126" customFormat="1" ht="49.5" customHeight="1" spans="1:5">
      <c r="A331" s="165">
        <v>326</v>
      </c>
      <c r="B331" s="4" t="s">
        <v>1172</v>
      </c>
      <c r="C331" s="176" t="s">
        <v>135</v>
      </c>
      <c r="D331" s="1488" t="s">
        <v>1173</v>
      </c>
      <c r="E331" s="167">
        <v>28138.4155866667</v>
      </c>
    </row>
    <row r="332" s="126" customFormat="1" ht="49.5" customHeight="1" spans="1:5">
      <c r="A332" s="165">
        <v>327</v>
      </c>
      <c r="B332" s="4" t="s">
        <v>2182</v>
      </c>
      <c r="C332" s="176" t="s">
        <v>135</v>
      </c>
      <c r="D332" s="176" t="s">
        <v>2321</v>
      </c>
      <c r="E332" s="167">
        <v>28138.4155866667</v>
      </c>
    </row>
    <row r="333" s="126" customFormat="1" ht="49.5" customHeight="1" spans="1:5">
      <c r="A333" s="165">
        <v>328</v>
      </c>
      <c r="B333" s="4" t="s">
        <v>1193</v>
      </c>
      <c r="C333" s="176" t="s">
        <v>165</v>
      </c>
      <c r="D333" s="176">
        <v>2116988676</v>
      </c>
      <c r="E333" s="167">
        <v>28138.4155866667</v>
      </c>
    </row>
    <row r="334" s="126" customFormat="1" ht="49.5" customHeight="1" spans="1:5">
      <c r="A334" s="165">
        <v>329</v>
      </c>
      <c r="B334" s="4" t="s">
        <v>1194</v>
      </c>
      <c r="C334" s="176" t="s">
        <v>165</v>
      </c>
      <c r="D334" s="176" t="s">
        <v>1195</v>
      </c>
      <c r="E334" s="167">
        <v>28138.4155866667</v>
      </c>
    </row>
    <row r="335" s="126" customFormat="1" ht="49.5" customHeight="1" spans="1:5">
      <c r="A335" s="165">
        <v>330</v>
      </c>
      <c r="B335" s="4" t="s">
        <v>1196</v>
      </c>
      <c r="C335" s="176" t="s">
        <v>135</v>
      </c>
      <c r="D335" s="176" t="s">
        <v>1197</v>
      </c>
      <c r="E335" s="167">
        <v>28138.4155866667</v>
      </c>
    </row>
    <row r="336" s="126" customFormat="1" ht="49.5" customHeight="1" spans="1:5">
      <c r="A336" s="165">
        <v>331</v>
      </c>
      <c r="B336" s="4" t="s">
        <v>1198</v>
      </c>
      <c r="C336" s="176" t="s">
        <v>135</v>
      </c>
      <c r="D336" s="176" t="s">
        <v>1199</v>
      </c>
      <c r="E336" s="167">
        <v>28138.4155866667</v>
      </c>
    </row>
    <row r="337" s="126" customFormat="1" ht="49.5" customHeight="1" spans="1:5">
      <c r="A337" s="165">
        <v>332</v>
      </c>
      <c r="B337" s="4" t="s">
        <v>2183</v>
      </c>
      <c r="C337" s="176" t="s">
        <v>135</v>
      </c>
      <c r="D337" s="176" t="s">
        <v>2322</v>
      </c>
      <c r="E337" s="167">
        <v>28138.4155866667</v>
      </c>
    </row>
    <row r="338" s="126" customFormat="1" ht="49.5" customHeight="1" spans="1:5">
      <c r="A338" s="165">
        <v>333</v>
      </c>
      <c r="B338" s="4" t="s">
        <v>1200</v>
      </c>
      <c r="C338" s="176" t="s">
        <v>135</v>
      </c>
      <c r="D338" s="176" t="s">
        <v>1201</v>
      </c>
      <c r="E338" s="167">
        <v>28138.4155866667</v>
      </c>
    </row>
    <row r="339" s="126" customFormat="1" ht="49.5" customHeight="1" spans="1:5">
      <c r="A339" s="165">
        <v>334</v>
      </c>
      <c r="B339" s="4" t="s">
        <v>1202</v>
      </c>
      <c r="C339" s="176" t="s">
        <v>135</v>
      </c>
      <c r="D339" s="176" t="s">
        <v>1203</v>
      </c>
      <c r="E339" s="167">
        <v>28138.4155866667</v>
      </c>
    </row>
    <row r="340" s="126" customFormat="1" ht="49.5" customHeight="1" spans="1:5">
      <c r="A340" s="165">
        <v>335</v>
      </c>
      <c r="B340" s="4" t="s">
        <v>1204</v>
      </c>
      <c r="C340" s="176" t="s">
        <v>259</v>
      </c>
      <c r="D340" s="176">
        <v>6236048594</v>
      </c>
      <c r="E340" s="167">
        <v>28138.4155866667</v>
      </c>
    </row>
    <row r="341" s="126" customFormat="1" ht="49.5" customHeight="1" spans="1:5">
      <c r="A341" s="165">
        <v>336</v>
      </c>
      <c r="B341" s="4" t="s">
        <v>1205</v>
      </c>
      <c r="C341" s="176" t="s">
        <v>135</v>
      </c>
      <c r="D341" s="176" t="s">
        <v>1709</v>
      </c>
      <c r="E341" s="167">
        <v>28138.4155866667</v>
      </c>
    </row>
    <row r="342" s="126" customFormat="1" ht="49.5" customHeight="1" spans="1:5">
      <c r="A342" s="165">
        <v>337</v>
      </c>
      <c r="B342" s="4" t="s">
        <v>1207</v>
      </c>
      <c r="C342" s="176" t="s">
        <v>422</v>
      </c>
      <c r="D342" s="176">
        <v>3031963246</v>
      </c>
      <c r="E342" s="167">
        <v>28138.4155866667</v>
      </c>
    </row>
    <row r="343" s="126" customFormat="1" ht="49.5" customHeight="1" spans="1:5">
      <c r="A343" s="165">
        <v>338</v>
      </c>
      <c r="B343" s="4" t="s">
        <v>1208</v>
      </c>
      <c r="C343" s="176" t="s">
        <v>135</v>
      </c>
      <c r="D343" s="176" t="s">
        <v>1209</v>
      </c>
      <c r="E343" s="167">
        <v>28138.4155866667</v>
      </c>
    </row>
    <row r="344" s="126" customFormat="1" ht="49.5" customHeight="1" spans="1:5">
      <c r="A344" s="165">
        <v>339</v>
      </c>
      <c r="B344" s="4" t="s">
        <v>1210</v>
      </c>
      <c r="C344" s="176" t="s">
        <v>135</v>
      </c>
      <c r="D344" s="176" t="s">
        <v>1211</v>
      </c>
      <c r="E344" s="167">
        <v>28138.4155866667</v>
      </c>
    </row>
    <row r="345" s="126" customFormat="1" ht="49.5" customHeight="1" spans="1:5">
      <c r="A345" s="165">
        <v>340</v>
      </c>
      <c r="B345" s="4" t="s">
        <v>2184</v>
      </c>
      <c r="C345" s="176" t="s">
        <v>165</v>
      </c>
      <c r="D345" s="176">
        <v>2116783341</v>
      </c>
      <c r="E345" s="167">
        <v>28138.4155866667</v>
      </c>
    </row>
    <row r="346" s="126" customFormat="1" ht="49.5" customHeight="1" spans="1:5">
      <c r="A346" s="165">
        <v>341</v>
      </c>
      <c r="B346" s="4" t="s">
        <v>1214</v>
      </c>
      <c r="C346" s="176" t="s">
        <v>135</v>
      </c>
      <c r="D346" s="176" t="s">
        <v>1215</v>
      </c>
      <c r="E346" s="167">
        <v>28138.4155866667</v>
      </c>
    </row>
    <row r="347" s="126" customFormat="1" ht="49.5" customHeight="1" spans="1:5">
      <c r="A347" s="165">
        <v>342</v>
      </c>
      <c r="B347" s="4" t="s">
        <v>1216</v>
      </c>
      <c r="C347" s="176" t="s">
        <v>165</v>
      </c>
      <c r="D347" s="176">
        <v>2210969917</v>
      </c>
      <c r="E347" s="167">
        <v>28138.4155866667</v>
      </c>
    </row>
    <row r="348" s="126" customFormat="1" ht="49.5" customHeight="1" spans="1:5">
      <c r="A348" s="165">
        <v>343</v>
      </c>
      <c r="B348" s="4" t="s">
        <v>1217</v>
      </c>
      <c r="C348" s="176" t="s">
        <v>135</v>
      </c>
      <c r="D348" s="1488" t="s">
        <v>2323</v>
      </c>
      <c r="E348" s="167">
        <v>28138.4155866667</v>
      </c>
    </row>
    <row r="349" s="126" customFormat="1" ht="49.5" customHeight="1" spans="1:5">
      <c r="A349" s="165">
        <v>344</v>
      </c>
      <c r="B349" s="4" t="s">
        <v>1219</v>
      </c>
      <c r="C349" s="176" t="s">
        <v>97</v>
      </c>
      <c r="D349" s="1488" t="s">
        <v>1220</v>
      </c>
      <c r="E349" s="167">
        <v>28138.4155866667</v>
      </c>
    </row>
    <row r="350" s="126" customFormat="1" ht="49.5" customHeight="1" spans="1:5">
      <c r="A350" s="165">
        <v>345</v>
      </c>
      <c r="B350" s="4" t="s">
        <v>1221</v>
      </c>
      <c r="C350" s="176" t="s">
        <v>135</v>
      </c>
      <c r="D350" s="1488" t="s">
        <v>1222</v>
      </c>
      <c r="E350" s="167">
        <v>28138.4155866667</v>
      </c>
    </row>
    <row r="351" s="126" customFormat="1" ht="49.5" customHeight="1" spans="1:5">
      <c r="A351" s="165">
        <v>346</v>
      </c>
      <c r="B351" s="4" t="s">
        <v>1223</v>
      </c>
      <c r="C351" s="176" t="s">
        <v>135</v>
      </c>
      <c r="D351" s="1488" t="s">
        <v>1224</v>
      </c>
      <c r="E351" s="167">
        <v>28138.4155866667</v>
      </c>
    </row>
    <row r="352" s="126" customFormat="1" ht="49.5" customHeight="1" spans="1:5">
      <c r="A352" s="165">
        <v>347</v>
      </c>
      <c r="B352" s="4" t="s">
        <v>1225</v>
      </c>
      <c r="C352" s="176" t="s">
        <v>135</v>
      </c>
      <c r="D352" s="1488" t="s">
        <v>1226</v>
      </c>
      <c r="E352" s="167">
        <v>28138.4155866667</v>
      </c>
    </row>
    <row r="353" s="126" customFormat="1" ht="49.5" customHeight="1" spans="1:5">
      <c r="A353" s="165">
        <v>348</v>
      </c>
      <c r="B353" s="4" t="s">
        <v>1227</v>
      </c>
      <c r="C353" s="176" t="s">
        <v>135</v>
      </c>
      <c r="D353" s="1488" t="s">
        <v>1228</v>
      </c>
      <c r="E353" s="167">
        <v>28138.4155866667</v>
      </c>
    </row>
    <row r="354" s="126" customFormat="1" ht="49.5" customHeight="1" spans="1:5">
      <c r="A354" s="165">
        <v>349</v>
      </c>
      <c r="B354" s="4" t="s">
        <v>1229</v>
      </c>
      <c r="C354" s="176" t="s">
        <v>165</v>
      </c>
      <c r="D354" s="1488" t="s">
        <v>1230</v>
      </c>
      <c r="E354" s="167">
        <v>28138.4155866667</v>
      </c>
    </row>
    <row r="355" s="126" customFormat="1" ht="49.5" customHeight="1" spans="1:5">
      <c r="A355" s="165">
        <v>350</v>
      </c>
      <c r="B355" s="4" t="s">
        <v>1231</v>
      </c>
      <c r="C355" s="176" t="s">
        <v>165</v>
      </c>
      <c r="D355" s="176">
        <v>2116983705</v>
      </c>
      <c r="E355" s="167">
        <v>28138.4155866667</v>
      </c>
    </row>
    <row r="356" s="126" customFormat="1" ht="49.5" customHeight="1" spans="1:5">
      <c r="A356" s="165">
        <v>351</v>
      </c>
      <c r="B356" s="4" t="s">
        <v>1232</v>
      </c>
      <c r="C356" s="176" t="s">
        <v>113</v>
      </c>
      <c r="D356" s="176">
        <v>2137066771</v>
      </c>
      <c r="E356" s="167">
        <v>28138.4155866667</v>
      </c>
    </row>
    <row r="357" s="126" customFormat="1" ht="49.5" customHeight="1" spans="1:5">
      <c r="A357" s="165">
        <v>352</v>
      </c>
      <c r="B357" s="4" t="s">
        <v>1233</v>
      </c>
      <c r="C357" s="176" t="s">
        <v>135</v>
      </c>
      <c r="D357" s="1488" t="s">
        <v>1234</v>
      </c>
      <c r="E357" s="167">
        <v>28138.4155866667</v>
      </c>
    </row>
    <row r="358" s="126" customFormat="1" ht="49.5" customHeight="1" spans="1:5">
      <c r="A358" s="165">
        <v>353</v>
      </c>
      <c r="B358" s="4" t="s">
        <v>1235</v>
      </c>
      <c r="C358" s="176" t="s">
        <v>135</v>
      </c>
      <c r="D358" s="176" t="s">
        <v>1236</v>
      </c>
      <c r="E358" s="167">
        <v>28138.4155866667</v>
      </c>
    </row>
    <row r="359" s="126" customFormat="1" ht="49.5" customHeight="1" spans="1:5">
      <c r="A359" s="165">
        <v>354</v>
      </c>
      <c r="B359" s="4" t="s">
        <v>1237</v>
      </c>
      <c r="C359" s="176" t="s">
        <v>135</v>
      </c>
      <c r="D359" s="176" t="s">
        <v>1238</v>
      </c>
      <c r="E359" s="167">
        <v>28138.4155866667</v>
      </c>
    </row>
    <row r="360" s="126" customFormat="1" ht="49.5" customHeight="1" spans="1:5">
      <c r="A360" s="165">
        <v>355</v>
      </c>
      <c r="B360" s="4" t="s">
        <v>1239</v>
      </c>
      <c r="C360" s="176" t="s">
        <v>165</v>
      </c>
      <c r="D360" s="176" t="s">
        <v>1240</v>
      </c>
      <c r="E360" s="167">
        <v>28138.4155866667</v>
      </c>
    </row>
    <row r="361" s="126" customFormat="1" ht="49.5" customHeight="1" spans="1:5">
      <c r="A361" s="165">
        <v>356</v>
      </c>
      <c r="B361" s="4" t="s">
        <v>1241</v>
      </c>
      <c r="C361" s="176" t="s">
        <v>313</v>
      </c>
      <c r="D361" s="176" t="s">
        <v>2324</v>
      </c>
      <c r="E361" s="167">
        <v>28138.4155866667</v>
      </c>
    </row>
    <row r="362" s="126" customFormat="1" ht="49.5" customHeight="1" spans="1:5">
      <c r="A362" s="165">
        <v>357</v>
      </c>
      <c r="B362" s="4" t="s">
        <v>2185</v>
      </c>
      <c r="C362" s="176" t="s">
        <v>135</v>
      </c>
      <c r="D362" s="1488" t="s">
        <v>2325</v>
      </c>
      <c r="E362" s="167">
        <v>31050.8635866667</v>
      </c>
    </row>
    <row r="363" s="126" customFormat="1" ht="49.5" customHeight="1" spans="1:5">
      <c r="A363" s="165">
        <v>358</v>
      </c>
      <c r="B363" s="4" t="s">
        <v>2186</v>
      </c>
      <c r="C363" s="176" t="s">
        <v>2326</v>
      </c>
      <c r="D363" s="1488" t="s">
        <v>1050</v>
      </c>
      <c r="E363" s="167">
        <v>31050.8635866667</v>
      </c>
    </row>
    <row r="364" s="126" customFormat="1" ht="49.5" customHeight="1" spans="1:5">
      <c r="A364" s="165">
        <v>359</v>
      </c>
      <c r="B364" s="4" t="s">
        <v>1248</v>
      </c>
      <c r="C364" s="176" t="s">
        <v>113</v>
      </c>
      <c r="D364" s="176" t="s">
        <v>2327</v>
      </c>
      <c r="E364" s="167">
        <v>30800.8635866667</v>
      </c>
    </row>
    <row r="365" s="126" customFormat="1" ht="49.5" customHeight="1" spans="1:5">
      <c r="A365" s="165">
        <v>360</v>
      </c>
      <c r="B365" s="4" t="s">
        <v>1250</v>
      </c>
      <c r="C365" s="176" t="s">
        <v>113</v>
      </c>
      <c r="D365" s="176" t="s">
        <v>1251</v>
      </c>
      <c r="E365" s="167">
        <v>47886.9129125333</v>
      </c>
    </row>
    <row r="366" s="126" customFormat="1" ht="49.5" customHeight="1" spans="1:5">
      <c r="A366" s="165">
        <v>361</v>
      </c>
      <c r="B366" s="4" t="s">
        <v>1264</v>
      </c>
      <c r="C366" s="176" t="s">
        <v>165</v>
      </c>
      <c r="D366" s="1488" t="s">
        <v>1265</v>
      </c>
      <c r="E366" s="167">
        <v>99079.4126</v>
      </c>
    </row>
    <row r="367" s="126" customFormat="1" ht="49.5" customHeight="1" spans="1:5">
      <c r="A367" s="165">
        <v>362</v>
      </c>
      <c r="B367" s="4" t="s">
        <v>1266</v>
      </c>
      <c r="C367" s="176" t="s">
        <v>97</v>
      </c>
      <c r="D367" s="1488" t="s">
        <v>2274</v>
      </c>
      <c r="E367" s="167">
        <v>109904.660813333</v>
      </c>
    </row>
    <row r="368" s="126" customFormat="1" ht="49.5" customHeight="1" spans="1:5">
      <c r="A368" s="165">
        <v>363</v>
      </c>
      <c r="B368" s="4" t="s">
        <v>2188</v>
      </c>
      <c r="C368" s="176" t="s">
        <v>259</v>
      </c>
      <c r="D368" s="176" t="s">
        <v>2328</v>
      </c>
      <c r="E368" s="167">
        <v>129904.660813333</v>
      </c>
    </row>
    <row r="369" s="126" customFormat="1" ht="49.5" customHeight="1" spans="1:5">
      <c r="A369" s="165">
        <v>364</v>
      </c>
      <c r="B369" s="4" t="s">
        <v>1269</v>
      </c>
      <c r="C369" s="176" t="s">
        <v>127</v>
      </c>
      <c r="D369" s="1488" t="s">
        <v>2329</v>
      </c>
      <c r="E369" s="167">
        <v>71580.4126</v>
      </c>
    </row>
    <row r="370" s="126" customFormat="1" ht="49.5" customHeight="1" spans="1:5">
      <c r="A370" s="165">
        <v>365</v>
      </c>
      <c r="B370" s="4" t="s">
        <v>1271</v>
      </c>
      <c r="C370" s="176" t="s">
        <v>127</v>
      </c>
      <c r="D370" s="1488" t="s">
        <v>1283</v>
      </c>
      <c r="E370" s="167">
        <v>113397.1388</v>
      </c>
    </row>
    <row r="371" s="126" customFormat="1" ht="49.5" customHeight="1" spans="1:5">
      <c r="A371" s="165">
        <v>366</v>
      </c>
      <c r="B371" s="4" t="s">
        <v>1273</v>
      </c>
      <c r="C371" s="176" t="s">
        <v>97</v>
      </c>
      <c r="D371" s="1488" t="s">
        <v>2330</v>
      </c>
      <c r="E371" s="167">
        <v>111397.1388</v>
      </c>
    </row>
    <row r="372" s="126" customFormat="1" ht="49.5" customHeight="1" spans="1:5">
      <c r="A372" s="165">
        <v>367</v>
      </c>
      <c r="B372" s="4" t="s">
        <v>1275</v>
      </c>
      <c r="C372" s="176" t="s">
        <v>259</v>
      </c>
      <c r="D372" s="1488" t="s">
        <v>2331</v>
      </c>
      <c r="E372" s="167">
        <v>103397.1388</v>
      </c>
    </row>
    <row r="373" s="126" customFormat="1" ht="49.5" customHeight="1" spans="1:5">
      <c r="A373" s="165">
        <v>368</v>
      </c>
      <c r="B373" s="4" t="s">
        <v>1276</v>
      </c>
      <c r="C373" s="176" t="s">
        <v>97</v>
      </c>
      <c r="D373" s="1488" t="s">
        <v>1277</v>
      </c>
      <c r="E373" s="167">
        <v>92397.1388</v>
      </c>
    </row>
    <row r="374" s="126" customFormat="1" ht="49.5" customHeight="1" spans="1:5">
      <c r="A374" s="165">
        <v>369</v>
      </c>
      <c r="B374" s="4" t="s">
        <v>1278</v>
      </c>
      <c r="C374" s="176" t="s">
        <v>113</v>
      </c>
      <c r="D374" s="1488" t="s">
        <v>1279</v>
      </c>
      <c r="E374" s="167">
        <v>112447.1388</v>
      </c>
    </row>
    <row r="375" s="126" customFormat="1" ht="49.5" customHeight="1" spans="1:5">
      <c r="A375" s="165">
        <v>370</v>
      </c>
      <c r="B375" s="4" t="s">
        <v>1280</v>
      </c>
      <c r="C375" s="176" t="s">
        <v>113</v>
      </c>
      <c r="D375" s="1488" t="s">
        <v>1281</v>
      </c>
      <c r="E375" s="167">
        <v>111397.1388</v>
      </c>
    </row>
    <row r="376" s="126" customFormat="1" ht="49.5" customHeight="1" spans="1:5">
      <c r="A376" s="165">
        <v>371</v>
      </c>
      <c r="B376" s="4" t="s">
        <v>2189</v>
      </c>
      <c r="C376" s="176" t="s">
        <v>127</v>
      </c>
      <c r="D376" s="1488" t="s">
        <v>1283</v>
      </c>
      <c r="E376" s="167">
        <v>110397.1388</v>
      </c>
    </row>
    <row r="377" s="126" customFormat="1" ht="49.5" customHeight="1" spans="1:5">
      <c r="A377" s="165">
        <v>372</v>
      </c>
      <c r="B377" s="4" t="s">
        <v>1284</v>
      </c>
      <c r="C377" s="176" t="s">
        <v>97</v>
      </c>
      <c r="D377" s="1488" t="s">
        <v>2332</v>
      </c>
      <c r="E377" s="167">
        <v>110897.1388</v>
      </c>
    </row>
    <row r="378" s="126" customFormat="1" ht="49.5" customHeight="1" spans="1:5">
      <c r="A378" s="165">
        <v>373</v>
      </c>
      <c r="B378" s="4" t="s">
        <v>1286</v>
      </c>
      <c r="C378" s="176" t="s">
        <v>127</v>
      </c>
      <c r="D378" s="1488" t="s">
        <v>1287</v>
      </c>
      <c r="E378" s="167">
        <v>113397.1388</v>
      </c>
    </row>
    <row r="379" s="126" customFormat="1" ht="49.5" customHeight="1" spans="1:5">
      <c r="A379" s="165">
        <v>374</v>
      </c>
      <c r="B379" s="179" t="s">
        <v>1288</v>
      </c>
      <c r="C379" s="176" t="s">
        <v>127</v>
      </c>
      <c r="D379" s="1488" t="s">
        <v>2333</v>
      </c>
      <c r="E379" s="167">
        <v>94647.1388</v>
      </c>
    </row>
    <row r="380" s="126" customFormat="1" ht="49.5" customHeight="1" spans="1:5">
      <c r="A380" s="165">
        <v>375</v>
      </c>
      <c r="B380" s="4" t="s">
        <v>1290</v>
      </c>
      <c r="C380" s="176" t="s">
        <v>113</v>
      </c>
      <c r="D380" s="1488" t="s">
        <v>1291</v>
      </c>
      <c r="E380" s="167">
        <v>113397.1388</v>
      </c>
    </row>
    <row r="381" s="126" customFormat="1" ht="49.5" customHeight="1" spans="1:5">
      <c r="A381" s="165">
        <v>376</v>
      </c>
      <c r="B381" s="4" t="s">
        <v>1292</v>
      </c>
      <c r="C381" s="176" t="s">
        <v>422</v>
      </c>
      <c r="D381" s="1488" t="s">
        <v>1293</v>
      </c>
      <c r="E381" s="167">
        <v>87347.1388</v>
      </c>
    </row>
    <row r="382" s="126" customFormat="1" ht="49.5" customHeight="1" spans="1:5">
      <c r="A382" s="165">
        <v>377</v>
      </c>
      <c r="B382" s="4" t="s">
        <v>2190</v>
      </c>
      <c r="C382" s="176" t="s">
        <v>97</v>
      </c>
      <c r="D382" s="1488" t="s">
        <v>2334</v>
      </c>
      <c r="E382" s="167">
        <v>335578.145453333</v>
      </c>
    </row>
    <row r="383" s="126" customFormat="1" ht="49.5" customHeight="1" spans="1:5">
      <c r="A383" s="165">
        <v>378</v>
      </c>
      <c r="B383" s="4" t="s">
        <v>2187</v>
      </c>
      <c r="C383" s="177" t="s">
        <v>313</v>
      </c>
      <c r="D383" s="1489" t="s">
        <v>2335</v>
      </c>
      <c r="E383" s="167">
        <v>83089.4136</v>
      </c>
    </row>
    <row r="384" s="126" customFormat="1" ht="49.5" customHeight="1" spans="1:5">
      <c r="A384" s="165">
        <v>379</v>
      </c>
      <c r="B384" s="4" t="s">
        <v>1302</v>
      </c>
      <c r="C384" s="176" t="s">
        <v>145</v>
      </c>
      <c r="D384" s="1488" t="s">
        <v>192</v>
      </c>
      <c r="E384" s="167">
        <v>234586.226333333</v>
      </c>
    </row>
    <row r="385" s="126" customFormat="1" ht="49.5" customHeight="1" spans="1:5">
      <c r="A385" s="165">
        <v>380</v>
      </c>
      <c r="B385" s="4" t="s">
        <v>1306</v>
      </c>
      <c r="C385" s="176" t="s">
        <v>2280</v>
      </c>
      <c r="D385" s="1488" t="s">
        <v>1307</v>
      </c>
      <c r="E385" s="167">
        <v>46339.3675866667</v>
      </c>
    </row>
    <row r="386" ht="43.5" customHeight="1" spans="1:5">
      <c r="A386" s="165"/>
      <c r="B386" s="180" t="s">
        <v>867</v>
      </c>
      <c r="C386" s="181"/>
      <c r="D386" s="181"/>
      <c r="E386" s="182" t="e">
        <f>SUM(E194:E385)</f>
        <v>#REF!</v>
      </c>
    </row>
    <row r="387" ht="63.75" customHeight="1" spans="1:5">
      <c r="A387" s="5"/>
      <c r="B387" s="180" t="s">
        <v>1465</v>
      </c>
      <c r="C387" s="180"/>
      <c r="D387" s="180"/>
      <c r="E387" s="183" t="e">
        <f>E386+E192+E161</f>
        <v>#REF!</v>
      </c>
    </row>
    <row r="388" ht="15.75"/>
  </sheetData>
  <mergeCells count="3">
    <mergeCell ref="A1:E1"/>
    <mergeCell ref="B162:E162"/>
    <mergeCell ref="B193:E193"/>
  </mergeCells>
  <pageMargins left="0.7" right="0.7" top="0.75" bottom="0.75" header="0.3" footer="0.3"/>
  <pageSetup paperSize="1" scale="57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4"/>
  <sheetViews>
    <sheetView view="pageBreakPreview" zoomScale="60" zoomScaleNormal="100" workbookViewId="0">
      <selection activeCell="E400" sqref="E400"/>
    </sheetView>
  </sheetViews>
  <sheetFormatPr defaultColWidth="8.82857142857143" defaultRowHeight="15" outlineLevelCol="5"/>
  <cols>
    <col min="1" max="1" width="9.5047619047619" customWidth="1"/>
    <col min="2" max="2" width="76" customWidth="1"/>
    <col min="3" max="3" width="24.8285714285714" customWidth="1"/>
    <col min="4" max="4" width="27.6666666666667" customWidth="1"/>
    <col min="5" max="5" width="33.5047619047619" customWidth="1"/>
  </cols>
  <sheetData>
    <row r="1" ht="45.75" customHeight="1" spans="1:5">
      <c r="A1" s="94" t="s">
        <v>2336</v>
      </c>
      <c r="B1" s="94"/>
      <c r="C1" s="94"/>
      <c r="D1" s="94"/>
      <c r="E1" s="94"/>
    </row>
    <row r="2" ht="39.75" customHeight="1" spans="1:5">
      <c r="A2" s="95" t="s">
        <v>2337</v>
      </c>
      <c r="B2" s="95" t="s">
        <v>1468</v>
      </c>
      <c r="C2" s="95" t="s">
        <v>860</v>
      </c>
      <c r="D2" s="95" t="s">
        <v>2338</v>
      </c>
      <c r="E2" s="95" t="s">
        <v>862</v>
      </c>
    </row>
    <row r="3" ht="42.75" customHeight="1" spans="1:5">
      <c r="A3" s="96">
        <v>1</v>
      </c>
      <c r="B3" s="97" t="s">
        <v>2105</v>
      </c>
      <c r="C3" s="98" t="s">
        <v>675</v>
      </c>
      <c r="D3" s="98">
        <v>2017212564</v>
      </c>
      <c r="E3" s="99">
        <f>'TEACHING STAFF'!BP4</f>
        <v>329935.29</v>
      </c>
    </row>
    <row r="4" ht="42.75" customHeight="1" spans="1:5">
      <c r="A4" s="96">
        <v>2</v>
      </c>
      <c r="B4" s="97" t="s">
        <v>2106</v>
      </c>
      <c r="C4" s="98" t="s">
        <v>97</v>
      </c>
      <c r="D4" s="98" t="s">
        <v>98</v>
      </c>
      <c r="E4" s="99">
        <f>'TEACHING STAFF'!BP5</f>
        <v>610935.88</v>
      </c>
    </row>
    <row r="5" ht="42.75" customHeight="1" spans="1:5">
      <c r="A5" s="96">
        <v>3</v>
      </c>
      <c r="B5" s="97" t="s">
        <v>2107</v>
      </c>
      <c r="C5" s="98" t="s">
        <v>101</v>
      </c>
      <c r="D5" s="98" t="s">
        <v>102</v>
      </c>
      <c r="E5" s="99" t="e">
        <f>'TEACHING STAFF'!#REF!</f>
        <v>#REF!</v>
      </c>
    </row>
    <row r="6" ht="42.75" customHeight="1" spans="1:5">
      <c r="A6" s="96">
        <v>4</v>
      </c>
      <c r="B6" s="97" t="s">
        <v>2108</v>
      </c>
      <c r="C6" s="98" t="s">
        <v>101</v>
      </c>
      <c r="D6" s="98">
        <v>2922038506</v>
      </c>
      <c r="E6" s="99" t="e">
        <f>'TEACHING STAFF'!#REF!</f>
        <v>#REF!</v>
      </c>
    </row>
    <row r="7" ht="42.75" customHeight="1" spans="1:5">
      <c r="A7" s="96">
        <v>5</v>
      </c>
      <c r="B7" s="97" t="s">
        <v>2109</v>
      </c>
      <c r="C7" s="98" t="s">
        <v>113</v>
      </c>
      <c r="D7" s="98">
        <v>1006415522</v>
      </c>
      <c r="E7" s="99" t="e">
        <f>'TEACHING STAFF'!#REF!</f>
        <v>#REF!</v>
      </c>
    </row>
    <row r="8" ht="42.75" customHeight="1" spans="1:5">
      <c r="A8" s="96">
        <v>6</v>
      </c>
      <c r="B8" s="97" t="s">
        <v>119</v>
      </c>
      <c r="C8" s="98" t="s">
        <v>113</v>
      </c>
      <c r="D8" s="98">
        <v>2009901290</v>
      </c>
      <c r="E8" s="99">
        <f>'TEACHING STAFF'!BP11</f>
        <v>409418.89025</v>
      </c>
    </row>
    <row r="9" ht="42.75" customHeight="1" spans="1:5">
      <c r="A9" s="96">
        <v>7</v>
      </c>
      <c r="B9" s="97" t="s">
        <v>2002</v>
      </c>
      <c r="C9" s="98" t="s">
        <v>127</v>
      </c>
      <c r="D9" s="98" t="s">
        <v>128</v>
      </c>
      <c r="E9" s="99">
        <f>'TEACHING STAFF'!BP12</f>
        <v>243218.50997</v>
      </c>
    </row>
    <row r="10" ht="42.75" customHeight="1" spans="1:5">
      <c r="A10" s="96">
        <v>8</v>
      </c>
      <c r="B10" s="97" t="s">
        <v>129</v>
      </c>
      <c r="C10" s="98" t="s">
        <v>113</v>
      </c>
      <c r="D10" s="98">
        <v>2067246166</v>
      </c>
      <c r="E10" s="99">
        <f>'TEACHING STAFF'!BP13</f>
        <v>279644.141196667</v>
      </c>
    </row>
    <row r="11" ht="42.75" customHeight="1" spans="1:5">
      <c r="A11" s="96">
        <v>9</v>
      </c>
      <c r="B11" s="97" t="s">
        <v>132</v>
      </c>
      <c r="C11" s="98" t="s">
        <v>127</v>
      </c>
      <c r="D11" s="98" t="s">
        <v>2209</v>
      </c>
      <c r="E11" s="99">
        <f>'TEACHING STAFF'!BP14</f>
        <v>289156.060886667</v>
      </c>
    </row>
    <row r="12" ht="42.75" customHeight="1" spans="1:5">
      <c r="A12" s="96">
        <v>10</v>
      </c>
      <c r="B12" s="97" t="s">
        <v>2110</v>
      </c>
      <c r="C12" s="98" t="s">
        <v>675</v>
      </c>
      <c r="D12" s="98">
        <v>3064601972</v>
      </c>
      <c r="E12" s="99" t="e">
        <f>'TEACHING STAFF'!#REF!</f>
        <v>#REF!</v>
      </c>
    </row>
    <row r="13" ht="42.75" customHeight="1" spans="1:5">
      <c r="A13" s="96">
        <v>11</v>
      </c>
      <c r="B13" s="97" t="s">
        <v>2111</v>
      </c>
      <c r="C13" s="98" t="s">
        <v>127</v>
      </c>
      <c r="D13" s="98" t="s">
        <v>2226</v>
      </c>
      <c r="E13" s="99" t="e">
        <f>'TEACHING STAFF'!#REF!</f>
        <v>#REF!</v>
      </c>
    </row>
    <row r="14" ht="42.75" customHeight="1" spans="1:5">
      <c r="A14" s="96">
        <v>12</v>
      </c>
      <c r="B14" s="97" t="s">
        <v>2112</v>
      </c>
      <c r="C14" s="98" t="s">
        <v>113</v>
      </c>
      <c r="D14" s="98" t="s">
        <v>2211</v>
      </c>
      <c r="E14" s="99">
        <f>'TEACHING STAFF'!BP15</f>
        <v>216398.997666667</v>
      </c>
    </row>
    <row r="15" ht="42.75" customHeight="1" spans="1:5">
      <c r="A15" s="96">
        <v>13</v>
      </c>
      <c r="B15" s="97" t="s">
        <v>2113</v>
      </c>
      <c r="C15" s="98" t="s">
        <v>135</v>
      </c>
      <c r="D15" s="98" t="s">
        <v>2212</v>
      </c>
      <c r="E15" s="99" t="e">
        <f>'TEACHING STAFF'!#REF!</f>
        <v>#REF!</v>
      </c>
    </row>
    <row r="16" ht="42.75" customHeight="1" spans="1:5">
      <c r="A16" s="96">
        <v>14</v>
      </c>
      <c r="B16" s="97" t="s">
        <v>2114</v>
      </c>
      <c r="C16" s="98" t="s">
        <v>113</v>
      </c>
      <c r="D16" s="98">
        <v>2024492407</v>
      </c>
      <c r="E16" s="99" t="e">
        <f>'TEACHING STAFF'!#REF!</f>
        <v>#REF!</v>
      </c>
    </row>
    <row r="17" ht="42.75" customHeight="1" spans="1:5">
      <c r="A17" s="96">
        <v>15</v>
      </c>
      <c r="B17" s="97" t="s">
        <v>244</v>
      </c>
      <c r="C17" s="98" t="s">
        <v>127</v>
      </c>
      <c r="D17" s="98" t="s">
        <v>247</v>
      </c>
      <c r="E17" s="99" t="e">
        <f>'TEACHING STAFF'!#REF!</f>
        <v>#REF!</v>
      </c>
    </row>
    <row r="18" ht="42.75" customHeight="1" spans="1:5">
      <c r="A18" s="96">
        <v>16</v>
      </c>
      <c r="B18" s="97" t="s">
        <v>2115</v>
      </c>
      <c r="C18" s="98" t="s">
        <v>422</v>
      </c>
      <c r="D18" s="98">
        <v>1760341894</v>
      </c>
      <c r="E18" s="99" t="e">
        <f>'TEACHING STAFF'!#REF!</f>
        <v>#REF!</v>
      </c>
    </row>
    <row r="19" ht="42.75" customHeight="1" spans="1:5">
      <c r="A19" s="96">
        <v>17</v>
      </c>
      <c r="B19" s="97" t="s">
        <v>2116</v>
      </c>
      <c r="C19" s="98" t="s">
        <v>113</v>
      </c>
      <c r="D19" s="98">
        <v>2141559500</v>
      </c>
      <c r="E19" s="99" t="e">
        <f>'TEACHING STAFF'!#REF!</f>
        <v>#REF!</v>
      </c>
    </row>
    <row r="20" ht="42.75" customHeight="1" spans="1:5">
      <c r="A20" s="96">
        <v>18</v>
      </c>
      <c r="B20" s="97" t="s">
        <v>2117</v>
      </c>
      <c r="C20" s="98" t="s">
        <v>675</v>
      </c>
      <c r="D20" s="98">
        <v>3026407558</v>
      </c>
      <c r="E20" s="99" t="e">
        <f>'TEACHING STAFF'!#REF!</f>
        <v>#REF!</v>
      </c>
    </row>
    <row r="21" ht="42.75" customHeight="1" spans="1:5">
      <c r="A21" s="96">
        <v>19</v>
      </c>
      <c r="B21" s="97" t="s">
        <v>152</v>
      </c>
      <c r="C21" s="98" t="s">
        <v>675</v>
      </c>
      <c r="D21" s="98">
        <v>3041696126</v>
      </c>
      <c r="E21" s="99" t="e">
        <f>'TEACHING STAFF'!#REF!</f>
        <v>#REF!</v>
      </c>
    </row>
    <row r="22" ht="42.75" customHeight="1" spans="1:5">
      <c r="A22" s="96">
        <v>20</v>
      </c>
      <c r="B22" s="97" t="s">
        <v>154</v>
      </c>
      <c r="C22" s="98" t="s">
        <v>157</v>
      </c>
      <c r="D22" s="98" t="s">
        <v>158</v>
      </c>
      <c r="E22" s="99">
        <f>'TEACHING STAFF'!BP19</f>
        <v>301680.087363333</v>
      </c>
    </row>
    <row r="23" ht="42.75" customHeight="1" spans="1:5">
      <c r="A23" s="96">
        <v>21</v>
      </c>
      <c r="B23" s="97" t="s">
        <v>2007</v>
      </c>
      <c r="C23" s="98" t="s">
        <v>313</v>
      </c>
      <c r="D23" s="98">
        <v>3510704014</v>
      </c>
      <c r="E23" s="99" t="e">
        <f>'TEACHING STAFF'!#REF!</f>
        <v>#REF!</v>
      </c>
    </row>
    <row r="24" ht="42.75" customHeight="1" spans="1:5">
      <c r="A24" s="96">
        <v>22</v>
      </c>
      <c r="B24" s="97" t="s">
        <v>159</v>
      </c>
      <c r="C24" s="98" t="s">
        <v>122</v>
      </c>
      <c r="D24" s="98" t="s">
        <v>162</v>
      </c>
      <c r="E24" s="99">
        <f>'TEACHING STAFF'!BP20</f>
        <v>257459.546303333</v>
      </c>
    </row>
    <row r="25" ht="42.75" customHeight="1" spans="1:5">
      <c r="A25" s="96">
        <v>23</v>
      </c>
      <c r="B25" s="97" t="s">
        <v>163</v>
      </c>
      <c r="C25" s="98" t="s">
        <v>675</v>
      </c>
      <c r="D25" s="98">
        <v>3075456815</v>
      </c>
      <c r="E25" s="99">
        <f>'TEACHING STAFF'!BP21</f>
        <v>292489.390886667</v>
      </c>
    </row>
    <row r="26" ht="42.75" customHeight="1" spans="1:5">
      <c r="A26" s="96">
        <v>24</v>
      </c>
      <c r="B26" s="97" t="s">
        <v>166</v>
      </c>
      <c r="C26" s="98" t="s">
        <v>127</v>
      </c>
      <c r="D26" s="98" t="s">
        <v>2213</v>
      </c>
      <c r="E26" s="99">
        <f>'TEACHING STAFF'!BP22</f>
        <v>344675.661066667</v>
      </c>
    </row>
    <row r="27" ht="42.75" customHeight="1" spans="1:5">
      <c r="A27" s="96">
        <v>25</v>
      </c>
      <c r="B27" s="97" t="s">
        <v>2118</v>
      </c>
      <c r="C27" s="98" t="s">
        <v>127</v>
      </c>
      <c r="D27" s="98" t="s">
        <v>2214</v>
      </c>
      <c r="E27" s="99" t="e">
        <f>'TEACHING STAFF'!#REF!</f>
        <v>#REF!</v>
      </c>
    </row>
    <row r="28" ht="42.75" customHeight="1" spans="1:5">
      <c r="A28" s="96">
        <v>26</v>
      </c>
      <c r="B28" s="97" t="s">
        <v>180</v>
      </c>
      <c r="C28" s="98" t="s">
        <v>127</v>
      </c>
      <c r="D28" s="98" t="s">
        <v>2215</v>
      </c>
      <c r="E28" s="99">
        <f>'TEACHING STAFF'!BP26</f>
        <v>64000.05503</v>
      </c>
    </row>
    <row r="29" ht="42.75" customHeight="1" spans="1:5">
      <c r="A29" s="96">
        <v>27</v>
      </c>
      <c r="B29" s="97" t="s">
        <v>182</v>
      </c>
      <c r="C29" s="98" t="s">
        <v>97</v>
      </c>
      <c r="D29" s="98" t="s">
        <v>2216</v>
      </c>
      <c r="E29" s="99">
        <f>'TEACHING STAFF'!BP27</f>
        <v>26884.0542866667</v>
      </c>
    </row>
    <row r="30" ht="42.75" customHeight="1" spans="1:5">
      <c r="A30" s="96">
        <v>28</v>
      </c>
      <c r="B30" s="97" t="s">
        <v>184</v>
      </c>
      <c r="C30" s="98" t="s">
        <v>93</v>
      </c>
      <c r="D30" s="98">
        <v>3079414505</v>
      </c>
      <c r="E30" s="99">
        <f>'TEACHING STAFF'!BP28</f>
        <v>108831.34622</v>
      </c>
    </row>
    <row r="31" ht="42.75" customHeight="1" spans="1:5">
      <c r="A31" s="96">
        <v>29</v>
      </c>
      <c r="B31" s="97" t="s">
        <v>187</v>
      </c>
      <c r="C31" s="98" t="s">
        <v>135</v>
      </c>
      <c r="D31" s="98" t="s">
        <v>2016</v>
      </c>
      <c r="E31" s="99" t="e">
        <f>'TEACHING STAFF'!#REF!</f>
        <v>#REF!</v>
      </c>
    </row>
    <row r="32" ht="42.75" customHeight="1" spans="1:5">
      <c r="A32" s="96">
        <v>30</v>
      </c>
      <c r="B32" s="97" t="s">
        <v>2199</v>
      </c>
      <c r="C32" s="98" t="s">
        <v>93</v>
      </c>
      <c r="D32" s="98">
        <v>2017217387</v>
      </c>
      <c r="E32" s="99" t="e">
        <f>'TEACHING STAFF'!#REF!</f>
        <v>#REF!</v>
      </c>
    </row>
    <row r="33" ht="42.75" customHeight="1" spans="1:5">
      <c r="A33" s="96">
        <v>31</v>
      </c>
      <c r="B33" s="97" t="s">
        <v>2119</v>
      </c>
      <c r="C33" s="98" t="s">
        <v>93</v>
      </c>
      <c r="D33" s="98">
        <v>3004464221</v>
      </c>
      <c r="E33" s="99" t="e">
        <f>'TEACHING STAFF'!#REF!</f>
        <v>#REF!</v>
      </c>
    </row>
    <row r="34" ht="42.75" customHeight="1" spans="1:5">
      <c r="A34" s="96">
        <v>32</v>
      </c>
      <c r="B34" s="97" t="s">
        <v>190</v>
      </c>
      <c r="C34" s="98" t="s">
        <v>145</v>
      </c>
      <c r="D34" s="98" t="s">
        <v>192</v>
      </c>
      <c r="E34" s="99">
        <f>'TEACHING STAFF'!BP30</f>
        <v>284649.257666667</v>
      </c>
    </row>
    <row r="35" ht="42.75" customHeight="1" spans="1:5">
      <c r="A35" s="96">
        <v>33</v>
      </c>
      <c r="B35" s="97" t="s">
        <v>2120</v>
      </c>
      <c r="C35" s="98" t="s">
        <v>165</v>
      </c>
      <c r="D35" s="98">
        <v>2087460667</v>
      </c>
      <c r="E35" s="99" t="e">
        <f>'TEACHING STAFF'!#REF!</f>
        <v>#REF!</v>
      </c>
    </row>
    <row r="36" ht="42.75" customHeight="1" spans="1:5">
      <c r="A36" s="96">
        <v>34</v>
      </c>
      <c r="B36" s="97" t="s">
        <v>193</v>
      </c>
      <c r="C36" s="98" t="s">
        <v>165</v>
      </c>
      <c r="D36" s="98">
        <v>2007556061</v>
      </c>
      <c r="E36" s="99">
        <f>'TEACHING STAFF'!BP31</f>
        <v>193142.2835</v>
      </c>
    </row>
    <row r="37" ht="42.75" customHeight="1" spans="1:5">
      <c r="A37" s="96">
        <v>35</v>
      </c>
      <c r="B37" s="97" t="s">
        <v>211</v>
      </c>
      <c r="C37" s="98" t="s">
        <v>127</v>
      </c>
      <c r="D37" s="98" t="s">
        <v>2217</v>
      </c>
      <c r="E37" s="99">
        <f>'TEACHING STAFF'!BP36</f>
        <v>0</v>
      </c>
    </row>
    <row r="38" ht="42.75" customHeight="1" spans="1:5">
      <c r="A38" s="96">
        <v>36</v>
      </c>
      <c r="B38" s="97" t="s">
        <v>222</v>
      </c>
      <c r="C38" s="98" t="s">
        <v>93</v>
      </c>
      <c r="D38" s="98">
        <v>3051864825</v>
      </c>
      <c r="E38" s="99" t="e">
        <f>'TEACHING STAFF'!#REF!</f>
        <v>#REF!</v>
      </c>
    </row>
    <row r="39" ht="42.75" customHeight="1" spans="1:5">
      <c r="A39" s="96">
        <v>37</v>
      </c>
      <c r="B39" s="97" t="s">
        <v>224</v>
      </c>
      <c r="C39" s="98" t="s">
        <v>165</v>
      </c>
      <c r="D39" s="98">
        <v>1005415103</v>
      </c>
      <c r="E39" s="99">
        <f>'TEACHING STAFF'!BP41</f>
        <v>280650.957846667</v>
      </c>
    </row>
    <row r="40" ht="42.75" customHeight="1" spans="1:5">
      <c r="A40" s="96">
        <v>38</v>
      </c>
      <c r="B40" s="97" t="s">
        <v>2019</v>
      </c>
      <c r="C40" s="98" t="s">
        <v>127</v>
      </c>
      <c r="D40" s="98" t="s">
        <v>2020</v>
      </c>
      <c r="E40" s="99" t="e">
        <f>'TEACHING STAFF'!#REF!</f>
        <v>#REF!</v>
      </c>
    </row>
    <row r="41" ht="42.75" customHeight="1" spans="1:5">
      <c r="A41" s="96">
        <v>39</v>
      </c>
      <c r="B41" s="97" t="s">
        <v>248</v>
      </c>
      <c r="C41" s="98" t="s">
        <v>127</v>
      </c>
      <c r="D41" s="98" t="s">
        <v>252</v>
      </c>
      <c r="E41" s="99">
        <f>'TEACHING STAFF'!BP49</f>
        <v>714870.996546667</v>
      </c>
    </row>
    <row r="42" ht="42.75" customHeight="1" spans="1:5">
      <c r="A42" s="96">
        <v>40</v>
      </c>
      <c r="B42" s="97" t="s">
        <v>2121</v>
      </c>
      <c r="C42" s="98" t="s">
        <v>113</v>
      </c>
      <c r="D42" s="98">
        <v>2088596893</v>
      </c>
      <c r="E42" s="99" t="e">
        <f>'TEACHING STAFF'!#REF!</f>
        <v>#REF!</v>
      </c>
    </row>
    <row r="43" ht="42.75" customHeight="1" spans="1:5">
      <c r="A43" s="96">
        <v>41</v>
      </c>
      <c r="B43" s="97" t="s">
        <v>2122</v>
      </c>
      <c r="C43" s="98" t="s">
        <v>113</v>
      </c>
      <c r="D43" s="98">
        <v>1005527763</v>
      </c>
      <c r="E43" s="99" t="e">
        <f>'TEACHING STAFF'!#REF!</f>
        <v>#REF!</v>
      </c>
    </row>
    <row r="44" ht="42.75" customHeight="1" spans="1:5">
      <c r="A44" s="96">
        <v>42</v>
      </c>
      <c r="B44" s="97" t="s">
        <v>2123</v>
      </c>
      <c r="C44" s="98" t="s">
        <v>93</v>
      </c>
      <c r="D44" s="98">
        <v>3009340128</v>
      </c>
      <c r="E44" s="99" t="e">
        <f>'TEACHING STAFF'!#REF!</f>
        <v>#REF!</v>
      </c>
    </row>
    <row r="45" ht="42.75" customHeight="1" spans="1:5">
      <c r="A45" s="96">
        <v>43</v>
      </c>
      <c r="B45" s="97" t="s">
        <v>2124</v>
      </c>
      <c r="C45" s="98" t="s">
        <v>122</v>
      </c>
      <c r="D45" s="98">
        <v>90200480279</v>
      </c>
      <c r="E45" s="99" t="e">
        <f>'TEACHING STAFF'!#REF!</f>
        <v>#REF!</v>
      </c>
    </row>
    <row r="46" ht="42.75" customHeight="1" spans="1:5">
      <c r="A46" s="96">
        <v>44</v>
      </c>
      <c r="B46" s="97" t="s">
        <v>2125</v>
      </c>
      <c r="C46" s="98" t="s">
        <v>93</v>
      </c>
      <c r="D46" s="98">
        <v>3034691118</v>
      </c>
      <c r="E46" s="99" t="e">
        <f>'TEACHING STAFF'!#REF!</f>
        <v>#REF!</v>
      </c>
    </row>
    <row r="47" ht="42.75" customHeight="1" spans="1:5">
      <c r="A47" s="96">
        <v>45</v>
      </c>
      <c r="B47" s="97" t="s">
        <v>2339</v>
      </c>
      <c r="C47" s="98" t="s">
        <v>259</v>
      </c>
      <c r="D47" s="98">
        <v>4021365312</v>
      </c>
      <c r="E47" s="99">
        <f>'TEACHING STAFF'!BP51</f>
        <v>478594.919363333</v>
      </c>
    </row>
    <row r="48" ht="42.75" customHeight="1" spans="1:5">
      <c r="A48" s="96">
        <v>46</v>
      </c>
      <c r="B48" s="97" t="s">
        <v>260</v>
      </c>
      <c r="C48" s="98" t="s">
        <v>93</v>
      </c>
      <c r="D48" s="98">
        <v>2003315491</v>
      </c>
      <c r="E48" s="99">
        <f>'TEACHING STAFF'!BP52</f>
        <v>267254.294446667</v>
      </c>
    </row>
    <row r="49" ht="42.75" customHeight="1" spans="1:5">
      <c r="A49" s="96">
        <v>47</v>
      </c>
      <c r="B49" s="97" t="s">
        <v>262</v>
      </c>
      <c r="C49" s="98" t="s">
        <v>127</v>
      </c>
      <c r="D49" s="98" t="s">
        <v>264</v>
      </c>
      <c r="E49" s="99">
        <f>'TEACHING STAFF'!BP54</f>
        <v>417988.27403</v>
      </c>
    </row>
    <row r="50" ht="42.75" customHeight="1" spans="1:5">
      <c r="A50" s="96">
        <v>48</v>
      </c>
      <c r="B50" s="97" t="s">
        <v>265</v>
      </c>
      <c r="C50" s="98" t="s">
        <v>113</v>
      </c>
      <c r="D50" s="98">
        <v>2008477330</v>
      </c>
      <c r="E50" s="99">
        <f>'TEACHING STAFF'!BP55</f>
        <v>384205.993543636</v>
      </c>
    </row>
    <row r="51" ht="42.75" customHeight="1" spans="1:5">
      <c r="A51" s="96">
        <v>49</v>
      </c>
      <c r="B51" s="97" t="s">
        <v>268</v>
      </c>
      <c r="C51" s="98" t="s">
        <v>127</v>
      </c>
      <c r="D51" s="98" t="s">
        <v>270</v>
      </c>
      <c r="E51" s="99">
        <f>'TEACHING STAFF'!BP56</f>
        <v>333477.741196667</v>
      </c>
    </row>
    <row r="52" ht="42.75" customHeight="1" spans="1:5">
      <c r="A52" s="96">
        <v>50</v>
      </c>
      <c r="B52" s="97" t="s">
        <v>2035</v>
      </c>
      <c r="C52" s="98" t="s">
        <v>127</v>
      </c>
      <c r="D52" s="98" t="s">
        <v>2036</v>
      </c>
      <c r="E52" s="99" t="e">
        <f>'TEACHING STAFF'!#REF!</f>
        <v>#REF!</v>
      </c>
    </row>
    <row r="53" ht="42.75" customHeight="1" spans="1:5">
      <c r="A53" s="96">
        <v>51</v>
      </c>
      <c r="B53" s="97" t="s">
        <v>271</v>
      </c>
      <c r="C53" s="98" t="s">
        <v>145</v>
      </c>
      <c r="D53" s="98" t="s">
        <v>273</v>
      </c>
      <c r="E53" s="99">
        <f>'TEACHING STAFF'!BP57</f>
        <v>197673.134661333</v>
      </c>
    </row>
    <row r="54" ht="42.75" customHeight="1" spans="1:5">
      <c r="A54" s="96">
        <v>52</v>
      </c>
      <c r="B54" s="97" t="s">
        <v>274</v>
      </c>
      <c r="C54" s="98" t="s">
        <v>127</v>
      </c>
      <c r="D54" s="98" t="s">
        <v>277</v>
      </c>
      <c r="E54" s="99">
        <f>'TEACHING STAFF'!BP58</f>
        <v>14575.30025</v>
      </c>
    </row>
    <row r="55" ht="42.75" customHeight="1" spans="1:5">
      <c r="A55" s="96">
        <v>53</v>
      </c>
      <c r="B55" s="97" t="s">
        <v>278</v>
      </c>
      <c r="C55" s="98" t="s">
        <v>127</v>
      </c>
      <c r="D55" s="98" t="s">
        <v>281</v>
      </c>
      <c r="E55" s="99">
        <f>'TEACHING STAFF'!BP59</f>
        <v>213331.308833333</v>
      </c>
    </row>
    <row r="56" ht="42.75" customHeight="1" spans="1:5">
      <c r="A56" s="96">
        <v>54</v>
      </c>
      <c r="B56" s="97" t="s">
        <v>282</v>
      </c>
      <c r="C56" s="98" t="s">
        <v>97</v>
      </c>
      <c r="D56" s="98" t="s">
        <v>2037</v>
      </c>
      <c r="E56" s="99">
        <f>'TEACHING STAFF'!BP60</f>
        <v>131685.804596667</v>
      </c>
    </row>
    <row r="57" ht="42.75" customHeight="1" spans="1:5">
      <c r="A57" s="96">
        <v>55</v>
      </c>
      <c r="B57" s="97" t="s">
        <v>285</v>
      </c>
      <c r="C57" s="98" t="s">
        <v>101</v>
      </c>
      <c r="D57" s="98">
        <v>1402013635</v>
      </c>
      <c r="E57" s="99">
        <f>'TEACHING STAFF'!BP61</f>
        <v>432923.441104667</v>
      </c>
    </row>
    <row r="58" ht="42.75" customHeight="1" spans="1:5">
      <c r="A58" s="96">
        <v>56</v>
      </c>
      <c r="B58" s="97" t="s">
        <v>289</v>
      </c>
      <c r="C58" s="98" t="s">
        <v>113</v>
      </c>
      <c r="D58" s="98">
        <v>2022811512</v>
      </c>
      <c r="E58" s="99">
        <f>'TEACHING STAFF'!BP62</f>
        <v>173726.804596667</v>
      </c>
    </row>
    <row r="59" ht="42.75" customHeight="1" spans="1:5">
      <c r="A59" s="96">
        <v>57</v>
      </c>
      <c r="B59" s="97" t="s">
        <v>290</v>
      </c>
      <c r="C59" s="98" t="s">
        <v>93</v>
      </c>
      <c r="D59" s="98">
        <v>2032946295</v>
      </c>
      <c r="E59" s="99">
        <f>'TEACHING STAFF'!BP63</f>
        <v>209499.35397</v>
      </c>
    </row>
    <row r="60" ht="42.75" customHeight="1" spans="1:5">
      <c r="A60" s="96">
        <v>58</v>
      </c>
      <c r="B60" s="97" t="s">
        <v>2126</v>
      </c>
      <c r="C60" s="98" t="s">
        <v>165</v>
      </c>
      <c r="D60" s="98">
        <v>2175828353</v>
      </c>
      <c r="E60" s="99" t="e">
        <f>'TEACHING STAFF'!#REF!</f>
        <v>#REF!</v>
      </c>
    </row>
    <row r="61" ht="42.75" customHeight="1" spans="1:5">
      <c r="A61" s="96">
        <v>59</v>
      </c>
      <c r="B61" s="97" t="s">
        <v>293</v>
      </c>
      <c r="C61" s="98" t="s">
        <v>135</v>
      </c>
      <c r="D61" s="98" t="s">
        <v>295</v>
      </c>
      <c r="E61" s="99">
        <f>'TEACHING STAFF'!BP64</f>
        <v>256077.646083333</v>
      </c>
    </row>
    <row r="62" ht="42.75" customHeight="1" spans="1:5">
      <c r="A62" s="96">
        <v>60</v>
      </c>
      <c r="B62" s="97" t="s">
        <v>2200</v>
      </c>
      <c r="C62" s="98" t="s">
        <v>113</v>
      </c>
      <c r="D62" s="98">
        <v>2084296463</v>
      </c>
      <c r="E62" s="99">
        <f>'TEACHING STAFF'!BP65</f>
        <v>290798.836303333</v>
      </c>
    </row>
    <row r="63" ht="42.75" customHeight="1" spans="1:5">
      <c r="A63" s="96">
        <v>61</v>
      </c>
      <c r="B63" s="97" t="s">
        <v>299</v>
      </c>
      <c r="C63" s="98" t="s">
        <v>93</v>
      </c>
      <c r="D63" s="98">
        <v>3050764643</v>
      </c>
      <c r="E63" s="99">
        <f>'TEACHING STAFF'!BP66</f>
        <v>292798.836303333</v>
      </c>
    </row>
    <row r="64" ht="42.75" customHeight="1" spans="1:5">
      <c r="A64" s="96">
        <v>62</v>
      </c>
      <c r="B64" s="97" t="s">
        <v>300</v>
      </c>
      <c r="C64" s="98" t="s">
        <v>127</v>
      </c>
      <c r="D64" s="98" t="s">
        <v>301</v>
      </c>
      <c r="E64" s="99">
        <f>'TEACHING STAFF'!BP67</f>
        <v>249922.716863333</v>
      </c>
    </row>
    <row r="65" ht="42.75" customHeight="1" spans="1:5">
      <c r="A65" s="96">
        <v>63</v>
      </c>
      <c r="B65" s="97" t="s">
        <v>310</v>
      </c>
      <c r="C65" s="98" t="s">
        <v>127</v>
      </c>
      <c r="D65" s="98" t="s">
        <v>311</v>
      </c>
      <c r="E65" s="99">
        <f>'TEACHING STAFF'!BP70</f>
        <v>271558.25152</v>
      </c>
    </row>
    <row r="66" ht="42.75" customHeight="1" spans="1:5">
      <c r="A66" s="96">
        <v>64</v>
      </c>
      <c r="B66" s="97" t="s">
        <v>314</v>
      </c>
      <c r="C66" s="98" t="s">
        <v>2041</v>
      </c>
      <c r="D66" s="98">
        <v>1909306179</v>
      </c>
      <c r="E66" s="99">
        <f>'TEACHING STAFF'!BP72</f>
        <v>292798.836303333</v>
      </c>
    </row>
    <row r="67" ht="42.75" customHeight="1" spans="1:5">
      <c r="A67" s="96">
        <v>65</v>
      </c>
      <c r="B67" s="97" t="s">
        <v>316</v>
      </c>
      <c r="C67" s="98" t="s">
        <v>135</v>
      </c>
      <c r="D67" s="98" t="s">
        <v>2042</v>
      </c>
      <c r="E67" s="99">
        <f>'TEACHING STAFF'!BP73</f>
        <v>38144.14453</v>
      </c>
    </row>
    <row r="68" ht="42.75" customHeight="1" spans="1:5">
      <c r="A68" s="96">
        <v>66</v>
      </c>
      <c r="B68" s="97" t="s">
        <v>318</v>
      </c>
      <c r="C68" s="98" t="s">
        <v>127</v>
      </c>
      <c r="D68" s="98" t="s">
        <v>319</v>
      </c>
      <c r="E68" s="99">
        <f>'TEACHING STAFF'!BP74</f>
        <v>300644.141196667</v>
      </c>
    </row>
    <row r="69" ht="42.75" customHeight="1" spans="1:5">
      <c r="A69" s="96">
        <v>67</v>
      </c>
      <c r="B69" s="97" t="s">
        <v>320</v>
      </c>
      <c r="C69" s="98" t="s">
        <v>93</v>
      </c>
      <c r="D69" s="98">
        <v>3053511556</v>
      </c>
      <c r="E69" s="99">
        <f>'TEACHING STAFF'!BP75</f>
        <v>110325.961196667</v>
      </c>
    </row>
    <row r="70" ht="42.75" customHeight="1" spans="1:5">
      <c r="A70" s="96">
        <v>68</v>
      </c>
      <c r="B70" s="97" t="s">
        <v>321</v>
      </c>
      <c r="C70" s="98" t="s">
        <v>127</v>
      </c>
      <c r="D70" s="98" t="s">
        <v>322</v>
      </c>
      <c r="E70" s="99">
        <f>'TEACHING STAFF'!BP76</f>
        <v>381001.96365</v>
      </c>
    </row>
    <row r="71" ht="42.75" customHeight="1" spans="1:5">
      <c r="A71" s="96">
        <v>69</v>
      </c>
      <c r="B71" s="97" t="s">
        <v>323</v>
      </c>
      <c r="C71" s="98" t="s">
        <v>93</v>
      </c>
      <c r="D71" s="98">
        <v>3068164624</v>
      </c>
      <c r="E71" s="99">
        <f>'TEACHING STAFF'!BP77</f>
        <v>173918.30365</v>
      </c>
    </row>
    <row r="72" ht="42.75" customHeight="1" spans="1:5">
      <c r="A72" s="96">
        <v>70</v>
      </c>
      <c r="B72" s="97" t="s">
        <v>324</v>
      </c>
      <c r="C72" s="98" t="s">
        <v>97</v>
      </c>
      <c r="D72" s="98" t="s">
        <v>2043</v>
      </c>
      <c r="E72" s="99">
        <f>'TEACHING STAFF'!BP78</f>
        <v>214584.97025</v>
      </c>
    </row>
    <row r="73" ht="42.75" customHeight="1" spans="1:5">
      <c r="A73" s="96">
        <v>71</v>
      </c>
      <c r="B73" s="97" t="s">
        <v>326</v>
      </c>
      <c r="C73" s="98" t="s">
        <v>165</v>
      </c>
      <c r="D73" s="98">
        <v>2048397326</v>
      </c>
      <c r="E73" s="99">
        <f>'TEACHING STAFF'!BP79</f>
        <v>396589.116863333</v>
      </c>
    </row>
    <row r="74" ht="42.75" customHeight="1" spans="1:5">
      <c r="A74" s="96">
        <v>72</v>
      </c>
      <c r="B74" s="97" t="s">
        <v>327</v>
      </c>
      <c r="C74" s="98" t="s">
        <v>354</v>
      </c>
      <c r="D74" s="98">
        <v>1002056628</v>
      </c>
      <c r="E74" s="99">
        <f>'TEACHING STAFF'!BP80</f>
        <v>491891.12345</v>
      </c>
    </row>
    <row r="75" ht="42.75" customHeight="1" spans="1:5">
      <c r="A75" s="96">
        <v>73</v>
      </c>
      <c r="B75" s="97" t="s">
        <v>2127</v>
      </c>
      <c r="C75" s="98" t="s">
        <v>165</v>
      </c>
      <c r="D75" s="98">
        <v>2009259191</v>
      </c>
      <c r="E75" s="99" t="e">
        <f>'TEACHING STAFF'!#REF!</f>
        <v>#REF!</v>
      </c>
    </row>
    <row r="76" ht="42.75" customHeight="1" spans="1:5">
      <c r="A76" s="96">
        <v>74</v>
      </c>
      <c r="B76" s="97" t="s">
        <v>330</v>
      </c>
      <c r="C76" s="98" t="s">
        <v>101</v>
      </c>
      <c r="D76" s="98">
        <v>2462011867</v>
      </c>
      <c r="E76" s="99">
        <f>'TEACHING STAFF'!BP81</f>
        <v>192828.45885</v>
      </c>
    </row>
    <row r="77" ht="42.75" customHeight="1" spans="1:5">
      <c r="A77" s="96">
        <v>75</v>
      </c>
      <c r="B77" s="97" t="s">
        <v>334</v>
      </c>
      <c r="C77" s="98" t="s">
        <v>135</v>
      </c>
      <c r="D77" s="98" t="s">
        <v>336</v>
      </c>
      <c r="E77" s="99">
        <f>'TEACHING STAFF'!BP83</f>
        <v>742593.27865</v>
      </c>
    </row>
    <row r="78" ht="42.75" customHeight="1" spans="1:5">
      <c r="A78" s="96">
        <v>76</v>
      </c>
      <c r="B78" s="97" t="s">
        <v>2046</v>
      </c>
      <c r="C78" s="98" t="s">
        <v>127</v>
      </c>
      <c r="D78" s="98" t="s">
        <v>2020</v>
      </c>
      <c r="E78" s="99" t="e">
        <f>'TEACHING STAFF'!#REF!</f>
        <v>#REF!</v>
      </c>
    </row>
    <row r="79" ht="42.75" customHeight="1" spans="1:5">
      <c r="A79" s="96">
        <v>77</v>
      </c>
      <c r="B79" s="97" t="s">
        <v>2128</v>
      </c>
      <c r="C79" s="98" t="s">
        <v>113</v>
      </c>
      <c r="D79" s="98">
        <v>1015391314</v>
      </c>
      <c r="E79" s="99" t="e">
        <f>'TEACHING STAFF'!#REF!</f>
        <v>#REF!</v>
      </c>
    </row>
    <row r="80" ht="42.75" customHeight="1" spans="1:5">
      <c r="A80" s="96">
        <v>78</v>
      </c>
      <c r="B80" s="97" t="s">
        <v>2129</v>
      </c>
      <c r="C80" s="98" t="s">
        <v>101</v>
      </c>
      <c r="D80" s="98" t="s">
        <v>2218</v>
      </c>
      <c r="E80" s="99" t="e">
        <f>'TEACHING STAFF'!#REF!</f>
        <v>#REF!</v>
      </c>
    </row>
    <row r="81" ht="42.75" customHeight="1" spans="1:5">
      <c r="A81" s="96">
        <v>79</v>
      </c>
      <c r="B81" s="97" t="s">
        <v>2130</v>
      </c>
      <c r="C81" s="98" t="s">
        <v>313</v>
      </c>
      <c r="D81" s="98" t="s">
        <v>2033</v>
      </c>
      <c r="E81" s="99" t="e">
        <f>'TEACHING STAFF'!#REF!</f>
        <v>#REF!</v>
      </c>
    </row>
    <row r="82" ht="42.75" customHeight="1" spans="1:5">
      <c r="A82" s="96">
        <v>80</v>
      </c>
      <c r="B82" s="97" t="s">
        <v>339</v>
      </c>
      <c r="C82" s="98" t="s">
        <v>127</v>
      </c>
      <c r="D82" s="98" t="s">
        <v>2219</v>
      </c>
      <c r="E82" s="99">
        <f>'TEACHING STAFF'!BP85</f>
        <v>2629.48993333324</v>
      </c>
    </row>
    <row r="83" ht="42.75" customHeight="1" spans="1:5">
      <c r="A83" s="96">
        <v>81</v>
      </c>
      <c r="B83" s="97" t="s">
        <v>345</v>
      </c>
      <c r="C83" s="98" t="s">
        <v>97</v>
      </c>
      <c r="D83" s="98" t="s">
        <v>2220</v>
      </c>
      <c r="E83" s="99">
        <f>'TEACHING STAFF'!BP87</f>
        <v>287749.5796</v>
      </c>
    </row>
    <row r="84" ht="42.75" customHeight="1" spans="1:5">
      <c r="A84" s="96">
        <v>82</v>
      </c>
      <c r="B84" s="97" t="s">
        <v>2131</v>
      </c>
      <c r="C84" s="98" t="s">
        <v>113</v>
      </c>
      <c r="D84" s="98">
        <v>1002404427</v>
      </c>
      <c r="E84" s="99" t="e">
        <f>'TEACHING STAFF'!#REF!</f>
        <v>#REF!</v>
      </c>
    </row>
    <row r="85" ht="42.75" customHeight="1" spans="1:5">
      <c r="A85" s="96">
        <v>83</v>
      </c>
      <c r="B85" s="97" t="s">
        <v>349</v>
      </c>
      <c r="C85" s="98" t="s">
        <v>157</v>
      </c>
      <c r="D85" s="98" t="s">
        <v>2221</v>
      </c>
      <c r="E85" s="99">
        <f>'TEACHING STAFF'!BP88</f>
        <v>265644.141196667</v>
      </c>
    </row>
    <row r="86" ht="42.75" customHeight="1" spans="1:5">
      <c r="A86" s="96">
        <v>84</v>
      </c>
      <c r="B86" s="97" t="s">
        <v>351</v>
      </c>
      <c r="C86" s="98" t="s">
        <v>354</v>
      </c>
      <c r="D86" s="98">
        <v>6016293250</v>
      </c>
      <c r="E86" s="99">
        <f>'TEACHING STAFF'!BP89</f>
        <v>97003.0265138889</v>
      </c>
    </row>
    <row r="87" ht="42.75" customHeight="1" spans="1:5">
      <c r="A87" s="96">
        <v>85</v>
      </c>
      <c r="B87" s="97" t="s">
        <v>355</v>
      </c>
      <c r="C87" s="98" t="s">
        <v>135</v>
      </c>
      <c r="D87" s="98" t="s">
        <v>356</v>
      </c>
      <c r="E87" s="99">
        <f>'TEACHING STAFF'!BP90</f>
        <v>21198.96365</v>
      </c>
    </row>
    <row r="88" ht="42.75" customHeight="1" spans="1:5">
      <c r="A88" s="96">
        <v>86</v>
      </c>
      <c r="B88" s="97" t="s">
        <v>357</v>
      </c>
      <c r="C88" s="98" t="s">
        <v>127</v>
      </c>
      <c r="D88" s="98" t="s">
        <v>358</v>
      </c>
      <c r="E88" s="99">
        <f>'TEACHING STAFF'!BP91</f>
        <v>276298.499703333</v>
      </c>
    </row>
    <row r="89" ht="42.75" customHeight="1" spans="1:5">
      <c r="A89" s="96">
        <v>87</v>
      </c>
      <c r="B89" s="97" t="s">
        <v>2132</v>
      </c>
      <c r="C89" s="98" t="s">
        <v>361</v>
      </c>
      <c r="D89" s="98">
        <v>2008091891</v>
      </c>
      <c r="E89" s="99">
        <f>'TEACHING STAFF'!BP92</f>
        <v>185824.952854167</v>
      </c>
    </row>
    <row r="90" ht="42.75" customHeight="1" spans="1:5">
      <c r="A90" s="96">
        <v>88</v>
      </c>
      <c r="B90" s="97" t="s">
        <v>365</v>
      </c>
      <c r="C90" s="98" t="s">
        <v>135</v>
      </c>
      <c r="D90" s="98" t="s">
        <v>366</v>
      </c>
      <c r="E90" s="99">
        <f>'TEACHING STAFF'!BP94</f>
        <v>287394.141196667</v>
      </c>
    </row>
    <row r="91" ht="42.75" customHeight="1" spans="1:5">
      <c r="A91" s="96">
        <v>89</v>
      </c>
      <c r="B91" s="97" t="s">
        <v>2051</v>
      </c>
      <c r="C91" s="98" t="s">
        <v>135</v>
      </c>
      <c r="D91" s="98" t="s">
        <v>2222</v>
      </c>
      <c r="E91" s="99">
        <f>'TEACHING STAFF'!BP95</f>
        <v>89135.312258889</v>
      </c>
    </row>
    <row r="92" ht="42.75" customHeight="1" spans="1:5">
      <c r="A92" s="96">
        <v>90</v>
      </c>
      <c r="B92" s="97" t="s">
        <v>369</v>
      </c>
      <c r="C92" s="98" t="s">
        <v>97</v>
      </c>
      <c r="D92" s="98" t="s">
        <v>2223</v>
      </c>
      <c r="E92" s="99">
        <f>'TEACHING STAFF'!BP96</f>
        <v>287798.836303333</v>
      </c>
    </row>
    <row r="93" ht="42.75" customHeight="1" spans="1:5">
      <c r="A93" s="96">
        <v>91</v>
      </c>
      <c r="B93" s="97" t="s">
        <v>2052</v>
      </c>
      <c r="C93" s="98" t="s">
        <v>165</v>
      </c>
      <c r="D93" s="98">
        <v>2000726706</v>
      </c>
      <c r="E93" s="99" t="e">
        <f>'TEACHING STAFF'!#REF!</f>
        <v>#REF!</v>
      </c>
    </row>
    <row r="94" ht="42.75" customHeight="1" spans="1:5">
      <c r="A94" s="96">
        <v>92</v>
      </c>
      <c r="B94" s="97" t="s">
        <v>371</v>
      </c>
      <c r="C94" s="98" t="s">
        <v>165</v>
      </c>
      <c r="D94" s="98">
        <v>2005960363</v>
      </c>
      <c r="E94" s="99">
        <f>'TEACHING STAFF'!BP97</f>
        <v>418870.32225</v>
      </c>
    </row>
    <row r="95" ht="42.75" customHeight="1" spans="1:5">
      <c r="A95" s="96">
        <v>93</v>
      </c>
      <c r="B95" s="97" t="s">
        <v>2133</v>
      </c>
      <c r="C95" s="98" t="s">
        <v>259</v>
      </c>
      <c r="D95" s="98">
        <v>4020735914</v>
      </c>
      <c r="E95" s="99" t="e">
        <f>'TEACHING STAFF'!#REF!</f>
        <v>#REF!</v>
      </c>
    </row>
    <row r="96" ht="42.75" customHeight="1" spans="1:5">
      <c r="A96" s="96">
        <v>94</v>
      </c>
      <c r="B96" s="97" t="s">
        <v>2053</v>
      </c>
      <c r="C96" s="98" t="s">
        <v>422</v>
      </c>
      <c r="D96" s="98">
        <v>1760353888</v>
      </c>
      <c r="E96" s="99" t="e">
        <f>'TEACHING STAFF'!#REF!</f>
        <v>#REF!</v>
      </c>
    </row>
    <row r="97" ht="42.75" customHeight="1" spans="1:5">
      <c r="A97" s="96">
        <v>95</v>
      </c>
      <c r="B97" s="97" t="s">
        <v>373</v>
      </c>
      <c r="C97" s="98" t="s">
        <v>113</v>
      </c>
      <c r="D97" s="98">
        <v>2094594805</v>
      </c>
      <c r="E97" s="99">
        <f>'TEACHING STAFF'!BP98</f>
        <v>198691.792411333</v>
      </c>
    </row>
    <row r="98" ht="42.75" customHeight="1" spans="1:5">
      <c r="A98" s="96">
        <v>96</v>
      </c>
      <c r="B98" s="97" t="s">
        <v>2134</v>
      </c>
      <c r="C98" s="98" t="s">
        <v>165</v>
      </c>
      <c r="D98" s="98">
        <v>1005655901</v>
      </c>
      <c r="E98" s="99">
        <f>'TEACHING STAFF'!BP100</f>
        <v>240131.33</v>
      </c>
    </row>
    <row r="99" ht="42.75" customHeight="1" spans="1:5">
      <c r="A99" s="96">
        <v>97</v>
      </c>
      <c r="B99" s="97" t="s">
        <v>382</v>
      </c>
      <c r="C99" s="98" t="s">
        <v>93</v>
      </c>
      <c r="D99" s="98">
        <v>3088351059</v>
      </c>
      <c r="E99" s="99">
        <f>'TEACHING STAFF'!BP102</f>
        <v>246667.38503</v>
      </c>
    </row>
    <row r="100" ht="42.75" customHeight="1" spans="1:5">
      <c r="A100" s="96">
        <v>98</v>
      </c>
      <c r="B100" s="97" t="s">
        <v>388</v>
      </c>
      <c r="C100" s="98" t="s">
        <v>113</v>
      </c>
      <c r="D100" s="98">
        <v>2035514330</v>
      </c>
      <c r="E100" s="99">
        <f>'TEACHING STAFF'!BP105</f>
        <v>155757.13472</v>
      </c>
    </row>
    <row r="101" ht="42.75" customHeight="1" spans="1:5">
      <c r="A101" s="96">
        <v>99</v>
      </c>
      <c r="B101" s="97" t="s">
        <v>392</v>
      </c>
      <c r="C101" s="98" t="s">
        <v>113</v>
      </c>
      <c r="D101" s="98">
        <v>1005205955</v>
      </c>
      <c r="E101" s="99">
        <f>'TEACHING STAFF'!BP108</f>
        <v>296669.569083333</v>
      </c>
    </row>
    <row r="102" ht="42.75" customHeight="1" spans="1:5">
      <c r="A102" s="96">
        <v>100</v>
      </c>
      <c r="B102" s="97" t="s">
        <v>393</v>
      </c>
      <c r="C102" s="98" t="s">
        <v>157</v>
      </c>
      <c r="D102" s="98" t="s">
        <v>2224</v>
      </c>
      <c r="E102" s="99">
        <f>'TEACHING STAFF'!BP109</f>
        <v>323834.360083333</v>
      </c>
    </row>
    <row r="103" ht="42.75" customHeight="1" spans="1:5">
      <c r="A103" s="96">
        <v>101</v>
      </c>
      <c r="B103" s="97" t="s">
        <v>396</v>
      </c>
      <c r="C103" s="98" t="s">
        <v>113</v>
      </c>
      <c r="D103" s="98">
        <v>2050863738</v>
      </c>
      <c r="E103" s="99">
        <f>'TEACHING STAFF'!BP110</f>
        <v>426982.661066667</v>
      </c>
    </row>
    <row r="104" ht="42.75" customHeight="1" spans="1:5">
      <c r="A104" s="96">
        <v>102</v>
      </c>
      <c r="B104" s="97" t="s">
        <v>403</v>
      </c>
      <c r="C104" s="98" t="s">
        <v>675</v>
      </c>
      <c r="D104" s="98">
        <v>3078559755</v>
      </c>
      <c r="E104" s="99">
        <f>'TEACHING STAFF'!BP113</f>
        <v>244010.360083333</v>
      </c>
    </row>
    <row r="105" ht="42.75" customHeight="1" spans="1:5">
      <c r="A105" s="96">
        <v>103</v>
      </c>
      <c r="B105" s="97" t="s">
        <v>2201</v>
      </c>
      <c r="C105" s="98" t="s">
        <v>127</v>
      </c>
      <c r="D105" s="98" t="s">
        <v>2225</v>
      </c>
      <c r="E105" s="99">
        <f>'TEACHING STAFF'!BP114</f>
        <v>176231.666066667</v>
      </c>
    </row>
    <row r="106" ht="42.75" customHeight="1" spans="1:5">
      <c r="A106" s="96">
        <v>104</v>
      </c>
      <c r="B106" s="97" t="s">
        <v>406</v>
      </c>
      <c r="C106" s="98" t="s">
        <v>675</v>
      </c>
      <c r="D106" s="98">
        <v>3064601972</v>
      </c>
      <c r="E106" s="99">
        <f>'TEACHING STAFF'!BP115</f>
        <v>365334.360083333</v>
      </c>
    </row>
    <row r="107" ht="42.75" customHeight="1" spans="1:5">
      <c r="A107" s="96">
        <v>105</v>
      </c>
      <c r="B107" s="97" t="s">
        <v>2135</v>
      </c>
      <c r="C107" s="98" t="s">
        <v>113</v>
      </c>
      <c r="D107" s="98">
        <v>1019451812</v>
      </c>
      <c r="E107" s="99" t="e">
        <f>'TEACHING STAFF'!#REF!</f>
        <v>#REF!</v>
      </c>
    </row>
    <row r="108" ht="42.75" customHeight="1" spans="1:5">
      <c r="A108" s="96">
        <v>106</v>
      </c>
      <c r="B108" s="97" t="s">
        <v>2065</v>
      </c>
      <c r="C108" s="98" t="s">
        <v>1037</v>
      </c>
      <c r="D108" s="98" t="s">
        <v>2066</v>
      </c>
      <c r="E108" s="99" t="e">
        <f>'TEACHING STAFF'!#REF!</f>
        <v>#REF!</v>
      </c>
    </row>
    <row r="109" ht="42.75" customHeight="1" spans="1:5">
      <c r="A109" s="96">
        <v>107</v>
      </c>
      <c r="B109" s="97" t="s">
        <v>408</v>
      </c>
      <c r="C109" s="98" t="s">
        <v>127</v>
      </c>
      <c r="D109" s="98" t="s">
        <v>2226</v>
      </c>
      <c r="E109" s="99">
        <f>'TEACHING STAFF'!BP116</f>
        <v>224362.03175</v>
      </c>
    </row>
    <row r="110" ht="42.75" customHeight="1" spans="1:5">
      <c r="A110" s="96">
        <v>108</v>
      </c>
      <c r="B110" s="97" t="s">
        <v>410</v>
      </c>
      <c r="C110" s="98" t="s">
        <v>2041</v>
      </c>
      <c r="D110" s="98">
        <v>6001992260</v>
      </c>
      <c r="E110" s="99">
        <f>'TEACHING STAFF'!BP117</f>
        <v>333751.30025</v>
      </c>
    </row>
    <row r="111" ht="42.75" customHeight="1" spans="1:5">
      <c r="A111" s="96">
        <v>109</v>
      </c>
      <c r="B111" s="97" t="s">
        <v>412</v>
      </c>
      <c r="C111" s="98" t="s">
        <v>93</v>
      </c>
      <c r="D111" s="98">
        <v>20021309014</v>
      </c>
      <c r="E111" s="99">
        <f>'TEACHING STAFF'!BP118</f>
        <v>384418.626063333</v>
      </c>
    </row>
    <row r="112" ht="42.75" customHeight="1" spans="1:5">
      <c r="A112" s="96">
        <v>110</v>
      </c>
      <c r="B112" s="97" t="s">
        <v>413</v>
      </c>
      <c r="C112" s="98" t="s">
        <v>157</v>
      </c>
      <c r="D112" s="98" t="s">
        <v>158</v>
      </c>
      <c r="E112" s="99">
        <f>'TEACHING STAFF'!BP119</f>
        <v>256824.9015</v>
      </c>
    </row>
    <row r="113" ht="42.75" customHeight="1" spans="1:5">
      <c r="A113" s="96">
        <v>111</v>
      </c>
      <c r="B113" s="97" t="s">
        <v>414</v>
      </c>
      <c r="C113" s="98" t="s">
        <v>313</v>
      </c>
      <c r="D113" s="98">
        <v>3510704014</v>
      </c>
      <c r="E113" s="99">
        <f>'TEACHING STAFF'!BP120</f>
        <v>147488.390886667</v>
      </c>
    </row>
    <row r="114" ht="42.75" customHeight="1" spans="1:5">
      <c r="A114" s="96">
        <v>112</v>
      </c>
      <c r="B114" s="97" t="s">
        <v>423</v>
      </c>
      <c r="C114" s="98" t="s">
        <v>135</v>
      </c>
      <c r="D114" s="98" t="s">
        <v>424</v>
      </c>
      <c r="E114" s="99">
        <f>'TEACHING STAFF'!BP124</f>
        <v>106028.028483333</v>
      </c>
    </row>
    <row r="115" ht="42.75" customHeight="1" spans="1:5">
      <c r="A115" s="96">
        <v>113</v>
      </c>
      <c r="B115" s="97" t="s">
        <v>425</v>
      </c>
      <c r="C115" s="98" t="s">
        <v>93</v>
      </c>
      <c r="D115" s="98">
        <v>3003332680</v>
      </c>
      <c r="E115" s="99">
        <f>'TEACHING STAFF'!BP125</f>
        <v>370334.360083333</v>
      </c>
    </row>
    <row r="116" ht="42.75" customHeight="1" spans="1:5">
      <c r="A116" s="96">
        <v>114</v>
      </c>
      <c r="B116" s="97" t="s">
        <v>428</v>
      </c>
      <c r="C116" s="98" t="s">
        <v>122</v>
      </c>
      <c r="D116" s="98" t="s">
        <v>162</v>
      </c>
      <c r="E116" s="99">
        <f>'TEACHING STAFF'!BP127</f>
        <v>115612.03175</v>
      </c>
    </row>
    <row r="117" ht="42.75" customHeight="1" spans="1:5">
      <c r="A117" s="96">
        <v>115</v>
      </c>
      <c r="B117" s="97" t="s">
        <v>429</v>
      </c>
      <c r="C117" s="98" t="s">
        <v>93</v>
      </c>
      <c r="D117" s="98">
        <v>3075456815</v>
      </c>
      <c r="E117" s="99">
        <f>'TEACHING STAFF'!BP128</f>
        <v>186494.918136667</v>
      </c>
    </row>
    <row r="118" ht="42.75" customHeight="1" spans="1:5">
      <c r="A118" s="96">
        <v>116</v>
      </c>
      <c r="B118" s="97" t="s">
        <v>433</v>
      </c>
      <c r="C118" s="98" t="s">
        <v>165</v>
      </c>
      <c r="D118" s="98">
        <v>1006686724</v>
      </c>
      <c r="E118" s="99">
        <f>'TEACHING STAFF'!BP130</f>
        <v>232077.646083333</v>
      </c>
    </row>
    <row r="119" ht="42.75" customHeight="1" spans="1:5">
      <c r="A119" s="96">
        <v>117</v>
      </c>
      <c r="B119" s="97" t="s">
        <v>437</v>
      </c>
      <c r="C119" s="98" t="s">
        <v>93</v>
      </c>
      <c r="D119" s="98">
        <v>3045562177</v>
      </c>
      <c r="E119" s="99">
        <f>'TEACHING STAFF'!BP132</f>
        <v>231114.565611111</v>
      </c>
    </row>
    <row r="120" ht="42.75" customHeight="1" spans="1:5">
      <c r="A120" s="96">
        <v>118</v>
      </c>
      <c r="B120" s="97" t="s">
        <v>438</v>
      </c>
      <c r="C120" s="98" t="s">
        <v>97</v>
      </c>
      <c r="D120" s="98" t="s">
        <v>2227</v>
      </c>
      <c r="E120" s="99">
        <f>'TEACHING STAFF'!BP133</f>
        <v>226927.522333333</v>
      </c>
    </row>
    <row r="121" ht="42.75" customHeight="1" spans="1:5">
      <c r="A121" s="96">
        <v>119</v>
      </c>
      <c r="B121" s="97" t="s">
        <v>441</v>
      </c>
      <c r="C121" s="98" t="s">
        <v>259</v>
      </c>
      <c r="D121" s="98">
        <v>4021422945</v>
      </c>
      <c r="E121" s="99">
        <f>'TEACHING STAFF'!BP135</f>
        <v>110447.5969</v>
      </c>
    </row>
    <row r="122" ht="42.75" customHeight="1" spans="1:5">
      <c r="A122" s="96">
        <v>120</v>
      </c>
      <c r="B122" s="97" t="s">
        <v>451</v>
      </c>
      <c r="C122" s="98" t="s">
        <v>127</v>
      </c>
      <c r="D122" s="98" t="s">
        <v>2215</v>
      </c>
      <c r="E122" s="99">
        <f>'TEACHING STAFF'!BP138</f>
        <v>256667.38503</v>
      </c>
    </row>
    <row r="123" ht="42.75" customHeight="1" spans="1:5">
      <c r="A123" s="96">
        <v>121</v>
      </c>
      <c r="B123" s="97" t="s">
        <v>452</v>
      </c>
      <c r="C123" s="98" t="s">
        <v>135</v>
      </c>
      <c r="D123" s="98" t="s">
        <v>453</v>
      </c>
      <c r="E123" s="99">
        <f>'TEACHING STAFF'!BP139</f>
        <v>195888.30025</v>
      </c>
    </row>
    <row r="124" ht="42.75" customHeight="1" spans="1:5">
      <c r="A124" s="96">
        <v>122</v>
      </c>
      <c r="B124" s="97" t="s">
        <v>2069</v>
      </c>
      <c r="C124" s="98" t="s">
        <v>93</v>
      </c>
      <c r="D124" s="98">
        <v>3045166049</v>
      </c>
      <c r="E124" s="99">
        <f>'TEACHING STAFF'!BP140</f>
        <v>233058.830613333</v>
      </c>
    </row>
    <row r="125" ht="42.75" customHeight="1" spans="1:5">
      <c r="A125" s="96">
        <v>123</v>
      </c>
      <c r="B125" s="97" t="s">
        <v>2136</v>
      </c>
      <c r="C125" s="98" t="s">
        <v>165</v>
      </c>
      <c r="D125" s="98">
        <v>2080297507</v>
      </c>
      <c r="E125" s="99" t="e">
        <f>'TEACHING STAFF'!#REF!</f>
        <v>#REF!</v>
      </c>
    </row>
    <row r="126" ht="42.75" customHeight="1" spans="1:5">
      <c r="A126" s="96">
        <v>124</v>
      </c>
      <c r="B126" s="97" t="s">
        <v>2340</v>
      </c>
      <c r="C126" s="98" t="s">
        <v>127</v>
      </c>
      <c r="D126" s="98" t="s">
        <v>2071</v>
      </c>
      <c r="E126" s="99">
        <f>'TEACHING STAFF'!BP141</f>
        <v>45167.9736500001</v>
      </c>
    </row>
    <row r="127" ht="42.75" customHeight="1" spans="1:5">
      <c r="A127" s="96">
        <v>125</v>
      </c>
      <c r="B127" s="97" t="s">
        <v>462</v>
      </c>
      <c r="C127" s="98" t="s">
        <v>93</v>
      </c>
      <c r="D127" s="98">
        <v>3079414505</v>
      </c>
      <c r="E127" s="99">
        <f>'TEACHING STAFF'!BP145</f>
        <v>226667.38503</v>
      </c>
    </row>
    <row r="128" ht="42.75" customHeight="1" spans="1:5">
      <c r="A128" s="96">
        <v>126</v>
      </c>
      <c r="B128" s="97" t="s">
        <v>464</v>
      </c>
      <c r="C128" s="98" t="s">
        <v>127</v>
      </c>
      <c r="D128" s="98" t="s">
        <v>2228</v>
      </c>
      <c r="E128" s="99">
        <f>'TEACHING STAFF'!BP146</f>
        <v>0</v>
      </c>
    </row>
    <row r="129" ht="42.75" customHeight="1" spans="1:5">
      <c r="A129" s="96">
        <v>127</v>
      </c>
      <c r="B129" s="97" t="s">
        <v>468</v>
      </c>
      <c r="C129" s="98" t="s">
        <v>127</v>
      </c>
      <c r="D129" s="98" t="s">
        <v>469</v>
      </c>
      <c r="E129" s="99">
        <f>'TEACHING STAFF'!BP147</f>
        <v>0</v>
      </c>
    </row>
    <row r="130" ht="42.75" customHeight="1" spans="1:5">
      <c r="A130" s="96">
        <v>128</v>
      </c>
      <c r="B130" s="97" t="s">
        <v>470</v>
      </c>
      <c r="C130" s="98" t="s">
        <v>127</v>
      </c>
      <c r="D130" s="98" t="s">
        <v>471</v>
      </c>
      <c r="E130" s="99">
        <f>'TEACHING STAFF'!BP148</f>
        <v>115195.36175</v>
      </c>
    </row>
    <row r="131" ht="42.75" customHeight="1" spans="1:5">
      <c r="A131" s="96">
        <v>129</v>
      </c>
      <c r="B131" s="97" t="s">
        <v>2074</v>
      </c>
      <c r="C131" s="98" t="s">
        <v>127</v>
      </c>
      <c r="D131" s="98" t="s">
        <v>2075</v>
      </c>
      <c r="E131" s="99" t="e">
        <f>'TEACHING STAFF'!#REF!</f>
        <v>#REF!</v>
      </c>
    </row>
    <row r="132" ht="42.75" customHeight="1" spans="1:5">
      <c r="A132" s="96">
        <v>130</v>
      </c>
      <c r="B132" s="97" t="s">
        <v>475</v>
      </c>
      <c r="C132" s="98" t="s">
        <v>113</v>
      </c>
      <c r="D132" s="98">
        <v>20842149096</v>
      </c>
      <c r="E132" s="99">
        <f>'TEACHING STAFF'!BP151</f>
        <v>241667.386655333</v>
      </c>
    </row>
    <row r="133" ht="42.75" customHeight="1" spans="1:5">
      <c r="A133" s="96">
        <v>131</v>
      </c>
      <c r="B133" s="97" t="s">
        <v>2076</v>
      </c>
      <c r="C133" s="98" t="s">
        <v>127</v>
      </c>
      <c r="D133" s="98" t="s">
        <v>2008</v>
      </c>
      <c r="E133" s="99" t="e">
        <f>'TEACHING STAFF'!#REF!</f>
        <v>#REF!</v>
      </c>
    </row>
    <row r="134" ht="42.75" customHeight="1" spans="1:5">
      <c r="A134" s="96">
        <v>132</v>
      </c>
      <c r="B134" s="97" t="s">
        <v>477</v>
      </c>
      <c r="C134" s="98" t="s">
        <v>165</v>
      </c>
      <c r="D134" s="98">
        <v>2115918742</v>
      </c>
      <c r="E134" s="99">
        <f>'TEACHING STAFF'!BP152</f>
        <v>10777.7265138889</v>
      </c>
    </row>
    <row r="135" ht="42.75" customHeight="1" spans="1:5">
      <c r="A135" s="96">
        <v>133</v>
      </c>
      <c r="B135" s="97" t="s">
        <v>478</v>
      </c>
      <c r="C135" s="98" t="s">
        <v>127</v>
      </c>
      <c r="D135" s="98" t="s">
        <v>2217</v>
      </c>
      <c r="E135" s="99">
        <f>'TEACHING STAFF'!BP153</f>
        <v>228005.56353</v>
      </c>
    </row>
    <row r="136" ht="42.75" customHeight="1" spans="1:5">
      <c r="A136" s="96">
        <v>134</v>
      </c>
      <c r="B136" s="97" t="s">
        <v>479</v>
      </c>
      <c r="C136" s="98" t="s">
        <v>93</v>
      </c>
      <c r="D136" s="98">
        <v>3007542265</v>
      </c>
      <c r="E136" s="99">
        <f>'TEACHING STAFF'!BP154</f>
        <v>198086.356513889</v>
      </c>
    </row>
    <row r="137" ht="42.75" customHeight="1" spans="1:5">
      <c r="A137" s="96">
        <v>135</v>
      </c>
      <c r="B137" s="97" t="s">
        <v>2077</v>
      </c>
      <c r="C137" s="98" t="s">
        <v>93</v>
      </c>
      <c r="D137" s="98">
        <v>3051864825</v>
      </c>
      <c r="E137" s="99">
        <f>'TEACHING STAFF'!BP155</f>
        <v>89114.3565138889</v>
      </c>
    </row>
    <row r="138" ht="42.75" customHeight="1" spans="1:5">
      <c r="A138" s="96">
        <v>136</v>
      </c>
      <c r="B138" s="97" t="s">
        <v>484</v>
      </c>
      <c r="C138" s="98" t="s">
        <v>127</v>
      </c>
      <c r="D138" s="98" t="s">
        <v>252</v>
      </c>
      <c r="E138" s="99">
        <f>'TEACHING STAFF'!BP157</f>
        <v>232558.830613333</v>
      </c>
    </row>
    <row r="139" ht="42.75" customHeight="1" spans="1:5">
      <c r="A139" s="96">
        <v>137</v>
      </c>
      <c r="B139" s="97" t="s">
        <v>485</v>
      </c>
      <c r="C139" s="98" t="s">
        <v>127</v>
      </c>
      <c r="D139" s="98" t="s">
        <v>487</v>
      </c>
      <c r="E139" s="99">
        <f>'TEACHING STAFF'!BP158</f>
        <v>229594.218386667</v>
      </c>
    </row>
    <row r="140" ht="42.75" customHeight="1" spans="1:5">
      <c r="A140" s="96">
        <v>138</v>
      </c>
      <c r="B140" s="97" t="s">
        <v>2080</v>
      </c>
      <c r="C140" s="98" t="s">
        <v>93</v>
      </c>
      <c r="D140" s="98">
        <v>2003315491</v>
      </c>
      <c r="E140" s="99">
        <f>'TEACHING STAFF'!BP159</f>
        <v>111336.356513889</v>
      </c>
    </row>
    <row r="141" ht="42.75" customHeight="1" spans="1:5">
      <c r="A141" s="96">
        <v>139</v>
      </c>
      <c r="B141" s="97" t="s">
        <v>490</v>
      </c>
      <c r="C141" s="98" t="s">
        <v>127</v>
      </c>
      <c r="D141" s="98" t="s">
        <v>264</v>
      </c>
      <c r="E141" s="99">
        <f>'TEACHING STAFF'!BP160</f>
        <v>120130.56353</v>
      </c>
    </row>
    <row r="142" ht="42.75" customHeight="1" spans="1:5">
      <c r="A142" s="96">
        <v>140</v>
      </c>
      <c r="B142" s="97" t="s">
        <v>2081</v>
      </c>
      <c r="C142" s="98" t="s">
        <v>127</v>
      </c>
      <c r="D142" s="98" t="s">
        <v>2229</v>
      </c>
      <c r="E142" s="99" t="e">
        <f>'TEACHING STAFF'!#REF!</f>
        <v>#REF!</v>
      </c>
    </row>
    <row r="143" ht="42.75" customHeight="1" spans="1:5">
      <c r="A143" s="96">
        <v>141</v>
      </c>
      <c r="B143" s="97" t="s">
        <v>507</v>
      </c>
      <c r="C143" s="98" t="s">
        <v>93</v>
      </c>
      <c r="D143" s="98">
        <v>3003626226</v>
      </c>
      <c r="E143" s="99">
        <f>'TEACHING STAFF'!BP167</f>
        <v>28505.56353</v>
      </c>
    </row>
    <row r="144" ht="42.75" customHeight="1" spans="1:5">
      <c r="A144" s="96">
        <v>142</v>
      </c>
      <c r="B144" s="97" t="s">
        <v>512</v>
      </c>
      <c r="C144" s="98" t="s">
        <v>165</v>
      </c>
      <c r="D144" s="98">
        <v>204144135</v>
      </c>
      <c r="E144" s="99">
        <f>'TEACHING STAFF'!BP170</f>
        <v>226786.10812</v>
      </c>
    </row>
    <row r="145" ht="42.75" customHeight="1" spans="1:5">
      <c r="A145" s="96">
        <v>143</v>
      </c>
      <c r="B145" s="97" t="s">
        <v>2085</v>
      </c>
      <c r="C145" s="98" t="s">
        <v>93</v>
      </c>
      <c r="D145" s="98">
        <v>2013435086</v>
      </c>
      <c r="E145" s="99" t="e">
        <f>'TEACHING STAFF'!#REF!</f>
        <v>#REF!</v>
      </c>
    </row>
    <row r="146" ht="42.75" customHeight="1" spans="1:5">
      <c r="A146" s="96">
        <v>144</v>
      </c>
      <c r="B146" s="97" t="s">
        <v>2137</v>
      </c>
      <c r="C146" s="98" t="s">
        <v>97</v>
      </c>
      <c r="D146" s="98" t="s">
        <v>116</v>
      </c>
      <c r="E146" s="99" t="e">
        <f>'TEACHING STAFF'!#REF!</f>
        <v>#REF!</v>
      </c>
    </row>
    <row r="147" ht="42.75" customHeight="1" spans="1:5">
      <c r="A147" s="96">
        <v>145</v>
      </c>
      <c r="B147" s="97" t="s">
        <v>2138</v>
      </c>
      <c r="C147" s="98" t="s">
        <v>93</v>
      </c>
      <c r="D147" s="98">
        <v>2000127529</v>
      </c>
      <c r="E147" s="99" t="e">
        <f>'TEACHING STAFF'!#REF!</f>
        <v>#REF!</v>
      </c>
    </row>
    <row r="148" ht="42.75" customHeight="1" spans="1:5">
      <c r="A148" s="96">
        <v>146</v>
      </c>
      <c r="B148" s="97" t="s">
        <v>2139</v>
      </c>
      <c r="C148" s="98" t="s">
        <v>113</v>
      </c>
      <c r="D148" s="98">
        <v>1005033200</v>
      </c>
      <c r="E148" s="99">
        <f>'TEACHING STAFF'!BP171</f>
        <v>652935.022773333</v>
      </c>
    </row>
    <row r="149" ht="42.75" customHeight="1" spans="1:5">
      <c r="A149" s="96">
        <v>147</v>
      </c>
      <c r="B149" s="97" t="s">
        <v>2140</v>
      </c>
      <c r="C149" s="98" t="s">
        <v>165</v>
      </c>
      <c r="D149" s="98">
        <v>2179811764</v>
      </c>
      <c r="E149" s="99" t="e">
        <f>'TEACHING STAFF'!#REF!</f>
        <v>#REF!</v>
      </c>
    </row>
    <row r="150" ht="42.75" customHeight="1" spans="1:5">
      <c r="A150" s="96">
        <v>148</v>
      </c>
      <c r="B150" s="97" t="s">
        <v>2141</v>
      </c>
      <c r="C150" s="98" t="s">
        <v>145</v>
      </c>
      <c r="D150" s="98" t="s">
        <v>2027</v>
      </c>
      <c r="E150" s="99" t="e">
        <f>'TEACHING STAFF'!#REF!</f>
        <v>#REF!</v>
      </c>
    </row>
    <row r="151" ht="42.75" customHeight="1" spans="1:5">
      <c r="A151" s="96">
        <v>149</v>
      </c>
      <c r="B151" s="97" t="s">
        <v>2142</v>
      </c>
      <c r="C151" s="98" t="s">
        <v>127</v>
      </c>
      <c r="D151" s="98" t="s">
        <v>2023</v>
      </c>
      <c r="E151" s="99" t="e">
        <f>'TEACHING STAFF'!#REF!</f>
        <v>#REF!</v>
      </c>
    </row>
    <row r="152" ht="42.75" customHeight="1" spans="1:5">
      <c r="A152" s="96">
        <v>150</v>
      </c>
      <c r="B152" s="97" t="s">
        <v>2143</v>
      </c>
      <c r="C152" s="98" t="s">
        <v>113</v>
      </c>
      <c r="D152" s="98">
        <v>1011517246</v>
      </c>
      <c r="E152" s="99" t="e">
        <f>'TEACHING STAFF'!#REF!</f>
        <v>#REF!</v>
      </c>
    </row>
    <row r="153" ht="42.75" customHeight="1" spans="1:5">
      <c r="A153" s="96">
        <v>151</v>
      </c>
      <c r="B153" s="97" t="s">
        <v>2144</v>
      </c>
      <c r="C153" s="98" t="s">
        <v>2230</v>
      </c>
      <c r="D153" s="98" t="s">
        <v>2231</v>
      </c>
      <c r="E153" s="99">
        <f>'TEACHING STAFF'!BP172</f>
        <v>127549.406020833</v>
      </c>
    </row>
    <row r="154" ht="42.75" customHeight="1" spans="1:5">
      <c r="A154" s="96">
        <v>152</v>
      </c>
      <c r="B154" s="97" t="s">
        <v>517</v>
      </c>
      <c r="C154" s="98" t="s">
        <v>113</v>
      </c>
      <c r="D154" s="98">
        <v>2010376654</v>
      </c>
      <c r="E154" s="99">
        <f>'TEACHING STAFF'!BP173</f>
        <v>268417.39503</v>
      </c>
    </row>
    <row r="155" ht="42.75" customHeight="1" spans="1:5">
      <c r="A155" s="96">
        <v>153</v>
      </c>
      <c r="B155" s="97" t="s">
        <v>521</v>
      </c>
      <c r="C155" s="98" t="s">
        <v>113</v>
      </c>
      <c r="D155" s="98">
        <v>2025128968</v>
      </c>
      <c r="E155" s="99" t="e">
        <f>'TEACHING STAFF'!#REF!</f>
        <v>#REF!</v>
      </c>
    </row>
    <row r="156" ht="42.75" customHeight="1" spans="1:5">
      <c r="A156" s="96">
        <v>154</v>
      </c>
      <c r="B156" s="97" t="s">
        <v>2145</v>
      </c>
      <c r="C156" s="98" t="s">
        <v>113</v>
      </c>
      <c r="D156" s="98">
        <v>1005008228</v>
      </c>
      <c r="E156" s="99" t="e">
        <f>'TEACHING STAFF'!#REF!</f>
        <v>#REF!</v>
      </c>
    </row>
    <row r="157" ht="42.75" customHeight="1" spans="1:5">
      <c r="A157" s="96">
        <v>155</v>
      </c>
      <c r="B157" s="97" t="s">
        <v>2021</v>
      </c>
      <c r="C157" s="98" t="s">
        <v>93</v>
      </c>
      <c r="D157" s="98">
        <v>3053689736</v>
      </c>
      <c r="E157" s="99" t="e">
        <f>'TEACHING STAFF'!#REF!</f>
        <v>#REF!</v>
      </c>
    </row>
    <row r="158" ht="42.75" customHeight="1" spans="1:5">
      <c r="A158" s="96">
        <v>156</v>
      </c>
      <c r="B158" s="97" t="s">
        <v>2146</v>
      </c>
      <c r="C158" s="98" t="s">
        <v>113</v>
      </c>
      <c r="D158" s="98">
        <v>2128380019</v>
      </c>
      <c r="E158" s="99">
        <f>'TEACHING STAFF'!BP175</f>
        <v>172558.843238333</v>
      </c>
    </row>
    <row r="159" ht="42.75" customHeight="1" spans="1:5">
      <c r="A159" s="96">
        <v>157</v>
      </c>
      <c r="B159" s="97" t="s">
        <v>2147</v>
      </c>
      <c r="C159" s="98" t="s">
        <v>165</v>
      </c>
      <c r="D159" s="98">
        <v>2265912803</v>
      </c>
      <c r="E159" s="99" t="e">
        <f>'TEACHING STAFF'!#REF!</f>
        <v>#REF!</v>
      </c>
    </row>
    <row r="160" ht="42.75" customHeight="1" spans="1:5">
      <c r="A160" s="96">
        <v>158</v>
      </c>
      <c r="B160" s="97" t="s">
        <v>2148</v>
      </c>
      <c r="C160" s="98" t="s">
        <v>127</v>
      </c>
      <c r="D160" s="98" t="s">
        <v>2232</v>
      </c>
      <c r="E160" s="99" t="e">
        <f>'TEACHING STAFF'!#REF!</f>
        <v>#REF!</v>
      </c>
    </row>
    <row r="161" ht="42.75" customHeight="1" spans="1:5">
      <c r="A161" s="96">
        <v>159</v>
      </c>
      <c r="B161" s="97" t="s">
        <v>2202</v>
      </c>
      <c r="C161" s="98" t="s">
        <v>113</v>
      </c>
      <c r="D161" s="98">
        <v>2027432176</v>
      </c>
      <c r="E161" s="99" t="e">
        <f>'TEACHING STAFF'!#REF!</f>
        <v>#REF!</v>
      </c>
    </row>
    <row r="162" ht="42.75" customHeight="1" spans="1:5">
      <c r="A162" s="100"/>
      <c r="B162" s="101" t="s">
        <v>867</v>
      </c>
      <c r="C162" s="102"/>
      <c r="D162" s="102"/>
      <c r="E162" s="103" t="e">
        <f>SUM(E3:E161)</f>
        <v>#REF!</v>
      </c>
    </row>
    <row r="163" ht="42.75" customHeight="1" spans="1:5">
      <c r="A163" s="104" t="s">
        <v>868</v>
      </c>
      <c r="B163" s="105"/>
      <c r="C163" s="105"/>
      <c r="D163" s="105"/>
      <c r="E163" s="106"/>
    </row>
    <row r="164" s="93" customFormat="1" ht="42.75" customHeight="1" spans="1:5">
      <c r="A164" s="107">
        <v>160</v>
      </c>
      <c r="B164" s="108" t="s">
        <v>2233</v>
      </c>
      <c r="C164" s="109" t="s">
        <v>259</v>
      </c>
      <c r="D164" s="109">
        <v>6552858105</v>
      </c>
      <c r="E164" s="110">
        <v>27883.33</v>
      </c>
    </row>
    <row r="165" s="93" customFormat="1" ht="42.75" customHeight="1" spans="1:5">
      <c r="A165" s="96">
        <v>161</v>
      </c>
      <c r="B165" s="97" t="s">
        <v>2234</v>
      </c>
      <c r="C165" s="98" t="s">
        <v>97</v>
      </c>
      <c r="D165" s="98" t="s">
        <v>1313</v>
      </c>
      <c r="E165" s="99">
        <v>26883.33</v>
      </c>
    </row>
    <row r="166" s="93" customFormat="1" ht="42.75" customHeight="1" spans="1:5">
      <c r="A166" s="107">
        <v>162</v>
      </c>
      <c r="B166" s="97" t="s">
        <v>2235</v>
      </c>
      <c r="C166" s="98" t="s">
        <v>1037</v>
      </c>
      <c r="D166" s="98" t="s">
        <v>2236</v>
      </c>
      <c r="E166" s="99">
        <v>27883.33</v>
      </c>
    </row>
    <row r="167" s="93" customFormat="1" ht="42.75" customHeight="1" spans="1:5">
      <c r="A167" s="96">
        <v>163</v>
      </c>
      <c r="B167" s="97" t="s">
        <v>2237</v>
      </c>
      <c r="C167" s="98" t="s">
        <v>135</v>
      </c>
      <c r="D167" s="98" t="s">
        <v>2238</v>
      </c>
      <c r="E167" s="99">
        <v>27883.33</v>
      </c>
    </row>
    <row r="168" s="93" customFormat="1" ht="42.75" customHeight="1" spans="1:5">
      <c r="A168" s="107">
        <v>164</v>
      </c>
      <c r="B168" s="97" t="s">
        <v>2239</v>
      </c>
      <c r="C168" s="98" t="s">
        <v>135</v>
      </c>
      <c r="D168" s="98" t="s">
        <v>2240</v>
      </c>
      <c r="E168" s="99">
        <v>27883.33</v>
      </c>
    </row>
    <row r="169" s="93" customFormat="1" ht="42.75" customHeight="1" spans="1:5">
      <c r="A169" s="96">
        <v>165</v>
      </c>
      <c r="B169" s="97" t="s">
        <v>2241</v>
      </c>
      <c r="C169" s="98" t="s">
        <v>135</v>
      </c>
      <c r="D169" s="98" t="s">
        <v>1321</v>
      </c>
      <c r="E169" s="99">
        <v>27883.33</v>
      </c>
    </row>
    <row r="170" s="93" customFormat="1" ht="42.75" customHeight="1" spans="1:5">
      <c r="A170" s="107">
        <v>166</v>
      </c>
      <c r="B170" s="97" t="s">
        <v>2242</v>
      </c>
      <c r="C170" s="98" t="s">
        <v>165</v>
      </c>
      <c r="D170" s="98">
        <v>2265117718</v>
      </c>
      <c r="E170" s="99">
        <v>27883.33</v>
      </c>
    </row>
    <row r="171" s="93" customFormat="1" ht="42.75" customHeight="1" spans="1:5">
      <c r="A171" s="96">
        <v>167</v>
      </c>
      <c r="B171" s="97" t="s">
        <v>1328</v>
      </c>
      <c r="C171" s="98" t="s">
        <v>313</v>
      </c>
      <c r="D171" s="98">
        <v>2962056016</v>
      </c>
      <c r="E171" s="99">
        <v>44000</v>
      </c>
    </row>
    <row r="172" s="93" customFormat="1" ht="42.75" customHeight="1" spans="1:5">
      <c r="A172" s="107">
        <v>168</v>
      </c>
      <c r="B172" s="97" t="s">
        <v>2243</v>
      </c>
      <c r="C172" s="98" t="s">
        <v>422</v>
      </c>
      <c r="D172" s="98">
        <v>1763601528</v>
      </c>
      <c r="E172" s="99">
        <v>44000</v>
      </c>
    </row>
    <row r="173" s="93" customFormat="1" ht="42.75" customHeight="1" spans="1:5">
      <c r="A173" s="96">
        <v>169</v>
      </c>
      <c r="B173" s="97" t="s">
        <v>2196</v>
      </c>
      <c r="C173" s="98" t="s">
        <v>2244</v>
      </c>
      <c r="D173" s="98">
        <v>2083690745</v>
      </c>
      <c r="E173" s="99">
        <v>50000</v>
      </c>
    </row>
    <row r="174" s="93" customFormat="1" ht="42.75" customHeight="1" spans="1:5">
      <c r="A174" s="107">
        <v>170</v>
      </c>
      <c r="B174" s="97" t="s">
        <v>2245</v>
      </c>
      <c r="C174" s="98" t="s">
        <v>93</v>
      </c>
      <c r="D174" s="98">
        <v>3079457171</v>
      </c>
      <c r="E174" s="99">
        <v>40000</v>
      </c>
    </row>
    <row r="175" s="93" customFormat="1" ht="42.75" customHeight="1" spans="1:5">
      <c r="A175" s="96">
        <v>171</v>
      </c>
      <c r="B175" s="97" t="s">
        <v>2246</v>
      </c>
      <c r="C175" s="98" t="s">
        <v>259</v>
      </c>
      <c r="D175" s="98">
        <v>6554782394</v>
      </c>
      <c r="E175" s="99">
        <v>40000</v>
      </c>
    </row>
    <row r="176" s="93" customFormat="1" ht="42.75" customHeight="1" spans="1:5">
      <c r="A176" s="107">
        <v>172</v>
      </c>
      <c r="B176" s="97" t="s">
        <v>2247</v>
      </c>
      <c r="C176" s="98" t="s">
        <v>127</v>
      </c>
      <c r="D176" s="98" t="s">
        <v>2248</v>
      </c>
      <c r="E176" s="99">
        <v>10000</v>
      </c>
    </row>
    <row r="177" s="93" customFormat="1" ht="42.75" customHeight="1" spans="1:5">
      <c r="A177" s="96">
        <v>173</v>
      </c>
      <c r="B177" s="97" t="s">
        <v>2341</v>
      </c>
      <c r="C177" s="98" t="s">
        <v>1037</v>
      </c>
      <c r="D177" s="98" t="s">
        <v>2342</v>
      </c>
      <c r="E177" s="99">
        <v>10000</v>
      </c>
    </row>
    <row r="178" s="93" customFormat="1" ht="42.75" customHeight="1" spans="1:5">
      <c r="A178" s="107">
        <v>174</v>
      </c>
      <c r="B178" s="97" t="s">
        <v>2249</v>
      </c>
      <c r="C178" s="98" t="s">
        <v>93</v>
      </c>
      <c r="D178" s="98">
        <v>3146300560</v>
      </c>
      <c r="E178" s="99">
        <v>20000</v>
      </c>
    </row>
    <row r="179" s="93" customFormat="1" ht="42.75" customHeight="1" spans="1:5">
      <c r="A179" s="96">
        <v>175</v>
      </c>
      <c r="B179" s="97" t="s">
        <v>2250</v>
      </c>
      <c r="C179" s="98" t="s">
        <v>127</v>
      </c>
      <c r="D179" s="98" t="s">
        <v>2251</v>
      </c>
      <c r="E179" s="99">
        <v>10000</v>
      </c>
    </row>
    <row r="180" s="93" customFormat="1" ht="42.75" customHeight="1" spans="1:5">
      <c r="A180" s="107">
        <v>176</v>
      </c>
      <c r="B180" s="97" t="s">
        <v>2252</v>
      </c>
      <c r="C180" s="98" t="s">
        <v>127</v>
      </c>
      <c r="D180" s="98" t="s">
        <v>2253</v>
      </c>
      <c r="E180" s="99">
        <v>10000</v>
      </c>
    </row>
    <row r="181" s="93" customFormat="1" ht="42.75" customHeight="1" spans="1:5">
      <c r="A181" s="96">
        <v>177</v>
      </c>
      <c r="B181" s="97" t="s">
        <v>2254</v>
      </c>
      <c r="C181" s="98" t="s">
        <v>97</v>
      </c>
      <c r="D181" s="98">
        <v>1457933215</v>
      </c>
      <c r="E181" s="99">
        <v>40000</v>
      </c>
    </row>
    <row r="182" s="93" customFormat="1" ht="42.75" customHeight="1" spans="1:5">
      <c r="A182" s="107">
        <v>178</v>
      </c>
      <c r="B182" s="97" t="s">
        <v>2255</v>
      </c>
      <c r="C182" s="98" t="s">
        <v>127</v>
      </c>
      <c r="D182" s="98" t="s">
        <v>2256</v>
      </c>
      <c r="E182" s="99">
        <v>10000</v>
      </c>
    </row>
    <row r="183" s="93" customFormat="1" ht="42.75" customHeight="1" spans="1:5">
      <c r="A183" s="96">
        <v>179</v>
      </c>
      <c r="B183" s="97" t="s">
        <v>2257</v>
      </c>
      <c r="C183" s="98" t="s">
        <v>127</v>
      </c>
      <c r="D183" s="98" t="s">
        <v>2258</v>
      </c>
      <c r="E183" s="99">
        <v>10000</v>
      </c>
    </row>
    <row r="184" s="93" customFormat="1" ht="42.75" customHeight="1" spans="1:5">
      <c r="A184" s="107">
        <v>180</v>
      </c>
      <c r="B184" s="97" t="s">
        <v>2259</v>
      </c>
      <c r="C184" s="98" t="s">
        <v>93</v>
      </c>
      <c r="D184" s="98">
        <v>3104734521</v>
      </c>
      <c r="E184" s="99">
        <v>10000</v>
      </c>
    </row>
    <row r="185" s="93" customFormat="1" ht="42.75" customHeight="1" spans="1:5">
      <c r="A185" s="96">
        <v>181</v>
      </c>
      <c r="B185" s="97" t="s">
        <v>2260</v>
      </c>
      <c r="C185" s="98" t="s">
        <v>422</v>
      </c>
      <c r="D185" s="98">
        <v>3025978249</v>
      </c>
      <c r="E185" s="99">
        <v>20000</v>
      </c>
    </row>
    <row r="186" s="93" customFormat="1" ht="42.75" customHeight="1" spans="1:5">
      <c r="A186" s="107">
        <v>182</v>
      </c>
      <c r="B186" s="97" t="s">
        <v>2261</v>
      </c>
      <c r="C186" s="98" t="s">
        <v>127</v>
      </c>
      <c r="D186" s="98" t="s">
        <v>2262</v>
      </c>
      <c r="E186" s="99">
        <v>40000</v>
      </c>
    </row>
    <row r="187" s="93" customFormat="1" ht="42.75" customHeight="1" spans="1:5">
      <c r="A187" s="96">
        <v>183</v>
      </c>
      <c r="B187" s="97" t="s">
        <v>2343</v>
      </c>
      <c r="C187" s="98" t="s">
        <v>165</v>
      </c>
      <c r="D187" s="98">
        <v>2254958483</v>
      </c>
      <c r="E187" s="99">
        <v>40000</v>
      </c>
    </row>
    <row r="188" s="93" customFormat="1" ht="42.75" customHeight="1" spans="1:5">
      <c r="A188" s="107">
        <v>184</v>
      </c>
      <c r="B188" s="97" t="s">
        <v>900</v>
      </c>
      <c r="C188" s="98" t="s">
        <v>93</v>
      </c>
      <c r="D188" s="98">
        <v>3080189126</v>
      </c>
      <c r="E188" s="99">
        <v>20000</v>
      </c>
    </row>
    <row r="189" s="93" customFormat="1" ht="42.75" customHeight="1" spans="1:5">
      <c r="A189" s="97"/>
      <c r="B189" s="111" t="s">
        <v>867</v>
      </c>
      <c r="C189" s="112"/>
      <c r="D189" s="112"/>
      <c r="E189" s="113">
        <f>SUM(E164:E188)</f>
        <v>662183.31</v>
      </c>
    </row>
    <row r="190" s="93" customFormat="1" ht="42.75" customHeight="1" spans="1:6">
      <c r="A190" s="114"/>
      <c r="B190" s="111" t="s">
        <v>867</v>
      </c>
      <c r="C190" s="111"/>
      <c r="D190" s="111"/>
      <c r="E190" s="115" t="e">
        <f>E189+E162</f>
        <v>#REF!</v>
      </c>
      <c r="F190" s="116"/>
    </row>
    <row r="191" s="93" customFormat="1" ht="42.75" customHeight="1" spans="1:5">
      <c r="A191" s="96">
        <v>185</v>
      </c>
      <c r="B191" s="97" t="s">
        <v>1519</v>
      </c>
      <c r="C191" s="98" t="s">
        <v>873</v>
      </c>
      <c r="D191" s="98" t="s">
        <v>1522</v>
      </c>
      <c r="E191" s="99">
        <v>115342.794813333</v>
      </c>
    </row>
    <row r="192" s="93" customFormat="1" ht="42.75" customHeight="1" spans="1:5">
      <c r="A192" s="96">
        <v>186</v>
      </c>
      <c r="B192" s="97" t="s">
        <v>869</v>
      </c>
      <c r="C192" s="98" t="s">
        <v>113</v>
      </c>
      <c r="D192" s="98">
        <v>2067399897</v>
      </c>
      <c r="E192" s="99" t="e">
        <f>#REF!</f>
        <v>#REF!</v>
      </c>
    </row>
    <row r="193" s="93" customFormat="1" ht="42.75" customHeight="1" spans="1:5">
      <c r="A193" s="96">
        <v>187</v>
      </c>
      <c r="B193" s="97" t="s">
        <v>2151</v>
      </c>
      <c r="C193" s="98" t="s">
        <v>873</v>
      </c>
      <c r="D193" s="98" t="s">
        <v>172</v>
      </c>
      <c r="E193" s="99" t="e">
        <f>#REF!</f>
        <v>#REF!</v>
      </c>
    </row>
    <row r="194" s="93" customFormat="1" ht="42.75" customHeight="1" spans="1:5">
      <c r="A194" s="96">
        <v>188</v>
      </c>
      <c r="B194" s="97" t="s">
        <v>870</v>
      </c>
      <c r="C194" s="98" t="s">
        <v>871</v>
      </c>
      <c r="D194" s="98">
        <v>6017466005</v>
      </c>
      <c r="E194" s="99" t="e">
        <f>#REF!</f>
        <v>#REF!</v>
      </c>
    </row>
    <row r="195" s="93" customFormat="1" ht="42.75" customHeight="1" spans="1:5">
      <c r="A195" s="96">
        <v>189</v>
      </c>
      <c r="B195" s="97" t="s">
        <v>872</v>
      </c>
      <c r="C195" s="98" t="s">
        <v>873</v>
      </c>
      <c r="D195" s="98" t="s">
        <v>172</v>
      </c>
      <c r="E195" s="99" t="e">
        <f>#REF!</f>
        <v>#REF!</v>
      </c>
    </row>
    <row r="196" s="93" customFormat="1" ht="42.75" customHeight="1" spans="1:5">
      <c r="A196" s="96">
        <v>190</v>
      </c>
      <c r="B196" s="97" t="s">
        <v>875</v>
      </c>
      <c r="C196" s="98" t="s">
        <v>871</v>
      </c>
      <c r="D196" s="98">
        <v>5331903472</v>
      </c>
      <c r="E196" s="99" t="e">
        <f>#REF!</f>
        <v>#REF!</v>
      </c>
    </row>
    <row r="197" s="93" customFormat="1" ht="42.75" customHeight="1" spans="1:5">
      <c r="A197" s="96">
        <v>191</v>
      </c>
      <c r="B197" s="97" t="s">
        <v>876</v>
      </c>
      <c r="C197" s="98" t="s">
        <v>135</v>
      </c>
      <c r="D197" s="98" t="s">
        <v>2273</v>
      </c>
      <c r="E197" s="99" t="e">
        <f>#REF!</f>
        <v>#REF!</v>
      </c>
    </row>
    <row r="198" s="93" customFormat="1" ht="42.75" customHeight="1" spans="1:5">
      <c r="A198" s="96">
        <v>192</v>
      </c>
      <c r="B198" s="97" t="s">
        <v>878</v>
      </c>
      <c r="C198" s="98" t="s">
        <v>97</v>
      </c>
      <c r="D198" s="98" t="s">
        <v>2274</v>
      </c>
      <c r="E198" s="99" t="e">
        <f>#REF!</f>
        <v>#REF!</v>
      </c>
    </row>
    <row r="199" s="93" customFormat="1" ht="42.75" customHeight="1" spans="1:5">
      <c r="A199" s="96">
        <v>193</v>
      </c>
      <c r="B199" s="97" t="s">
        <v>880</v>
      </c>
      <c r="C199" s="98" t="s">
        <v>871</v>
      </c>
      <c r="D199" s="98">
        <v>6170236860</v>
      </c>
      <c r="E199" s="99" t="e">
        <f>#REF!</f>
        <v>#REF!</v>
      </c>
    </row>
    <row r="200" s="93" customFormat="1" ht="42.75" customHeight="1" spans="1:5">
      <c r="A200" s="96">
        <v>194</v>
      </c>
      <c r="B200" s="97" t="s">
        <v>881</v>
      </c>
      <c r="C200" s="98" t="s">
        <v>675</v>
      </c>
      <c r="D200" s="98">
        <v>3119660547</v>
      </c>
      <c r="E200" s="99" t="e">
        <f>#REF!</f>
        <v>#REF!</v>
      </c>
    </row>
    <row r="201" s="93" customFormat="1" ht="42.75" customHeight="1" spans="1:5">
      <c r="A201" s="96">
        <v>195</v>
      </c>
      <c r="B201" s="97" t="s">
        <v>882</v>
      </c>
      <c r="C201" s="98" t="s">
        <v>871</v>
      </c>
      <c r="D201" s="98">
        <v>6239775462</v>
      </c>
      <c r="E201" s="99" t="e">
        <f>#REF!</f>
        <v>#REF!</v>
      </c>
    </row>
    <row r="202" s="93" customFormat="1" ht="42.75" customHeight="1" spans="1:5">
      <c r="A202" s="96">
        <v>196</v>
      </c>
      <c r="B202" s="97" t="s">
        <v>883</v>
      </c>
      <c r="C202" s="98" t="s">
        <v>97</v>
      </c>
      <c r="D202" s="98" t="s">
        <v>884</v>
      </c>
      <c r="E202" s="99">
        <v>24000.7325866667</v>
      </c>
    </row>
    <row r="203" s="93" customFormat="1" ht="42.75" customHeight="1" spans="1:5">
      <c r="A203" s="96">
        <v>197</v>
      </c>
      <c r="B203" s="97" t="s">
        <v>885</v>
      </c>
      <c r="C203" s="98" t="s">
        <v>165</v>
      </c>
      <c r="D203" s="98">
        <v>2120701852</v>
      </c>
      <c r="E203" s="99">
        <v>35000.7325866667</v>
      </c>
    </row>
    <row r="204" s="93" customFormat="1" ht="42.75" customHeight="1" spans="1:5">
      <c r="A204" s="96">
        <v>198</v>
      </c>
      <c r="B204" s="97" t="s">
        <v>1840</v>
      </c>
      <c r="C204" s="98" t="s">
        <v>165</v>
      </c>
      <c r="D204" s="98">
        <v>2120701900</v>
      </c>
      <c r="E204" s="99">
        <v>35000.7325866667</v>
      </c>
    </row>
    <row r="205" s="93" customFormat="1" ht="42.75" customHeight="1" spans="1:5">
      <c r="A205" s="96">
        <v>199</v>
      </c>
      <c r="B205" s="97" t="s">
        <v>888</v>
      </c>
      <c r="C205" s="98" t="s">
        <v>889</v>
      </c>
      <c r="D205" s="98" t="s">
        <v>890</v>
      </c>
      <c r="E205" s="99">
        <v>35000.7325866667</v>
      </c>
    </row>
    <row r="206" s="93" customFormat="1" ht="42.75" customHeight="1" spans="1:5">
      <c r="A206" s="96">
        <v>200</v>
      </c>
      <c r="B206" s="97" t="s">
        <v>2204</v>
      </c>
      <c r="C206" s="98" t="s">
        <v>113</v>
      </c>
      <c r="D206" s="98">
        <v>2004573571</v>
      </c>
      <c r="E206" s="99">
        <v>414601.298413333</v>
      </c>
    </row>
    <row r="207" s="93" customFormat="1" ht="42.75" customHeight="1" spans="1:5">
      <c r="A207" s="96">
        <v>201</v>
      </c>
      <c r="B207" s="97" t="s">
        <v>2155</v>
      </c>
      <c r="C207" s="98" t="s">
        <v>313</v>
      </c>
      <c r="D207" s="98" t="s">
        <v>2276</v>
      </c>
      <c r="E207" s="99">
        <v>844028.820201333</v>
      </c>
    </row>
    <row r="208" s="93" customFormat="1" ht="42.75" customHeight="1" spans="1:5">
      <c r="A208" s="96">
        <v>202</v>
      </c>
      <c r="B208" s="97" t="s">
        <v>2156</v>
      </c>
      <c r="C208" s="98" t="s">
        <v>97</v>
      </c>
      <c r="D208" s="98" t="s">
        <v>2277</v>
      </c>
      <c r="E208" s="99">
        <v>644028.820201333</v>
      </c>
    </row>
    <row r="209" s="93" customFormat="1" ht="42.75" customHeight="1" spans="1:5">
      <c r="A209" s="96">
        <v>204</v>
      </c>
      <c r="B209" s="97" t="s">
        <v>2157</v>
      </c>
      <c r="C209" s="98" t="s">
        <v>165</v>
      </c>
      <c r="D209" s="98">
        <v>1004833067</v>
      </c>
      <c r="E209" s="99" t="e">
        <f>#REF!</f>
        <v>#REF!</v>
      </c>
    </row>
    <row r="210" s="93" customFormat="1" ht="42.75" customHeight="1" spans="1:5">
      <c r="A210" s="96">
        <v>205</v>
      </c>
      <c r="B210" s="97" t="s">
        <v>894</v>
      </c>
      <c r="C210" s="98" t="s">
        <v>165</v>
      </c>
      <c r="D210" s="98" t="s">
        <v>2278</v>
      </c>
      <c r="E210" s="99" t="e">
        <f>#REF!</f>
        <v>#REF!</v>
      </c>
    </row>
    <row r="211" s="93" customFormat="1" ht="42.75" customHeight="1" spans="1:5">
      <c r="A211" s="96">
        <v>206</v>
      </c>
      <c r="B211" s="97" t="s">
        <v>896</v>
      </c>
      <c r="C211" s="98" t="s">
        <v>113</v>
      </c>
      <c r="D211" s="98" t="s">
        <v>897</v>
      </c>
      <c r="E211" s="99" t="e">
        <f>#REF!</f>
        <v>#REF!</v>
      </c>
    </row>
    <row r="212" s="93" customFormat="1" ht="42.75" customHeight="1" spans="1:5">
      <c r="A212" s="96">
        <v>207</v>
      </c>
      <c r="B212" s="97" t="s">
        <v>898</v>
      </c>
      <c r="C212" s="98" t="s">
        <v>135</v>
      </c>
      <c r="D212" s="98" t="s">
        <v>899</v>
      </c>
      <c r="E212" s="99" t="e">
        <f>#REF!</f>
        <v>#REF!</v>
      </c>
    </row>
    <row r="213" s="93" customFormat="1" ht="42.75" customHeight="1" spans="1:5">
      <c r="A213" s="96">
        <v>208</v>
      </c>
      <c r="B213" s="97" t="s">
        <v>901</v>
      </c>
      <c r="C213" s="98" t="s">
        <v>97</v>
      </c>
      <c r="D213" s="98" t="s">
        <v>2279</v>
      </c>
      <c r="E213" s="99" t="e">
        <f>#REF!</f>
        <v>#REF!</v>
      </c>
    </row>
    <row r="214" s="93" customFormat="1" ht="42.75" customHeight="1" spans="1:5">
      <c r="A214" s="96">
        <v>209</v>
      </c>
      <c r="B214" s="97" t="s">
        <v>903</v>
      </c>
      <c r="C214" s="98" t="s">
        <v>675</v>
      </c>
      <c r="D214" s="98">
        <v>2019881070</v>
      </c>
      <c r="E214" s="99" t="e">
        <f>#REF!</f>
        <v>#REF!</v>
      </c>
    </row>
    <row r="215" s="93" customFormat="1" ht="42.75" customHeight="1" spans="1:5">
      <c r="A215" s="96">
        <v>210</v>
      </c>
      <c r="B215" s="97" t="s">
        <v>2158</v>
      </c>
      <c r="C215" s="98" t="s">
        <v>2280</v>
      </c>
      <c r="D215" s="98">
        <v>1401070897</v>
      </c>
      <c r="E215" s="99" t="e">
        <f>#REF!</f>
        <v>#REF!</v>
      </c>
    </row>
    <row r="216" s="93" customFormat="1" ht="42.75" customHeight="1" spans="1:5">
      <c r="A216" s="96">
        <v>211</v>
      </c>
      <c r="B216" s="97" t="s">
        <v>905</v>
      </c>
      <c r="C216" s="98" t="s">
        <v>873</v>
      </c>
      <c r="D216" s="98" t="s">
        <v>2281</v>
      </c>
      <c r="E216" s="99" t="e">
        <f>#REF!</f>
        <v>#REF!</v>
      </c>
    </row>
    <row r="217" s="93" customFormat="1" ht="42.75" customHeight="1" spans="1:5">
      <c r="A217" s="96">
        <v>212</v>
      </c>
      <c r="B217" s="97" t="s">
        <v>907</v>
      </c>
      <c r="C217" s="98" t="s">
        <v>675</v>
      </c>
      <c r="D217" s="98">
        <v>3061017477</v>
      </c>
      <c r="E217" s="99" t="e">
        <f>#REF!</f>
        <v>#REF!</v>
      </c>
    </row>
    <row r="218" s="93" customFormat="1" ht="42.75" customHeight="1" spans="1:5">
      <c r="A218" s="96">
        <v>213</v>
      </c>
      <c r="B218" s="97" t="s">
        <v>908</v>
      </c>
      <c r="C218" s="98" t="s">
        <v>873</v>
      </c>
      <c r="D218" s="98" t="s">
        <v>909</v>
      </c>
      <c r="E218" s="99">
        <v>229391.115304</v>
      </c>
    </row>
    <row r="219" s="93" customFormat="1" ht="42.75" customHeight="1" spans="1:5">
      <c r="A219" s="96">
        <v>214</v>
      </c>
      <c r="B219" s="97" t="s">
        <v>2159</v>
      </c>
      <c r="C219" s="98" t="s">
        <v>97</v>
      </c>
      <c r="D219" s="98" t="s">
        <v>2282</v>
      </c>
      <c r="E219" s="99" t="e">
        <f>#REF!</f>
        <v>#REF!</v>
      </c>
    </row>
    <row r="220" s="93" customFormat="1" ht="42.75" customHeight="1" spans="1:5">
      <c r="A220" s="96">
        <v>215</v>
      </c>
      <c r="B220" s="97" t="s">
        <v>910</v>
      </c>
      <c r="C220" s="98" t="s">
        <v>113</v>
      </c>
      <c r="D220" s="98" t="s">
        <v>911</v>
      </c>
      <c r="E220" s="99">
        <v>18636.8301</v>
      </c>
    </row>
    <row r="221" s="93" customFormat="1" ht="42.75" customHeight="1" spans="1:5">
      <c r="A221" s="96">
        <v>216</v>
      </c>
      <c r="B221" s="97" t="s">
        <v>912</v>
      </c>
      <c r="C221" s="98" t="s">
        <v>113</v>
      </c>
      <c r="D221" s="98" t="s">
        <v>913</v>
      </c>
      <c r="E221" s="99">
        <v>29719.3795866667</v>
      </c>
    </row>
    <row r="222" s="93" customFormat="1" ht="42.75" customHeight="1" spans="1:5">
      <c r="A222" s="96">
        <v>217</v>
      </c>
      <c r="B222" s="97" t="s">
        <v>914</v>
      </c>
      <c r="C222" s="98" t="s">
        <v>97</v>
      </c>
      <c r="D222" s="98" t="s">
        <v>2283</v>
      </c>
      <c r="E222" s="99" t="e">
        <f>#REF!</f>
        <v>#REF!</v>
      </c>
    </row>
    <row r="223" s="93" customFormat="1" ht="42.75" customHeight="1" spans="1:5">
      <c r="A223" s="96">
        <v>218</v>
      </c>
      <c r="B223" s="97" t="s">
        <v>917</v>
      </c>
      <c r="C223" s="98" t="s">
        <v>165</v>
      </c>
      <c r="D223" s="98" t="s">
        <v>2284</v>
      </c>
      <c r="E223" s="99">
        <v>24249.6704266667</v>
      </c>
    </row>
    <row r="224" s="93" customFormat="1" ht="42.75" customHeight="1" spans="1:5">
      <c r="A224" s="96">
        <v>219</v>
      </c>
      <c r="B224" s="97" t="s">
        <v>919</v>
      </c>
      <c r="C224" s="98" t="s">
        <v>93</v>
      </c>
      <c r="D224" s="98" t="s">
        <v>920</v>
      </c>
      <c r="E224" s="99" t="e">
        <f>#REF!</f>
        <v>#REF!</v>
      </c>
    </row>
    <row r="225" s="93" customFormat="1" ht="42.75" customHeight="1" spans="1:5">
      <c r="A225" s="96">
        <v>220</v>
      </c>
      <c r="B225" s="97" t="s">
        <v>921</v>
      </c>
      <c r="C225" s="98" t="s">
        <v>93</v>
      </c>
      <c r="D225" s="98" t="s">
        <v>2285</v>
      </c>
      <c r="E225" s="99">
        <v>233583.768304</v>
      </c>
    </row>
    <row r="226" s="93" customFormat="1" ht="42.75" customHeight="1" spans="1:5">
      <c r="A226" s="96">
        <v>221</v>
      </c>
      <c r="B226" s="97" t="s">
        <v>2160</v>
      </c>
      <c r="C226" s="98" t="s">
        <v>165</v>
      </c>
      <c r="D226" s="98" t="s">
        <v>2286</v>
      </c>
      <c r="E226" s="99">
        <v>55994.3406933333</v>
      </c>
    </row>
    <row r="227" s="93" customFormat="1" ht="42.75" customHeight="1" spans="1:5">
      <c r="A227" s="96">
        <v>222</v>
      </c>
      <c r="B227" s="97" t="s">
        <v>2161</v>
      </c>
      <c r="C227" s="98" t="s">
        <v>113</v>
      </c>
      <c r="D227" s="98" t="s">
        <v>924</v>
      </c>
      <c r="E227" s="99">
        <v>31300.1125866667</v>
      </c>
    </row>
    <row r="228" s="93" customFormat="1" ht="42.75" customHeight="1" spans="1:5">
      <c r="A228" s="96">
        <v>223</v>
      </c>
      <c r="B228" s="97" t="s">
        <v>925</v>
      </c>
      <c r="C228" s="98" t="s">
        <v>1037</v>
      </c>
      <c r="D228" s="98" t="s">
        <v>2287</v>
      </c>
      <c r="E228" s="99" t="e">
        <f>#REF!</f>
        <v>#REF!</v>
      </c>
    </row>
    <row r="229" s="93" customFormat="1" ht="42.75" customHeight="1" spans="1:5">
      <c r="A229" s="96">
        <v>224</v>
      </c>
      <c r="B229" s="97" t="s">
        <v>927</v>
      </c>
      <c r="C229" s="98" t="s">
        <v>873</v>
      </c>
      <c r="D229" s="98" t="s">
        <v>2288</v>
      </c>
      <c r="E229" s="99" t="e">
        <f>#REF!</f>
        <v>#REF!</v>
      </c>
    </row>
    <row r="230" s="93" customFormat="1" ht="42.75" customHeight="1" spans="1:5">
      <c r="A230" s="96">
        <v>225</v>
      </c>
      <c r="B230" s="97" t="s">
        <v>929</v>
      </c>
      <c r="C230" s="98" t="s">
        <v>873</v>
      </c>
      <c r="D230" s="98" t="s">
        <v>930</v>
      </c>
      <c r="E230" s="99" t="e">
        <f>#REF!</f>
        <v>#REF!</v>
      </c>
    </row>
    <row r="231" s="93" customFormat="1" ht="42.75" customHeight="1" spans="1:5">
      <c r="A231" s="96">
        <v>226</v>
      </c>
      <c r="B231" s="97" t="s">
        <v>931</v>
      </c>
      <c r="C231" s="98" t="s">
        <v>113</v>
      </c>
      <c r="D231" s="98" t="s">
        <v>932</v>
      </c>
      <c r="E231" s="99" t="e">
        <f>#REF!</f>
        <v>#REF!</v>
      </c>
    </row>
    <row r="232" s="93" customFormat="1" ht="42.75" customHeight="1" spans="1:5">
      <c r="A232" s="96">
        <v>227</v>
      </c>
      <c r="B232" s="97" t="s">
        <v>2162</v>
      </c>
      <c r="C232" s="98" t="s">
        <v>873</v>
      </c>
      <c r="D232" s="98" t="s">
        <v>1578</v>
      </c>
      <c r="E232" s="99" t="e">
        <f>#REF!</f>
        <v>#REF!</v>
      </c>
    </row>
    <row r="233" s="93" customFormat="1" ht="42.75" customHeight="1" spans="1:5">
      <c r="A233" s="96">
        <v>228</v>
      </c>
      <c r="B233" s="97" t="s">
        <v>936</v>
      </c>
      <c r="C233" s="98" t="s">
        <v>97</v>
      </c>
      <c r="D233" s="98" t="s">
        <v>2289</v>
      </c>
      <c r="E233" s="99" t="e">
        <f>#REF!</f>
        <v>#REF!</v>
      </c>
    </row>
    <row r="234" s="93" customFormat="1" ht="42.75" customHeight="1" spans="1:5">
      <c r="A234" s="96">
        <v>229</v>
      </c>
      <c r="B234" s="97" t="s">
        <v>939</v>
      </c>
      <c r="C234" s="98" t="s">
        <v>873</v>
      </c>
      <c r="D234" s="98" t="s">
        <v>2290</v>
      </c>
      <c r="E234" s="99" t="e">
        <f>#REF!</f>
        <v>#REF!</v>
      </c>
    </row>
    <row r="235" s="93" customFormat="1" ht="42.75" customHeight="1" spans="1:5">
      <c r="A235" s="96">
        <v>230</v>
      </c>
      <c r="B235" s="97" t="s">
        <v>2163</v>
      </c>
      <c r="C235" s="98" t="s">
        <v>145</v>
      </c>
      <c r="D235" s="98" t="s">
        <v>2291</v>
      </c>
      <c r="E235" s="99">
        <v>103632.9826</v>
      </c>
    </row>
    <row r="236" s="93" customFormat="1" ht="42.75" customHeight="1" spans="1:5">
      <c r="A236" s="96">
        <v>231</v>
      </c>
      <c r="B236" s="97" t="s">
        <v>2164</v>
      </c>
      <c r="C236" s="98" t="s">
        <v>97</v>
      </c>
      <c r="D236" s="98" t="s">
        <v>2292</v>
      </c>
      <c r="E236" s="99">
        <v>37984.4181766667</v>
      </c>
    </row>
    <row r="237" s="93" customFormat="1" ht="42.75" customHeight="1" spans="1:5">
      <c r="A237" s="96">
        <v>232</v>
      </c>
      <c r="B237" s="97" t="s">
        <v>2165</v>
      </c>
      <c r="C237" s="98" t="s">
        <v>549</v>
      </c>
      <c r="D237" s="98" t="s">
        <v>947</v>
      </c>
      <c r="E237" s="99" t="e">
        <f>#REF!</f>
        <v>#REF!</v>
      </c>
    </row>
    <row r="238" s="93" customFormat="1" ht="42.75" customHeight="1" spans="1:5">
      <c r="A238" s="96">
        <v>233</v>
      </c>
      <c r="B238" s="97" t="s">
        <v>2166</v>
      </c>
      <c r="C238" s="98" t="s">
        <v>113</v>
      </c>
      <c r="D238" s="98" t="s">
        <v>2293</v>
      </c>
      <c r="E238" s="99">
        <v>53755.1636933333</v>
      </c>
    </row>
    <row r="239" s="93" customFormat="1" ht="42.75" customHeight="1" spans="1:5">
      <c r="A239" s="96">
        <v>234</v>
      </c>
      <c r="B239" s="97" t="s">
        <v>951</v>
      </c>
      <c r="C239" s="98" t="s">
        <v>113</v>
      </c>
      <c r="D239" s="98" t="s">
        <v>952</v>
      </c>
      <c r="E239" s="99">
        <v>32699.1635866667</v>
      </c>
    </row>
    <row r="240" s="93" customFormat="1" ht="42.75" customHeight="1" spans="1:5">
      <c r="A240" s="96">
        <v>235</v>
      </c>
      <c r="B240" s="97" t="s">
        <v>953</v>
      </c>
      <c r="C240" s="98" t="s">
        <v>113</v>
      </c>
      <c r="D240" s="98" t="s">
        <v>954</v>
      </c>
      <c r="E240" s="99">
        <v>53755.1636933333</v>
      </c>
    </row>
    <row r="241" s="93" customFormat="1" ht="42.75" customHeight="1" spans="1:5">
      <c r="A241" s="96">
        <v>236</v>
      </c>
      <c r="B241" s="97" t="s">
        <v>2167</v>
      </c>
      <c r="C241" s="98" t="s">
        <v>113</v>
      </c>
      <c r="D241" s="98" t="s">
        <v>2294</v>
      </c>
      <c r="E241" s="99">
        <v>323201.588413333</v>
      </c>
    </row>
    <row r="242" s="93" customFormat="1" ht="42.75" customHeight="1" spans="1:5">
      <c r="A242" s="96">
        <v>237</v>
      </c>
      <c r="B242" s="97" t="s">
        <v>955</v>
      </c>
      <c r="C242" s="98" t="s">
        <v>313</v>
      </c>
      <c r="D242" s="98" t="s">
        <v>956</v>
      </c>
      <c r="E242" s="99">
        <v>228024.486293333</v>
      </c>
    </row>
    <row r="243" s="93" customFormat="1" ht="42.75" customHeight="1" spans="1:5">
      <c r="A243" s="96">
        <v>238</v>
      </c>
      <c r="B243" s="97" t="s">
        <v>2205</v>
      </c>
      <c r="C243" s="98" t="s">
        <v>113</v>
      </c>
      <c r="D243" s="98" t="s">
        <v>958</v>
      </c>
      <c r="E243" s="99">
        <v>30005.2234133333</v>
      </c>
    </row>
    <row r="244" s="93" customFormat="1" ht="42.75" customHeight="1" spans="1:5">
      <c r="A244" s="96">
        <v>239</v>
      </c>
      <c r="B244" s="97" t="s">
        <v>959</v>
      </c>
      <c r="C244" s="98" t="s">
        <v>93</v>
      </c>
      <c r="D244" s="98" t="s">
        <v>960</v>
      </c>
      <c r="E244" s="99">
        <v>33199.1635866667</v>
      </c>
    </row>
    <row r="245" s="93" customFormat="1" ht="42.75" customHeight="1" spans="1:5">
      <c r="A245" s="96">
        <v>240</v>
      </c>
      <c r="B245" s="97" t="s">
        <v>962</v>
      </c>
      <c r="C245" s="98" t="s">
        <v>873</v>
      </c>
      <c r="D245" s="98" t="s">
        <v>963</v>
      </c>
      <c r="E245" s="99" t="e">
        <f>#REF!</f>
        <v>#REF!</v>
      </c>
    </row>
    <row r="246" s="93" customFormat="1" ht="42.75" customHeight="1" spans="1:5">
      <c r="A246" s="96">
        <v>241</v>
      </c>
      <c r="B246" s="97" t="s">
        <v>964</v>
      </c>
      <c r="C246" s="98" t="s">
        <v>93</v>
      </c>
      <c r="D246" s="98" t="s">
        <v>965</v>
      </c>
      <c r="E246" s="99">
        <v>53338.5534133333</v>
      </c>
    </row>
    <row r="247" s="93" customFormat="1" ht="42.75" customHeight="1" spans="1:5">
      <c r="A247" s="96">
        <v>242</v>
      </c>
      <c r="B247" s="97" t="s">
        <v>966</v>
      </c>
      <c r="C247" s="98" t="s">
        <v>93</v>
      </c>
      <c r="D247" s="98" t="s">
        <v>967</v>
      </c>
      <c r="E247" s="99">
        <v>29249.6704266667</v>
      </c>
    </row>
    <row r="248" s="93" customFormat="1" ht="42.75" customHeight="1" spans="1:5">
      <c r="A248" s="96">
        <v>243</v>
      </c>
      <c r="B248" s="97" t="s">
        <v>968</v>
      </c>
      <c r="C248" s="98" t="s">
        <v>93</v>
      </c>
      <c r="D248" s="98" t="s">
        <v>969</v>
      </c>
      <c r="E248" s="99">
        <v>28928.8975866667</v>
      </c>
    </row>
    <row r="249" s="93" customFormat="1" ht="42.75" customHeight="1" spans="1:5">
      <c r="A249" s="96">
        <v>244</v>
      </c>
      <c r="B249" s="97" t="s">
        <v>970</v>
      </c>
      <c r="C249" s="98" t="s">
        <v>93</v>
      </c>
      <c r="D249" s="98" t="s">
        <v>971</v>
      </c>
      <c r="E249" s="99">
        <v>28928.8975866667</v>
      </c>
    </row>
    <row r="250" s="93" customFormat="1" ht="42.75" customHeight="1" spans="1:5">
      <c r="A250" s="96">
        <v>245</v>
      </c>
      <c r="B250" s="97" t="s">
        <v>978</v>
      </c>
      <c r="C250" s="98" t="s">
        <v>97</v>
      </c>
      <c r="D250" s="98" t="s">
        <v>2295</v>
      </c>
      <c r="E250" s="99">
        <v>32249.6704266667</v>
      </c>
    </row>
    <row r="251" s="93" customFormat="1" ht="42.75" customHeight="1" spans="1:5">
      <c r="A251" s="96">
        <v>246</v>
      </c>
      <c r="B251" s="97" t="s">
        <v>980</v>
      </c>
      <c r="C251" s="98" t="s">
        <v>873</v>
      </c>
      <c r="D251" s="98" t="s">
        <v>1606</v>
      </c>
      <c r="E251" s="99">
        <v>27249.6704266667</v>
      </c>
    </row>
    <row r="252" s="93" customFormat="1" ht="42.75" customHeight="1" spans="1:5">
      <c r="A252" s="96">
        <v>247</v>
      </c>
      <c r="B252" s="97" t="s">
        <v>2168</v>
      </c>
      <c r="C252" s="98" t="s">
        <v>97</v>
      </c>
      <c r="D252" s="98" t="s">
        <v>2296</v>
      </c>
      <c r="E252" s="99">
        <v>32249.6704266667</v>
      </c>
    </row>
    <row r="253" s="93" customFormat="1" ht="42.75" customHeight="1" spans="1:5">
      <c r="A253" s="96">
        <v>248</v>
      </c>
      <c r="B253" s="97" t="s">
        <v>989</v>
      </c>
      <c r="C253" s="98" t="s">
        <v>93</v>
      </c>
      <c r="D253" s="98" t="s">
        <v>990</v>
      </c>
      <c r="E253" s="99">
        <v>30350.6194266667</v>
      </c>
    </row>
    <row r="254" s="93" customFormat="1" ht="42.75" customHeight="1" spans="1:5">
      <c r="A254" s="96">
        <v>249</v>
      </c>
      <c r="B254" s="97" t="s">
        <v>991</v>
      </c>
      <c r="C254" s="98" t="s">
        <v>113</v>
      </c>
      <c r="D254" s="98" t="s">
        <v>2297</v>
      </c>
      <c r="E254" s="99">
        <v>30350.6194266667</v>
      </c>
    </row>
    <row r="255" s="93" customFormat="1" ht="42.75" customHeight="1" spans="1:5">
      <c r="A255" s="96">
        <v>250</v>
      </c>
      <c r="B255" s="97" t="s">
        <v>1004</v>
      </c>
      <c r="C255" s="98" t="s">
        <v>93</v>
      </c>
      <c r="D255" s="98" t="s">
        <v>1005</v>
      </c>
      <c r="E255" s="99" t="e">
        <f>#REF!</f>
        <v>#REF!</v>
      </c>
    </row>
    <row r="256" s="93" customFormat="1" ht="42.75" customHeight="1" spans="1:5">
      <c r="A256" s="96">
        <v>251</v>
      </c>
      <c r="B256" s="97" t="s">
        <v>1006</v>
      </c>
      <c r="C256" s="98" t="s">
        <v>93</v>
      </c>
      <c r="D256" s="98" t="s">
        <v>2298</v>
      </c>
      <c r="E256" s="99" t="e">
        <f>#REF!</f>
        <v>#REF!</v>
      </c>
    </row>
    <row r="257" s="93" customFormat="1" ht="42.75" customHeight="1" spans="1:5">
      <c r="A257" s="96">
        <v>252</v>
      </c>
      <c r="B257" s="97" t="s">
        <v>1008</v>
      </c>
      <c r="C257" s="98" t="s">
        <v>873</v>
      </c>
      <c r="D257" s="98" t="s">
        <v>1009</v>
      </c>
      <c r="E257" s="99" t="e">
        <f>#REF!</f>
        <v>#REF!</v>
      </c>
    </row>
    <row r="258" s="93" customFormat="1" ht="42.75" customHeight="1" spans="1:5">
      <c r="A258" s="96">
        <v>253</v>
      </c>
      <c r="B258" s="97" t="s">
        <v>1010</v>
      </c>
      <c r="C258" s="98" t="s">
        <v>93</v>
      </c>
      <c r="D258" s="98" t="s">
        <v>2299</v>
      </c>
      <c r="E258" s="99" t="e">
        <f>#REF!</f>
        <v>#REF!</v>
      </c>
    </row>
    <row r="259" s="93" customFormat="1" ht="42.75" customHeight="1" spans="1:5">
      <c r="A259" s="96">
        <v>254</v>
      </c>
      <c r="B259" s="97" t="s">
        <v>2169</v>
      </c>
      <c r="C259" s="98" t="s">
        <v>113</v>
      </c>
      <c r="D259" s="98" t="s">
        <v>1013</v>
      </c>
      <c r="E259" s="99" t="e">
        <f>#REF!</f>
        <v>#REF!</v>
      </c>
    </row>
    <row r="260" s="93" customFormat="1" ht="42.75" customHeight="1" spans="1:5">
      <c r="A260" s="96">
        <v>255</v>
      </c>
      <c r="B260" s="97" t="s">
        <v>1015</v>
      </c>
      <c r="C260" s="98" t="s">
        <v>93</v>
      </c>
      <c r="D260" s="98" t="s">
        <v>2300</v>
      </c>
      <c r="E260" s="99" t="e">
        <f>#REF!</f>
        <v>#REF!</v>
      </c>
    </row>
    <row r="261" s="93" customFormat="1" ht="42.75" customHeight="1" spans="1:5">
      <c r="A261" s="96">
        <v>256</v>
      </c>
      <c r="B261" s="97" t="s">
        <v>1017</v>
      </c>
      <c r="C261" s="98" t="s">
        <v>135</v>
      </c>
      <c r="D261" s="98" t="s">
        <v>1018</v>
      </c>
      <c r="E261" s="99" t="e">
        <f>#REF!</f>
        <v>#REF!</v>
      </c>
    </row>
    <row r="262" s="93" customFormat="1" ht="42.75" customHeight="1" spans="1:5">
      <c r="A262" s="96">
        <v>257</v>
      </c>
      <c r="B262" s="97" t="s">
        <v>2170</v>
      </c>
      <c r="C262" s="98" t="s">
        <v>113</v>
      </c>
      <c r="D262" s="98">
        <v>2011462879</v>
      </c>
      <c r="E262" s="99">
        <v>104671.2264</v>
      </c>
    </row>
    <row r="263" s="93" customFormat="1" ht="42.75" customHeight="1" spans="1:5">
      <c r="A263" s="96">
        <v>258</v>
      </c>
      <c r="B263" s="97" t="s">
        <v>1020</v>
      </c>
      <c r="C263" s="98" t="s">
        <v>873</v>
      </c>
      <c r="D263" s="98" t="s">
        <v>1021</v>
      </c>
      <c r="E263" s="99">
        <v>161871.854293333</v>
      </c>
    </row>
    <row r="264" s="93" customFormat="1" ht="42.75" customHeight="1" spans="1:5">
      <c r="A264" s="96">
        <v>259</v>
      </c>
      <c r="B264" s="97" t="s">
        <v>1022</v>
      </c>
      <c r="C264" s="98" t="s">
        <v>873</v>
      </c>
      <c r="D264" s="98" t="s">
        <v>1023</v>
      </c>
      <c r="E264" s="99" t="e">
        <f>#REF!</f>
        <v>#REF!</v>
      </c>
    </row>
    <row r="265" s="93" customFormat="1" ht="42.75" customHeight="1" spans="1:5">
      <c r="A265" s="96">
        <v>260</v>
      </c>
      <c r="B265" s="97" t="s">
        <v>1024</v>
      </c>
      <c r="C265" s="98" t="s">
        <v>113</v>
      </c>
      <c r="D265" s="98" t="s">
        <v>2301</v>
      </c>
      <c r="E265" s="99" t="e">
        <f>#REF!</f>
        <v>#REF!</v>
      </c>
    </row>
    <row r="266" s="93" customFormat="1" ht="42.75" customHeight="1" spans="1:5">
      <c r="A266" s="96">
        <v>261</v>
      </c>
      <c r="B266" s="97" t="s">
        <v>2171</v>
      </c>
      <c r="C266" s="98" t="s">
        <v>93</v>
      </c>
      <c r="D266" s="98" t="s">
        <v>1027</v>
      </c>
      <c r="E266" s="99" t="e">
        <f>#REF!</f>
        <v>#REF!</v>
      </c>
    </row>
    <row r="267" s="93" customFormat="1" ht="42.75" customHeight="1" spans="1:5">
      <c r="A267" s="96">
        <v>262</v>
      </c>
      <c r="B267" s="97" t="s">
        <v>1028</v>
      </c>
      <c r="C267" s="98" t="s">
        <v>871</v>
      </c>
      <c r="D267" s="98" t="s">
        <v>1029</v>
      </c>
      <c r="E267" s="99" t="e">
        <f>#REF!</f>
        <v>#REF!</v>
      </c>
    </row>
    <row r="268" s="93" customFormat="1" ht="42.75" customHeight="1" spans="1:5">
      <c r="A268" s="96">
        <v>263</v>
      </c>
      <c r="B268" s="97" t="s">
        <v>1030</v>
      </c>
      <c r="C268" s="98" t="s">
        <v>873</v>
      </c>
      <c r="D268" s="98" t="s">
        <v>1031</v>
      </c>
      <c r="E268" s="99" t="e">
        <f>#REF!</f>
        <v>#REF!</v>
      </c>
    </row>
    <row r="269" s="93" customFormat="1" ht="42.75" customHeight="1" spans="1:5">
      <c r="A269" s="96">
        <v>264</v>
      </c>
      <c r="B269" s="97" t="s">
        <v>2172</v>
      </c>
      <c r="C269" s="98" t="s">
        <v>113</v>
      </c>
      <c r="D269" s="98" t="s">
        <v>2302</v>
      </c>
      <c r="E269" s="99">
        <v>87191.0326</v>
      </c>
    </row>
    <row r="270" s="93" customFormat="1" ht="42.75" customHeight="1" spans="1:5">
      <c r="A270" s="96">
        <v>265</v>
      </c>
      <c r="B270" s="97" t="s">
        <v>2206</v>
      </c>
      <c r="C270" s="98" t="s">
        <v>873</v>
      </c>
      <c r="D270" s="98" t="s">
        <v>1033</v>
      </c>
      <c r="E270" s="99">
        <v>42191.0326</v>
      </c>
    </row>
    <row r="271" s="93" customFormat="1" ht="42.75" customHeight="1" spans="1:5">
      <c r="A271" s="96">
        <v>266</v>
      </c>
      <c r="B271" s="97" t="s">
        <v>1034</v>
      </c>
      <c r="C271" s="98" t="s">
        <v>93</v>
      </c>
      <c r="D271" s="98" t="s">
        <v>1035</v>
      </c>
      <c r="E271" s="99">
        <v>123104.606773333</v>
      </c>
    </row>
    <row r="272" s="93" customFormat="1" ht="42.75" customHeight="1" spans="1:5">
      <c r="A272" s="96">
        <v>267</v>
      </c>
      <c r="B272" s="97" t="s">
        <v>2173</v>
      </c>
      <c r="C272" s="98" t="s">
        <v>97</v>
      </c>
      <c r="D272" s="98" t="s">
        <v>2303</v>
      </c>
      <c r="E272" s="99">
        <v>72941.0326</v>
      </c>
    </row>
    <row r="273" s="93" customFormat="1" ht="42.75" customHeight="1" spans="1:5">
      <c r="A273" s="96">
        <v>268</v>
      </c>
      <c r="B273" s="97" t="s">
        <v>1036</v>
      </c>
      <c r="C273" s="98" t="s">
        <v>1037</v>
      </c>
      <c r="D273" s="98" t="s">
        <v>2304</v>
      </c>
      <c r="E273" s="99">
        <v>98898.699586</v>
      </c>
    </row>
    <row r="274" s="93" customFormat="1" ht="42.75" customHeight="1" spans="1:5">
      <c r="A274" s="96">
        <v>269</v>
      </c>
      <c r="B274" s="97" t="s">
        <v>1039</v>
      </c>
      <c r="C274" s="98" t="s">
        <v>151</v>
      </c>
      <c r="D274" s="98" t="s">
        <v>1040</v>
      </c>
      <c r="E274" s="99">
        <v>35000.7325866667</v>
      </c>
    </row>
    <row r="275" s="93" customFormat="1" ht="42.75" customHeight="1" spans="1:5">
      <c r="A275" s="96">
        <v>270</v>
      </c>
      <c r="B275" s="97" t="s">
        <v>1041</v>
      </c>
      <c r="C275" s="98" t="s">
        <v>93</v>
      </c>
      <c r="D275" s="98" t="s">
        <v>2305</v>
      </c>
      <c r="E275" s="99" t="e">
        <f>#REF!</f>
        <v>#REF!</v>
      </c>
    </row>
    <row r="276" s="93" customFormat="1" ht="42.75" customHeight="1" spans="1:5">
      <c r="A276" s="96">
        <v>271</v>
      </c>
      <c r="B276" s="97" t="s">
        <v>1043</v>
      </c>
      <c r="C276" s="98" t="s">
        <v>135</v>
      </c>
      <c r="D276" s="98" t="s">
        <v>2306</v>
      </c>
      <c r="E276" s="99" t="e">
        <f>#REF!</f>
        <v>#REF!</v>
      </c>
    </row>
    <row r="277" s="93" customFormat="1" ht="42.75" customHeight="1" spans="1:5">
      <c r="A277" s="96">
        <v>272</v>
      </c>
      <c r="B277" s="97" t="s">
        <v>1045</v>
      </c>
      <c r="C277" s="98" t="s">
        <v>135</v>
      </c>
      <c r="D277" s="98" t="s">
        <v>1046</v>
      </c>
      <c r="E277" s="99">
        <v>31050.8635866667</v>
      </c>
    </row>
    <row r="278" s="93" customFormat="1" ht="42.75" customHeight="1" spans="1:5">
      <c r="A278" s="96">
        <v>273</v>
      </c>
      <c r="B278" s="97" t="s">
        <v>1047</v>
      </c>
      <c r="C278" s="98" t="s">
        <v>145</v>
      </c>
      <c r="D278" s="98" t="s">
        <v>2307</v>
      </c>
      <c r="E278" s="99">
        <v>31049.8635866667</v>
      </c>
    </row>
    <row r="279" s="93" customFormat="1" ht="42.75" customHeight="1" spans="1:5">
      <c r="A279" s="96">
        <v>274</v>
      </c>
      <c r="B279" s="97" t="s">
        <v>1051</v>
      </c>
      <c r="C279" s="98" t="s">
        <v>93</v>
      </c>
      <c r="D279" s="98" t="s">
        <v>1052</v>
      </c>
      <c r="E279" s="99">
        <v>27249.6704266667</v>
      </c>
    </row>
    <row r="280" s="93" customFormat="1" ht="42.75" customHeight="1" spans="1:5">
      <c r="A280" s="96">
        <v>275</v>
      </c>
      <c r="B280" s="97" t="s">
        <v>2174</v>
      </c>
      <c r="C280" s="98" t="s">
        <v>1149</v>
      </c>
      <c r="D280" s="98" t="s">
        <v>2308</v>
      </c>
      <c r="E280" s="99" t="e">
        <f>#REF!</f>
        <v>#REF!</v>
      </c>
    </row>
    <row r="281" s="93" customFormat="1" ht="42.75" customHeight="1" spans="1:5">
      <c r="A281" s="96">
        <v>276</v>
      </c>
      <c r="B281" s="97" t="s">
        <v>1054</v>
      </c>
      <c r="C281" s="98" t="s">
        <v>135</v>
      </c>
      <c r="D281" s="98" t="s">
        <v>1055</v>
      </c>
      <c r="E281" s="99" t="e">
        <f>#REF!</f>
        <v>#REF!</v>
      </c>
    </row>
    <row r="282" s="93" customFormat="1" ht="42.75" customHeight="1" spans="1:5">
      <c r="A282" s="96">
        <v>277</v>
      </c>
      <c r="B282" s="97" t="s">
        <v>1056</v>
      </c>
      <c r="C282" s="98" t="s">
        <v>165</v>
      </c>
      <c r="D282" s="98" t="s">
        <v>2309</v>
      </c>
      <c r="E282" s="99" t="e">
        <f>#REF!</f>
        <v>#REF!</v>
      </c>
    </row>
    <row r="283" s="93" customFormat="1" ht="42.75" customHeight="1" spans="1:5">
      <c r="A283" s="96">
        <v>278</v>
      </c>
      <c r="B283" s="97" t="s">
        <v>1058</v>
      </c>
      <c r="C283" s="98" t="s">
        <v>165</v>
      </c>
      <c r="D283" s="98" t="s">
        <v>1059</v>
      </c>
      <c r="E283" s="99" t="e">
        <f>#REF!</f>
        <v>#REF!</v>
      </c>
    </row>
    <row r="284" s="93" customFormat="1" ht="42.75" customHeight="1" spans="1:5">
      <c r="A284" s="96">
        <v>279</v>
      </c>
      <c r="B284" s="97" t="s">
        <v>1060</v>
      </c>
      <c r="C284" s="98" t="s">
        <v>873</v>
      </c>
      <c r="D284" s="98" t="s">
        <v>1061</v>
      </c>
      <c r="E284" s="99">
        <v>68740.0564</v>
      </c>
    </row>
    <row r="285" s="93" customFormat="1" ht="42.75" customHeight="1" spans="1:5">
      <c r="A285" s="96">
        <v>280</v>
      </c>
      <c r="B285" s="97" t="s">
        <v>1062</v>
      </c>
      <c r="C285" s="98" t="s">
        <v>871</v>
      </c>
      <c r="D285" s="98" t="s">
        <v>1063</v>
      </c>
      <c r="E285" s="99">
        <v>63467.0076</v>
      </c>
    </row>
    <row r="286" s="93" customFormat="1" ht="42.75" customHeight="1" spans="1:5">
      <c r="A286" s="96">
        <v>281</v>
      </c>
      <c r="B286" s="97" t="s">
        <v>1064</v>
      </c>
      <c r="C286" s="98" t="s">
        <v>871</v>
      </c>
      <c r="D286" s="98" t="s">
        <v>1065</v>
      </c>
      <c r="E286" s="99">
        <v>93691.0326</v>
      </c>
    </row>
    <row r="287" s="93" customFormat="1" ht="42.75" customHeight="1" spans="1:5">
      <c r="A287" s="96">
        <v>282</v>
      </c>
      <c r="B287" s="97" t="s">
        <v>1066</v>
      </c>
      <c r="C287" s="98" t="s">
        <v>113</v>
      </c>
      <c r="D287" s="98" t="s">
        <v>1067</v>
      </c>
      <c r="E287" s="99" t="e">
        <f>#REF!</f>
        <v>#REF!</v>
      </c>
    </row>
    <row r="288" s="93" customFormat="1" ht="42.75" customHeight="1" spans="1:5">
      <c r="A288" s="96">
        <v>283</v>
      </c>
      <c r="B288" s="97" t="s">
        <v>1068</v>
      </c>
      <c r="C288" s="98" t="s">
        <v>127</v>
      </c>
      <c r="D288" s="98" t="s">
        <v>2310</v>
      </c>
      <c r="E288" s="99" t="e">
        <f>#REF!</f>
        <v>#REF!</v>
      </c>
    </row>
    <row r="289" s="93" customFormat="1" ht="42.75" customHeight="1" spans="1:5">
      <c r="A289" s="96">
        <v>284</v>
      </c>
      <c r="B289" s="97" t="s">
        <v>1070</v>
      </c>
      <c r="C289" s="98" t="s">
        <v>873</v>
      </c>
      <c r="D289" s="98" t="s">
        <v>1071</v>
      </c>
      <c r="E289" s="99">
        <v>178629.324293333</v>
      </c>
    </row>
    <row r="290" s="93" customFormat="1" ht="42.75" customHeight="1" spans="1:5">
      <c r="A290" s="96">
        <v>285</v>
      </c>
      <c r="B290" s="97" t="s">
        <v>1072</v>
      </c>
      <c r="C290" s="98" t="s">
        <v>873</v>
      </c>
      <c r="D290" s="98" t="s">
        <v>1073</v>
      </c>
      <c r="E290" s="99">
        <v>126464.660813333</v>
      </c>
    </row>
    <row r="291" s="93" customFormat="1" ht="42.75" customHeight="1" spans="1:5">
      <c r="A291" s="96">
        <v>286</v>
      </c>
      <c r="B291" s="97" t="s">
        <v>1074</v>
      </c>
      <c r="C291" s="98" t="s">
        <v>135</v>
      </c>
      <c r="D291" s="98" t="s">
        <v>1075</v>
      </c>
      <c r="E291" s="99" t="e">
        <f>#REF!</f>
        <v>#REF!</v>
      </c>
    </row>
    <row r="292" s="93" customFormat="1" ht="42.75" customHeight="1" spans="1:5">
      <c r="A292" s="96">
        <v>287</v>
      </c>
      <c r="B292" s="97" t="s">
        <v>2175</v>
      </c>
      <c r="C292" s="98" t="s">
        <v>113</v>
      </c>
      <c r="D292" s="98" t="s">
        <v>1077</v>
      </c>
      <c r="E292" s="99" t="e">
        <f>#REF!</f>
        <v>#REF!</v>
      </c>
    </row>
    <row r="293" s="93" customFormat="1" ht="42.75" customHeight="1" spans="1:5">
      <c r="A293" s="96">
        <v>288</v>
      </c>
      <c r="B293" s="97" t="s">
        <v>1078</v>
      </c>
      <c r="C293" s="98" t="s">
        <v>135</v>
      </c>
      <c r="D293" s="98" t="s">
        <v>1079</v>
      </c>
      <c r="E293" s="99" t="e">
        <f>#REF!</f>
        <v>#REF!</v>
      </c>
    </row>
    <row r="294" s="93" customFormat="1" ht="42.75" customHeight="1" spans="1:5">
      <c r="A294" s="96">
        <v>289</v>
      </c>
      <c r="B294" s="97" t="s">
        <v>1080</v>
      </c>
      <c r="C294" s="98" t="s">
        <v>93</v>
      </c>
      <c r="D294" s="98" t="s">
        <v>1081</v>
      </c>
      <c r="E294" s="99">
        <v>146342.922293333</v>
      </c>
    </row>
    <row r="295" s="93" customFormat="1" ht="42.75" customHeight="1" spans="1:5">
      <c r="A295" s="96">
        <v>290</v>
      </c>
      <c r="B295" s="97" t="s">
        <v>2176</v>
      </c>
      <c r="C295" s="98" t="s">
        <v>93</v>
      </c>
      <c r="D295" s="98" t="s">
        <v>2311</v>
      </c>
      <c r="E295" s="99" t="e">
        <f>#REF!</f>
        <v>#REF!</v>
      </c>
    </row>
    <row r="296" s="93" customFormat="1" ht="42.75" customHeight="1" spans="1:5">
      <c r="A296" s="96">
        <v>291</v>
      </c>
      <c r="B296" s="97" t="s">
        <v>1084</v>
      </c>
      <c r="C296" s="98" t="s">
        <v>93</v>
      </c>
      <c r="D296" s="98" t="s">
        <v>1085</v>
      </c>
      <c r="E296" s="99" t="e">
        <f>#REF!</f>
        <v>#REF!</v>
      </c>
    </row>
    <row r="297" s="93" customFormat="1" ht="42.75" customHeight="1" spans="1:5">
      <c r="A297" s="96">
        <v>292</v>
      </c>
      <c r="B297" s="97" t="s">
        <v>1086</v>
      </c>
      <c r="C297" s="98" t="s">
        <v>873</v>
      </c>
      <c r="D297" s="98" t="s">
        <v>1087</v>
      </c>
      <c r="E297" s="99" t="e">
        <f>#REF!</f>
        <v>#REF!</v>
      </c>
    </row>
    <row r="298" s="93" customFormat="1" ht="42.75" customHeight="1" spans="1:5">
      <c r="A298" s="96">
        <v>293</v>
      </c>
      <c r="B298" s="97" t="s">
        <v>1106</v>
      </c>
      <c r="C298" s="98" t="s">
        <v>135</v>
      </c>
      <c r="D298" s="98" t="s">
        <v>2312</v>
      </c>
      <c r="E298" s="99" t="e">
        <f>#REF!</f>
        <v>#REF!</v>
      </c>
    </row>
    <row r="299" s="93" customFormat="1" ht="42.75" customHeight="1" spans="1:5">
      <c r="A299" s="96">
        <v>294</v>
      </c>
      <c r="B299" s="97" t="s">
        <v>2177</v>
      </c>
      <c r="C299" s="98" t="s">
        <v>873</v>
      </c>
      <c r="D299" s="98" t="s">
        <v>1109</v>
      </c>
      <c r="E299" s="99" t="e">
        <f>#REF!</f>
        <v>#REF!</v>
      </c>
    </row>
    <row r="300" s="93" customFormat="1" ht="42.75" customHeight="1" spans="1:5">
      <c r="A300" s="96">
        <v>295</v>
      </c>
      <c r="B300" s="97" t="s">
        <v>1110</v>
      </c>
      <c r="C300" s="98" t="s">
        <v>873</v>
      </c>
      <c r="D300" s="98" t="s">
        <v>2313</v>
      </c>
      <c r="E300" s="99" t="e">
        <f>#REF!</f>
        <v>#REF!</v>
      </c>
    </row>
    <row r="301" s="93" customFormat="1" ht="42.75" customHeight="1" spans="1:5">
      <c r="A301" s="96">
        <v>296</v>
      </c>
      <c r="B301" s="97" t="s">
        <v>2178</v>
      </c>
      <c r="C301" s="98" t="s">
        <v>165</v>
      </c>
      <c r="D301" s="98" t="s">
        <v>1113</v>
      </c>
      <c r="E301" s="99">
        <v>29400.9784266667</v>
      </c>
    </row>
    <row r="302" s="93" customFormat="1" ht="42.75" customHeight="1" spans="1:5">
      <c r="A302" s="96">
        <v>297</v>
      </c>
      <c r="B302" s="97" t="s">
        <v>1114</v>
      </c>
      <c r="C302" s="98" t="s">
        <v>93</v>
      </c>
      <c r="D302" s="98" t="s">
        <v>1115</v>
      </c>
      <c r="E302" s="99">
        <v>50588.5174133333</v>
      </c>
    </row>
    <row r="303" s="93" customFormat="1" ht="42.75" customHeight="1" spans="1:5">
      <c r="A303" s="96">
        <v>298</v>
      </c>
      <c r="B303" s="97" t="s">
        <v>1116</v>
      </c>
      <c r="C303" s="98" t="s">
        <v>313</v>
      </c>
      <c r="D303" s="98" t="s">
        <v>2314</v>
      </c>
      <c r="E303" s="99">
        <v>29400.9784266667</v>
      </c>
    </row>
    <row r="304" s="93" customFormat="1" ht="42.75" customHeight="1" spans="1:5">
      <c r="A304" s="96">
        <v>299</v>
      </c>
      <c r="B304" s="97" t="s">
        <v>1118</v>
      </c>
      <c r="C304" s="98" t="s">
        <v>165</v>
      </c>
      <c r="D304" s="98" t="s">
        <v>1119</v>
      </c>
      <c r="E304" s="99">
        <v>35578.1264190667</v>
      </c>
    </row>
    <row r="305" s="93" customFormat="1" ht="42.75" customHeight="1" spans="1:5">
      <c r="A305" s="96">
        <v>300</v>
      </c>
      <c r="B305" s="97" t="s">
        <v>1120</v>
      </c>
      <c r="C305" s="98" t="s">
        <v>151</v>
      </c>
      <c r="D305" s="98" t="s">
        <v>1121</v>
      </c>
      <c r="E305" s="99">
        <v>35578.1264190667</v>
      </c>
    </row>
    <row r="306" s="93" customFormat="1" ht="42.75" customHeight="1" spans="1:5">
      <c r="A306" s="96">
        <v>301</v>
      </c>
      <c r="B306" s="97" t="s">
        <v>1122</v>
      </c>
      <c r="C306" s="98" t="s">
        <v>135</v>
      </c>
      <c r="D306" s="98" t="s">
        <v>1123</v>
      </c>
      <c r="E306" s="99">
        <v>35579.1520590667</v>
      </c>
    </row>
    <row r="307" s="93" customFormat="1" ht="42.75" customHeight="1" spans="1:5">
      <c r="A307" s="96">
        <v>302</v>
      </c>
      <c r="B307" s="97" t="s">
        <v>1130</v>
      </c>
      <c r="C307" s="98" t="s">
        <v>113</v>
      </c>
      <c r="D307" s="98" t="s">
        <v>1131</v>
      </c>
      <c r="E307" s="99">
        <v>35578.1264190667</v>
      </c>
    </row>
    <row r="308" s="93" customFormat="1" ht="42.75" customHeight="1" spans="1:5">
      <c r="A308" s="96">
        <v>303</v>
      </c>
      <c r="B308" s="97" t="s">
        <v>1134</v>
      </c>
      <c r="C308" s="98" t="s">
        <v>135</v>
      </c>
      <c r="D308" s="98" t="s">
        <v>2315</v>
      </c>
      <c r="E308" s="99">
        <v>35578.1264190667</v>
      </c>
    </row>
    <row r="309" s="93" customFormat="1" ht="42.75" customHeight="1" spans="1:5">
      <c r="A309" s="96">
        <v>304</v>
      </c>
      <c r="B309" s="97" t="s">
        <v>1136</v>
      </c>
      <c r="C309" s="98" t="s">
        <v>113</v>
      </c>
      <c r="D309" s="98" t="s">
        <v>1137</v>
      </c>
      <c r="E309" s="99">
        <v>35578.1264190667</v>
      </c>
    </row>
    <row r="310" s="93" customFormat="1" ht="42.75" customHeight="1" spans="1:5">
      <c r="A310" s="96">
        <v>305</v>
      </c>
      <c r="B310" s="97" t="s">
        <v>1138</v>
      </c>
      <c r="C310" s="98" t="s">
        <v>127</v>
      </c>
      <c r="D310" s="98" t="s">
        <v>1139</v>
      </c>
      <c r="E310" s="99">
        <v>35578.1264190667</v>
      </c>
    </row>
    <row r="311" s="93" customFormat="1" ht="42.75" customHeight="1" spans="1:5">
      <c r="A311" s="96">
        <v>306</v>
      </c>
      <c r="B311" s="97" t="s">
        <v>1140</v>
      </c>
      <c r="C311" s="98" t="s">
        <v>135</v>
      </c>
      <c r="D311" s="98" t="s">
        <v>1141</v>
      </c>
      <c r="E311" s="99">
        <v>35578.1264190667</v>
      </c>
    </row>
    <row r="312" s="93" customFormat="1" ht="42.75" customHeight="1" spans="1:5">
      <c r="A312" s="96">
        <v>307</v>
      </c>
      <c r="B312" s="97" t="s">
        <v>2179</v>
      </c>
      <c r="C312" s="98" t="s">
        <v>313</v>
      </c>
      <c r="D312" s="98" t="s">
        <v>2316</v>
      </c>
      <c r="E312" s="99">
        <v>35578.1264190667</v>
      </c>
    </row>
    <row r="313" s="93" customFormat="1" ht="42.75" customHeight="1" spans="1:5">
      <c r="A313" s="96">
        <v>308</v>
      </c>
      <c r="B313" s="97" t="s">
        <v>1144</v>
      </c>
      <c r="C313" s="98" t="s">
        <v>165</v>
      </c>
      <c r="D313" s="98" t="s">
        <v>1145</v>
      </c>
      <c r="E313" s="99">
        <v>35578.1264190667</v>
      </c>
    </row>
    <row r="314" s="93" customFormat="1" ht="42.75" customHeight="1" spans="1:5">
      <c r="A314" s="96">
        <v>309</v>
      </c>
      <c r="B314" s="97" t="s">
        <v>1146</v>
      </c>
      <c r="C314" s="98" t="s">
        <v>135</v>
      </c>
      <c r="D314" s="98" t="s">
        <v>1147</v>
      </c>
      <c r="E314" s="99">
        <v>35578.1264190667</v>
      </c>
    </row>
    <row r="315" s="93" customFormat="1" ht="42.75" customHeight="1" spans="1:5">
      <c r="A315" s="96">
        <v>310</v>
      </c>
      <c r="B315" s="97" t="s">
        <v>1148</v>
      </c>
      <c r="C315" s="98" t="s">
        <v>1149</v>
      </c>
      <c r="D315" s="98" t="s">
        <v>1150</v>
      </c>
      <c r="E315" s="99">
        <v>35578.1264190667</v>
      </c>
    </row>
    <row r="316" s="93" customFormat="1" ht="42.75" customHeight="1" spans="1:5">
      <c r="A316" s="96">
        <v>311</v>
      </c>
      <c r="B316" s="97" t="s">
        <v>2180</v>
      </c>
      <c r="C316" s="98" t="s">
        <v>97</v>
      </c>
      <c r="D316" s="98" t="s">
        <v>2317</v>
      </c>
      <c r="E316" s="99" t="e">
        <f>#REF!</f>
        <v>#REF!</v>
      </c>
    </row>
    <row r="317" s="93" customFormat="1" ht="42.75" customHeight="1" spans="1:5">
      <c r="A317" s="96">
        <v>312</v>
      </c>
      <c r="B317" s="97" t="s">
        <v>1153</v>
      </c>
      <c r="C317" s="98" t="s">
        <v>165</v>
      </c>
      <c r="D317" s="98" t="s">
        <v>1154</v>
      </c>
      <c r="E317" s="99">
        <v>29400.9784266667</v>
      </c>
    </row>
    <row r="318" s="93" customFormat="1" ht="42.75" customHeight="1" spans="1:5">
      <c r="A318" s="96">
        <v>313</v>
      </c>
      <c r="B318" s="97" t="s">
        <v>1155</v>
      </c>
      <c r="C318" s="98" t="s">
        <v>135</v>
      </c>
      <c r="D318" s="98" t="s">
        <v>1156</v>
      </c>
      <c r="E318" s="99">
        <v>35578.1264190667</v>
      </c>
    </row>
    <row r="319" s="93" customFormat="1" ht="42.75" customHeight="1" spans="1:5">
      <c r="A319" s="96">
        <v>314</v>
      </c>
      <c r="B319" s="97" t="s">
        <v>1157</v>
      </c>
      <c r="C319" s="98" t="s">
        <v>135</v>
      </c>
      <c r="D319" s="98" t="s">
        <v>1158</v>
      </c>
      <c r="E319" s="99">
        <v>35578.1264190667</v>
      </c>
    </row>
    <row r="320" s="93" customFormat="1" ht="42.75" customHeight="1" spans="1:5">
      <c r="A320" s="96">
        <v>315</v>
      </c>
      <c r="B320" s="97" t="s">
        <v>2207</v>
      </c>
      <c r="C320" s="98" t="s">
        <v>135</v>
      </c>
      <c r="D320" s="98" t="s">
        <v>2318</v>
      </c>
      <c r="E320" s="99">
        <v>32710.4137866667</v>
      </c>
    </row>
    <row r="321" s="93" customFormat="1" ht="42.75" customHeight="1" spans="1:5">
      <c r="A321" s="96">
        <v>316</v>
      </c>
      <c r="B321" s="97" t="s">
        <v>1161</v>
      </c>
      <c r="C321" s="98" t="s">
        <v>135</v>
      </c>
      <c r="D321" s="98" t="s">
        <v>1162</v>
      </c>
      <c r="E321" s="99">
        <v>28138.4155866667</v>
      </c>
    </row>
    <row r="322" s="93" customFormat="1" ht="42.75" customHeight="1" spans="1:5">
      <c r="A322" s="96">
        <v>317</v>
      </c>
      <c r="B322" s="97" t="s">
        <v>2208</v>
      </c>
      <c r="C322" s="98" t="s">
        <v>135</v>
      </c>
      <c r="D322" s="98" t="s">
        <v>2319</v>
      </c>
      <c r="E322" s="99">
        <v>29400.9784266667</v>
      </c>
    </row>
    <row r="323" s="93" customFormat="1" ht="42.75" customHeight="1" spans="1:5">
      <c r="A323" s="96">
        <v>318</v>
      </c>
      <c r="B323" s="97" t="s">
        <v>1164</v>
      </c>
      <c r="C323" s="98" t="s">
        <v>135</v>
      </c>
      <c r="D323" s="98" t="s">
        <v>1165</v>
      </c>
      <c r="E323" s="99">
        <v>28138.4155866667</v>
      </c>
    </row>
    <row r="324" s="93" customFormat="1" ht="42.75" customHeight="1" spans="1:5">
      <c r="A324" s="96">
        <v>319</v>
      </c>
      <c r="B324" s="97" t="s">
        <v>1166</v>
      </c>
      <c r="C324" s="98" t="s">
        <v>127</v>
      </c>
      <c r="D324" s="98" t="s">
        <v>2320</v>
      </c>
      <c r="E324" s="99">
        <v>29400.5995866667</v>
      </c>
    </row>
    <row r="325" s="93" customFormat="1" ht="42.75" customHeight="1" spans="1:5">
      <c r="A325" s="96">
        <v>320</v>
      </c>
      <c r="B325" s="97" t="s">
        <v>1168</v>
      </c>
      <c r="C325" s="98" t="s">
        <v>135</v>
      </c>
      <c r="D325" s="98" t="s">
        <v>1169</v>
      </c>
      <c r="E325" s="99">
        <v>28138.4155866667</v>
      </c>
    </row>
    <row r="326" s="93" customFormat="1" ht="42.75" customHeight="1" spans="1:5">
      <c r="A326" s="96">
        <v>321</v>
      </c>
      <c r="B326" s="97" t="s">
        <v>1170</v>
      </c>
      <c r="C326" s="98" t="s">
        <v>165</v>
      </c>
      <c r="D326" s="98" t="s">
        <v>1171</v>
      </c>
      <c r="E326" s="99">
        <v>28138.4155866667</v>
      </c>
    </row>
    <row r="327" s="93" customFormat="1" ht="42.75" customHeight="1" spans="1:5">
      <c r="A327" s="96">
        <v>322</v>
      </c>
      <c r="B327" s="97" t="s">
        <v>1172</v>
      </c>
      <c r="C327" s="98" t="s">
        <v>135</v>
      </c>
      <c r="D327" s="98" t="s">
        <v>1173</v>
      </c>
      <c r="E327" s="99">
        <v>28138.4155866667</v>
      </c>
    </row>
    <row r="328" s="93" customFormat="1" ht="42.75" customHeight="1" spans="1:5">
      <c r="A328" s="96">
        <v>323</v>
      </c>
      <c r="B328" s="97" t="s">
        <v>2182</v>
      </c>
      <c r="C328" s="98" t="s">
        <v>135</v>
      </c>
      <c r="D328" s="98" t="s">
        <v>2321</v>
      </c>
      <c r="E328" s="99">
        <v>28138.4155866667</v>
      </c>
    </row>
    <row r="329" s="93" customFormat="1" ht="42.75" customHeight="1" spans="1:5">
      <c r="A329" s="96">
        <v>324</v>
      </c>
      <c r="B329" s="97" t="s">
        <v>1193</v>
      </c>
      <c r="C329" s="98" t="s">
        <v>165</v>
      </c>
      <c r="D329" s="98">
        <v>2116988676</v>
      </c>
      <c r="E329" s="99">
        <v>28138.4155866667</v>
      </c>
    </row>
    <row r="330" s="93" customFormat="1" ht="42.75" customHeight="1" spans="1:5">
      <c r="A330" s="96">
        <v>325</v>
      </c>
      <c r="B330" s="97" t="s">
        <v>1194</v>
      </c>
      <c r="C330" s="98" t="s">
        <v>165</v>
      </c>
      <c r="D330" s="98" t="s">
        <v>1195</v>
      </c>
      <c r="E330" s="99">
        <v>28138.4155866667</v>
      </c>
    </row>
    <row r="331" s="93" customFormat="1" ht="42.75" customHeight="1" spans="1:5">
      <c r="A331" s="96">
        <v>326</v>
      </c>
      <c r="B331" s="97" t="s">
        <v>1196</v>
      </c>
      <c r="C331" s="98" t="s">
        <v>135</v>
      </c>
      <c r="D331" s="98" t="s">
        <v>1197</v>
      </c>
      <c r="E331" s="99">
        <v>28138.4155866667</v>
      </c>
    </row>
    <row r="332" s="93" customFormat="1" ht="42.75" customHeight="1" spans="1:5">
      <c r="A332" s="96">
        <v>327</v>
      </c>
      <c r="B332" s="97" t="s">
        <v>1198</v>
      </c>
      <c r="C332" s="98" t="s">
        <v>135</v>
      </c>
      <c r="D332" s="98" t="s">
        <v>1199</v>
      </c>
      <c r="E332" s="99">
        <v>28138.4155866667</v>
      </c>
    </row>
    <row r="333" s="93" customFormat="1" ht="42.75" customHeight="1" spans="1:5">
      <c r="A333" s="96">
        <v>328</v>
      </c>
      <c r="B333" s="97" t="s">
        <v>2183</v>
      </c>
      <c r="C333" s="98" t="s">
        <v>135</v>
      </c>
      <c r="D333" s="98" t="s">
        <v>2322</v>
      </c>
      <c r="E333" s="99">
        <v>28138.4155866667</v>
      </c>
    </row>
    <row r="334" s="93" customFormat="1" ht="42.75" customHeight="1" spans="1:5">
      <c r="A334" s="96">
        <v>329</v>
      </c>
      <c r="B334" s="97" t="s">
        <v>1200</v>
      </c>
      <c r="C334" s="98" t="s">
        <v>135</v>
      </c>
      <c r="D334" s="98" t="s">
        <v>1201</v>
      </c>
      <c r="E334" s="99">
        <v>28138.4155866667</v>
      </c>
    </row>
    <row r="335" s="93" customFormat="1" ht="42.75" customHeight="1" spans="1:5">
      <c r="A335" s="96">
        <v>330</v>
      </c>
      <c r="B335" s="97" t="s">
        <v>1202</v>
      </c>
      <c r="C335" s="98" t="s">
        <v>135</v>
      </c>
      <c r="D335" s="98" t="s">
        <v>1203</v>
      </c>
      <c r="E335" s="99">
        <v>28138.4155866667</v>
      </c>
    </row>
    <row r="336" s="93" customFormat="1" ht="42.75" customHeight="1" spans="1:5">
      <c r="A336" s="96">
        <v>331</v>
      </c>
      <c r="B336" s="97" t="s">
        <v>1204</v>
      </c>
      <c r="C336" s="98" t="s">
        <v>259</v>
      </c>
      <c r="D336" s="98">
        <v>6236048594</v>
      </c>
      <c r="E336" s="99">
        <v>28138.4155866667</v>
      </c>
    </row>
    <row r="337" s="93" customFormat="1" ht="42.75" customHeight="1" spans="1:5">
      <c r="A337" s="96">
        <v>332</v>
      </c>
      <c r="B337" s="97" t="s">
        <v>1205</v>
      </c>
      <c r="C337" s="98" t="s">
        <v>135</v>
      </c>
      <c r="D337" s="98" t="s">
        <v>1709</v>
      </c>
      <c r="E337" s="99">
        <v>28138.4155866667</v>
      </c>
    </row>
    <row r="338" s="93" customFormat="1" ht="42.75" customHeight="1" spans="1:5">
      <c r="A338" s="96">
        <v>333</v>
      </c>
      <c r="B338" s="97" t="s">
        <v>1207</v>
      </c>
      <c r="C338" s="98" t="s">
        <v>422</v>
      </c>
      <c r="D338" s="98">
        <v>3031963246</v>
      </c>
      <c r="E338" s="99">
        <v>28138.4155866667</v>
      </c>
    </row>
    <row r="339" s="93" customFormat="1" ht="42.75" customHeight="1" spans="1:5">
      <c r="A339" s="96">
        <v>334</v>
      </c>
      <c r="B339" s="97" t="s">
        <v>1208</v>
      </c>
      <c r="C339" s="98" t="s">
        <v>135</v>
      </c>
      <c r="D339" s="98" t="s">
        <v>1209</v>
      </c>
      <c r="E339" s="99">
        <v>28138.4155866667</v>
      </c>
    </row>
    <row r="340" s="93" customFormat="1" ht="42.75" customHeight="1" spans="1:5">
      <c r="A340" s="96">
        <v>335</v>
      </c>
      <c r="B340" s="97" t="s">
        <v>1210</v>
      </c>
      <c r="C340" s="98" t="s">
        <v>135</v>
      </c>
      <c r="D340" s="98" t="s">
        <v>1211</v>
      </c>
      <c r="E340" s="99">
        <v>28138.4155866667</v>
      </c>
    </row>
    <row r="341" s="93" customFormat="1" ht="42.75" customHeight="1" spans="1:5">
      <c r="A341" s="96">
        <v>336</v>
      </c>
      <c r="B341" s="97" t="s">
        <v>2184</v>
      </c>
      <c r="C341" s="98" t="s">
        <v>165</v>
      </c>
      <c r="D341" s="98">
        <v>2116783341</v>
      </c>
      <c r="E341" s="99">
        <v>28138.4155866667</v>
      </c>
    </row>
    <row r="342" s="93" customFormat="1" ht="42.75" customHeight="1" spans="1:5">
      <c r="A342" s="96">
        <v>337</v>
      </c>
      <c r="B342" s="97" t="s">
        <v>1214</v>
      </c>
      <c r="C342" s="98" t="s">
        <v>135</v>
      </c>
      <c r="D342" s="98" t="s">
        <v>1215</v>
      </c>
      <c r="E342" s="99">
        <v>28138.4155866667</v>
      </c>
    </row>
    <row r="343" s="93" customFormat="1" ht="42.75" customHeight="1" spans="1:5">
      <c r="A343" s="96">
        <v>338</v>
      </c>
      <c r="B343" s="97" t="s">
        <v>1216</v>
      </c>
      <c r="C343" s="98" t="s">
        <v>165</v>
      </c>
      <c r="D343" s="98">
        <v>2210969917</v>
      </c>
      <c r="E343" s="99">
        <v>28138.4155866667</v>
      </c>
    </row>
    <row r="344" s="93" customFormat="1" ht="42.75" customHeight="1" spans="1:5">
      <c r="A344" s="96">
        <v>339</v>
      </c>
      <c r="B344" s="97" t="s">
        <v>1217</v>
      </c>
      <c r="C344" s="98" t="s">
        <v>135</v>
      </c>
      <c r="D344" s="98" t="s">
        <v>2323</v>
      </c>
      <c r="E344" s="99">
        <v>28138.4155866667</v>
      </c>
    </row>
    <row r="345" s="93" customFormat="1" ht="42.75" customHeight="1" spans="1:5">
      <c r="A345" s="96">
        <v>340</v>
      </c>
      <c r="B345" s="97" t="s">
        <v>1219</v>
      </c>
      <c r="C345" s="98" t="s">
        <v>97</v>
      </c>
      <c r="D345" s="98" t="s">
        <v>1220</v>
      </c>
      <c r="E345" s="99">
        <v>28138.4155866667</v>
      </c>
    </row>
    <row r="346" s="93" customFormat="1" ht="42.75" customHeight="1" spans="1:5">
      <c r="A346" s="96">
        <v>341</v>
      </c>
      <c r="B346" s="97" t="s">
        <v>1221</v>
      </c>
      <c r="C346" s="98" t="s">
        <v>135</v>
      </c>
      <c r="D346" s="98" t="s">
        <v>1222</v>
      </c>
      <c r="E346" s="99">
        <v>28138.4155866667</v>
      </c>
    </row>
    <row r="347" s="93" customFormat="1" ht="42.75" customHeight="1" spans="1:5">
      <c r="A347" s="96">
        <v>342</v>
      </c>
      <c r="B347" s="97" t="s">
        <v>1223</v>
      </c>
      <c r="C347" s="98" t="s">
        <v>135</v>
      </c>
      <c r="D347" s="98" t="s">
        <v>1224</v>
      </c>
      <c r="E347" s="99">
        <v>28138.4155866667</v>
      </c>
    </row>
    <row r="348" s="93" customFormat="1" ht="42.75" customHeight="1" spans="1:5">
      <c r="A348" s="96">
        <v>343</v>
      </c>
      <c r="B348" s="97" t="s">
        <v>1225</v>
      </c>
      <c r="C348" s="98" t="s">
        <v>135</v>
      </c>
      <c r="D348" s="98" t="s">
        <v>1226</v>
      </c>
      <c r="E348" s="99">
        <v>28138.4155866667</v>
      </c>
    </row>
    <row r="349" s="93" customFormat="1" ht="42.75" customHeight="1" spans="1:5">
      <c r="A349" s="96">
        <v>344</v>
      </c>
      <c r="B349" s="97" t="s">
        <v>1227</v>
      </c>
      <c r="C349" s="98" t="s">
        <v>135</v>
      </c>
      <c r="D349" s="98" t="s">
        <v>1228</v>
      </c>
      <c r="E349" s="99">
        <v>28138.4155866667</v>
      </c>
    </row>
    <row r="350" s="93" customFormat="1" ht="42.75" customHeight="1" spans="1:5">
      <c r="A350" s="96">
        <v>345</v>
      </c>
      <c r="B350" s="97" t="s">
        <v>1229</v>
      </c>
      <c r="C350" s="98" t="s">
        <v>165</v>
      </c>
      <c r="D350" s="98" t="s">
        <v>1230</v>
      </c>
      <c r="E350" s="99">
        <v>28138.4155866667</v>
      </c>
    </row>
    <row r="351" s="93" customFormat="1" ht="42.75" customHeight="1" spans="1:5">
      <c r="A351" s="96">
        <v>346</v>
      </c>
      <c r="B351" s="97" t="s">
        <v>1231</v>
      </c>
      <c r="C351" s="98" t="s">
        <v>165</v>
      </c>
      <c r="D351" s="98">
        <v>2116983705</v>
      </c>
      <c r="E351" s="99">
        <v>28138.4155866667</v>
      </c>
    </row>
    <row r="352" s="93" customFormat="1" ht="42.75" customHeight="1" spans="1:5">
      <c r="A352" s="96">
        <v>347</v>
      </c>
      <c r="B352" s="97" t="s">
        <v>1232</v>
      </c>
      <c r="C352" s="98" t="s">
        <v>113</v>
      </c>
      <c r="D352" s="98">
        <v>2137066771</v>
      </c>
      <c r="E352" s="99">
        <v>28138.4155866667</v>
      </c>
    </row>
    <row r="353" s="93" customFormat="1" ht="42.75" customHeight="1" spans="1:5">
      <c r="A353" s="96">
        <v>348</v>
      </c>
      <c r="B353" s="97" t="s">
        <v>1233</v>
      </c>
      <c r="C353" s="98" t="s">
        <v>135</v>
      </c>
      <c r="D353" s="98" t="s">
        <v>1234</v>
      </c>
      <c r="E353" s="99">
        <v>28138.4155866667</v>
      </c>
    </row>
    <row r="354" s="93" customFormat="1" ht="42.75" customHeight="1" spans="1:5">
      <c r="A354" s="96">
        <v>349</v>
      </c>
      <c r="B354" s="97" t="s">
        <v>1235</v>
      </c>
      <c r="C354" s="98" t="s">
        <v>135</v>
      </c>
      <c r="D354" s="98" t="s">
        <v>1236</v>
      </c>
      <c r="E354" s="99">
        <v>28138.4155866667</v>
      </c>
    </row>
    <row r="355" s="93" customFormat="1" ht="42.75" customHeight="1" spans="1:5">
      <c r="A355" s="96">
        <v>350</v>
      </c>
      <c r="B355" s="97" t="s">
        <v>1237</v>
      </c>
      <c r="C355" s="98" t="s">
        <v>135</v>
      </c>
      <c r="D355" s="98" t="s">
        <v>1238</v>
      </c>
      <c r="E355" s="99">
        <v>28138.4155866667</v>
      </c>
    </row>
    <row r="356" s="93" customFormat="1" ht="42.75" customHeight="1" spans="1:5">
      <c r="A356" s="96">
        <v>351</v>
      </c>
      <c r="B356" s="97" t="s">
        <v>1239</v>
      </c>
      <c r="C356" s="98" t="s">
        <v>165</v>
      </c>
      <c r="D356" s="98" t="s">
        <v>1240</v>
      </c>
      <c r="E356" s="99">
        <v>28138.4155866667</v>
      </c>
    </row>
    <row r="357" s="93" customFormat="1" ht="42.75" customHeight="1" spans="1:5">
      <c r="A357" s="96">
        <v>352</v>
      </c>
      <c r="B357" s="97" t="s">
        <v>1241</v>
      </c>
      <c r="C357" s="98" t="s">
        <v>313</v>
      </c>
      <c r="D357" s="98" t="s">
        <v>2324</v>
      </c>
      <c r="E357" s="99">
        <v>28138.4155866667</v>
      </c>
    </row>
    <row r="358" s="93" customFormat="1" ht="42.75" customHeight="1" spans="1:5">
      <c r="A358" s="96">
        <v>353</v>
      </c>
      <c r="B358" s="97" t="s">
        <v>2185</v>
      </c>
      <c r="C358" s="98" t="s">
        <v>135</v>
      </c>
      <c r="D358" s="98" t="s">
        <v>2325</v>
      </c>
      <c r="E358" s="99">
        <v>31050.8635866667</v>
      </c>
    </row>
    <row r="359" s="93" customFormat="1" ht="42.75" customHeight="1" spans="1:5">
      <c r="A359" s="96">
        <v>354</v>
      </c>
      <c r="B359" s="97" t="s">
        <v>2186</v>
      </c>
      <c r="C359" s="98" t="s">
        <v>2326</v>
      </c>
      <c r="D359" s="98" t="s">
        <v>1050</v>
      </c>
      <c r="E359" s="99">
        <v>31050.8635866667</v>
      </c>
    </row>
    <row r="360" s="93" customFormat="1" ht="42.75" customHeight="1" spans="1:5">
      <c r="A360" s="96">
        <v>355</v>
      </c>
      <c r="B360" s="97" t="s">
        <v>1248</v>
      </c>
      <c r="C360" s="98" t="s">
        <v>113</v>
      </c>
      <c r="D360" s="98" t="s">
        <v>2327</v>
      </c>
      <c r="E360" s="99" t="e">
        <f>#REF!</f>
        <v>#REF!</v>
      </c>
    </row>
    <row r="361" s="93" customFormat="1" ht="42.75" customHeight="1" spans="1:5">
      <c r="A361" s="96">
        <v>356</v>
      </c>
      <c r="B361" s="97" t="s">
        <v>1250</v>
      </c>
      <c r="C361" s="98" t="s">
        <v>113</v>
      </c>
      <c r="D361" s="98" t="s">
        <v>1251</v>
      </c>
      <c r="E361" s="99" t="e">
        <f>#REF!</f>
        <v>#REF!</v>
      </c>
    </row>
    <row r="362" s="93" customFormat="1" ht="42.75" customHeight="1" spans="1:5">
      <c r="A362" s="96">
        <v>357</v>
      </c>
      <c r="B362" s="97" t="s">
        <v>1264</v>
      </c>
      <c r="C362" s="98" t="s">
        <v>165</v>
      </c>
      <c r="D362" s="98" t="s">
        <v>1265</v>
      </c>
      <c r="E362" s="99">
        <v>100079.4126</v>
      </c>
    </row>
    <row r="363" s="93" customFormat="1" ht="42.75" customHeight="1" spans="1:5">
      <c r="A363" s="96">
        <v>358</v>
      </c>
      <c r="B363" s="97" t="s">
        <v>1266</v>
      </c>
      <c r="C363" s="98" t="s">
        <v>97</v>
      </c>
      <c r="D363" s="98" t="s">
        <v>2274</v>
      </c>
      <c r="E363" s="99">
        <v>114904.660813333</v>
      </c>
    </row>
    <row r="364" s="93" customFormat="1" ht="42.75" customHeight="1" spans="1:5">
      <c r="A364" s="96">
        <v>359</v>
      </c>
      <c r="B364" s="97" t="s">
        <v>2188</v>
      </c>
      <c r="C364" s="98" t="s">
        <v>259</v>
      </c>
      <c r="D364" s="98" t="s">
        <v>2328</v>
      </c>
      <c r="E364" s="99">
        <v>129904.660813333</v>
      </c>
    </row>
    <row r="365" s="93" customFormat="1" ht="42.75" customHeight="1" spans="1:5">
      <c r="A365" s="96">
        <v>360</v>
      </c>
      <c r="B365" s="97" t="s">
        <v>1269</v>
      </c>
      <c r="C365" s="98" t="s">
        <v>127</v>
      </c>
      <c r="D365" s="98" t="s">
        <v>2329</v>
      </c>
      <c r="E365" s="99" t="e">
        <f>#REF!</f>
        <v>#REF!</v>
      </c>
    </row>
    <row r="366" s="93" customFormat="1" ht="42.75" customHeight="1" spans="1:5">
      <c r="A366" s="96">
        <v>361</v>
      </c>
      <c r="B366" s="97" t="s">
        <v>1271</v>
      </c>
      <c r="C366" s="98" t="s">
        <v>127</v>
      </c>
      <c r="D366" s="98" t="s">
        <v>1283</v>
      </c>
      <c r="E366" s="99">
        <v>107326.3988</v>
      </c>
    </row>
    <row r="367" s="93" customFormat="1" ht="42.75" customHeight="1" spans="1:5">
      <c r="A367" s="96">
        <v>362</v>
      </c>
      <c r="B367" s="97" t="s">
        <v>1273</v>
      </c>
      <c r="C367" s="98" t="s">
        <v>97</v>
      </c>
      <c r="D367" s="98" t="s">
        <v>2330</v>
      </c>
      <c r="E367" s="99" t="e">
        <f>#REF!</f>
        <v>#REF!</v>
      </c>
    </row>
    <row r="368" s="93" customFormat="1" ht="42.75" customHeight="1" spans="1:5">
      <c r="A368" s="96">
        <v>363</v>
      </c>
      <c r="B368" s="97" t="s">
        <v>1275</v>
      </c>
      <c r="C368" s="98" t="s">
        <v>259</v>
      </c>
      <c r="D368" s="98" t="s">
        <v>2331</v>
      </c>
      <c r="E368" s="99">
        <v>97326.3988</v>
      </c>
    </row>
    <row r="369" s="93" customFormat="1" ht="42.75" customHeight="1" spans="1:5">
      <c r="A369" s="96">
        <v>364</v>
      </c>
      <c r="B369" s="97" t="s">
        <v>1276</v>
      </c>
      <c r="C369" s="98" t="s">
        <v>97</v>
      </c>
      <c r="D369" s="98" t="s">
        <v>1277</v>
      </c>
      <c r="E369" s="99" t="e">
        <f>#REF!</f>
        <v>#REF!</v>
      </c>
    </row>
    <row r="370" s="93" customFormat="1" ht="42.75" customHeight="1" spans="1:5">
      <c r="A370" s="96">
        <v>365</v>
      </c>
      <c r="B370" s="97" t="s">
        <v>1278</v>
      </c>
      <c r="C370" s="98" t="s">
        <v>113</v>
      </c>
      <c r="D370" s="98" t="s">
        <v>1279</v>
      </c>
      <c r="E370" s="99" t="e">
        <f>#REF!</f>
        <v>#REF!</v>
      </c>
    </row>
    <row r="371" s="93" customFormat="1" ht="42.75" customHeight="1" spans="1:5">
      <c r="A371" s="96">
        <v>366</v>
      </c>
      <c r="B371" s="97" t="s">
        <v>1280</v>
      </c>
      <c r="C371" s="98" t="s">
        <v>113</v>
      </c>
      <c r="D371" s="98" t="s">
        <v>1281</v>
      </c>
      <c r="E371" s="99" t="e">
        <f>#REF!</f>
        <v>#REF!</v>
      </c>
    </row>
    <row r="372" s="93" customFormat="1" ht="42.75" customHeight="1" spans="1:5">
      <c r="A372" s="96">
        <v>367</v>
      </c>
      <c r="B372" s="97" t="s">
        <v>2189</v>
      </c>
      <c r="C372" s="98" t="s">
        <v>127</v>
      </c>
      <c r="D372" s="98" t="s">
        <v>1283</v>
      </c>
      <c r="E372" s="99" t="e">
        <f>#REF!</f>
        <v>#REF!</v>
      </c>
    </row>
    <row r="373" s="93" customFormat="1" ht="42.75" customHeight="1" spans="1:5">
      <c r="A373" s="96">
        <v>368</v>
      </c>
      <c r="B373" s="97" t="s">
        <v>1284</v>
      </c>
      <c r="C373" s="98" t="s">
        <v>97</v>
      </c>
      <c r="D373" s="98" t="s">
        <v>2332</v>
      </c>
      <c r="E373" s="99" t="e">
        <f>#REF!</f>
        <v>#REF!</v>
      </c>
    </row>
    <row r="374" s="93" customFormat="1" ht="42.75" customHeight="1" spans="1:5">
      <c r="A374" s="96">
        <v>369</v>
      </c>
      <c r="B374" s="97" t="s">
        <v>1286</v>
      </c>
      <c r="C374" s="98" t="s">
        <v>127</v>
      </c>
      <c r="D374" s="98" t="s">
        <v>1287</v>
      </c>
      <c r="E374" s="99">
        <v>107326.3988</v>
      </c>
    </row>
    <row r="375" s="93" customFormat="1" ht="42.75" customHeight="1" spans="1:5">
      <c r="A375" s="96">
        <v>370</v>
      </c>
      <c r="B375" s="97" t="s">
        <v>1288</v>
      </c>
      <c r="C375" s="98" t="s">
        <v>127</v>
      </c>
      <c r="D375" s="98" t="s">
        <v>2333</v>
      </c>
      <c r="E375" s="99">
        <v>102326.3988</v>
      </c>
    </row>
    <row r="376" s="93" customFormat="1" ht="42.75" customHeight="1" spans="1:5">
      <c r="A376" s="96">
        <v>371</v>
      </c>
      <c r="B376" s="97" t="s">
        <v>1290</v>
      </c>
      <c r="C376" s="98" t="s">
        <v>113</v>
      </c>
      <c r="D376" s="98" t="s">
        <v>1291</v>
      </c>
      <c r="E376" s="99">
        <v>107326.3988</v>
      </c>
    </row>
    <row r="377" s="93" customFormat="1" ht="42.75" customHeight="1" spans="1:5">
      <c r="A377" s="96">
        <v>372</v>
      </c>
      <c r="B377" s="97" t="s">
        <v>1292</v>
      </c>
      <c r="C377" s="98" t="s">
        <v>422</v>
      </c>
      <c r="D377" s="98" t="s">
        <v>1293</v>
      </c>
      <c r="E377" s="99" t="e">
        <f>#REF!</f>
        <v>#REF!</v>
      </c>
    </row>
    <row r="378" s="93" customFormat="1" ht="42.75" customHeight="1" spans="1:5">
      <c r="A378" s="96">
        <v>373</v>
      </c>
      <c r="B378" s="97" t="s">
        <v>2190</v>
      </c>
      <c r="C378" s="98" t="s">
        <v>97</v>
      </c>
      <c r="D378" s="98" t="s">
        <v>2334</v>
      </c>
      <c r="E378" s="99">
        <v>335578.145453333</v>
      </c>
    </row>
    <row r="379" s="93" customFormat="1" ht="42.75" customHeight="1" spans="1:5">
      <c r="A379" s="96">
        <v>374</v>
      </c>
      <c r="B379" s="97" t="s">
        <v>2187</v>
      </c>
      <c r="C379" s="98" t="s">
        <v>313</v>
      </c>
      <c r="D379" s="98" t="s">
        <v>2335</v>
      </c>
      <c r="E379" s="99" t="e">
        <f>#REF!</f>
        <v>#REF!</v>
      </c>
    </row>
    <row r="380" s="93" customFormat="1" ht="42.75" customHeight="1" spans="1:5">
      <c r="A380" s="96">
        <v>375</v>
      </c>
      <c r="B380" s="97" t="s">
        <v>1302</v>
      </c>
      <c r="C380" s="98" t="s">
        <v>145</v>
      </c>
      <c r="D380" s="98" t="s">
        <v>192</v>
      </c>
      <c r="E380" s="99" t="e">
        <f>#REF!</f>
        <v>#REF!</v>
      </c>
    </row>
    <row r="381" s="93" customFormat="1" ht="42.75" customHeight="1" spans="1:5">
      <c r="A381" s="96">
        <v>377</v>
      </c>
      <c r="B381" s="97" t="s">
        <v>1306</v>
      </c>
      <c r="C381" s="98" t="s">
        <v>2280</v>
      </c>
      <c r="D381" s="98" t="s">
        <v>1307</v>
      </c>
      <c r="E381" s="99">
        <v>46339.3675866667</v>
      </c>
    </row>
    <row r="382" ht="32.25" customHeight="1" spans="1:5">
      <c r="A382" s="117"/>
      <c r="B382" s="118" t="s">
        <v>867</v>
      </c>
      <c r="C382" s="119"/>
      <c r="D382" s="119"/>
      <c r="E382" s="120" t="e">
        <f>SUM(E191:E381)</f>
        <v>#REF!</v>
      </c>
    </row>
    <row r="383" ht="49.5" customHeight="1" spans="1:5">
      <c r="A383" s="121"/>
      <c r="B383" s="122" t="s">
        <v>1465</v>
      </c>
      <c r="C383" s="123"/>
      <c r="D383" s="123"/>
      <c r="E383" s="124" t="e">
        <f>E382+E190</f>
        <v>#REF!</v>
      </c>
    </row>
    <row r="384" ht="15.75"/>
  </sheetData>
  <mergeCells count="2">
    <mergeCell ref="A1:E1"/>
    <mergeCell ref="A163:E163"/>
  </mergeCells>
  <pageMargins left="0.7" right="0.7" top="0.75" bottom="0.75" header="0.3" footer="0.3"/>
  <pageSetup paperSize="9" scale="50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7"/>
  <sheetViews>
    <sheetView view="pageBreakPreview" zoomScale="60" zoomScaleNormal="100" topLeftCell="A346" workbookViewId="0">
      <selection activeCell="C8" sqref="C8"/>
    </sheetView>
  </sheetViews>
  <sheetFormatPr defaultColWidth="8.82857142857143" defaultRowHeight="15" outlineLevelCol="3"/>
  <cols>
    <col min="1" max="1" width="15.5047619047619" customWidth="1"/>
    <col min="2" max="2" width="69.8285714285714" customWidth="1"/>
    <col min="3" max="3" width="30.1619047619048" customWidth="1"/>
    <col min="4" max="4" width="31" customWidth="1"/>
  </cols>
  <sheetData>
    <row r="1" ht="86.25" customHeight="1" spans="1:4">
      <c r="A1" s="76" t="s">
        <v>2344</v>
      </c>
      <c r="B1" s="76"/>
      <c r="C1" s="76"/>
      <c r="D1" s="76"/>
    </row>
    <row r="2" s="74" customFormat="1" ht="34.5" spans="1:4">
      <c r="A2" s="77" t="s">
        <v>2337</v>
      </c>
      <c r="B2" s="77" t="s">
        <v>1468</v>
      </c>
      <c r="C2" s="77" t="s">
        <v>1517</v>
      </c>
      <c r="D2" s="77" t="s">
        <v>862</v>
      </c>
    </row>
    <row r="3" s="75" customFormat="1" ht="35.25" customHeight="1" spans="1:4">
      <c r="A3" s="78">
        <v>1</v>
      </c>
      <c r="B3" s="79" t="s">
        <v>2105</v>
      </c>
      <c r="C3" s="80">
        <v>864470.491</v>
      </c>
      <c r="D3" s="81">
        <v>17289.40982</v>
      </c>
    </row>
    <row r="4" s="75" customFormat="1" ht="35.25" customHeight="1" spans="1:4">
      <c r="A4" s="78">
        <v>2</v>
      </c>
      <c r="B4" s="79" t="s">
        <v>2106</v>
      </c>
      <c r="C4" s="80">
        <v>547080.58</v>
      </c>
      <c r="D4" s="81">
        <v>10941.6116</v>
      </c>
    </row>
    <row r="5" s="75" customFormat="1" ht="35.25" customHeight="1" spans="1:4">
      <c r="A5" s="78">
        <v>3</v>
      </c>
      <c r="B5" s="79" t="s">
        <v>2107</v>
      </c>
      <c r="C5" s="80">
        <v>502913.58</v>
      </c>
      <c r="D5" s="81">
        <v>10058.2716</v>
      </c>
    </row>
    <row r="6" s="75" customFormat="1" ht="35.25" customHeight="1" spans="1:4">
      <c r="A6" s="78">
        <v>4</v>
      </c>
      <c r="B6" s="79" t="s">
        <v>2108</v>
      </c>
      <c r="C6" s="80">
        <v>233959.43</v>
      </c>
      <c r="D6" s="81">
        <v>4679.1886</v>
      </c>
    </row>
    <row r="7" s="75" customFormat="1" ht="35.25" customHeight="1" spans="1:4">
      <c r="A7" s="78">
        <v>5</v>
      </c>
      <c r="B7" s="79" t="s">
        <v>2109</v>
      </c>
      <c r="C7" s="80">
        <v>233959.43</v>
      </c>
      <c r="D7" s="81">
        <v>4679.1886</v>
      </c>
    </row>
    <row r="8" s="75" customFormat="1" ht="35.25" customHeight="1" spans="1:4">
      <c r="A8" s="78">
        <v>6</v>
      </c>
      <c r="B8" s="79" t="s">
        <v>119</v>
      </c>
      <c r="C8" s="80">
        <v>208812.222166667</v>
      </c>
      <c r="D8" s="81">
        <v>4176.24444333333</v>
      </c>
    </row>
    <row r="9" s="75" customFormat="1" ht="35.25" customHeight="1" spans="1:4">
      <c r="A9" s="78">
        <v>7</v>
      </c>
      <c r="B9" s="79" t="s">
        <v>2002</v>
      </c>
      <c r="C9" s="80">
        <v>156407.813333333</v>
      </c>
      <c r="D9" s="81">
        <v>3128.15626666667</v>
      </c>
    </row>
    <row r="10" s="75" customFormat="1" ht="35.25" customHeight="1" spans="1:4">
      <c r="A10" s="78">
        <v>8</v>
      </c>
      <c r="B10" s="79" t="s">
        <v>129</v>
      </c>
      <c r="C10" s="80">
        <v>156407.813333333</v>
      </c>
      <c r="D10" s="81">
        <v>3128.15626666667</v>
      </c>
    </row>
    <row r="11" s="75" customFormat="1" ht="35.25" customHeight="1" spans="1:4">
      <c r="A11" s="78">
        <v>9</v>
      </c>
      <c r="B11" s="79" t="s">
        <v>132</v>
      </c>
      <c r="C11" s="80">
        <v>167145.222166667</v>
      </c>
      <c r="D11" s="81">
        <v>3342.90444333333</v>
      </c>
    </row>
    <row r="12" s="75" customFormat="1" ht="35.25" customHeight="1" spans="1:4">
      <c r="A12" s="78">
        <v>10</v>
      </c>
      <c r="B12" s="79" t="s">
        <v>2110</v>
      </c>
      <c r="C12" s="80">
        <v>167145.222166667</v>
      </c>
      <c r="D12" s="81">
        <v>3342.90444333333</v>
      </c>
    </row>
    <row r="13" s="75" customFormat="1" ht="35.25" customHeight="1" spans="1:4">
      <c r="A13" s="78">
        <v>11</v>
      </c>
      <c r="B13" s="79" t="s">
        <v>2111</v>
      </c>
      <c r="C13" s="80">
        <v>167145.222166667</v>
      </c>
      <c r="D13" s="81">
        <v>3342.90444333333</v>
      </c>
    </row>
    <row r="14" s="75" customFormat="1" ht="35.25" customHeight="1" spans="1:4">
      <c r="A14" s="78">
        <v>12</v>
      </c>
      <c r="B14" s="79" t="s">
        <v>2112</v>
      </c>
      <c r="C14" s="80">
        <v>171533.800333333</v>
      </c>
      <c r="D14" s="81">
        <v>3430.67600666667</v>
      </c>
    </row>
    <row r="15" s="75" customFormat="1" ht="35.25" customHeight="1" spans="1:4">
      <c r="A15" s="78">
        <v>13</v>
      </c>
      <c r="B15" s="79" t="s">
        <v>2113</v>
      </c>
      <c r="C15" s="80">
        <v>171533.800333333</v>
      </c>
      <c r="D15" s="81">
        <v>3430.67600666667</v>
      </c>
    </row>
    <row r="16" s="75" customFormat="1" ht="35.25" customHeight="1" spans="1:4">
      <c r="A16" s="78">
        <v>14</v>
      </c>
      <c r="B16" s="79" t="s">
        <v>2114</v>
      </c>
      <c r="C16" s="80">
        <v>131929.38</v>
      </c>
      <c r="D16" s="81">
        <v>2638.5876</v>
      </c>
    </row>
    <row r="17" s="75" customFormat="1" ht="35.25" customHeight="1" spans="1:4">
      <c r="A17" s="78">
        <v>15</v>
      </c>
      <c r="B17" s="79" t="s">
        <v>244</v>
      </c>
      <c r="C17" s="80">
        <v>131929.38</v>
      </c>
      <c r="D17" s="81">
        <v>2638.5876</v>
      </c>
    </row>
    <row r="18" s="75" customFormat="1" ht="35.25" customHeight="1" spans="1:4">
      <c r="A18" s="78">
        <v>16</v>
      </c>
      <c r="B18" s="79" t="s">
        <v>2115</v>
      </c>
      <c r="C18" s="80">
        <v>188762.75</v>
      </c>
      <c r="D18" s="81">
        <v>3775.255</v>
      </c>
    </row>
    <row r="19" s="75" customFormat="1" ht="35.25" customHeight="1" spans="1:4">
      <c r="A19" s="78">
        <v>17</v>
      </c>
      <c r="B19" s="79" t="s">
        <v>2116</v>
      </c>
      <c r="C19" s="80">
        <v>71846.21</v>
      </c>
      <c r="D19" s="81">
        <v>1436.9242</v>
      </c>
    </row>
    <row r="20" s="75" customFormat="1" ht="35.25" customHeight="1" spans="1:4">
      <c r="A20" s="78">
        <v>18</v>
      </c>
      <c r="B20" s="79" t="s">
        <v>2117</v>
      </c>
      <c r="C20" s="80">
        <v>167145.222166667</v>
      </c>
      <c r="D20" s="81">
        <v>3342.90444333333</v>
      </c>
    </row>
    <row r="21" s="75" customFormat="1" ht="35.25" customHeight="1" spans="1:4">
      <c r="A21" s="78">
        <v>19</v>
      </c>
      <c r="B21" s="79" t="s">
        <v>152</v>
      </c>
      <c r="C21" s="80">
        <v>167145.222166667</v>
      </c>
      <c r="D21" s="81">
        <v>3342.90444333333</v>
      </c>
    </row>
    <row r="22" s="75" customFormat="1" ht="35.25" customHeight="1" spans="1:4">
      <c r="A22" s="78">
        <v>20</v>
      </c>
      <c r="B22" s="79" t="s">
        <v>154</v>
      </c>
      <c r="C22" s="80">
        <v>167145.222166667</v>
      </c>
      <c r="D22" s="81">
        <v>3342.90444333333</v>
      </c>
    </row>
    <row r="23" s="75" customFormat="1" ht="35.25" customHeight="1" spans="1:4">
      <c r="A23" s="78">
        <v>21</v>
      </c>
      <c r="B23" s="79" t="s">
        <v>2007</v>
      </c>
      <c r="C23" s="80">
        <v>167145.222166667</v>
      </c>
      <c r="D23" s="81">
        <v>3342.90444333333</v>
      </c>
    </row>
    <row r="24" s="75" customFormat="1" ht="35.25" customHeight="1" spans="1:4">
      <c r="A24" s="78">
        <v>22</v>
      </c>
      <c r="B24" s="79" t="s">
        <v>159</v>
      </c>
      <c r="C24" s="80">
        <v>167145.222166667</v>
      </c>
      <c r="D24" s="81">
        <v>3342.90444333333</v>
      </c>
    </row>
    <row r="25" s="75" customFormat="1" ht="35.25" customHeight="1" spans="1:4">
      <c r="A25" s="78">
        <v>23</v>
      </c>
      <c r="B25" s="79" t="s">
        <v>163</v>
      </c>
      <c r="C25" s="80">
        <v>167145.222166667</v>
      </c>
      <c r="D25" s="81">
        <v>3342.90444333333</v>
      </c>
    </row>
    <row r="26" s="75" customFormat="1" ht="35.25" customHeight="1" spans="1:4">
      <c r="A26" s="78">
        <v>24</v>
      </c>
      <c r="B26" s="79" t="s">
        <v>166</v>
      </c>
      <c r="C26" s="80">
        <v>217978.552166667</v>
      </c>
      <c r="D26" s="81">
        <v>4359.57104333333</v>
      </c>
    </row>
    <row r="27" s="75" customFormat="1" ht="35.25" customHeight="1" spans="1:4">
      <c r="A27" s="78">
        <v>25</v>
      </c>
      <c r="B27" s="79" t="s">
        <v>2118</v>
      </c>
      <c r="C27" s="80">
        <v>175922.490166667</v>
      </c>
      <c r="D27" s="81">
        <v>3518.44980333333</v>
      </c>
    </row>
    <row r="28" s="75" customFormat="1" ht="35.25" customHeight="1" spans="1:4">
      <c r="A28" s="78">
        <v>26</v>
      </c>
      <c r="B28" s="79" t="s">
        <v>180</v>
      </c>
      <c r="C28" s="80">
        <v>167145.222166667</v>
      </c>
      <c r="D28" s="81">
        <v>3342.90444333333</v>
      </c>
    </row>
    <row r="29" s="75" customFormat="1" ht="35.25" customHeight="1" spans="1:4">
      <c r="A29" s="78">
        <v>27</v>
      </c>
      <c r="B29" s="79" t="s">
        <v>182</v>
      </c>
      <c r="C29" s="80">
        <v>187978.552166667</v>
      </c>
      <c r="D29" s="81">
        <v>3759.57104333333</v>
      </c>
    </row>
    <row r="30" s="75" customFormat="1" ht="35.25" customHeight="1" spans="1:4">
      <c r="A30" s="78">
        <v>28</v>
      </c>
      <c r="B30" s="79" t="s">
        <v>184</v>
      </c>
      <c r="C30" s="80">
        <v>175922.490166667</v>
      </c>
      <c r="D30" s="81">
        <v>3518.44980333333</v>
      </c>
    </row>
    <row r="31" s="75" customFormat="1" ht="35.25" customHeight="1" spans="1:4">
      <c r="A31" s="78">
        <v>29</v>
      </c>
      <c r="B31" s="79" t="s">
        <v>187</v>
      </c>
      <c r="C31" s="80">
        <v>175922.490166667</v>
      </c>
      <c r="D31" s="81">
        <v>3518.44980333333</v>
      </c>
    </row>
    <row r="32" s="75" customFormat="1" ht="35.25" customHeight="1" spans="1:4">
      <c r="A32" s="78">
        <v>30</v>
      </c>
      <c r="B32" s="79" t="s">
        <v>2199</v>
      </c>
      <c r="C32" s="80">
        <v>175922.490166667</v>
      </c>
      <c r="D32" s="81">
        <v>3518.44980333333</v>
      </c>
    </row>
    <row r="33" s="75" customFormat="1" ht="35.25" customHeight="1" spans="1:4">
      <c r="A33" s="78">
        <v>31</v>
      </c>
      <c r="B33" s="79" t="s">
        <v>2119</v>
      </c>
      <c r="C33" s="80">
        <v>175922.490166667</v>
      </c>
      <c r="D33" s="81">
        <v>3518.44980333333</v>
      </c>
    </row>
    <row r="34" s="75" customFormat="1" ht="35.25" customHeight="1" spans="1:4">
      <c r="A34" s="78">
        <v>32</v>
      </c>
      <c r="B34" s="79" t="s">
        <v>190</v>
      </c>
      <c r="C34" s="80">
        <v>217589.490166667</v>
      </c>
      <c r="D34" s="81">
        <v>4351.78980333333</v>
      </c>
    </row>
    <row r="35" s="75" customFormat="1" ht="35.25" customHeight="1" spans="1:4">
      <c r="A35" s="78">
        <v>33</v>
      </c>
      <c r="B35" s="79" t="s">
        <v>2120</v>
      </c>
      <c r="C35" s="80">
        <v>180311.18</v>
      </c>
      <c r="D35" s="81">
        <v>3606.2236</v>
      </c>
    </row>
    <row r="36" s="75" customFormat="1" ht="35.25" customHeight="1" spans="1:4">
      <c r="A36" s="78">
        <v>34</v>
      </c>
      <c r="B36" s="79" t="s">
        <v>193</v>
      </c>
      <c r="C36" s="80">
        <v>137119.909166667</v>
      </c>
      <c r="D36" s="81">
        <v>2742.39818333333</v>
      </c>
    </row>
    <row r="37" s="75" customFormat="1" ht="35.25" customHeight="1" spans="1:4">
      <c r="A37" s="78">
        <v>35</v>
      </c>
      <c r="B37" s="79" t="s">
        <v>211</v>
      </c>
      <c r="C37" s="80">
        <v>137119.909166667</v>
      </c>
      <c r="D37" s="81">
        <v>2742.39818333333</v>
      </c>
    </row>
    <row r="38" s="75" customFormat="1" ht="35.25" customHeight="1" spans="1:4">
      <c r="A38" s="78">
        <v>36</v>
      </c>
      <c r="B38" s="79" t="s">
        <v>222</v>
      </c>
      <c r="C38" s="80">
        <v>209877.252666667</v>
      </c>
      <c r="D38" s="81">
        <v>4197.54505333333</v>
      </c>
    </row>
    <row r="39" s="75" customFormat="1" ht="35.25" customHeight="1" spans="1:4">
      <c r="A39" s="78">
        <v>37</v>
      </c>
      <c r="B39" s="79" t="s">
        <v>224</v>
      </c>
      <c r="C39" s="80">
        <v>349507.5345</v>
      </c>
      <c r="D39" s="81">
        <v>6990.15069</v>
      </c>
    </row>
    <row r="40" s="75" customFormat="1" ht="35.25" customHeight="1" spans="1:4">
      <c r="A40" s="78">
        <v>38</v>
      </c>
      <c r="B40" s="79" t="s">
        <v>2019</v>
      </c>
      <c r="C40" s="80">
        <v>131929.38</v>
      </c>
      <c r="D40" s="81">
        <v>2638.5876</v>
      </c>
    </row>
    <row r="41" s="75" customFormat="1" ht="35.25" customHeight="1" spans="1:4">
      <c r="A41" s="78">
        <v>39</v>
      </c>
      <c r="B41" s="79" t="s">
        <v>248</v>
      </c>
      <c r="C41" s="80">
        <v>393162.566166667</v>
      </c>
      <c r="D41" s="81">
        <v>7863.25132333333</v>
      </c>
    </row>
    <row r="42" s="75" customFormat="1" ht="35.25" customHeight="1" spans="1:4">
      <c r="A42" s="78">
        <v>40</v>
      </c>
      <c r="B42" s="79" t="s">
        <v>2121</v>
      </c>
      <c r="C42" s="80">
        <v>155609.96</v>
      </c>
      <c r="D42" s="81">
        <v>3112.1992</v>
      </c>
    </row>
    <row r="43" s="75" customFormat="1" ht="35.25" customHeight="1" spans="1:4">
      <c r="A43" s="78">
        <v>41</v>
      </c>
      <c r="B43" s="79" t="s">
        <v>2122</v>
      </c>
      <c r="C43" s="80">
        <v>131929.37</v>
      </c>
      <c r="D43" s="81">
        <v>2638.5874</v>
      </c>
    </row>
    <row r="44" s="75" customFormat="1" ht="35.25" customHeight="1" spans="1:4">
      <c r="A44" s="78">
        <v>42</v>
      </c>
      <c r="B44" s="79" t="s">
        <v>2123</v>
      </c>
      <c r="C44" s="80">
        <v>171575.22</v>
      </c>
      <c r="D44" s="81">
        <v>3431.5044</v>
      </c>
    </row>
    <row r="45" s="75" customFormat="1" ht="35.25" customHeight="1" spans="1:4">
      <c r="A45" s="78">
        <v>43</v>
      </c>
      <c r="B45" s="79" t="s">
        <v>2124</v>
      </c>
      <c r="C45" s="80">
        <v>188762.75</v>
      </c>
      <c r="D45" s="81">
        <v>3775.255</v>
      </c>
    </row>
    <row r="46" s="75" customFormat="1" ht="35.25" customHeight="1" spans="1:4">
      <c r="A46" s="78">
        <v>44</v>
      </c>
      <c r="B46" s="79" t="s">
        <v>2125</v>
      </c>
      <c r="C46" s="80">
        <v>353581.08</v>
      </c>
      <c r="D46" s="81">
        <v>7071.6216</v>
      </c>
    </row>
    <row r="47" s="75" customFormat="1" ht="35.25" customHeight="1" spans="1:4">
      <c r="A47" s="78">
        <v>45</v>
      </c>
      <c r="B47" s="79" t="s">
        <v>256</v>
      </c>
      <c r="C47" s="80">
        <v>425215.536</v>
      </c>
      <c r="D47" s="81">
        <v>8504.31072</v>
      </c>
    </row>
    <row r="48" s="75" customFormat="1" ht="35.25" customHeight="1" spans="1:4">
      <c r="A48" s="78">
        <v>46</v>
      </c>
      <c r="B48" s="79" t="s">
        <v>260</v>
      </c>
      <c r="C48" s="80">
        <v>223893.284166667</v>
      </c>
      <c r="D48" s="81">
        <v>4477.86568333333</v>
      </c>
    </row>
    <row r="49" s="75" customFormat="1" ht="35.25" customHeight="1" spans="1:4">
      <c r="A49" s="78">
        <v>47</v>
      </c>
      <c r="B49" s="79" t="s">
        <v>262</v>
      </c>
      <c r="C49" s="80">
        <v>234877.252666667</v>
      </c>
      <c r="D49" s="81">
        <v>4697.54505333333</v>
      </c>
    </row>
    <row r="50" s="75" customFormat="1" ht="35.25" customHeight="1" spans="1:4">
      <c r="A50" s="78">
        <v>48</v>
      </c>
      <c r="B50" s="79" t="s">
        <v>265</v>
      </c>
      <c r="C50" s="80">
        <v>274726.145166667</v>
      </c>
      <c r="D50" s="81">
        <v>5494.52290333333</v>
      </c>
    </row>
    <row r="51" s="75" customFormat="1" ht="35.25" customHeight="1" spans="1:4">
      <c r="A51" s="78">
        <v>49</v>
      </c>
      <c r="B51" s="79" t="s">
        <v>268</v>
      </c>
      <c r="C51" s="80">
        <v>187978.552166667</v>
      </c>
      <c r="D51" s="81">
        <v>3759.57104333333</v>
      </c>
    </row>
    <row r="52" s="75" customFormat="1" ht="35.25" customHeight="1" spans="1:4">
      <c r="A52" s="78">
        <v>50</v>
      </c>
      <c r="B52" s="79" t="s">
        <v>2035</v>
      </c>
      <c r="C52" s="80">
        <v>167145.222166667</v>
      </c>
      <c r="D52" s="81">
        <v>3342.90444333333</v>
      </c>
    </row>
    <row r="53" s="75" customFormat="1" ht="35.25" customHeight="1" spans="1:4">
      <c r="A53" s="78">
        <v>51</v>
      </c>
      <c r="B53" s="79" t="s">
        <v>271</v>
      </c>
      <c r="C53" s="80">
        <v>167145.222166667</v>
      </c>
      <c r="D53" s="81">
        <v>3342.90444333333</v>
      </c>
    </row>
    <row r="54" s="75" customFormat="1" ht="35.25" customHeight="1" spans="1:4">
      <c r="A54" s="78">
        <v>52</v>
      </c>
      <c r="B54" s="79" t="s">
        <v>274</v>
      </c>
      <c r="C54" s="80">
        <v>167145.222166667</v>
      </c>
      <c r="D54" s="81">
        <v>3342.90444333333</v>
      </c>
    </row>
    <row r="55" s="75" customFormat="1" ht="35.25" customHeight="1" spans="1:4">
      <c r="A55" s="78">
        <v>53</v>
      </c>
      <c r="B55" s="79" t="s">
        <v>278</v>
      </c>
      <c r="C55" s="80">
        <v>167145.222166667</v>
      </c>
      <c r="D55" s="81">
        <v>3342.90444333333</v>
      </c>
    </row>
    <row r="56" s="75" customFormat="1" ht="35.25" customHeight="1" spans="1:4">
      <c r="A56" s="78">
        <v>54</v>
      </c>
      <c r="B56" s="79" t="s">
        <v>282</v>
      </c>
      <c r="C56" s="80">
        <v>167145.222166667</v>
      </c>
      <c r="D56" s="81">
        <v>3342.90444333333</v>
      </c>
    </row>
    <row r="57" s="75" customFormat="1" ht="35.25" customHeight="1" spans="1:4">
      <c r="A57" s="78">
        <v>55</v>
      </c>
      <c r="B57" s="79" t="s">
        <v>285</v>
      </c>
      <c r="C57" s="80">
        <v>217978.552166667</v>
      </c>
      <c r="D57" s="81">
        <v>4359.57104333333</v>
      </c>
    </row>
    <row r="58" s="75" customFormat="1" ht="35.25" customHeight="1" spans="1:4">
      <c r="A58" s="78">
        <v>56</v>
      </c>
      <c r="B58" s="79" t="s">
        <v>289</v>
      </c>
      <c r="C58" s="80">
        <v>167145.222166667</v>
      </c>
      <c r="D58" s="81">
        <v>3342.90444333333</v>
      </c>
    </row>
    <row r="59" s="75" customFormat="1" ht="35.25" customHeight="1" spans="1:4">
      <c r="A59" s="78">
        <v>57</v>
      </c>
      <c r="B59" s="79" t="s">
        <v>290</v>
      </c>
      <c r="C59" s="80">
        <v>167145.222166667</v>
      </c>
      <c r="D59" s="81">
        <v>3342.90444333333</v>
      </c>
    </row>
    <row r="60" s="75" customFormat="1" ht="35.25" customHeight="1" spans="1:4">
      <c r="A60" s="78">
        <v>58</v>
      </c>
      <c r="B60" s="79" t="s">
        <v>2126</v>
      </c>
      <c r="C60" s="80">
        <v>167145.222166667</v>
      </c>
      <c r="D60" s="81">
        <v>3342.90444333333</v>
      </c>
    </row>
    <row r="61" s="75" customFormat="1" ht="35.25" customHeight="1" spans="1:4">
      <c r="A61" s="78">
        <v>59</v>
      </c>
      <c r="B61" s="79" t="s">
        <v>293</v>
      </c>
      <c r="C61" s="80">
        <v>167145.222166667</v>
      </c>
      <c r="D61" s="81">
        <v>3342.90444333333</v>
      </c>
    </row>
    <row r="62" s="75" customFormat="1" ht="35.25" customHeight="1" spans="1:4">
      <c r="A62" s="78">
        <v>60</v>
      </c>
      <c r="B62" s="79" t="s">
        <v>2200</v>
      </c>
      <c r="C62" s="80">
        <v>167145.222166667</v>
      </c>
      <c r="D62" s="81">
        <v>3342.90444333333</v>
      </c>
    </row>
    <row r="63" s="75" customFormat="1" ht="35.25" customHeight="1" spans="1:4">
      <c r="A63" s="78">
        <v>61</v>
      </c>
      <c r="B63" s="79" t="s">
        <v>299</v>
      </c>
      <c r="C63" s="80">
        <v>167145.222166667</v>
      </c>
      <c r="D63" s="81">
        <v>3342.90444333333</v>
      </c>
    </row>
    <row r="64" s="75" customFormat="1" ht="35.25" customHeight="1" spans="1:4">
      <c r="A64" s="78">
        <v>62</v>
      </c>
      <c r="B64" s="79" t="s">
        <v>300</v>
      </c>
      <c r="C64" s="80">
        <v>167145.222166667</v>
      </c>
      <c r="D64" s="81">
        <v>3342.90444333333</v>
      </c>
    </row>
    <row r="65" s="75" customFormat="1" ht="35.25" customHeight="1" spans="1:4">
      <c r="A65" s="78">
        <v>63</v>
      </c>
      <c r="B65" s="79" t="s">
        <v>310</v>
      </c>
      <c r="C65" s="80">
        <v>167145.222166667</v>
      </c>
      <c r="D65" s="81">
        <v>3342.90444333333</v>
      </c>
    </row>
    <row r="66" s="75" customFormat="1" ht="35.25" customHeight="1" spans="1:4">
      <c r="A66" s="78">
        <v>64</v>
      </c>
      <c r="B66" s="79" t="s">
        <v>314</v>
      </c>
      <c r="C66" s="80">
        <v>167145.222166667</v>
      </c>
      <c r="D66" s="81">
        <v>3342.90444333333</v>
      </c>
    </row>
    <row r="67" s="75" customFormat="1" ht="35.25" customHeight="1" spans="1:4">
      <c r="A67" s="78">
        <v>65</v>
      </c>
      <c r="B67" s="79" t="s">
        <v>316</v>
      </c>
      <c r="C67" s="80">
        <v>167145.222166667</v>
      </c>
      <c r="D67" s="81">
        <v>3342.90444333333</v>
      </c>
    </row>
    <row r="68" s="75" customFormat="1" ht="35.25" customHeight="1" spans="1:4">
      <c r="A68" s="78">
        <v>66</v>
      </c>
      <c r="B68" s="79" t="s">
        <v>318</v>
      </c>
      <c r="C68" s="80">
        <v>167145.222166667</v>
      </c>
      <c r="D68" s="81">
        <v>3342.90444333333</v>
      </c>
    </row>
    <row r="69" s="75" customFormat="1" ht="35.25" customHeight="1" spans="1:4">
      <c r="A69" s="78">
        <v>67</v>
      </c>
      <c r="B69" s="79" t="s">
        <v>320</v>
      </c>
      <c r="C69" s="80">
        <v>167145.222166667</v>
      </c>
      <c r="D69" s="81">
        <v>3342.90444333333</v>
      </c>
    </row>
    <row r="70" s="75" customFormat="1" ht="35.25" customHeight="1" spans="1:4">
      <c r="A70" s="78">
        <v>68</v>
      </c>
      <c r="B70" s="79" t="s">
        <v>321</v>
      </c>
      <c r="C70" s="80">
        <v>167145.222166667</v>
      </c>
      <c r="D70" s="81">
        <v>3342.90444333333</v>
      </c>
    </row>
    <row r="71" s="75" customFormat="1" ht="35.25" customHeight="1" spans="1:4">
      <c r="A71" s="78">
        <v>69</v>
      </c>
      <c r="B71" s="79" t="s">
        <v>323</v>
      </c>
      <c r="C71" s="80">
        <v>167145.222166667</v>
      </c>
      <c r="D71" s="81">
        <v>3342.90444333333</v>
      </c>
    </row>
    <row r="72" s="75" customFormat="1" ht="35.25" customHeight="1" spans="1:4">
      <c r="A72" s="78">
        <v>70</v>
      </c>
      <c r="B72" s="79" t="s">
        <v>324</v>
      </c>
      <c r="C72" s="80">
        <v>167145.222166667</v>
      </c>
      <c r="D72" s="81">
        <v>3342.90444333333</v>
      </c>
    </row>
    <row r="73" s="75" customFormat="1" ht="35.25" customHeight="1" spans="1:4">
      <c r="A73" s="78">
        <v>71</v>
      </c>
      <c r="B73" s="79" t="s">
        <v>326</v>
      </c>
      <c r="C73" s="80">
        <v>167145.222166667</v>
      </c>
      <c r="D73" s="81">
        <v>3342.90444333333</v>
      </c>
    </row>
    <row r="74" s="75" customFormat="1" ht="35.25" customHeight="1" spans="1:4">
      <c r="A74" s="78">
        <v>72</v>
      </c>
      <c r="B74" s="79" t="s">
        <v>327</v>
      </c>
      <c r="C74" s="80">
        <v>167145.222166667</v>
      </c>
      <c r="D74" s="81">
        <v>3342.90444333333</v>
      </c>
    </row>
    <row r="75" s="75" customFormat="1" ht="35.25" customHeight="1" spans="1:4">
      <c r="A75" s="78">
        <v>73</v>
      </c>
      <c r="B75" s="79" t="s">
        <v>2127</v>
      </c>
      <c r="C75" s="80">
        <v>167145.222166667</v>
      </c>
      <c r="D75" s="81">
        <v>3342.90444333333</v>
      </c>
    </row>
    <row r="76" s="75" customFormat="1" ht="35.25" customHeight="1" spans="1:4">
      <c r="A76" s="78">
        <v>74</v>
      </c>
      <c r="B76" s="79" t="s">
        <v>330</v>
      </c>
      <c r="C76" s="80">
        <v>372007.8745</v>
      </c>
      <c r="D76" s="81">
        <v>7440.15749</v>
      </c>
    </row>
    <row r="77" s="75" customFormat="1" ht="35.25" customHeight="1" spans="1:4">
      <c r="A77" s="78">
        <v>75</v>
      </c>
      <c r="B77" s="79" t="s">
        <v>334</v>
      </c>
      <c r="C77" s="80">
        <v>372007.8745</v>
      </c>
      <c r="D77" s="81">
        <v>7440.15749</v>
      </c>
    </row>
    <row r="78" s="75" customFormat="1" ht="35.25" customHeight="1" spans="1:4">
      <c r="A78" s="78">
        <v>76</v>
      </c>
      <c r="B78" s="79" t="s">
        <v>2046</v>
      </c>
      <c r="C78" s="80">
        <v>151873.84</v>
      </c>
      <c r="D78" s="81">
        <v>3037.4768</v>
      </c>
    </row>
    <row r="79" s="75" customFormat="1" ht="35.25" customHeight="1" spans="1:4">
      <c r="A79" s="78">
        <v>77</v>
      </c>
      <c r="B79" s="79" t="s">
        <v>2128</v>
      </c>
      <c r="C79" s="80">
        <v>160346.08</v>
      </c>
      <c r="D79" s="81">
        <v>3206.9216</v>
      </c>
    </row>
    <row r="80" s="75" customFormat="1" ht="35.25" customHeight="1" spans="1:4">
      <c r="A80" s="78">
        <v>78</v>
      </c>
      <c r="B80" s="79" t="s">
        <v>2129</v>
      </c>
      <c r="C80" s="80">
        <v>438725.42</v>
      </c>
      <c r="D80" s="81">
        <v>8774.5084</v>
      </c>
    </row>
    <row r="81" s="75" customFormat="1" ht="35.25" customHeight="1" spans="1:4">
      <c r="A81" s="78">
        <v>79</v>
      </c>
      <c r="B81" s="79" t="s">
        <v>2130</v>
      </c>
      <c r="C81" s="80">
        <v>194473.88</v>
      </c>
      <c r="D81" s="81">
        <v>3889.4776</v>
      </c>
    </row>
    <row r="82" s="75" customFormat="1" ht="35.25" customHeight="1" spans="1:4">
      <c r="A82" s="78">
        <v>80</v>
      </c>
      <c r="B82" s="79" t="s">
        <v>339</v>
      </c>
      <c r="C82" s="80">
        <v>518314.010166667</v>
      </c>
      <c r="D82" s="81">
        <v>10366.2802033333</v>
      </c>
    </row>
    <row r="83" s="75" customFormat="1" ht="35.25" customHeight="1" spans="1:4">
      <c r="A83" s="78">
        <v>81</v>
      </c>
      <c r="B83" s="79" t="s">
        <v>345</v>
      </c>
      <c r="C83" s="80">
        <v>351174.2045</v>
      </c>
      <c r="D83" s="81">
        <v>7023.48409</v>
      </c>
    </row>
    <row r="84" s="75" customFormat="1" ht="35.25" customHeight="1" spans="1:4">
      <c r="A84" s="78">
        <v>82</v>
      </c>
      <c r="B84" s="79" t="s">
        <v>2131</v>
      </c>
      <c r="C84" s="80">
        <v>351174.2045</v>
      </c>
      <c r="D84" s="81">
        <v>7023.48409</v>
      </c>
    </row>
    <row r="85" s="75" customFormat="1" ht="35.25" customHeight="1" spans="1:4">
      <c r="A85" s="78">
        <v>83</v>
      </c>
      <c r="B85" s="79" t="s">
        <v>349</v>
      </c>
      <c r="C85" s="80">
        <v>167145.222166667</v>
      </c>
      <c r="D85" s="81">
        <v>3342.90444333333</v>
      </c>
    </row>
    <row r="86" s="75" customFormat="1" ht="35.25" customHeight="1" spans="1:4">
      <c r="A86" s="78">
        <v>84</v>
      </c>
      <c r="B86" s="79" t="s">
        <v>351</v>
      </c>
      <c r="C86" s="80">
        <v>137119.909166667</v>
      </c>
      <c r="D86" s="81">
        <v>2742.39818333333</v>
      </c>
    </row>
    <row r="87" s="75" customFormat="1" ht="35.25" customHeight="1" spans="1:4">
      <c r="A87" s="78">
        <v>85</v>
      </c>
      <c r="B87" s="79" t="s">
        <v>355</v>
      </c>
      <c r="C87" s="80">
        <v>167145.222166667</v>
      </c>
      <c r="D87" s="81">
        <v>3342.90444333333</v>
      </c>
    </row>
    <row r="88" s="75" customFormat="1" ht="35.25" customHeight="1" spans="1:4">
      <c r="A88" s="78">
        <v>86</v>
      </c>
      <c r="B88" s="79" t="s">
        <v>357</v>
      </c>
      <c r="C88" s="80">
        <v>167145.222166667</v>
      </c>
      <c r="D88" s="81">
        <v>3342.90444333333</v>
      </c>
    </row>
    <row r="89" s="75" customFormat="1" ht="35.25" customHeight="1" spans="1:4">
      <c r="A89" s="78">
        <v>87</v>
      </c>
      <c r="B89" s="79" t="s">
        <v>2132</v>
      </c>
      <c r="C89" s="80">
        <v>167145.222166667</v>
      </c>
      <c r="D89" s="81">
        <v>3342.90444333333</v>
      </c>
    </row>
    <row r="90" s="75" customFormat="1" ht="35.25" customHeight="1" spans="1:4">
      <c r="A90" s="78">
        <v>88</v>
      </c>
      <c r="B90" s="79" t="s">
        <v>365</v>
      </c>
      <c r="C90" s="80">
        <v>167145.222166667</v>
      </c>
      <c r="D90" s="81">
        <v>3342.90444333333</v>
      </c>
    </row>
    <row r="91" s="75" customFormat="1" ht="35.25" customHeight="1" spans="1:4">
      <c r="A91" s="78">
        <v>89</v>
      </c>
      <c r="B91" s="79" t="s">
        <v>2051</v>
      </c>
      <c r="C91" s="80">
        <v>187978.552166667</v>
      </c>
      <c r="D91" s="81">
        <v>3759.57104333333</v>
      </c>
    </row>
    <row r="92" s="75" customFormat="1" ht="35.25" customHeight="1" spans="1:4">
      <c r="A92" s="78">
        <v>90</v>
      </c>
      <c r="B92" s="79" t="s">
        <v>369</v>
      </c>
      <c r="C92" s="80">
        <v>175922.490166667</v>
      </c>
      <c r="D92" s="81">
        <v>3518.44980333333</v>
      </c>
    </row>
    <row r="93" s="75" customFormat="1" ht="35.25" customHeight="1" spans="1:4">
      <c r="A93" s="78">
        <v>91</v>
      </c>
      <c r="B93" s="79" t="s">
        <v>2052</v>
      </c>
      <c r="C93" s="80">
        <v>187978.552166667</v>
      </c>
      <c r="D93" s="81">
        <v>3759.57104333333</v>
      </c>
    </row>
    <row r="94" s="75" customFormat="1" ht="35.25" customHeight="1" spans="1:4">
      <c r="A94" s="78">
        <v>92</v>
      </c>
      <c r="B94" s="79" t="s">
        <v>371</v>
      </c>
      <c r="C94" s="80">
        <v>340596.858666667</v>
      </c>
      <c r="D94" s="81">
        <v>6811.93717333333</v>
      </c>
    </row>
    <row r="95" s="75" customFormat="1" ht="35.25" customHeight="1" spans="1:4">
      <c r="A95" s="78">
        <v>93</v>
      </c>
      <c r="B95" s="79" t="s">
        <v>2133</v>
      </c>
      <c r="C95" s="80">
        <v>155609.95</v>
      </c>
      <c r="D95" s="81">
        <v>3112.199</v>
      </c>
    </row>
    <row r="96" s="75" customFormat="1" ht="35.25" customHeight="1" spans="1:4">
      <c r="A96" s="78">
        <v>94</v>
      </c>
      <c r="B96" s="79" t="s">
        <v>2053</v>
      </c>
      <c r="C96" s="80">
        <v>171533.800333333</v>
      </c>
      <c r="D96" s="81">
        <v>3430.67600666667</v>
      </c>
    </row>
    <row r="97" s="75" customFormat="1" ht="35.25" customHeight="1" spans="1:4">
      <c r="A97" s="78">
        <v>95</v>
      </c>
      <c r="B97" s="79" t="s">
        <v>373</v>
      </c>
      <c r="C97" s="80">
        <v>148329.656833333</v>
      </c>
      <c r="D97" s="81">
        <v>2966.59313666667</v>
      </c>
    </row>
    <row r="98" s="75" customFormat="1" ht="35.25" customHeight="1" spans="1:4">
      <c r="A98" s="78">
        <v>96</v>
      </c>
      <c r="B98" s="79" t="s">
        <v>2134</v>
      </c>
      <c r="C98" s="80">
        <v>473303.74</v>
      </c>
      <c r="D98" s="81">
        <v>9466.0748</v>
      </c>
    </row>
    <row r="99" s="75" customFormat="1" ht="35.25" customHeight="1" spans="1:4">
      <c r="A99" s="78">
        <v>97</v>
      </c>
      <c r="B99" s="79" t="s">
        <v>382</v>
      </c>
      <c r="C99" s="80">
        <v>148329.656833333</v>
      </c>
      <c r="D99" s="81">
        <v>2966.59313666667</v>
      </c>
    </row>
    <row r="100" s="75" customFormat="1" ht="35.25" customHeight="1" spans="1:4">
      <c r="A100" s="78">
        <v>98</v>
      </c>
      <c r="B100" s="79" t="s">
        <v>388</v>
      </c>
      <c r="C100" s="80">
        <v>148329.656833333</v>
      </c>
      <c r="D100" s="81">
        <v>2966.59313666667</v>
      </c>
    </row>
    <row r="101" s="75" customFormat="1" ht="35.25" customHeight="1" spans="1:4">
      <c r="A101" s="78">
        <v>99</v>
      </c>
      <c r="B101" s="79" t="s">
        <v>392</v>
      </c>
      <c r="C101" s="80">
        <v>328352.943333333</v>
      </c>
      <c r="D101" s="81">
        <v>6567.05886666667</v>
      </c>
    </row>
    <row r="102" s="75" customFormat="1" ht="35.25" customHeight="1" spans="1:4">
      <c r="A102" s="78">
        <v>100</v>
      </c>
      <c r="B102" s="79" t="s">
        <v>393</v>
      </c>
      <c r="C102" s="80">
        <v>209841.519333333</v>
      </c>
      <c r="D102" s="81">
        <v>4196.83038666667</v>
      </c>
    </row>
    <row r="103" s="75" customFormat="1" ht="35.25" customHeight="1" spans="1:4">
      <c r="A103" s="78">
        <v>101</v>
      </c>
      <c r="B103" s="79" t="s">
        <v>396</v>
      </c>
      <c r="C103" s="80">
        <v>209841.519333333</v>
      </c>
      <c r="D103" s="81">
        <v>4196.83038666667</v>
      </c>
    </row>
    <row r="104" s="75" customFormat="1" ht="35.25" customHeight="1" spans="1:4">
      <c r="A104" s="78">
        <v>102</v>
      </c>
      <c r="B104" s="79" t="s">
        <v>403</v>
      </c>
      <c r="C104" s="80">
        <v>167145.222166667</v>
      </c>
      <c r="D104" s="81">
        <v>3342.90444333333</v>
      </c>
    </row>
    <row r="105" s="75" customFormat="1" ht="35.25" customHeight="1" spans="1:4">
      <c r="A105" s="78">
        <v>103</v>
      </c>
      <c r="B105" s="79" t="s">
        <v>2201</v>
      </c>
      <c r="C105" s="80">
        <v>230674.849333333</v>
      </c>
      <c r="D105" s="81">
        <v>4613.49698666667</v>
      </c>
    </row>
    <row r="106" s="75" customFormat="1" ht="35.25" customHeight="1" spans="1:4">
      <c r="A106" s="78">
        <v>104</v>
      </c>
      <c r="B106" s="79" t="s">
        <v>406</v>
      </c>
      <c r="C106" s="80">
        <v>167145.222166667</v>
      </c>
      <c r="D106" s="81">
        <v>3342.90444333333</v>
      </c>
    </row>
    <row r="107" s="75" customFormat="1" ht="35.25" customHeight="1" spans="1:4">
      <c r="A107" s="78">
        <v>105</v>
      </c>
      <c r="B107" s="79" t="s">
        <v>2135</v>
      </c>
      <c r="C107" s="80">
        <v>167145.222166667</v>
      </c>
      <c r="D107" s="81">
        <v>3342.90444333333</v>
      </c>
    </row>
    <row r="108" s="75" customFormat="1" ht="35.25" customHeight="1" spans="1:4">
      <c r="A108" s="78">
        <v>106</v>
      </c>
      <c r="B108" s="79" t="s">
        <v>2065</v>
      </c>
      <c r="C108" s="80">
        <v>167145.222166667</v>
      </c>
      <c r="D108" s="81">
        <v>3342.90444333333</v>
      </c>
    </row>
    <row r="109" s="75" customFormat="1" ht="35.25" customHeight="1" spans="1:4">
      <c r="A109" s="78">
        <v>107</v>
      </c>
      <c r="B109" s="79" t="s">
        <v>408</v>
      </c>
      <c r="C109" s="80">
        <v>148329.656833333</v>
      </c>
      <c r="D109" s="81">
        <v>2966.59313666667</v>
      </c>
    </row>
    <row r="110" s="75" customFormat="1" ht="35.25" customHeight="1" spans="1:4">
      <c r="A110" s="78">
        <v>108</v>
      </c>
      <c r="B110" s="79" t="s">
        <v>410</v>
      </c>
      <c r="C110" s="80">
        <v>148329.656833333</v>
      </c>
      <c r="D110" s="81">
        <v>2966.59313666667</v>
      </c>
    </row>
    <row r="111" s="75" customFormat="1" ht="35.25" customHeight="1" spans="1:4">
      <c r="A111" s="78">
        <v>109</v>
      </c>
      <c r="B111" s="79" t="s">
        <v>412</v>
      </c>
      <c r="C111" s="80">
        <v>167145.211</v>
      </c>
      <c r="D111" s="81">
        <v>3342.90422</v>
      </c>
    </row>
    <row r="112" s="75" customFormat="1" ht="35.25" customHeight="1" spans="1:4">
      <c r="A112" s="78">
        <v>110</v>
      </c>
      <c r="B112" s="79" t="s">
        <v>413</v>
      </c>
      <c r="C112" s="80">
        <v>167145.211</v>
      </c>
      <c r="D112" s="81">
        <v>3342.90422</v>
      </c>
    </row>
    <row r="113" s="75" customFormat="1" ht="35.25" customHeight="1" spans="1:4">
      <c r="A113" s="78">
        <v>111</v>
      </c>
      <c r="B113" s="79" t="s">
        <v>414</v>
      </c>
      <c r="C113" s="80">
        <v>167145.211</v>
      </c>
      <c r="D113" s="81">
        <v>3342.90422</v>
      </c>
    </row>
    <row r="114" s="75" customFormat="1" ht="35.25" customHeight="1" spans="1:4">
      <c r="A114" s="78">
        <v>112</v>
      </c>
      <c r="B114" s="79" t="s">
        <v>423</v>
      </c>
      <c r="C114" s="80">
        <v>167145.211</v>
      </c>
      <c r="D114" s="81">
        <v>3342.90422</v>
      </c>
    </row>
    <row r="115" s="75" customFormat="1" ht="35.25" customHeight="1" spans="1:4">
      <c r="A115" s="78">
        <v>113</v>
      </c>
      <c r="B115" s="79" t="s">
        <v>425</v>
      </c>
      <c r="C115" s="80">
        <v>209841.519333333</v>
      </c>
      <c r="D115" s="81">
        <v>4196.83038666667</v>
      </c>
    </row>
    <row r="116" s="75" customFormat="1" ht="35.25" customHeight="1" spans="1:4">
      <c r="A116" s="78">
        <v>114</v>
      </c>
      <c r="B116" s="79" t="s">
        <v>428</v>
      </c>
      <c r="C116" s="80">
        <v>167145.211</v>
      </c>
      <c r="D116" s="81">
        <v>3342.90422</v>
      </c>
    </row>
    <row r="117" s="75" customFormat="1" ht="35.25" customHeight="1" spans="1:4">
      <c r="A117" s="78">
        <v>115</v>
      </c>
      <c r="B117" s="79" t="s">
        <v>429</v>
      </c>
      <c r="C117" s="80">
        <v>167145.211</v>
      </c>
      <c r="D117" s="81">
        <v>3342.90422</v>
      </c>
    </row>
    <row r="118" s="75" customFormat="1" ht="35.25" customHeight="1" spans="1:4">
      <c r="A118" s="78">
        <v>116</v>
      </c>
      <c r="B118" s="79" t="s">
        <v>433</v>
      </c>
      <c r="C118" s="80">
        <v>167145.211</v>
      </c>
      <c r="D118" s="81">
        <v>3342.90422</v>
      </c>
    </row>
    <row r="119" s="75" customFormat="1" ht="35.25" customHeight="1" spans="1:4">
      <c r="A119" s="78">
        <v>117</v>
      </c>
      <c r="B119" s="79" t="s">
        <v>437</v>
      </c>
      <c r="C119" s="80">
        <v>167145.211</v>
      </c>
      <c r="D119" s="81">
        <v>3342.90422</v>
      </c>
    </row>
    <row r="120" s="75" customFormat="1" ht="35.25" customHeight="1" spans="1:4">
      <c r="A120" s="78">
        <v>118</v>
      </c>
      <c r="B120" s="79" t="s">
        <v>438</v>
      </c>
      <c r="C120" s="80">
        <v>73106.499</v>
      </c>
      <c r="D120" s="81">
        <v>1462.12998</v>
      </c>
    </row>
    <row r="121" s="75" customFormat="1" ht="35.25" customHeight="1" spans="1:4">
      <c r="A121" s="78">
        <v>119</v>
      </c>
      <c r="B121" s="79" t="s">
        <v>441</v>
      </c>
      <c r="C121" s="80">
        <v>73106.499</v>
      </c>
      <c r="D121" s="81">
        <v>1462.12998</v>
      </c>
    </row>
    <row r="122" s="75" customFormat="1" ht="35.25" customHeight="1" spans="1:4">
      <c r="A122" s="78">
        <v>120</v>
      </c>
      <c r="B122" s="79" t="s">
        <v>451</v>
      </c>
      <c r="C122" s="80">
        <v>167145.211</v>
      </c>
      <c r="D122" s="81">
        <v>3342.90422</v>
      </c>
    </row>
    <row r="123" s="75" customFormat="1" ht="35.25" customHeight="1" spans="1:4">
      <c r="A123" s="78">
        <v>121</v>
      </c>
      <c r="B123" s="79" t="s">
        <v>452</v>
      </c>
      <c r="C123" s="80">
        <v>167145.211</v>
      </c>
      <c r="D123" s="81">
        <v>3342.90422</v>
      </c>
    </row>
    <row r="124" s="75" customFormat="1" ht="35.25" customHeight="1" spans="1:4">
      <c r="A124" s="78">
        <v>122</v>
      </c>
      <c r="B124" s="79" t="s">
        <v>2069</v>
      </c>
      <c r="C124" s="80">
        <v>167145.211</v>
      </c>
      <c r="D124" s="81">
        <v>3342.90422</v>
      </c>
    </row>
    <row r="125" s="75" customFormat="1" ht="35.25" customHeight="1" spans="1:4">
      <c r="A125" s="78">
        <v>123</v>
      </c>
      <c r="B125" s="79" t="s">
        <v>2136</v>
      </c>
      <c r="C125" s="80">
        <v>167145.211</v>
      </c>
      <c r="D125" s="81">
        <v>3342.90422</v>
      </c>
    </row>
    <row r="126" s="75" customFormat="1" ht="35.25" customHeight="1" spans="1:4">
      <c r="A126" s="78">
        <v>124</v>
      </c>
      <c r="B126" s="79" t="s">
        <v>455</v>
      </c>
      <c r="C126" s="80">
        <v>167145.211</v>
      </c>
      <c r="D126" s="81">
        <v>3342.90422</v>
      </c>
    </row>
    <row r="127" s="75" customFormat="1" ht="35.25" customHeight="1" spans="1:4">
      <c r="A127" s="78">
        <v>125</v>
      </c>
      <c r="B127" s="79" t="s">
        <v>462</v>
      </c>
      <c r="C127" s="80">
        <v>148329.656833333</v>
      </c>
      <c r="D127" s="81">
        <v>2966.59313666667</v>
      </c>
    </row>
    <row r="128" s="75" customFormat="1" ht="35.25" customHeight="1" spans="1:4">
      <c r="A128" s="78">
        <v>126</v>
      </c>
      <c r="B128" s="79" t="s">
        <v>464</v>
      </c>
      <c r="C128" s="80">
        <v>148329.656833333</v>
      </c>
      <c r="D128" s="81">
        <v>2966.59313666667</v>
      </c>
    </row>
    <row r="129" s="75" customFormat="1" ht="35.25" customHeight="1" spans="1:4">
      <c r="A129" s="78">
        <v>127</v>
      </c>
      <c r="B129" s="79" t="s">
        <v>468</v>
      </c>
      <c r="C129" s="80">
        <v>148329.656833333</v>
      </c>
      <c r="D129" s="81">
        <v>2966.59313666667</v>
      </c>
    </row>
    <row r="130" s="75" customFormat="1" ht="35.25" customHeight="1" spans="1:4">
      <c r="A130" s="78">
        <v>128</v>
      </c>
      <c r="B130" s="79" t="s">
        <v>470</v>
      </c>
      <c r="C130" s="80">
        <v>148329.656833333</v>
      </c>
      <c r="D130" s="81">
        <v>2966.59313666667</v>
      </c>
    </row>
    <row r="131" s="75" customFormat="1" ht="35.25" customHeight="1" spans="1:4">
      <c r="A131" s="78">
        <v>129</v>
      </c>
      <c r="B131" s="79" t="s">
        <v>2074</v>
      </c>
      <c r="C131" s="80">
        <v>148329.656833333</v>
      </c>
      <c r="D131" s="81">
        <v>2966.59313666667</v>
      </c>
    </row>
    <row r="132" s="75" customFormat="1" ht="35.25" customHeight="1" spans="1:4">
      <c r="A132" s="78">
        <v>130</v>
      </c>
      <c r="B132" s="79" t="s">
        <v>475</v>
      </c>
      <c r="C132" s="80">
        <v>148329.656833333</v>
      </c>
      <c r="D132" s="81">
        <v>2966.59313666667</v>
      </c>
    </row>
    <row r="133" s="75" customFormat="1" ht="35.25" customHeight="1" spans="1:4">
      <c r="A133" s="78">
        <v>131</v>
      </c>
      <c r="B133" s="79" t="s">
        <v>2076</v>
      </c>
      <c r="C133" s="80">
        <v>148329.656833333</v>
      </c>
      <c r="D133" s="81">
        <v>2966.59313666667</v>
      </c>
    </row>
    <row r="134" s="75" customFormat="1" ht="35.25" customHeight="1" spans="1:4">
      <c r="A134" s="78">
        <v>132</v>
      </c>
      <c r="B134" s="79" t="s">
        <v>477</v>
      </c>
      <c r="C134" s="80">
        <v>130256.496166667</v>
      </c>
      <c r="D134" s="81">
        <v>2605.12992333333</v>
      </c>
    </row>
    <row r="135" s="75" customFormat="1" ht="35.25" customHeight="1" spans="1:4">
      <c r="A135" s="78">
        <v>133</v>
      </c>
      <c r="B135" s="79" t="s">
        <v>478</v>
      </c>
      <c r="C135" s="80">
        <v>130256.496166667</v>
      </c>
      <c r="D135" s="81">
        <v>2605.12992333333</v>
      </c>
    </row>
    <row r="136" s="75" customFormat="1" ht="35.25" customHeight="1" spans="1:4">
      <c r="A136" s="78">
        <v>134</v>
      </c>
      <c r="B136" s="79" t="s">
        <v>479</v>
      </c>
      <c r="C136" s="80">
        <v>130256.496166667</v>
      </c>
      <c r="D136" s="81">
        <v>2605.12992333333</v>
      </c>
    </row>
    <row r="137" s="75" customFormat="1" ht="35.25" customHeight="1" spans="1:4">
      <c r="A137" s="78">
        <v>135</v>
      </c>
      <c r="B137" s="79" t="s">
        <v>2077</v>
      </c>
      <c r="C137" s="80">
        <v>130256.496166667</v>
      </c>
      <c r="D137" s="81">
        <v>2605.12992333333</v>
      </c>
    </row>
    <row r="138" s="75" customFormat="1" ht="35.25" customHeight="1" spans="1:4">
      <c r="A138" s="78">
        <v>136</v>
      </c>
      <c r="B138" s="79" t="s">
        <v>484</v>
      </c>
      <c r="C138" s="80">
        <v>148329.656833333</v>
      </c>
      <c r="D138" s="81">
        <v>2966.59313666667</v>
      </c>
    </row>
    <row r="139" s="75" customFormat="1" ht="35.25" customHeight="1" spans="1:4">
      <c r="A139" s="78">
        <v>137</v>
      </c>
      <c r="B139" s="79" t="s">
        <v>485</v>
      </c>
      <c r="C139" s="80">
        <v>148329.656833333</v>
      </c>
      <c r="D139" s="81">
        <v>2966.59313666667</v>
      </c>
    </row>
    <row r="140" s="75" customFormat="1" ht="35.25" customHeight="1" spans="1:4">
      <c r="A140" s="78">
        <v>138</v>
      </c>
      <c r="B140" s="79" t="s">
        <v>2080</v>
      </c>
      <c r="C140" s="80">
        <v>130256.496166667</v>
      </c>
      <c r="D140" s="81">
        <v>2605.12992333333</v>
      </c>
    </row>
    <row r="141" s="75" customFormat="1" ht="35.25" customHeight="1" spans="1:4">
      <c r="A141" s="78">
        <v>139</v>
      </c>
      <c r="B141" s="79" t="s">
        <v>490</v>
      </c>
      <c r="C141" s="80">
        <v>148329.656833333</v>
      </c>
      <c r="D141" s="81">
        <v>2966.59313666667</v>
      </c>
    </row>
    <row r="142" s="75" customFormat="1" ht="35.25" customHeight="1" spans="1:4">
      <c r="A142" s="78">
        <v>140</v>
      </c>
      <c r="B142" s="79" t="s">
        <v>2081</v>
      </c>
      <c r="C142" s="80">
        <v>130256.496166667</v>
      </c>
      <c r="D142" s="81">
        <v>2605.12992333333</v>
      </c>
    </row>
    <row r="143" s="75" customFormat="1" ht="35.25" customHeight="1" spans="1:4">
      <c r="A143" s="78">
        <v>141</v>
      </c>
      <c r="B143" s="79" t="s">
        <v>507</v>
      </c>
      <c r="C143" s="80">
        <v>130256.496166667</v>
      </c>
      <c r="D143" s="81">
        <v>2605.12992333333</v>
      </c>
    </row>
    <row r="144" s="75" customFormat="1" ht="35.25" customHeight="1" spans="1:4">
      <c r="A144" s="78">
        <v>142</v>
      </c>
      <c r="B144" s="79" t="s">
        <v>512</v>
      </c>
      <c r="C144" s="80">
        <v>148329.656833333</v>
      </c>
      <c r="D144" s="81">
        <v>2966.59313666667</v>
      </c>
    </row>
    <row r="145" s="75" customFormat="1" ht="35.25" customHeight="1" spans="1:4">
      <c r="A145" s="78">
        <v>143</v>
      </c>
      <c r="B145" s="79" t="s">
        <v>2085</v>
      </c>
      <c r="C145" s="80">
        <v>152257.16</v>
      </c>
      <c r="D145" s="81">
        <v>3045.1432</v>
      </c>
    </row>
    <row r="146" s="75" customFormat="1" ht="35.25" customHeight="1" spans="1:4">
      <c r="A146" s="78">
        <v>144</v>
      </c>
      <c r="B146" s="79" t="s">
        <v>2137</v>
      </c>
      <c r="C146" s="80">
        <v>488549.63</v>
      </c>
      <c r="D146" s="81">
        <v>9770.9926</v>
      </c>
    </row>
    <row r="147" s="75" customFormat="1" ht="35.25" customHeight="1" spans="1:4">
      <c r="A147" s="78">
        <v>145</v>
      </c>
      <c r="B147" s="79" t="s">
        <v>2138</v>
      </c>
      <c r="C147" s="80">
        <v>591970.149833333</v>
      </c>
      <c r="D147" s="81">
        <v>11839.4029966667</v>
      </c>
    </row>
    <row r="148" s="75" customFormat="1" ht="35.25" customHeight="1" spans="1:4">
      <c r="A148" s="78">
        <v>146</v>
      </c>
      <c r="B148" s="79" t="s">
        <v>2139</v>
      </c>
      <c r="C148" s="80">
        <v>547463.9</v>
      </c>
      <c r="D148" s="81">
        <v>10949.278</v>
      </c>
    </row>
    <row r="149" s="75" customFormat="1" ht="35.25" customHeight="1" spans="1:4">
      <c r="A149" s="78">
        <v>147</v>
      </c>
      <c r="B149" s="79" t="s">
        <v>2140</v>
      </c>
      <c r="C149" s="80">
        <v>151873.83</v>
      </c>
      <c r="D149" s="81">
        <v>3037.4766</v>
      </c>
    </row>
    <row r="150" s="75" customFormat="1" ht="35.25" customHeight="1" spans="1:4">
      <c r="A150" s="78">
        <v>148</v>
      </c>
      <c r="B150" s="79" t="s">
        <v>2141</v>
      </c>
      <c r="C150" s="80">
        <v>150568.71</v>
      </c>
      <c r="D150" s="81">
        <v>3011.3742</v>
      </c>
    </row>
    <row r="151" s="75" customFormat="1" ht="35.25" customHeight="1" spans="1:4">
      <c r="A151" s="78">
        <v>149</v>
      </c>
      <c r="B151" s="79" t="s">
        <v>2142</v>
      </c>
      <c r="C151" s="80">
        <v>150568.71</v>
      </c>
      <c r="D151" s="81">
        <v>3011.3742</v>
      </c>
    </row>
    <row r="152" s="75" customFormat="1" ht="35.25" customHeight="1" spans="1:4">
      <c r="A152" s="78">
        <v>150</v>
      </c>
      <c r="B152" s="79" t="s">
        <v>2143</v>
      </c>
      <c r="C152" s="80">
        <v>141401.58</v>
      </c>
      <c r="D152" s="81">
        <v>2828.0316</v>
      </c>
    </row>
    <row r="153" s="75" customFormat="1" ht="35.25" customHeight="1" spans="1:4">
      <c r="A153" s="78">
        <v>151</v>
      </c>
      <c r="B153" s="79" t="s">
        <v>2144</v>
      </c>
      <c r="C153" s="80">
        <v>171575.05</v>
      </c>
      <c r="D153" s="81">
        <v>3431.501</v>
      </c>
    </row>
    <row r="154" s="75" customFormat="1" ht="35.25" customHeight="1" spans="1:4">
      <c r="A154" s="78">
        <v>152</v>
      </c>
      <c r="B154" s="79" t="s">
        <v>517</v>
      </c>
      <c r="C154" s="80">
        <v>156913</v>
      </c>
      <c r="D154" s="81">
        <v>3138.26</v>
      </c>
    </row>
    <row r="155" s="75" customFormat="1" ht="35.25" customHeight="1" spans="1:4">
      <c r="A155" s="78">
        <v>153</v>
      </c>
      <c r="B155" s="79" t="s">
        <v>521</v>
      </c>
      <c r="C155" s="80">
        <v>167145.212166667</v>
      </c>
      <c r="D155" s="81">
        <v>3342.90424333333</v>
      </c>
    </row>
    <row r="156" s="75" customFormat="1" ht="35.25" customHeight="1" spans="1:4">
      <c r="A156" s="78">
        <v>154</v>
      </c>
      <c r="B156" s="79" t="s">
        <v>2145</v>
      </c>
      <c r="C156" s="80">
        <v>213961.955</v>
      </c>
      <c r="D156" s="81">
        <v>4279.2391</v>
      </c>
    </row>
    <row r="157" s="75" customFormat="1" ht="35.25" customHeight="1" spans="1:4">
      <c r="A157" s="78">
        <v>155</v>
      </c>
      <c r="B157" s="79" t="s">
        <v>2021</v>
      </c>
      <c r="C157" s="80">
        <v>136277.95</v>
      </c>
      <c r="D157" s="81">
        <v>2725.559</v>
      </c>
    </row>
    <row r="158" s="75" customFormat="1" ht="35.25" customHeight="1" spans="1:4">
      <c r="A158" s="78">
        <v>156</v>
      </c>
      <c r="B158" s="79" t="s">
        <v>2146</v>
      </c>
      <c r="C158" s="80">
        <v>67194.955</v>
      </c>
      <c r="D158" s="81">
        <v>1343.8991</v>
      </c>
    </row>
    <row r="159" s="75" customFormat="1" ht="35.25" customHeight="1" spans="1:4">
      <c r="A159" s="78">
        <v>157</v>
      </c>
      <c r="B159" s="79" t="s">
        <v>2147</v>
      </c>
      <c r="C159" s="80">
        <v>303747.66</v>
      </c>
      <c r="D159" s="81">
        <v>6074.9532</v>
      </c>
    </row>
    <row r="160" s="75" customFormat="1" ht="35.25" customHeight="1" spans="1:4">
      <c r="A160" s="78">
        <v>158</v>
      </c>
      <c r="B160" s="79" t="s">
        <v>2148</v>
      </c>
      <c r="C160" s="80" t="e">
        <f>'TEACHING STAFF'!#REF!</f>
        <v>#REF!</v>
      </c>
      <c r="D160" s="81" t="e">
        <f>'TEACHING STAFF'!#REF!</f>
        <v>#REF!</v>
      </c>
    </row>
    <row r="161" s="75" customFormat="1" ht="35.25" customHeight="1" spans="1:4">
      <c r="A161" s="78">
        <v>159</v>
      </c>
      <c r="B161" s="79" t="s">
        <v>2202</v>
      </c>
      <c r="C161" s="80">
        <v>167145.211</v>
      </c>
      <c r="D161" s="81">
        <v>3342.90422</v>
      </c>
    </row>
    <row r="162" ht="29.25" spans="1:4">
      <c r="A162" s="82"/>
      <c r="B162" s="83" t="s">
        <v>867</v>
      </c>
      <c r="C162" s="84" t="e">
        <f>SUM(C3:C161)</f>
        <v>#REF!</v>
      </c>
      <c r="D162" s="84" t="e">
        <f>SUM(D3:D161)</f>
        <v>#REF!</v>
      </c>
    </row>
    <row r="163" ht="35.25" spans="1:4">
      <c r="A163" s="85"/>
      <c r="B163" s="86" t="s">
        <v>868</v>
      </c>
      <c r="C163" s="86"/>
      <c r="D163" s="86"/>
    </row>
    <row r="164" s="75" customFormat="1" ht="49.5" customHeight="1" spans="1:4">
      <c r="A164" s="87">
        <v>160</v>
      </c>
      <c r="B164" s="88" t="s">
        <v>1519</v>
      </c>
      <c r="C164" s="89">
        <v>132770.91</v>
      </c>
      <c r="D164" s="90">
        <v>2655.4182</v>
      </c>
    </row>
    <row r="165" s="75" customFormat="1" ht="49.5" customHeight="1" spans="1:4">
      <c r="A165" s="87">
        <v>161</v>
      </c>
      <c r="B165" s="88" t="s">
        <v>869</v>
      </c>
      <c r="C165" s="89">
        <v>132770.91</v>
      </c>
      <c r="D165" s="90">
        <v>2655.4182</v>
      </c>
    </row>
    <row r="166" s="75" customFormat="1" ht="49.5" customHeight="1" spans="1:4">
      <c r="A166" s="87">
        <v>162</v>
      </c>
      <c r="B166" s="88" t="s">
        <v>2151</v>
      </c>
      <c r="C166" s="89">
        <v>132770.91</v>
      </c>
      <c r="D166" s="90">
        <v>2655.4182</v>
      </c>
    </row>
    <row r="167" s="75" customFormat="1" ht="49.5" customHeight="1" spans="1:4">
      <c r="A167" s="87">
        <v>163</v>
      </c>
      <c r="B167" s="88" t="s">
        <v>870</v>
      </c>
      <c r="C167" s="89">
        <v>132770.91</v>
      </c>
      <c r="D167" s="90">
        <v>2655.4182</v>
      </c>
    </row>
    <row r="168" s="75" customFormat="1" ht="49.5" customHeight="1" spans="1:4">
      <c r="A168" s="87">
        <v>164</v>
      </c>
      <c r="B168" s="88" t="s">
        <v>872</v>
      </c>
      <c r="C168" s="89">
        <v>136687.41</v>
      </c>
      <c r="D168" s="90">
        <v>2733.7482</v>
      </c>
    </row>
    <row r="169" s="75" customFormat="1" ht="49.5" customHeight="1" spans="1:4">
      <c r="A169" s="87">
        <v>165</v>
      </c>
      <c r="B169" s="88" t="s">
        <v>875</v>
      </c>
      <c r="C169" s="89">
        <v>132770.91</v>
      </c>
      <c r="D169" s="90">
        <v>2655.4182</v>
      </c>
    </row>
    <row r="170" s="75" customFormat="1" ht="49.5" customHeight="1" spans="1:4">
      <c r="A170" s="87">
        <v>166</v>
      </c>
      <c r="B170" s="88" t="s">
        <v>876</v>
      </c>
      <c r="C170" s="89">
        <v>131454.66</v>
      </c>
      <c r="D170" s="90">
        <v>2629.0932</v>
      </c>
    </row>
    <row r="171" s="75" customFormat="1" ht="49.5" customHeight="1" spans="1:4">
      <c r="A171" s="87">
        <v>167</v>
      </c>
      <c r="B171" s="88" t="s">
        <v>878</v>
      </c>
      <c r="C171" s="89">
        <v>118954.66</v>
      </c>
      <c r="D171" s="90">
        <v>2379.0932</v>
      </c>
    </row>
    <row r="172" s="75" customFormat="1" ht="49.5" customHeight="1" spans="1:4">
      <c r="A172" s="87">
        <v>168</v>
      </c>
      <c r="B172" s="88" t="s">
        <v>880</v>
      </c>
      <c r="C172" s="89">
        <v>118954.66</v>
      </c>
      <c r="D172" s="90">
        <v>2379.0932</v>
      </c>
    </row>
    <row r="173" s="75" customFormat="1" ht="49.5" customHeight="1" spans="1:4">
      <c r="A173" s="87">
        <v>169</v>
      </c>
      <c r="B173" s="88" t="s">
        <v>881</v>
      </c>
      <c r="C173" s="89">
        <v>131454.66</v>
      </c>
      <c r="D173" s="90">
        <v>2629.0932</v>
      </c>
    </row>
    <row r="174" s="75" customFormat="1" ht="49.5" customHeight="1" spans="1:4">
      <c r="A174" s="87">
        <v>170</v>
      </c>
      <c r="B174" s="88" t="s">
        <v>882</v>
      </c>
      <c r="C174" s="89">
        <v>131454.66</v>
      </c>
      <c r="D174" s="90">
        <v>2629.0932</v>
      </c>
    </row>
    <row r="175" s="75" customFormat="1" ht="49.5" customHeight="1" spans="1:4">
      <c r="A175" s="87">
        <v>171</v>
      </c>
      <c r="B175" s="88" t="s">
        <v>883</v>
      </c>
      <c r="C175" s="89">
        <v>37158.08</v>
      </c>
      <c r="D175" s="90">
        <v>743.1616</v>
      </c>
    </row>
    <row r="176" s="75" customFormat="1" ht="49.5" customHeight="1" spans="1:4">
      <c r="A176" s="87">
        <v>172</v>
      </c>
      <c r="B176" s="88" t="s">
        <v>885</v>
      </c>
      <c r="C176" s="89">
        <v>37158.08</v>
      </c>
      <c r="D176" s="90">
        <v>743.1616</v>
      </c>
    </row>
    <row r="177" s="75" customFormat="1" ht="49.5" customHeight="1" spans="1:4">
      <c r="A177" s="87">
        <v>173</v>
      </c>
      <c r="B177" s="88" t="s">
        <v>1840</v>
      </c>
      <c r="C177" s="89">
        <v>37158.08</v>
      </c>
      <c r="D177" s="90">
        <v>743.1616</v>
      </c>
    </row>
    <row r="178" s="75" customFormat="1" ht="49.5" customHeight="1" spans="1:4">
      <c r="A178" s="87">
        <v>174</v>
      </c>
      <c r="B178" s="88" t="s">
        <v>888</v>
      </c>
      <c r="C178" s="89">
        <v>37158.08</v>
      </c>
      <c r="D178" s="90">
        <v>743.1616</v>
      </c>
    </row>
    <row r="179" s="75" customFormat="1" ht="49.5" customHeight="1" spans="1:4">
      <c r="A179" s="87">
        <v>175</v>
      </c>
      <c r="B179" s="88" t="s">
        <v>2204</v>
      </c>
      <c r="C179" s="89">
        <v>530796.91</v>
      </c>
      <c r="D179" s="90">
        <v>10615.9382</v>
      </c>
    </row>
    <row r="180" s="75" customFormat="1" ht="49.5" customHeight="1" spans="1:4">
      <c r="A180" s="87">
        <v>176</v>
      </c>
      <c r="B180" s="88" t="s">
        <v>2154</v>
      </c>
      <c r="C180" s="89">
        <v>1056720.161</v>
      </c>
      <c r="D180" s="90">
        <v>21134.40322</v>
      </c>
    </row>
    <row r="181" s="75" customFormat="1" ht="49.5" customHeight="1" spans="1:4">
      <c r="A181" s="87">
        <v>177</v>
      </c>
      <c r="B181" s="88" t="s">
        <v>2155</v>
      </c>
      <c r="C181" s="89">
        <v>1056720.161</v>
      </c>
      <c r="D181" s="90">
        <v>21134.40322</v>
      </c>
    </row>
    <row r="182" s="75" customFormat="1" ht="49.5" customHeight="1" spans="1:4">
      <c r="A182" s="87">
        <v>178</v>
      </c>
      <c r="B182" s="88" t="s">
        <v>2156</v>
      </c>
      <c r="C182" s="89">
        <v>1056720.161</v>
      </c>
      <c r="D182" s="90">
        <v>21134.40322</v>
      </c>
    </row>
    <row r="183" s="75" customFormat="1" ht="49.5" customHeight="1" spans="1:4">
      <c r="A183" s="87">
        <v>179</v>
      </c>
      <c r="B183" s="88" t="s">
        <v>2157</v>
      </c>
      <c r="C183" s="89">
        <v>1056720.161</v>
      </c>
      <c r="D183" s="90">
        <v>21134.40322</v>
      </c>
    </row>
    <row r="184" s="75" customFormat="1" ht="49.5" customHeight="1" spans="1:4">
      <c r="A184" s="87">
        <v>180</v>
      </c>
      <c r="B184" s="88" t="s">
        <v>894</v>
      </c>
      <c r="C184" s="89">
        <v>262687.41</v>
      </c>
      <c r="D184" s="90">
        <v>5253.7482</v>
      </c>
    </row>
    <row r="185" s="75" customFormat="1" ht="49.5" customHeight="1" spans="1:4">
      <c r="A185" s="87">
        <v>181</v>
      </c>
      <c r="B185" s="88" t="s">
        <v>896</v>
      </c>
      <c r="C185" s="89">
        <v>262687.41</v>
      </c>
      <c r="D185" s="90">
        <v>5253.7482</v>
      </c>
    </row>
    <row r="186" s="75" customFormat="1" ht="49.5" customHeight="1" spans="1:4">
      <c r="A186" s="87">
        <v>182</v>
      </c>
      <c r="B186" s="88" t="s">
        <v>898</v>
      </c>
      <c r="C186" s="89">
        <v>96624.58</v>
      </c>
      <c r="D186" s="90">
        <v>1932.4916</v>
      </c>
    </row>
    <row r="187" s="75" customFormat="1" ht="49.5" customHeight="1" spans="1:4">
      <c r="A187" s="87">
        <v>183</v>
      </c>
      <c r="B187" s="88" t="s">
        <v>901</v>
      </c>
      <c r="C187" s="89">
        <v>130429.41</v>
      </c>
      <c r="D187" s="90">
        <v>2608.5882</v>
      </c>
    </row>
    <row r="188" s="75" customFormat="1" ht="49.5" customHeight="1" spans="1:4">
      <c r="A188" s="87">
        <v>184</v>
      </c>
      <c r="B188" s="88" t="s">
        <v>903</v>
      </c>
      <c r="C188" s="89">
        <v>175157.74</v>
      </c>
      <c r="D188" s="90">
        <v>3503.1548</v>
      </c>
    </row>
    <row r="189" s="75" customFormat="1" ht="49.5" customHeight="1" spans="1:4">
      <c r="A189" s="87">
        <v>185</v>
      </c>
      <c r="B189" s="88" t="s">
        <v>2158</v>
      </c>
      <c r="C189" s="89">
        <v>140617.74</v>
      </c>
      <c r="D189" s="90">
        <v>2812.3548</v>
      </c>
    </row>
    <row r="190" s="75" customFormat="1" ht="49.5" customHeight="1" spans="1:4">
      <c r="A190" s="87">
        <v>186</v>
      </c>
      <c r="B190" s="88" t="s">
        <v>905</v>
      </c>
      <c r="C190" s="89">
        <v>211617.48</v>
      </c>
      <c r="D190" s="90">
        <v>4232.3496</v>
      </c>
    </row>
    <row r="191" s="75" customFormat="1" ht="49.5" customHeight="1" spans="1:4">
      <c r="A191" s="87">
        <v>187</v>
      </c>
      <c r="B191" s="88" t="s">
        <v>907</v>
      </c>
      <c r="C191" s="89">
        <v>118954.66</v>
      </c>
      <c r="D191" s="90">
        <v>2379.0932</v>
      </c>
    </row>
    <row r="192" s="75" customFormat="1" ht="49.5" customHeight="1" spans="1:4">
      <c r="A192" s="87">
        <v>188</v>
      </c>
      <c r="B192" s="88" t="s">
        <v>908</v>
      </c>
      <c r="C192" s="89">
        <v>332583.475333333</v>
      </c>
      <c r="D192" s="90">
        <v>6651.66950666667</v>
      </c>
    </row>
    <row r="193" s="75" customFormat="1" ht="49.5" customHeight="1" spans="1:4">
      <c r="A193" s="87">
        <v>189</v>
      </c>
      <c r="B193" s="88" t="s">
        <v>2159</v>
      </c>
      <c r="C193" s="89" t="e">
        <f>'BHIS 2'!C192</f>
        <v>#REF!</v>
      </c>
      <c r="D193" s="90" t="e">
        <f>#REF!</f>
        <v>#REF!</v>
      </c>
    </row>
    <row r="194" s="75" customFormat="1" ht="49.5" customHeight="1" spans="1:4">
      <c r="A194" s="87">
        <v>190</v>
      </c>
      <c r="B194" s="88" t="s">
        <v>910</v>
      </c>
      <c r="C194" s="89">
        <v>24883.33</v>
      </c>
      <c r="D194" s="90">
        <v>497.6666</v>
      </c>
    </row>
    <row r="195" s="75" customFormat="1" ht="49.5" customHeight="1" spans="1:4">
      <c r="A195" s="87">
        <v>191</v>
      </c>
      <c r="B195" s="88" t="s">
        <v>912</v>
      </c>
      <c r="C195" s="89">
        <v>31442.33</v>
      </c>
      <c r="D195" s="90">
        <v>628.8466</v>
      </c>
    </row>
    <row r="196" s="75" customFormat="1" ht="49.5" customHeight="1" spans="1:4">
      <c r="A196" s="87">
        <v>192</v>
      </c>
      <c r="B196" s="88" t="s">
        <v>914</v>
      </c>
      <c r="C196" s="89">
        <v>141990.33</v>
      </c>
      <c r="D196" s="90">
        <v>2839.8066</v>
      </c>
    </row>
    <row r="197" s="75" customFormat="1" ht="49.5" customHeight="1" spans="1:4">
      <c r="A197" s="87">
        <v>193</v>
      </c>
      <c r="B197" s="88" t="s">
        <v>917</v>
      </c>
      <c r="C197" s="89">
        <v>34180.74</v>
      </c>
      <c r="D197" s="90">
        <v>683.6148</v>
      </c>
    </row>
    <row r="198" s="75" customFormat="1" ht="49.5" customHeight="1" spans="1:4">
      <c r="A198" s="87">
        <v>194</v>
      </c>
      <c r="B198" s="88" t="s">
        <v>919</v>
      </c>
      <c r="C198" s="89">
        <v>131454.66</v>
      </c>
      <c r="D198" s="90">
        <v>2629.0932</v>
      </c>
    </row>
    <row r="199" s="75" customFormat="1" ht="49.5" customHeight="1" spans="1:4">
      <c r="A199" s="87">
        <v>195</v>
      </c>
      <c r="B199" s="88" t="s">
        <v>921</v>
      </c>
      <c r="C199" s="89">
        <v>321121.225333333</v>
      </c>
      <c r="D199" s="90">
        <v>6422.42450666667</v>
      </c>
    </row>
    <row r="200" s="75" customFormat="1" ht="49.5" customHeight="1" spans="1:4">
      <c r="A200" s="87">
        <v>196</v>
      </c>
      <c r="B200" s="88" t="s">
        <v>2160</v>
      </c>
      <c r="C200" s="89">
        <v>60158.08</v>
      </c>
      <c r="D200" s="90">
        <v>1203.1616</v>
      </c>
    </row>
    <row r="201" s="75" customFormat="1" ht="49.5" customHeight="1" spans="1:4">
      <c r="A201" s="87">
        <v>197</v>
      </c>
      <c r="B201" s="88" t="s">
        <v>2161</v>
      </c>
      <c r="C201" s="89">
        <v>33153.08</v>
      </c>
      <c r="D201" s="90">
        <v>663.0616</v>
      </c>
    </row>
    <row r="202" s="75" customFormat="1" ht="49.5" customHeight="1" spans="1:4">
      <c r="A202" s="87">
        <v>198</v>
      </c>
      <c r="B202" s="88" t="s">
        <v>925</v>
      </c>
      <c r="C202" s="89">
        <v>115270.91</v>
      </c>
      <c r="D202" s="90">
        <v>2305.4182</v>
      </c>
    </row>
    <row r="203" s="75" customFormat="1" ht="49.5" customHeight="1" spans="1:4">
      <c r="A203" s="87">
        <v>199</v>
      </c>
      <c r="B203" s="88" t="s">
        <v>927</v>
      </c>
      <c r="C203" s="89">
        <v>115270.91</v>
      </c>
      <c r="D203" s="90">
        <v>2305.4182</v>
      </c>
    </row>
    <row r="204" s="75" customFormat="1" ht="49.5" customHeight="1" spans="1:4">
      <c r="A204" s="87">
        <v>200</v>
      </c>
      <c r="B204" s="88" t="s">
        <v>929</v>
      </c>
      <c r="C204" s="89">
        <v>115270.91</v>
      </c>
      <c r="D204" s="90">
        <v>2305.4182</v>
      </c>
    </row>
    <row r="205" s="75" customFormat="1" ht="49.5" customHeight="1" spans="1:4">
      <c r="A205" s="87">
        <v>201</v>
      </c>
      <c r="B205" s="88" t="s">
        <v>931</v>
      </c>
      <c r="C205" s="89">
        <v>115270.91</v>
      </c>
      <c r="D205" s="90">
        <v>2305.4182</v>
      </c>
    </row>
    <row r="206" s="75" customFormat="1" ht="49.5" customHeight="1" spans="1:4">
      <c r="A206" s="87">
        <v>202</v>
      </c>
      <c r="B206" s="88" t="s">
        <v>2162</v>
      </c>
      <c r="C206" s="89">
        <v>115270.91</v>
      </c>
      <c r="D206" s="90">
        <v>2305.4182</v>
      </c>
    </row>
    <row r="207" s="75" customFormat="1" ht="49.5" customHeight="1" spans="1:4">
      <c r="A207" s="87">
        <v>203</v>
      </c>
      <c r="B207" s="88" t="s">
        <v>936</v>
      </c>
      <c r="C207" s="89">
        <v>115270.91</v>
      </c>
      <c r="D207" s="90">
        <v>2305.4182</v>
      </c>
    </row>
    <row r="208" s="75" customFormat="1" ht="49.5" customHeight="1" spans="1:4">
      <c r="A208" s="87">
        <v>204</v>
      </c>
      <c r="B208" s="88" t="s">
        <v>939</v>
      </c>
      <c r="C208" s="89">
        <v>115270.91</v>
      </c>
      <c r="D208" s="90">
        <v>2305.4182</v>
      </c>
    </row>
    <row r="209" s="75" customFormat="1" ht="49.5" customHeight="1" spans="1:4">
      <c r="A209" s="87">
        <v>205</v>
      </c>
      <c r="B209" s="88" t="s">
        <v>2163</v>
      </c>
      <c r="C209" s="89">
        <v>115270.91</v>
      </c>
      <c r="D209" s="90">
        <v>2305.4182</v>
      </c>
    </row>
    <row r="210" s="75" customFormat="1" ht="49.5" customHeight="1" spans="1:4">
      <c r="A210" s="87">
        <v>206</v>
      </c>
      <c r="B210" s="88" t="s">
        <v>2164</v>
      </c>
      <c r="C210" s="89">
        <v>34201.3251</v>
      </c>
      <c r="D210" s="90">
        <v>684.026502</v>
      </c>
    </row>
    <row r="211" s="75" customFormat="1" ht="49.5" customHeight="1" spans="1:4">
      <c r="A211" s="87">
        <v>207</v>
      </c>
      <c r="B211" s="88" t="s">
        <v>2165</v>
      </c>
      <c r="C211" s="89">
        <v>112197.74</v>
      </c>
      <c r="D211" s="90">
        <v>2243.9548</v>
      </c>
    </row>
    <row r="212" s="75" customFormat="1" ht="49.5" customHeight="1" spans="1:4">
      <c r="A212" s="87">
        <v>208</v>
      </c>
      <c r="B212" s="88" t="s">
        <v>2166</v>
      </c>
      <c r="C212" s="89">
        <v>58208.33</v>
      </c>
      <c r="D212" s="90">
        <v>1164.1666</v>
      </c>
    </row>
    <row r="213" s="75" customFormat="1" ht="49.5" customHeight="1" spans="1:4">
      <c r="A213" s="87">
        <v>209</v>
      </c>
      <c r="B213" s="88" t="s">
        <v>951</v>
      </c>
      <c r="C213" s="89">
        <v>35208.33</v>
      </c>
      <c r="D213" s="90">
        <v>704.1666</v>
      </c>
    </row>
    <row r="214" s="75" customFormat="1" ht="49.5" customHeight="1" spans="1:4">
      <c r="A214" s="87">
        <v>210</v>
      </c>
      <c r="B214" s="88" t="s">
        <v>953</v>
      </c>
      <c r="C214" s="89">
        <v>58208.33</v>
      </c>
      <c r="D214" s="90">
        <v>1164.1666</v>
      </c>
    </row>
    <row r="215" s="75" customFormat="1" ht="49.5" customHeight="1" spans="1:4">
      <c r="A215" s="87">
        <v>211</v>
      </c>
      <c r="B215" s="88" t="s">
        <v>2167</v>
      </c>
      <c r="C215" s="89">
        <v>431939.41</v>
      </c>
      <c r="D215" s="90">
        <v>8638.7882</v>
      </c>
    </row>
    <row r="216" s="75" customFormat="1" ht="49.5" customHeight="1" spans="1:4">
      <c r="A216" s="87">
        <v>212</v>
      </c>
      <c r="B216" s="88" t="s">
        <v>955</v>
      </c>
      <c r="C216" s="89">
        <v>269324.08</v>
      </c>
      <c r="D216" s="90">
        <v>5386.4816</v>
      </c>
    </row>
    <row r="217" s="75" customFormat="1" ht="49.5" customHeight="1" spans="1:4">
      <c r="A217" s="87">
        <v>213</v>
      </c>
      <c r="B217" s="88" t="s">
        <v>2205</v>
      </c>
      <c r="C217" s="89">
        <v>57180.74</v>
      </c>
      <c r="D217" s="90">
        <v>1143.6148</v>
      </c>
    </row>
    <row r="218" s="75" customFormat="1" ht="49.5" customHeight="1" spans="1:4">
      <c r="A218" s="87">
        <v>214</v>
      </c>
      <c r="B218" s="88" t="s">
        <v>959</v>
      </c>
      <c r="C218" s="89">
        <v>35208.33</v>
      </c>
      <c r="D218" s="90">
        <v>704.1666</v>
      </c>
    </row>
    <row r="219" s="75" customFormat="1" ht="49.5" customHeight="1" spans="1:4">
      <c r="A219" s="87">
        <v>215</v>
      </c>
      <c r="B219" s="88" t="s">
        <v>962</v>
      </c>
      <c r="C219" s="89">
        <v>34180.74</v>
      </c>
      <c r="D219" s="90">
        <v>683.6148</v>
      </c>
    </row>
    <row r="220" s="75" customFormat="1" ht="49.5" customHeight="1" spans="1:4">
      <c r="A220" s="87">
        <v>216</v>
      </c>
      <c r="B220" s="88" t="s">
        <v>964</v>
      </c>
      <c r="C220" s="89">
        <v>57180.74</v>
      </c>
      <c r="D220" s="90">
        <v>1143.6148</v>
      </c>
    </row>
    <row r="221" s="75" customFormat="1" ht="49.5" customHeight="1" spans="1:4">
      <c r="A221" s="87">
        <v>217</v>
      </c>
      <c r="B221" s="88" t="s">
        <v>966</v>
      </c>
      <c r="C221" s="89">
        <v>34180.74</v>
      </c>
      <c r="D221" s="90">
        <v>683.6148</v>
      </c>
    </row>
    <row r="222" s="75" customFormat="1" ht="49.5" customHeight="1" spans="1:4">
      <c r="A222" s="87">
        <v>218</v>
      </c>
      <c r="B222" s="88" t="s">
        <v>968</v>
      </c>
      <c r="C222" s="89">
        <v>30586.83</v>
      </c>
      <c r="D222" s="90">
        <v>611.7366</v>
      </c>
    </row>
    <row r="223" s="75" customFormat="1" ht="49.5" customHeight="1" spans="1:4">
      <c r="A223" s="87">
        <v>219</v>
      </c>
      <c r="B223" s="88" t="s">
        <v>970</v>
      </c>
      <c r="C223" s="89">
        <v>30586.83</v>
      </c>
      <c r="D223" s="90">
        <v>611.7366</v>
      </c>
    </row>
    <row r="224" s="75" customFormat="1" ht="49.5" customHeight="1" spans="1:4">
      <c r="A224" s="87">
        <v>220</v>
      </c>
      <c r="B224" s="88" t="s">
        <v>978</v>
      </c>
      <c r="C224" s="89">
        <v>34180.74</v>
      </c>
      <c r="D224" s="90">
        <v>683.6148</v>
      </c>
    </row>
    <row r="225" s="75" customFormat="1" ht="49.5" customHeight="1" spans="1:4">
      <c r="A225" s="87">
        <v>221</v>
      </c>
      <c r="B225" s="88" t="s">
        <v>980</v>
      </c>
      <c r="C225" s="89">
        <v>34180.74</v>
      </c>
      <c r="D225" s="90">
        <v>683.6148</v>
      </c>
    </row>
    <row r="226" s="75" customFormat="1" ht="49.5" customHeight="1" spans="1:4">
      <c r="A226" s="87">
        <v>222</v>
      </c>
      <c r="B226" s="88" t="s">
        <v>2168</v>
      </c>
      <c r="C226" s="89">
        <v>34180.74</v>
      </c>
      <c r="D226" s="90">
        <v>683.6148</v>
      </c>
    </row>
    <row r="227" s="75" customFormat="1" ht="49.5" customHeight="1" spans="1:4">
      <c r="A227" s="87">
        <v>223</v>
      </c>
      <c r="B227" s="88" t="s">
        <v>989</v>
      </c>
      <c r="C227" s="89">
        <v>32125.49</v>
      </c>
      <c r="D227" s="90">
        <v>642.5098</v>
      </c>
    </row>
    <row r="228" s="75" customFormat="1" ht="49.5" customHeight="1" spans="1:4">
      <c r="A228" s="87">
        <v>224</v>
      </c>
      <c r="B228" s="88" t="s">
        <v>991</v>
      </c>
      <c r="C228" s="89">
        <v>32125.49</v>
      </c>
      <c r="D228" s="90">
        <v>642.5098</v>
      </c>
    </row>
    <row r="229" s="75" customFormat="1" ht="49.5" customHeight="1" spans="1:4">
      <c r="A229" s="87">
        <v>225</v>
      </c>
      <c r="B229" s="88" t="s">
        <v>1004</v>
      </c>
      <c r="C229" s="89">
        <v>134197.74</v>
      </c>
      <c r="D229" s="90">
        <v>2683.9548</v>
      </c>
    </row>
    <row r="230" s="75" customFormat="1" ht="49.5" customHeight="1" spans="1:4">
      <c r="A230" s="87">
        <v>226</v>
      </c>
      <c r="B230" s="88" t="s">
        <v>1006</v>
      </c>
      <c r="C230" s="89">
        <v>132957.74</v>
      </c>
      <c r="D230" s="90">
        <v>2659.1548</v>
      </c>
    </row>
    <row r="231" s="75" customFormat="1" ht="49.5" customHeight="1" spans="1:4">
      <c r="A231" s="87">
        <v>227</v>
      </c>
      <c r="B231" s="88" t="s">
        <v>1008</v>
      </c>
      <c r="C231" s="89">
        <v>195689.58</v>
      </c>
      <c r="D231" s="90">
        <v>3913.7916</v>
      </c>
    </row>
    <row r="232" s="75" customFormat="1" ht="49.5" customHeight="1" spans="1:4">
      <c r="A232" s="87">
        <v>228</v>
      </c>
      <c r="B232" s="88" t="s">
        <v>1010</v>
      </c>
      <c r="C232" s="89">
        <v>184838.41</v>
      </c>
      <c r="D232" s="90">
        <v>3696.7682</v>
      </c>
    </row>
    <row r="233" s="75" customFormat="1" ht="49.5" customHeight="1" spans="1:4">
      <c r="A233" s="87">
        <v>229</v>
      </c>
      <c r="B233" s="88" t="s">
        <v>2169</v>
      </c>
      <c r="C233" s="89">
        <v>111721.41</v>
      </c>
      <c r="D233" s="90">
        <v>2234.4282</v>
      </c>
    </row>
    <row r="234" s="75" customFormat="1" ht="49.5" customHeight="1" spans="1:4">
      <c r="A234" s="87">
        <v>230</v>
      </c>
      <c r="B234" s="88" t="s">
        <v>1015</v>
      </c>
      <c r="C234" s="89">
        <v>99697.74</v>
      </c>
      <c r="D234" s="90">
        <v>1993.9548</v>
      </c>
    </row>
    <row r="235" s="75" customFormat="1" ht="49.5" customHeight="1" spans="1:4">
      <c r="A235" s="87">
        <v>231</v>
      </c>
      <c r="B235" s="88" t="s">
        <v>1017</v>
      </c>
      <c r="C235" s="89">
        <v>111721.41</v>
      </c>
      <c r="D235" s="90">
        <v>2234.4282</v>
      </c>
    </row>
    <row r="236" s="75" customFormat="1" ht="49.5" customHeight="1" spans="1:4">
      <c r="A236" s="87">
        <v>232</v>
      </c>
      <c r="B236" s="88" t="s">
        <v>2170</v>
      </c>
      <c r="C236" s="89">
        <v>132757.24</v>
      </c>
      <c r="D236" s="90">
        <v>2655.1448</v>
      </c>
    </row>
    <row r="237" s="75" customFormat="1" ht="49.5" customHeight="1" spans="1:4">
      <c r="A237" s="87">
        <v>233</v>
      </c>
      <c r="B237" s="88" t="s">
        <v>1020</v>
      </c>
      <c r="C237" s="89">
        <v>222338.08</v>
      </c>
      <c r="D237" s="90">
        <v>4446.7616</v>
      </c>
    </row>
    <row r="238" s="75" customFormat="1" ht="49.5" customHeight="1" spans="1:4">
      <c r="A238" s="87">
        <v>234</v>
      </c>
      <c r="B238" s="88" t="s">
        <v>1022</v>
      </c>
      <c r="C238" s="89">
        <v>149838.41</v>
      </c>
      <c r="D238" s="90">
        <v>2996.7682</v>
      </c>
    </row>
    <row r="239" s="75" customFormat="1" ht="49.5" customHeight="1" spans="1:4">
      <c r="A239" s="87">
        <v>235</v>
      </c>
      <c r="B239" s="88" t="s">
        <v>1024</v>
      </c>
      <c r="C239" s="89">
        <v>211617.48</v>
      </c>
      <c r="D239" s="90">
        <v>4232.3496</v>
      </c>
    </row>
    <row r="240" s="75" customFormat="1" ht="49.5" customHeight="1" spans="1:4">
      <c r="A240" s="87">
        <v>236</v>
      </c>
      <c r="B240" s="88" t="s">
        <v>2171</v>
      </c>
      <c r="C240" s="89">
        <v>115338.41</v>
      </c>
      <c r="D240" s="90">
        <v>2306.7682</v>
      </c>
    </row>
    <row r="241" s="75" customFormat="1" ht="49.5" customHeight="1" spans="1:4">
      <c r="A241" s="87">
        <v>237</v>
      </c>
      <c r="B241" s="88" t="s">
        <v>1028</v>
      </c>
      <c r="C241" s="89">
        <v>115338.41</v>
      </c>
      <c r="D241" s="90">
        <v>2306.7682</v>
      </c>
    </row>
    <row r="242" s="75" customFormat="1" ht="49.5" customHeight="1" spans="1:4">
      <c r="A242" s="87">
        <v>238</v>
      </c>
      <c r="B242" s="88" t="s">
        <v>1030</v>
      </c>
      <c r="C242" s="89">
        <v>115338.41</v>
      </c>
      <c r="D242" s="90">
        <v>2306.7682</v>
      </c>
    </row>
    <row r="243" s="75" customFormat="1" ht="49.5" customHeight="1" spans="1:4">
      <c r="A243" s="87">
        <v>239</v>
      </c>
      <c r="B243" s="88" t="s">
        <v>2172</v>
      </c>
      <c r="C243" s="89">
        <v>115338.41</v>
      </c>
      <c r="D243" s="90">
        <v>2306.7682</v>
      </c>
    </row>
    <row r="244" s="75" customFormat="1" ht="49.5" customHeight="1" spans="1:4">
      <c r="A244" s="87">
        <v>240</v>
      </c>
      <c r="B244" s="88" t="s">
        <v>2206</v>
      </c>
      <c r="C244" s="89">
        <v>115338.41</v>
      </c>
      <c r="D244" s="90">
        <v>2306.7682</v>
      </c>
    </row>
    <row r="245" s="75" customFormat="1" ht="49.5" customHeight="1" spans="1:4">
      <c r="A245" s="87">
        <v>241</v>
      </c>
      <c r="B245" s="88" t="s">
        <v>1034</v>
      </c>
      <c r="C245" s="89">
        <v>170617.48</v>
      </c>
      <c r="D245" s="90">
        <v>3412.3496</v>
      </c>
    </row>
    <row r="246" s="75" customFormat="1" ht="49.5" customHeight="1" spans="1:4">
      <c r="A246" s="87">
        <v>242</v>
      </c>
      <c r="B246" s="88" t="s">
        <v>2173</v>
      </c>
      <c r="C246" s="89">
        <v>115338.41</v>
      </c>
      <c r="D246" s="90">
        <v>2306.7682</v>
      </c>
    </row>
    <row r="247" s="75" customFormat="1" ht="49.5" customHeight="1" spans="1:4">
      <c r="A247" s="87">
        <v>243</v>
      </c>
      <c r="B247" s="88" t="s">
        <v>1036</v>
      </c>
      <c r="C247" s="89">
        <v>110347.3251</v>
      </c>
      <c r="D247" s="90">
        <v>2206.946502</v>
      </c>
    </row>
    <row r="248" s="75" customFormat="1" ht="49.5" customHeight="1" spans="1:4">
      <c r="A248" s="87">
        <v>244</v>
      </c>
      <c r="B248" s="88" t="s">
        <v>1039</v>
      </c>
      <c r="C248" s="89">
        <v>31097.74</v>
      </c>
      <c r="D248" s="90">
        <v>621.9548</v>
      </c>
    </row>
    <row r="249" s="75" customFormat="1" ht="49.5" customHeight="1" spans="1:4">
      <c r="A249" s="87">
        <v>245</v>
      </c>
      <c r="B249" s="88" t="s">
        <v>1041</v>
      </c>
      <c r="C249" s="89">
        <v>167923.66</v>
      </c>
      <c r="D249" s="90">
        <v>3358.4732</v>
      </c>
    </row>
    <row r="250" s="75" customFormat="1" ht="49.5" customHeight="1" spans="1:4">
      <c r="A250" s="87">
        <v>246</v>
      </c>
      <c r="B250" s="88" t="s">
        <v>1043</v>
      </c>
      <c r="C250" s="89">
        <v>99697.74</v>
      </c>
      <c r="D250" s="90">
        <v>1993.9548</v>
      </c>
    </row>
    <row r="251" s="75" customFormat="1" ht="49.5" customHeight="1" spans="1:4">
      <c r="A251" s="87">
        <v>247</v>
      </c>
      <c r="B251" s="88" t="s">
        <v>1045</v>
      </c>
      <c r="C251" s="89">
        <v>32883.33</v>
      </c>
      <c r="D251" s="90">
        <v>657.6666</v>
      </c>
    </row>
    <row r="252" s="75" customFormat="1" ht="49.5" customHeight="1" spans="1:4">
      <c r="A252" s="87">
        <v>248</v>
      </c>
      <c r="B252" s="88" t="s">
        <v>1047</v>
      </c>
      <c r="C252" s="89">
        <v>32883.33</v>
      </c>
      <c r="D252" s="90">
        <v>657.6666</v>
      </c>
    </row>
    <row r="253" s="75" customFormat="1" ht="49.5" customHeight="1" spans="1:4">
      <c r="A253" s="87">
        <v>249</v>
      </c>
      <c r="B253" s="88" t="s">
        <v>1051</v>
      </c>
      <c r="C253" s="89">
        <v>34180.74</v>
      </c>
      <c r="D253" s="90">
        <v>683.6148</v>
      </c>
    </row>
    <row r="254" s="75" customFormat="1" ht="49.5" customHeight="1" spans="1:4">
      <c r="A254" s="87">
        <v>250</v>
      </c>
      <c r="B254" s="88" t="s">
        <v>2174</v>
      </c>
      <c r="C254" s="89">
        <v>102770.91</v>
      </c>
      <c r="D254" s="90">
        <v>2055.4182</v>
      </c>
    </row>
    <row r="255" s="75" customFormat="1" ht="49.5" customHeight="1" spans="1:4">
      <c r="A255" s="87">
        <v>251</v>
      </c>
      <c r="B255" s="88" t="s">
        <v>1054</v>
      </c>
      <c r="C255" s="89">
        <v>99697.74</v>
      </c>
      <c r="D255" s="90">
        <v>1993.9548</v>
      </c>
    </row>
    <row r="256" s="75" customFormat="1" ht="49.5" customHeight="1" spans="1:4">
      <c r="A256" s="87">
        <v>252</v>
      </c>
      <c r="B256" s="88" t="s">
        <v>1056</v>
      </c>
      <c r="C256" s="89">
        <v>99697.74</v>
      </c>
      <c r="D256" s="90">
        <v>1993.9548</v>
      </c>
    </row>
    <row r="257" s="75" customFormat="1" ht="49.5" customHeight="1" spans="1:4">
      <c r="A257" s="87">
        <v>253</v>
      </c>
      <c r="B257" s="88" t="s">
        <v>1058</v>
      </c>
      <c r="C257" s="89">
        <v>118954.66</v>
      </c>
      <c r="D257" s="90">
        <v>2379.0932</v>
      </c>
    </row>
    <row r="258" s="75" customFormat="1" ht="49.5" customHeight="1" spans="1:4">
      <c r="A258" s="87">
        <v>254</v>
      </c>
      <c r="B258" s="88" t="s">
        <v>1060</v>
      </c>
      <c r="C258" s="89">
        <v>99697.74</v>
      </c>
      <c r="D258" s="90">
        <v>1993.9548</v>
      </c>
    </row>
    <row r="259" s="75" customFormat="1" ht="49.5" customHeight="1" spans="1:4">
      <c r="A259" s="87">
        <v>255</v>
      </c>
      <c r="B259" s="88" t="s">
        <v>1062</v>
      </c>
      <c r="C259" s="89">
        <v>118954.66</v>
      </c>
      <c r="D259" s="90">
        <v>2379.0932</v>
      </c>
    </row>
    <row r="260" s="75" customFormat="1" ht="49.5" customHeight="1" spans="1:4">
      <c r="A260" s="87">
        <v>256</v>
      </c>
      <c r="B260" s="88" t="s">
        <v>1064</v>
      </c>
      <c r="C260" s="89">
        <v>115338.41</v>
      </c>
      <c r="D260" s="90">
        <v>2306.7682</v>
      </c>
    </row>
    <row r="261" s="75" customFormat="1" ht="49.5" customHeight="1" spans="1:4">
      <c r="A261" s="87">
        <v>257</v>
      </c>
      <c r="B261" s="88" t="s">
        <v>1066</v>
      </c>
      <c r="C261" s="89">
        <v>115338.41</v>
      </c>
      <c r="D261" s="90">
        <v>2306.7682</v>
      </c>
    </row>
    <row r="262" s="75" customFormat="1" ht="49.5" customHeight="1" spans="1:4">
      <c r="A262" s="87">
        <v>258</v>
      </c>
      <c r="B262" s="88" t="s">
        <v>1068</v>
      </c>
      <c r="C262" s="89">
        <v>157072.49</v>
      </c>
      <c r="D262" s="90">
        <v>3141.4498</v>
      </c>
    </row>
    <row r="263" s="75" customFormat="1" ht="49.5" customHeight="1" spans="1:4">
      <c r="A263" s="87">
        <v>259</v>
      </c>
      <c r="B263" s="88" t="s">
        <v>1070</v>
      </c>
      <c r="C263" s="89">
        <v>218960.58</v>
      </c>
      <c r="D263" s="90">
        <v>4379.2116</v>
      </c>
    </row>
    <row r="264" s="75" customFormat="1" ht="49.5" customHeight="1" spans="1:4">
      <c r="A264" s="87">
        <v>260</v>
      </c>
      <c r="B264" s="88" t="s">
        <v>1072</v>
      </c>
      <c r="C264" s="89">
        <v>166221.41</v>
      </c>
      <c r="D264" s="90">
        <v>3324.4282</v>
      </c>
    </row>
    <row r="265" s="75" customFormat="1" ht="49.5" customHeight="1" spans="1:4">
      <c r="A265" s="87">
        <v>261</v>
      </c>
      <c r="B265" s="88" t="s">
        <v>1074</v>
      </c>
      <c r="C265" s="89">
        <v>99697.74</v>
      </c>
      <c r="D265" s="90">
        <v>1993.9548</v>
      </c>
    </row>
    <row r="266" s="75" customFormat="1" ht="49.5" customHeight="1" spans="1:4">
      <c r="A266" s="87">
        <v>262</v>
      </c>
      <c r="B266" s="88" t="s">
        <v>2175</v>
      </c>
      <c r="C266" s="89">
        <v>178454.66</v>
      </c>
      <c r="D266" s="90">
        <v>3569.0932</v>
      </c>
    </row>
    <row r="267" s="75" customFormat="1" ht="49.5" customHeight="1" spans="1:4">
      <c r="A267" s="87">
        <v>263</v>
      </c>
      <c r="B267" s="88" t="s">
        <v>1078</v>
      </c>
      <c r="C267" s="89">
        <v>153454.66</v>
      </c>
      <c r="D267" s="90">
        <v>3069.0932</v>
      </c>
    </row>
    <row r="268" s="75" customFormat="1" ht="49.5" customHeight="1" spans="1:4">
      <c r="A268" s="87">
        <v>264</v>
      </c>
      <c r="B268" s="88" t="s">
        <v>1080</v>
      </c>
      <c r="C268" s="89">
        <v>199827.08</v>
      </c>
      <c r="D268" s="90">
        <v>3996.5416</v>
      </c>
    </row>
    <row r="269" s="75" customFormat="1" ht="49.5" customHeight="1" spans="1:4">
      <c r="A269" s="87">
        <v>265</v>
      </c>
      <c r="B269" s="88" t="s">
        <v>2176</v>
      </c>
      <c r="C269" s="89">
        <v>111721.41</v>
      </c>
      <c r="D269" s="90">
        <v>2234.4282</v>
      </c>
    </row>
    <row r="270" s="75" customFormat="1" ht="49.5" customHeight="1" spans="1:4">
      <c r="A270" s="87">
        <v>266</v>
      </c>
      <c r="B270" s="88" t="s">
        <v>1084</v>
      </c>
      <c r="C270" s="89">
        <v>111721.41</v>
      </c>
      <c r="D270" s="90">
        <v>2234.4282</v>
      </c>
    </row>
    <row r="271" s="75" customFormat="1" ht="49.5" customHeight="1" spans="1:4">
      <c r="A271" s="87">
        <v>267</v>
      </c>
      <c r="B271" s="88" t="s">
        <v>1086</v>
      </c>
      <c r="C271" s="89">
        <v>156124.58</v>
      </c>
      <c r="D271" s="90">
        <v>3122.4916</v>
      </c>
    </row>
    <row r="272" s="75" customFormat="1" ht="49.5" customHeight="1" spans="1:4">
      <c r="A272" s="87">
        <v>268</v>
      </c>
      <c r="B272" s="88" t="s">
        <v>1106</v>
      </c>
      <c r="C272" s="89">
        <v>111721.39</v>
      </c>
      <c r="D272" s="90">
        <v>2234.4278</v>
      </c>
    </row>
    <row r="273" s="75" customFormat="1" ht="49.5" customHeight="1" spans="1:4">
      <c r="A273" s="87">
        <v>269</v>
      </c>
      <c r="B273" s="88" t="s">
        <v>2177</v>
      </c>
      <c r="C273" s="89">
        <v>108104.49</v>
      </c>
      <c r="D273" s="90">
        <v>2162.0898</v>
      </c>
    </row>
    <row r="274" s="75" customFormat="1" ht="49.5" customHeight="1" spans="1:4">
      <c r="A274" s="87">
        <v>270</v>
      </c>
      <c r="B274" s="88" t="s">
        <v>1110</v>
      </c>
      <c r="C274" s="89">
        <v>105844.08</v>
      </c>
      <c r="D274" s="90">
        <v>2116.8816</v>
      </c>
    </row>
    <row r="275" s="75" customFormat="1" ht="49.5" customHeight="1" spans="1:4">
      <c r="A275" s="87">
        <v>271</v>
      </c>
      <c r="B275" s="88" t="s">
        <v>2178</v>
      </c>
      <c r="C275" s="89">
        <v>31097.74</v>
      </c>
      <c r="D275" s="90">
        <v>621.9548</v>
      </c>
    </row>
    <row r="276" s="75" customFormat="1" ht="49.5" customHeight="1" spans="1:4">
      <c r="A276" s="87">
        <v>272</v>
      </c>
      <c r="B276" s="88" t="s">
        <v>1114</v>
      </c>
      <c r="C276" s="89">
        <v>54097.74</v>
      </c>
      <c r="D276" s="90">
        <v>1081.9548</v>
      </c>
    </row>
    <row r="277" s="75" customFormat="1" ht="49.5" customHeight="1" spans="1:4">
      <c r="A277" s="87">
        <v>273</v>
      </c>
      <c r="B277" s="88" t="s">
        <v>1116</v>
      </c>
      <c r="C277" s="89">
        <v>31097.74</v>
      </c>
      <c r="D277" s="90">
        <v>621.9548</v>
      </c>
    </row>
    <row r="278" s="75" customFormat="1" ht="49.5" customHeight="1" spans="1:4">
      <c r="A278" s="87">
        <v>274</v>
      </c>
      <c r="B278" s="88" t="s">
        <v>1118</v>
      </c>
      <c r="C278" s="89">
        <v>34201.3251</v>
      </c>
      <c r="D278" s="90">
        <v>684.026502</v>
      </c>
    </row>
    <row r="279" s="75" customFormat="1" ht="49.5" customHeight="1" spans="1:4">
      <c r="A279" s="87">
        <v>275</v>
      </c>
      <c r="B279" s="88" t="s">
        <v>1120</v>
      </c>
      <c r="C279" s="89">
        <v>34201.3251</v>
      </c>
      <c r="D279" s="90">
        <v>684.026502</v>
      </c>
    </row>
    <row r="280" s="75" customFormat="1" ht="49.5" customHeight="1" spans="1:4">
      <c r="A280" s="87">
        <v>276</v>
      </c>
      <c r="B280" s="88" t="s">
        <v>1122</v>
      </c>
      <c r="C280" s="89">
        <v>29731.33</v>
      </c>
      <c r="D280" s="90">
        <v>594.6266</v>
      </c>
    </row>
    <row r="281" s="75" customFormat="1" ht="49.5" customHeight="1" spans="1:4">
      <c r="A281" s="87">
        <v>277</v>
      </c>
      <c r="B281" s="88" t="s">
        <v>1130</v>
      </c>
      <c r="C281" s="89">
        <v>34201.3251</v>
      </c>
      <c r="D281" s="90">
        <v>684.026502</v>
      </c>
    </row>
    <row r="282" s="75" customFormat="1" ht="49.5" customHeight="1" spans="1:4">
      <c r="A282" s="87">
        <v>278</v>
      </c>
      <c r="B282" s="88" t="s">
        <v>1134</v>
      </c>
      <c r="C282" s="89">
        <v>34201.3251</v>
      </c>
      <c r="D282" s="90">
        <v>684.026502</v>
      </c>
    </row>
    <row r="283" s="75" customFormat="1" ht="49.5" customHeight="1" spans="1:4">
      <c r="A283" s="87">
        <v>279</v>
      </c>
      <c r="B283" s="88" t="s">
        <v>1136</v>
      </c>
      <c r="C283" s="89">
        <v>34201.3251</v>
      </c>
      <c r="D283" s="90">
        <v>684.026502</v>
      </c>
    </row>
    <row r="284" s="75" customFormat="1" ht="49.5" customHeight="1" spans="1:4">
      <c r="A284" s="87">
        <v>280</v>
      </c>
      <c r="B284" s="88" t="s">
        <v>1138</v>
      </c>
      <c r="C284" s="89">
        <v>34201.3251</v>
      </c>
      <c r="D284" s="90">
        <v>684.026502</v>
      </c>
    </row>
    <row r="285" s="75" customFormat="1" ht="49.5" customHeight="1" spans="1:4">
      <c r="A285" s="87">
        <v>281</v>
      </c>
      <c r="B285" s="88" t="s">
        <v>1140</v>
      </c>
      <c r="C285" s="89">
        <v>34201.3251</v>
      </c>
      <c r="D285" s="90">
        <v>684.026502</v>
      </c>
    </row>
    <row r="286" s="75" customFormat="1" ht="49.5" customHeight="1" spans="1:4">
      <c r="A286" s="87">
        <v>282</v>
      </c>
      <c r="B286" s="88" t="s">
        <v>2179</v>
      </c>
      <c r="C286" s="89">
        <v>34201.3251</v>
      </c>
      <c r="D286" s="90">
        <v>684.026502</v>
      </c>
    </row>
    <row r="287" s="75" customFormat="1" ht="49.5" customHeight="1" spans="1:4">
      <c r="A287" s="87">
        <v>283</v>
      </c>
      <c r="B287" s="88" t="s">
        <v>1144</v>
      </c>
      <c r="C287" s="89">
        <v>34201.3251</v>
      </c>
      <c r="D287" s="90">
        <v>684.026502</v>
      </c>
    </row>
    <row r="288" s="75" customFormat="1" ht="49.5" customHeight="1" spans="1:4">
      <c r="A288" s="87">
        <v>284</v>
      </c>
      <c r="B288" s="88" t="s">
        <v>1146</v>
      </c>
      <c r="C288" s="89">
        <v>34201.3251</v>
      </c>
      <c r="D288" s="90">
        <v>684.026502</v>
      </c>
    </row>
    <row r="289" s="75" customFormat="1" ht="49.5" customHeight="1" spans="1:4">
      <c r="A289" s="87">
        <v>285</v>
      </c>
      <c r="B289" s="88" t="s">
        <v>1148</v>
      </c>
      <c r="C289" s="89">
        <v>34201.3251</v>
      </c>
      <c r="D289" s="90">
        <v>684.026502</v>
      </c>
    </row>
    <row r="290" s="75" customFormat="1" ht="49.5" customHeight="1" spans="1:4">
      <c r="A290" s="87">
        <v>286</v>
      </c>
      <c r="B290" s="88" t="s">
        <v>2180</v>
      </c>
      <c r="C290" s="89">
        <v>34201.3251</v>
      </c>
      <c r="D290" s="90">
        <v>684.026502</v>
      </c>
    </row>
    <row r="291" s="75" customFormat="1" ht="49.5" customHeight="1" spans="1:4">
      <c r="A291" s="87">
        <v>287</v>
      </c>
      <c r="B291" s="88" t="s">
        <v>1153</v>
      </c>
      <c r="C291" s="89">
        <v>29731.33</v>
      </c>
      <c r="D291" s="90">
        <v>594.6266</v>
      </c>
    </row>
    <row r="292" s="75" customFormat="1" ht="49.5" customHeight="1" spans="1:4">
      <c r="A292" s="87">
        <v>288</v>
      </c>
      <c r="B292" s="88" t="s">
        <v>1155</v>
      </c>
      <c r="C292" s="89">
        <v>34201.3251</v>
      </c>
      <c r="D292" s="90">
        <v>684.026502</v>
      </c>
    </row>
    <row r="293" s="75" customFormat="1" ht="49.5" customHeight="1" spans="1:4">
      <c r="A293" s="87">
        <v>289</v>
      </c>
      <c r="B293" s="88" t="s">
        <v>1157</v>
      </c>
      <c r="C293" s="89">
        <v>34201.3251</v>
      </c>
      <c r="D293" s="90">
        <v>684.026502</v>
      </c>
    </row>
    <row r="294" s="75" customFormat="1" ht="49.5" customHeight="1" spans="1:4">
      <c r="A294" s="87">
        <v>290</v>
      </c>
      <c r="B294" s="88" t="s">
        <v>2207</v>
      </c>
      <c r="C294" s="89">
        <v>29731.33</v>
      </c>
      <c r="D294" s="90">
        <v>594.6266</v>
      </c>
    </row>
    <row r="295" s="75" customFormat="1" ht="49.5" customHeight="1" spans="1:4">
      <c r="A295" s="87">
        <v>291</v>
      </c>
      <c r="B295" s="88" t="s">
        <v>1161</v>
      </c>
      <c r="C295" s="89">
        <v>29731.33</v>
      </c>
      <c r="D295" s="90">
        <v>594.6266</v>
      </c>
    </row>
    <row r="296" s="75" customFormat="1" ht="49.5" customHeight="1" spans="1:4">
      <c r="A296" s="87">
        <v>292</v>
      </c>
      <c r="B296" s="88" t="s">
        <v>2208</v>
      </c>
      <c r="C296" s="89">
        <v>29731.33</v>
      </c>
      <c r="D296" s="90">
        <v>594.6266</v>
      </c>
    </row>
    <row r="297" s="75" customFormat="1" ht="49.5" customHeight="1" spans="1:4">
      <c r="A297" s="87">
        <v>293</v>
      </c>
      <c r="B297" s="88" t="s">
        <v>1164</v>
      </c>
      <c r="C297" s="89">
        <v>29731.33</v>
      </c>
      <c r="D297" s="90">
        <v>594.6266</v>
      </c>
    </row>
    <row r="298" s="75" customFormat="1" ht="49.5" customHeight="1" spans="1:4">
      <c r="A298" s="87">
        <v>294</v>
      </c>
      <c r="B298" s="88" t="s">
        <v>1166</v>
      </c>
      <c r="C298" s="89">
        <v>29731.33</v>
      </c>
      <c r="D298" s="90">
        <v>594.6266</v>
      </c>
    </row>
    <row r="299" s="75" customFormat="1" ht="49.5" customHeight="1" spans="1:4">
      <c r="A299" s="87">
        <v>295</v>
      </c>
      <c r="B299" s="88" t="s">
        <v>1168</v>
      </c>
      <c r="C299" s="89">
        <v>29731.33</v>
      </c>
      <c r="D299" s="90">
        <v>594.6266</v>
      </c>
    </row>
    <row r="300" s="75" customFormat="1" ht="49.5" customHeight="1" spans="1:4">
      <c r="A300" s="87">
        <v>296</v>
      </c>
      <c r="B300" s="88" t="s">
        <v>1170</v>
      </c>
      <c r="C300" s="89">
        <v>29731.33</v>
      </c>
      <c r="D300" s="90">
        <v>594.6266</v>
      </c>
    </row>
    <row r="301" s="75" customFormat="1" ht="49.5" customHeight="1" spans="1:4">
      <c r="A301" s="87">
        <v>297</v>
      </c>
      <c r="B301" s="88" t="s">
        <v>1172</v>
      </c>
      <c r="C301" s="89">
        <v>29731.33</v>
      </c>
      <c r="D301" s="90">
        <v>594.6266</v>
      </c>
    </row>
    <row r="302" s="75" customFormat="1" ht="49.5" customHeight="1" spans="1:4">
      <c r="A302" s="87">
        <v>298</v>
      </c>
      <c r="B302" s="88" t="s">
        <v>2182</v>
      </c>
      <c r="C302" s="89">
        <v>29731.33</v>
      </c>
      <c r="D302" s="90">
        <v>594.6266</v>
      </c>
    </row>
    <row r="303" s="75" customFormat="1" ht="49.5" customHeight="1" spans="1:4">
      <c r="A303" s="87">
        <v>299</v>
      </c>
      <c r="B303" s="88" t="s">
        <v>1193</v>
      </c>
      <c r="C303" s="89">
        <v>29731.33</v>
      </c>
      <c r="D303" s="90">
        <v>594.6266</v>
      </c>
    </row>
    <row r="304" s="75" customFormat="1" ht="49.5" customHeight="1" spans="1:4">
      <c r="A304" s="87">
        <v>300</v>
      </c>
      <c r="B304" s="88" t="s">
        <v>1194</v>
      </c>
      <c r="C304" s="89">
        <v>29731.33</v>
      </c>
      <c r="D304" s="90">
        <v>594.6266</v>
      </c>
    </row>
    <row r="305" s="75" customFormat="1" ht="49.5" customHeight="1" spans="1:4">
      <c r="A305" s="87">
        <v>301</v>
      </c>
      <c r="B305" s="88" t="s">
        <v>1196</v>
      </c>
      <c r="C305" s="89">
        <v>29731.33</v>
      </c>
      <c r="D305" s="90">
        <v>594.6266</v>
      </c>
    </row>
    <row r="306" s="75" customFormat="1" ht="49.5" customHeight="1" spans="1:4">
      <c r="A306" s="87">
        <v>302</v>
      </c>
      <c r="B306" s="88" t="s">
        <v>1198</v>
      </c>
      <c r="C306" s="89">
        <v>29731.33</v>
      </c>
      <c r="D306" s="90">
        <v>594.6266</v>
      </c>
    </row>
    <row r="307" s="75" customFormat="1" ht="49.5" customHeight="1" spans="1:4">
      <c r="A307" s="87">
        <v>303</v>
      </c>
      <c r="B307" s="88" t="s">
        <v>2183</v>
      </c>
      <c r="C307" s="89">
        <v>29731.33</v>
      </c>
      <c r="D307" s="90">
        <v>594.6266</v>
      </c>
    </row>
    <row r="308" s="75" customFormat="1" ht="49.5" customHeight="1" spans="1:4">
      <c r="A308" s="87">
        <v>304</v>
      </c>
      <c r="B308" s="88" t="s">
        <v>1200</v>
      </c>
      <c r="C308" s="89">
        <v>29731.33</v>
      </c>
      <c r="D308" s="90">
        <v>594.6266</v>
      </c>
    </row>
    <row r="309" s="75" customFormat="1" ht="49.5" customHeight="1" spans="1:4">
      <c r="A309" s="87">
        <v>305</v>
      </c>
      <c r="B309" s="88" t="s">
        <v>1202</v>
      </c>
      <c r="C309" s="89">
        <v>29731.33</v>
      </c>
      <c r="D309" s="90">
        <v>594.6266</v>
      </c>
    </row>
    <row r="310" s="75" customFormat="1" ht="49.5" customHeight="1" spans="1:4">
      <c r="A310" s="87">
        <v>306</v>
      </c>
      <c r="B310" s="88" t="s">
        <v>1204</v>
      </c>
      <c r="C310" s="89">
        <v>29731.33</v>
      </c>
      <c r="D310" s="90">
        <v>594.6266</v>
      </c>
    </row>
    <row r="311" s="75" customFormat="1" ht="49.5" customHeight="1" spans="1:4">
      <c r="A311" s="87">
        <v>307</v>
      </c>
      <c r="B311" s="88" t="s">
        <v>1205</v>
      </c>
      <c r="C311" s="89">
        <v>29731.33</v>
      </c>
      <c r="D311" s="90">
        <v>594.6266</v>
      </c>
    </row>
    <row r="312" s="75" customFormat="1" ht="49.5" customHeight="1" spans="1:4">
      <c r="A312" s="87">
        <v>308</v>
      </c>
      <c r="B312" s="88" t="s">
        <v>1207</v>
      </c>
      <c r="C312" s="89">
        <v>29731.33</v>
      </c>
      <c r="D312" s="90">
        <v>594.6266</v>
      </c>
    </row>
    <row r="313" s="75" customFormat="1" ht="49.5" customHeight="1" spans="1:4">
      <c r="A313" s="87">
        <v>309</v>
      </c>
      <c r="B313" s="88" t="s">
        <v>1208</v>
      </c>
      <c r="C313" s="89">
        <v>29731.33</v>
      </c>
      <c r="D313" s="90">
        <v>594.6266</v>
      </c>
    </row>
    <row r="314" s="75" customFormat="1" ht="49.5" customHeight="1" spans="1:4">
      <c r="A314" s="87">
        <v>310</v>
      </c>
      <c r="B314" s="88" t="s">
        <v>1210</v>
      </c>
      <c r="C314" s="89">
        <v>29731.33</v>
      </c>
      <c r="D314" s="90">
        <v>594.6266</v>
      </c>
    </row>
    <row r="315" s="75" customFormat="1" ht="49.5" customHeight="1" spans="1:4">
      <c r="A315" s="87">
        <v>311</v>
      </c>
      <c r="B315" s="88" t="s">
        <v>2184</v>
      </c>
      <c r="C315" s="89">
        <v>29731.33</v>
      </c>
      <c r="D315" s="90">
        <v>594.6266</v>
      </c>
    </row>
    <row r="316" s="75" customFormat="1" ht="49.5" customHeight="1" spans="1:4">
      <c r="A316" s="87">
        <v>312</v>
      </c>
      <c r="B316" s="88" t="s">
        <v>1214</v>
      </c>
      <c r="C316" s="89">
        <v>29731.33</v>
      </c>
      <c r="D316" s="90">
        <v>594.6266</v>
      </c>
    </row>
    <row r="317" s="75" customFormat="1" ht="49.5" customHeight="1" spans="1:4">
      <c r="A317" s="87">
        <v>313</v>
      </c>
      <c r="B317" s="88" t="s">
        <v>1216</v>
      </c>
      <c r="C317" s="89">
        <v>29731.33</v>
      </c>
      <c r="D317" s="90">
        <v>594.6266</v>
      </c>
    </row>
    <row r="318" s="75" customFormat="1" ht="49.5" customHeight="1" spans="1:4">
      <c r="A318" s="87">
        <v>314</v>
      </c>
      <c r="B318" s="88" t="s">
        <v>1217</v>
      </c>
      <c r="C318" s="89">
        <v>29731.33</v>
      </c>
      <c r="D318" s="90">
        <v>594.6266</v>
      </c>
    </row>
    <row r="319" s="75" customFormat="1" ht="49.5" customHeight="1" spans="1:4">
      <c r="A319" s="87">
        <v>315</v>
      </c>
      <c r="B319" s="88" t="s">
        <v>1219</v>
      </c>
      <c r="C319" s="89">
        <v>29731.33</v>
      </c>
      <c r="D319" s="90">
        <v>594.6266</v>
      </c>
    </row>
    <row r="320" s="75" customFormat="1" ht="49.5" customHeight="1" spans="1:4">
      <c r="A320" s="87">
        <v>316</v>
      </c>
      <c r="B320" s="88" t="s">
        <v>1221</v>
      </c>
      <c r="C320" s="89">
        <v>29731.33</v>
      </c>
      <c r="D320" s="90">
        <v>594.6266</v>
      </c>
    </row>
    <row r="321" s="75" customFormat="1" ht="49.5" customHeight="1" spans="1:4">
      <c r="A321" s="87">
        <v>317</v>
      </c>
      <c r="B321" s="88" t="s">
        <v>1223</v>
      </c>
      <c r="C321" s="89">
        <v>29731.33</v>
      </c>
      <c r="D321" s="90">
        <v>594.6266</v>
      </c>
    </row>
    <row r="322" s="75" customFormat="1" ht="49.5" customHeight="1" spans="1:4">
      <c r="A322" s="87">
        <v>318</v>
      </c>
      <c r="B322" s="88" t="s">
        <v>1225</v>
      </c>
      <c r="C322" s="89">
        <v>29731.33</v>
      </c>
      <c r="D322" s="90">
        <v>594.6266</v>
      </c>
    </row>
    <row r="323" s="75" customFormat="1" ht="49.5" customHeight="1" spans="1:4">
      <c r="A323" s="87">
        <v>319</v>
      </c>
      <c r="B323" s="88" t="s">
        <v>1227</v>
      </c>
      <c r="C323" s="89">
        <v>29731.33</v>
      </c>
      <c r="D323" s="90">
        <v>594.6266</v>
      </c>
    </row>
    <row r="324" s="75" customFormat="1" ht="49.5" customHeight="1" spans="1:4">
      <c r="A324" s="87">
        <v>320</v>
      </c>
      <c r="B324" s="88" t="s">
        <v>1229</v>
      </c>
      <c r="C324" s="89">
        <v>29731.33</v>
      </c>
      <c r="D324" s="90">
        <v>594.6266</v>
      </c>
    </row>
    <row r="325" s="75" customFormat="1" ht="49.5" customHeight="1" spans="1:4">
      <c r="A325" s="87">
        <v>321</v>
      </c>
      <c r="B325" s="88" t="s">
        <v>1231</v>
      </c>
      <c r="C325" s="89">
        <v>29731.33</v>
      </c>
      <c r="D325" s="90">
        <v>594.6266</v>
      </c>
    </row>
    <row r="326" s="75" customFormat="1" ht="49.5" customHeight="1" spans="1:4">
      <c r="A326" s="87">
        <v>322</v>
      </c>
      <c r="B326" s="88" t="s">
        <v>1232</v>
      </c>
      <c r="C326" s="89">
        <v>29731.33</v>
      </c>
      <c r="D326" s="90">
        <v>594.6266</v>
      </c>
    </row>
    <row r="327" s="75" customFormat="1" ht="49.5" customHeight="1" spans="1:4">
      <c r="A327" s="87">
        <v>323</v>
      </c>
      <c r="B327" s="88" t="s">
        <v>1233</v>
      </c>
      <c r="C327" s="89">
        <v>29731.33</v>
      </c>
      <c r="D327" s="90">
        <v>594.6266</v>
      </c>
    </row>
    <row r="328" s="75" customFormat="1" ht="49.5" customHeight="1" spans="1:4">
      <c r="A328" s="87">
        <v>324</v>
      </c>
      <c r="B328" s="88" t="s">
        <v>1235</v>
      </c>
      <c r="C328" s="89">
        <v>29731.33</v>
      </c>
      <c r="D328" s="90">
        <v>594.6266</v>
      </c>
    </row>
    <row r="329" s="75" customFormat="1" ht="49.5" customHeight="1" spans="1:4">
      <c r="A329" s="87">
        <v>325</v>
      </c>
      <c r="B329" s="88" t="s">
        <v>1237</v>
      </c>
      <c r="C329" s="89">
        <v>29731.33</v>
      </c>
      <c r="D329" s="90">
        <v>594.6266</v>
      </c>
    </row>
    <row r="330" s="75" customFormat="1" ht="49.5" customHeight="1" spans="1:4">
      <c r="A330" s="87">
        <v>326</v>
      </c>
      <c r="B330" s="88" t="s">
        <v>1239</v>
      </c>
      <c r="C330" s="89">
        <v>29731.33</v>
      </c>
      <c r="D330" s="90">
        <v>594.6266</v>
      </c>
    </row>
    <row r="331" s="75" customFormat="1" ht="49.5" customHeight="1" spans="1:4">
      <c r="A331" s="87">
        <v>327</v>
      </c>
      <c r="B331" s="88" t="s">
        <v>1241</v>
      </c>
      <c r="C331" s="89">
        <v>29731.33</v>
      </c>
      <c r="D331" s="90">
        <v>594.6266</v>
      </c>
    </row>
    <row r="332" s="75" customFormat="1" ht="49.5" customHeight="1" spans="1:4">
      <c r="A332" s="87">
        <v>328</v>
      </c>
      <c r="B332" s="88" t="s">
        <v>2185</v>
      </c>
      <c r="C332" s="89">
        <v>32883.33</v>
      </c>
      <c r="D332" s="90">
        <v>657.6666</v>
      </c>
    </row>
    <row r="333" s="75" customFormat="1" ht="49.5" customHeight="1" spans="1:4">
      <c r="A333" s="87">
        <v>329</v>
      </c>
      <c r="B333" s="88" t="s">
        <v>2186</v>
      </c>
      <c r="C333" s="89">
        <v>32883.33</v>
      </c>
      <c r="D333" s="90">
        <v>657.6666</v>
      </c>
    </row>
    <row r="334" s="75" customFormat="1" ht="49.5" customHeight="1" spans="1:4">
      <c r="A334" s="87">
        <v>330</v>
      </c>
      <c r="B334" s="88" t="s">
        <v>1248</v>
      </c>
      <c r="C334" s="89">
        <v>32883.33</v>
      </c>
      <c r="D334" s="90">
        <v>657.6666</v>
      </c>
    </row>
    <row r="335" s="75" customFormat="1" ht="49.5" customHeight="1" spans="1:4">
      <c r="A335" s="87">
        <v>331</v>
      </c>
      <c r="B335" s="88" t="s">
        <v>1250</v>
      </c>
      <c r="C335" s="89">
        <v>71248.4076</v>
      </c>
      <c r="D335" s="90">
        <v>1424.968152</v>
      </c>
    </row>
    <row r="336" s="75" customFormat="1" ht="49.5" customHeight="1" spans="1:4">
      <c r="A336" s="87">
        <v>332</v>
      </c>
      <c r="B336" s="88" t="s">
        <v>1264</v>
      </c>
      <c r="C336" s="89">
        <v>111721.41</v>
      </c>
      <c r="D336" s="90">
        <v>2234.4282</v>
      </c>
    </row>
    <row r="337" s="75" customFormat="1" ht="49.5" customHeight="1" spans="1:4">
      <c r="A337" s="87">
        <v>333</v>
      </c>
      <c r="B337" s="88" t="s">
        <v>1266</v>
      </c>
      <c r="C337" s="89">
        <v>146221.41</v>
      </c>
      <c r="D337" s="90">
        <v>2924.4282</v>
      </c>
    </row>
    <row r="338" s="75" customFormat="1" ht="49.5" customHeight="1" spans="1:4">
      <c r="A338" s="87">
        <v>334</v>
      </c>
      <c r="B338" s="88" t="s">
        <v>2188</v>
      </c>
      <c r="C338" s="89">
        <v>146221.41</v>
      </c>
      <c r="D338" s="90">
        <v>2924.4282</v>
      </c>
    </row>
    <row r="339" s="75" customFormat="1" ht="49.5" customHeight="1" spans="1:4">
      <c r="A339" s="87">
        <v>335</v>
      </c>
      <c r="B339" s="88" t="s">
        <v>1269</v>
      </c>
      <c r="C339" s="89">
        <v>111721.41</v>
      </c>
      <c r="D339" s="90">
        <v>2234.4282</v>
      </c>
    </row>
    <row r="340" s="75" customFormat="1" ht="49.5" customHeight="1" spans="1:4">
      <c r="A340" s="87">
        <v>336</v>
      </c>
      <c r="B340" s="88" t="s">
        <v>1271</v>
      </c>
      <c r="C340" s="89">
        <v>126624.58</v>
      </c>
      <c r="D340" s="90">
        <v>2532.4916</v>
      </c>
    </row>
    <row r="341" s="75" customFormat="1" ht="49.5" customHeight="1" spans="1:4">
      <c r="A341" s="87">
        <v>337</v>
      </c>
      <c r="B341" s="88" t="s">
        <v>1273</v>
      </c>
      <c r="C341" s="89">
        <v>126624.58</v>
      </c>
      <c r="D341" s="90">
        <v>2532.4916</v>
      </c>
    </row>
    <row r="342" s="75" customFormat="1" ht="49.5" customHeight="1" spans="1:4">
      <c r="A342" s="87">
        <v>338</v>
      </c>
      <c r="B342" s="88" t="s">
        <v>1275</v>
      </c>
      <c r="C342" s="89">
        <v>126624.58</v>
      </c>
      <c r="D342" s="90">
        <v>2532.4916</v>
      </c>
    </row>
    <row r="343" s="75" customFormat="1" ht="49.5" customHeight="1" spans="1:4">
      <c r="A343" s="87">
        <v>339</v>
      </c>
      <c r="B343" s="88" t="s">
        <v>1276</v>
      </c>
      <c r="C343" s="89">
        <v>126624.58</v>
      </c>
      <c r="D343" s="90">
        <v>2532.4916</v>
      </c>
    </row>
    <row r="344" s="75" customFormat="1" ht="49.5" customHeight="1" spans="1:4">
      <c r="A344" s="87">
        <v>340</v>
      </c>
      <c r="B344" s="88" t="s">
        <v>1278</v>
      </c>
      <c r="C344" s="89">
        <v>126624.58</v>
      </c>
      <c r="D344" s="90">
        <v>2532.4916</v>
      </c>
    </row>
    <row r="345" s="75" customFormat="1" ht="49.5" customHeight="1" spans="1:4">
      <c r="A345" s="87">
        <v>341</v>
      </c>
      <c r="B345" s="88" t="s">
        <v>1280</v>
      </c>
      <c r="C345" s="89">
        <v>126624.58</v>
      </c>
      <c r="D345" s="90">
        <v>2532.4916</v>
      </c>
    </row>
    <row r="346" s="75" customFormat="1" ht="49.5" customHeight="1" spans="1:4">
      <c r="A346" s="87">
        <v>342</v>
      </c>
      <c r="B346" s="88" t="s">
        <v>2189</v>
      </c>
      <c r="C346" s="89">
        <v>126624.58</v>
      </c>
      <c r="D346" s="90">
        <v>2532.4916</v>
      </c>
    </row>
    <row r="347" s="75" customFormat="1" ht="49.5" customHeight="1" spans="1:4">
      <c r="A347" s="87">
        <v>343</v>
      </c>
      <c r="B347" s="88" t="s">
        <v>1284</v>
      </c>
      <c r="C347" s="89">
        <v>126624.58</v>
      </c>
      <c r="D347" s="90">
        <v>2532.4916</v>
      </c>
    </row>
    <row r="348" s="75" customFormat="1" ht="49.5" customHeight="1" spans="1:4">
      <c r="A348" s="87">
        <v>344</v>
      </c>
      <c r="B348" s="88" t="s">
        <v>1286</v>
      </c>
      <c r="C348" s="89">
        <v>126624.58</v>
      </c>
      <c r="D348" s="90">
        <v>2532.4916</v>
      </c>
    </row>
    <row r="349" s="75" customFormat="1" ht="49.5" customHeight="1" spans="1:4">
      <c r="A349" s="87">
        <v>345</v>
      </c>
      <c r="B349" s="88" t="s">
        <v>1288</v>
      </c>
      <c r="C349" s="89">
        <v>126624.58</v>
      </c>
      <c r="D349" s="90">
        <v>2532.4916</v>
      </c>
    </row>
    <row r="350" s="75" customFormat="1" ht="49.5" customHeight="1" spans="1:4">
      <c r="A350" s="87">
        <v>346</v>
      </c>
      <c r="B350" s="88" t="s">
        <v>1290</v>
      </c>
      <c r="C350" s="89">
        <v>126624.58</v>
      </c>
      <c r="D350" s="90">
        <v>2532.4916</v>
      </c>
    </row>
    <row r="351" s="75" customFormat="1" ht="49.5" customHeight="1" spans="1:4">
      <c r="A351" s="87">
        <v>347</v>
      </c>
      <c r="B351" s="88" t="s">
        <v>1292</v>
      </c>
      <c r="C351" s="89">
        <v>96624.58</v>
      </c>
      <c r="D351" s="90">
        <v>1932.4916</v>
      </c>
    </row>
    <row r="352" s="75" customFormat="1" ht="49.5" customHeight="1" spans="1:4">
      <c r="A352" s="87">
        <v>348</v>
      </c>
      <c r="B352" s="88" t="s">
        <v>2190</v>
      </c>
      <c r="C352" s="89">
        <v>422264.99</v>
      </c>
      <c r="D352" s="90">
        <v>8445.2998</v>
      </c>
    </row>
    <row r="353" s="75" customFormat="1" ht="49.5" customHeight="1" spans="1:4">
      <c r="A353" s="87">
        <v>349</v>
      </c>
      <c r="B353" s="88" t="s">
        <v>2187</v>
      </c>
      <c r="C353" s="89">
        <v>111721.41</v>
      </c>
      <c r="D353" s="90">
        <v>4468.8564</v>
      </c>
    </row>
    <row r="354" s="75" customFormat="1" ht="49.5" customHeight="1" spans="1:4">
      <c r="A354" s="87">
        <v>350</v>
      </c>
      <c r="B354" s="88" t="s">
        <v>1302</v>
      </c>
      <c r="C354" s="89">
        <v>275557.75</v>
      </c>
      <c r="D354" s="90">
        <v>5511.155</v>
      </c>
    </row>
    <row r="355" s="75" customFormat="1" ht="49.5" customHeight="1" spans="1:4">
      <c r="A355" s="87">
        <v>351</v>
      </c>
      <c r="B355" s="88" t="s">
        <v>1306</v>
      </c>
      <c r="C355" s="89">
        <v>49429.33</v>
      </c>
      <c r="D355" s="90">
        <v>988.5866</v>
      </c>
    </row>
    <row r="356" ht="48" customHeight="1" spans="1:4">
      <c r="A356" s="83"/>
      <c r="B356" s="83" t="s">
        <v>867</v>
      </c>
      <c r="C356" s="91" t="e">
        <f>SUM(C165:C355)</f>
        <v>#REF!</v>
      </c>
      <c r="D356" s="91" t="e">
        <f>SUM(D164:D355)</f>
        <v>#REF!</v>
      </c>
    </row>
    <row r="357" ht="49.5" customHeight="1" spans="1:4">
      <c r="A357" s="92"/>
      <c r="B357" s="83" t="s">
        <v>1517</v>
      </c>
      <c r="C357" s="91" t="e">
        <f>C356+C162</f>
        <v>#REF!</v>
      </c>
      <c r="D357" s="91" t="e">
        <f>D356+D162</f>
        <v>#REF!</v>
      </c>
    </row>
  </sheetData>
  <mergeCells count="2">
    <mergeCell ref="A1:D1"/>
    <mergeCell ref="B163:D163"/>
  </mergeCells>
  <pageMargins left="0.7" right="0.7" top="0.75" bottom="0.75" header="0.3" footer="0.3"/>
  <pageSetup paperSize="1" scale="6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7"/>
  <sheetViews>
    <sheetView view="pageBreakPreview" zoomScale="60" zoomScaleNormal="100" workbookViewId="0">
      <selection activeCell="B15" sqref="B15"/>
    </sheetView>
  </sheetViews>
  <sheetFormatPr defaultColWidth="11.5047619047619" defaultRowHeight="33.75" outlineLevelCol="2"/>
  <cols>
    <col min="1" max="1" width="11.5047619047619" style="63"/>
    <col min="2" max="2" width="100.161904761905" customWidth="1"/>
    <col min="3" max="3" width="41.3333333333333" style="2" customWidth="1"/>
    <col min="6" max="6" width="11.1619047619048" customWidth="1"/>
  </cols>
  <sheetData>
    <row r="1" ht="252" customHeight="1" spans="1:3">
      <c r="A1" s="64" t="s">
        <v>2345</v>
      </c>
      <c r="B1" s="64"/>
      <c r="C1" s="64"/>
    </row>
    <row r="2" ht="48" spans="1:3">
      <c r="A2" s="65" t="s">
        <v>2</v>
      </c>
      <c r="B2" s="66" t="s">
        <v>3</v>
      </c>
      <c r="C2" s="51" t="s">
        <v>862</v>
      </c>
    </row>
    <row r="3" ht="34.5" spans="1:3">
      <c r="A3" s="67">
        <v>1</v>
      </c>
      <c r="B3" s="68" t="s">
        <v>180</v>
      </c>
      <c r="C3" s="69">
        <v>1000</v>
      </c>
    </row>
    <row r="4" ht="34.5" spans="1:3">
      <c r="A4" s="67">
        <v>2</v>
      </c>
      <c r="B4" s="68" t="s">
        <v>224</v>
      </c>
      <c r="C4" s="69">
        <v>1000</v>
      </c>
    </row>
    <row r="5" ht="34.5" spans="1:3">
      <c r="A5" s="67">
        <v>3</v>
      </c>
      <c r="B5" s="68" t="s">
        <v>355</v>
      </c>
      <c r="C5" s="69">
        <v>1000</v>
      </c>
    </row>
    <row r="6" ht="34.5" spans="1:3">
      <c r="A6" s="67">
        <v>4</v>
      </c>
      <c r="B6" s="68" t="s">
        <v>413</v>
      </c>
      <c r="C6" s="69">
        <v>1000</v>
      </c>
    </row>
    <row r="7" ht="34.5" spans="1:3">
      <c r="A7" s="67">
        <v>5</v>
      </c>
      <c r="B7" s="68" t="s">
        <v>757</v>
      </c>
      <c r="C7" s="69">
        <f>'TEACHING STAFF'!AZ279</f>
        <v>1000</v>
      </c>
    </row>
    <row r="8" ht="34.5" spans="1:3">
      <c r="A8" s="67">
        <v>6</v>
      </c>
      <c r="B8" s="68" t="str">
        <f>'TEACHING STAFF'!B275</f>
        <v>SEPEREGHA GODSGIFT OUSEIBAI</v>
      </c>
      <c r="C8" s="69">
        <f>'TEACHING STAFF'!AZ275</f>
        <v>1000</v>
      </c>
    </row>
    <row r="9" ht="34.5" spans="1:3">
      <c r="A9" s="67">
        <v>7</v>
      </c>
      <c r="B9" s="68" t="s">
        <v>414</v>
      </c>
      <c r="C9" s="69">
        <v>1000</v>
      </c>
    </row>
    <row r="10" ht="34.5" spans="1:3">
      <c r="A10" s="67">
        <v>8</v>
      </c>
      <c r="B10" s="68" t="str">
        <f>'TEACHING STAFF'!B273</f>
        <v>WARLIKE JOEL UCHE</v>
      </c>
      <c r="C10" s="69">
        <f>'TEACHING STAFF'!AZ273</f>
        <v>1000</v>
      </c>
    </row>
    <row r="11" ht="34.5" spans="1:3">
      <c r="A11" s="67">
        <v>9</v>
      </c>
      <c r="B11" s="68" t="str">
        <f>'TEACHING STAFF'!B212</f>
        <v>AREMIEYE ONYINPREYE</v>
      </c>
      <c r="C11" s="69">
        <f>C10</f>
        <v>1000</v>
      </c>
    </row>
    <row r="12" ht="34.5" spans="1:3">
      <c r="A12" s="67">
        <v>10</v>
      </c>
      <c r="B12" s="70" t="s">
        <v>612</v>
      </c>
      <c r="C12" s="69">
        <f>C10</f>
        <v>1000</v>
      </c>
    </row>
    <row r="13" ht="34.5" spans="1:3">
      <c r="A13" s="67">
        <v>11</v>
      </c>
      <c r="B13" s="70" t="s">
        <v>614</v>
      </c>
      <c r="C13" s="69">
        <f>'TEACHING STAFF'!AZ275</f>
        <v>1000</v>
      </c>
    </row>
    <row r="14" ht="34.5" spans="1:3">
      <c r="A14" s="67">
        <v>12</v>
      </c>
      <c r="B14" s="70" t="str">
        <f>'TEACHING STAFF'!B197</f>
        <v>LAWRENCE EWHUS SAPELE</v>
      </c>
      <c r="C14" s="69">
        <f>C13</f>
        <v>1000</v>
      </c>
    </row>
    <row r="15" ht="34.5" spans="1:3">
      <c r="A15" s="67">
        <v>13</v>
      </c>
      <c r="B15" s="68" t="s">
        <v>434</v>
      </c>
      <c r="C15" s="69">
        <v>1000</v>
      </c>
    </row>
    <row r="16" ht="34.5" spans="1:3">
      <c r="A16" s="67">
        <v>14</v>
      </c>
      <c r="B16" s="68" t="s">
        <v>492</v>
      </c>
      <c r="C16" s="69">
        <v>1000</v>
      </c>
    </row>
    <row r="17" ht="46.5" spans="1:3">
      <c r="A17" s="71"/>
      <c r="B17" s="72" t="s">
        <v>867</v>
      </c>
      <c r="C17" s="73">
        <f>SUM(C3:C16)</f>
        <v>14000</v>
      </c>
    </row>
  </sheetData>
  <mergeCells count="1">
    <mergeCell ref="A1:C1"/>
  </mergeCells>
  <pageMargins left="0.7" right="0.7" top="0.75" bottom="0.75" header="0.3" footer="0.3"/>
  <pageSetup paperSize="9" scale="62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view="pageBreakPreview" zoomScale="60" zoomScaleNormal="100" workbookViewId="0">
      <selection activeCell="A2" sqref="A2:C2"/>
    </sheetView>
  </sheetViews>
  <sheetFormatPr defaultColWidth="11" defaultRowHeight="15" outlineLevelCol="2"/>
  <cols>
    <col min="1" max="1" width="10.8285714285714" style="1"/>
    <col min="2" max="2" width="99.1619047619048" customWidth="1"/>
    <col min="3" max="3" width="34.8285714285714" style="2" customWidth="1"/>
  </cols>
  <sheetData>
    <row r="1" ht="89" customHeight="1" spans="1:3">
      <c r="A1" s="60" t="s">
        <v>2346</v>
      </c>
      <c r="B1" s="60"/>
      <c r="C1" s="60"/>
    </row>
    <row r="2" ht="43" customHeight="1" spans="1:3">
      <c r="A2" s="61" t="s">
        <v>2</v>
      </c>
      <c r="B2" s="61" t="s">
        <v>1836</v>
      </c>
      <c r="C2" s="61" t="s">
        <v>862</v>
      </c>
    </row>
    <row r="3" ht="35" customHeight="1" spans="1:3">
      <c r="A3" s="10">
        <v>1</v>
      </c>
      <c r="B3" s="12" t="s">
        <v>872</v>
      </c>
      <c r="C3" s="13">
        <v>7940.2784</v>
      </c>
    </row>
    <row r="4" ht="32.25" spans="1:3">
      <c r="A4" s="10">
        <v>2</v>
      </c>
      <c r="B4" s="12" t="s">
        <v>876</v>
      </c>
      <c r="C4" s="13">
        <v>6893.595</v>
      </c>
    </row>
    <row r="5" ht="32.25" spans="1:3">
      <c r="A5" s="10">
        <v>3</v>
      </c>
      <c r="B5" s="12" t="s">
        <v>878</v>
      </c>
      <c r="C5" s="13">
        <v>6893.595</v>
      </c>
    </row>
    <row r="6" ht="32.25" spans="1:3">
      <c r="A6" s="10">
        <v>4</v>
      </c>
      <c r="B6" s="12" t="s">
        <v>880</v>
      </c>
      <c r="C6" s="13">
        <v>6893.595</v>
      </c>
    </row>
    <row r="7" ht="32.25" spans="1:3">
      <c r="A7" s="10">
        <v>5</v>
      </c>
      <c r="B7" s="12" t="s">
        <v>881</v>
      </c>
      <c r="C7" s="13">
        <v>5397.0126</v>
      </c>
    </row>
    <row r="8" ht="32.25" spans="1:3">
      <c r="A8" s="10">
        <v>6</v>
      </c>
      <c r="B8" s="12" t="s">
        <v>882</v>
      </c>
      <c r="C8" s="13">
        <v>6893.595</v>
      </c>
    </row>
    <row r="9" ht="32.25" spans="1:3">
      <c r="A9" s="10">
        <v>7</v>
      </c>
      <c r="B9" s="12" t="s">
        <v>891</v>
      </c>
      <c r="C9" s="13">
        <v>11107.0234</v>
      </c>
    </row>
    <row r="10" ht="32.25" spans="1:3">
      <c r="A10" s="10">
        <v>8</v>
      </c>
      <c r="B10" s="12" t="s">
        <v>894</v>
      </c>
      <c r="C10" s="13">
        <v>11107.0234</v>
      </c>
    </row>
    <row r="11" ht="32.25" spans="1:3">
      <c r="A11" s="10">
        <v>9</v>
      </c>
      <c r="B11" s="12" t="s">
        <v>896</v>
      </c>
      <c r="C11" s="13">
        <v>8201.9466</v>
      </c>
    </row>
    <row r="12" ht="32.25" spans="1:3">
      <c r="A12" s="10">
        <v>10</v>
      </c>
      <c r="B12" s="12" t="s">
        <v>898</v>
      </c>
      <c r="C12" s="13">
        <v>4584.625</v>
      </c>
    </row>
    <row r="13" ht="32.25" spans="1:3">
      <c r="A13" s="10">
        <v>11</v>
      </c>
      <c r="B13" s="12" t="s">
        <v>900</v>
      </c>
      <c r="C13" s="13">
        <v>3641.7466</v>
      </c>
    </row>
    <row r="14" ht="32.25" spans="1:3">
      <c r="A14" s="10">
        <v>12</v>
      </c>
      <c r="B14" s="12" t="s">
        <v>901</v>
      </c>
      <c r="C14" s="13">
        <v>5154.4934</v>
      </c>
    </row>
    <row r="15" ht="32.25" spans="1:3">
      <c r="A15" s="10">
        <v>13</v>
      </c>
      <c r="B15" s="12" t="s">
        <v>903</v>
      </c>
      <c r="C15" s="13">
        <v>5944.4034</v>
      </c>
    </row>
    <row r="16" ht="32.25" spans="1:3">
      <c r="A16" s="10">
        <v>14</v>
      </c>
      <c r="B16" s="12" t="s">
        <v>905</v>
      </c>
      <c r="C16" s="13">
        <v>8463.6184</v>
      </c>
    </row>
    <row r="17" ht="32.25" spans="1:3">
      <c r="A17" s="10">
        <v>15</v>
      </c>
      <c r="B17" s="12" t="s">
        <v>907</v>
      </c>
      <c r="C17" s="13">
        <v>5397.0134</v>
      </c>
    </row>
    <row r="18" ht="32.25" spans="1:3">
      <c r="A18" s="10">
        <v>16</v>
      </c>
      <c r="B18" s="12" t="s">
        <v>908</v>
      </c>
      <c r="C18" s="13">
        <v>8986.96041666667</v>
      </c>
    </row>
    <row r="19" ht="32.25" spans="1:3">
      <c r="A19" s="10">
        <v>17</v>
      </c>
      <c r="B19" s="12" t="s">
        <v>910</v>
      </c>
      <c r="C19" s="13">
        <v>3956.4266</v>
      </c>
    </row>
    <row r="20" ht="32.25" spans="1:3">
      <c r="A20" s="10">
        <v>18</v>
      </c>
      <c r="B20" s="12" t="s">
        <v>914</v>
      </c>
      <c r="C20" s="13">
        <v>4812.5734</v>
      </c>
    </row>
    <row r="21" ht="32.25" spans="1:3">
      <c r="A21" s="10">
        <v>19</v>
      </c>
      <c r="B21" s="12" t="s">
        <v>919</v>
      </c>
      <c r="C21" s="13">
        <v>5397.0134</v>
      </c>
    </row>
    <row r="22" ht="32.25" spans="1:3">
      <c r="A22" s="10">
        <v>20</v>
      </c>
      <c r="B22" s="12" t="s">
        <v>921</v>
      </c>
      <c r="C22" s="13">
        <v>10556.2316</v>
      </c>
    </row>
    <row r="23" ht="32.25" spans="1:3">
      <c r="A23" s="10">
        <v>21</v>
      </c>
      <c r="B23" s="12" t="s">
        <v>925</v>
      </c>
      <c r="C23" s="13">
        <v>4470.6516</v>
      </c>
    </row>
    <row r="24" ht="32.25" spans="1:3">
      <c r="A24" s="10">
        <v>22</v>
      </c>
      <c r="B24" s="12" t="s">
        <v>927</v>
      </c>
      <c r="C24" s="13">
        <v>4584.625</v>
      </c>
    </row>
    <row r="25" ht="32.25" spans="1:3">
      <c r="A25" s="10">
        <v>23</v>
      </c>
      <c r="B25" s="12" t="s">
        <v>929</v>
      </c>
      <c r="C25" s="13">
        <v>4470.6516</v>
      </c>
    </row>
    <row r="26" ht="32.25" spans="1:3">
      <c r="A26" s="10">
        <v>24</v>
      </c>
      <c r="B26" s="12" t="s">
        <v>931</v>
      </c>
      <c r="C26" s="13">
        <v>5040.52</v>
      </c>
    </row>
    <row r="27" ht="32.25" spans="1:3">
      <c r="A27" s="10">
        <v>25</v>
      </c>
      <c r="B27" s="12" t="s">
        <v>933</v>
      </c>
      <c r="C27" s="13">
        <v>4584.625</v>
      </c>
    </row>
    <row r="28" ht="32.25" spans="1:3">
      <c r="A28" s="10">
        <v>26</v>
      </c>
      <c r="B28" s="12" t="s">
        <v>936</v>
      </c>
      <c r="C28" s="13">
        <v>4584.625</v>
      </c>
    </row>
    <row r="29" ht="32.25" spans="1:3">
      <c r="A29" s="10">
        <v>27</v>
      </c>
      <c r="B29" s="12" t="s">
        <v>938</v>
      </c>
      <c r="C29" s="13">
        <v>4356.6784</v>
      </c>
    </row>
    <row r="30" ht="32.25" spans="1:3">
      <c r="A30" s="10">
        <v>28</v>
      </c>
      <c r="B30" s="12" t="s">
        <v>939</v>
      </c>
      <c r="C30" s="13">
        <v>4584.625</v>
      </c>
    </row>
    <row r="31" ht="32.25" spans="1:3">
      <c r="A31" s="10">
        <v>29</v>
      </c>
      <c r="B31" s="12" t="s">
        <v>941</v>
      </c>
      <c r="C31" s="13">
        <v>3308.82916666667</v>
      </c>
    </row>
    <row r="32" ht="32.25" spans="1:3">
      <c r="A32" s="10">
        <v>30</v>
      </c>
      <c r="B32" s="12" t="s">
        <v>943</v>
      </c>
      <c r="C32" s="13">
        <v>3397.9516</v>
      </c>
    </row>
    <row r="33" ht="32.25" spans="1:3">
      <c r="A33" s="10">
        <v>31</v>
      </c>
      <c r="B33" s="12" t="s">
        <v>944</v>
      </c>
      <c r="C33" s="13">
        <v>3487.0734</v>
      </c>
    </row>
    <row r="34" ht="32.25" spans="1:3">
      <c r="A34" s="10">
        <v>32</v>
      </c>
      <c r="B34" s="12" t="s">
        <v>945</v>
      </c>
      <c r="C34" s="13">
        <v>3487.0734</v>
      </c>
    </row>
    <row r="35" ht="32.25" spans="1:3">
      <c r="A35" s="10">
        <v>33</v>
      </c>
      <c r="B35" s="12" t="s">
        <v>946</v>
      </c>
      <c r="C35" s="13">
        <v>4356.6784</v>
      </c>
    </row>
    <row r="36" ht="32.25" spans="1:3">
      <c r="A36" s="10">
        <v>34</v>
      </c>
      <c r="B36" s="12" t="s">
        <v>948</v>
      </c>
      <c r="C36" s="13">
        <v>3956.4266</v>
      </c>
    </row>
    <row r="37" ht="32.25" spans="1:3">
      <c r="A37" s="10">
        <v>35</v>
      </c>
      <c r="B37" s="12" t="s">
        <v>955</v>
      </c>
      <c r="C37" s="13">
        <v>8201.9466</v>
      </c>
    </row>
    <row r="38" ht="32.25" spans="1:3">
      <c r="A38" s="10">
        <v>36</v>
      </c>
      <c r="B38" s="12" t="s">
        <v>991</v>
      </c>
      <c r="C38" s="13">
        <v>3041.66</v>
      </c>
    </row>
    <row r="39" ht="32.25" spans="1:3">
      <c r="A39" s="10">
        <v>37</v>
      </c>
      <c r="B39" s="12" t="s">
        <v>997</v>
      </c>
      <c r="C39" s="13">
        <v>3746.6394</v>
      </c>
    </row>
    <row r="40" ht="32.25" spans="1:3">
      <c r="A40" s="10">
        <v>38</v>
      </c>
      <c r="B40" s="12" t="s">
        <v>1004</v>
      </c>
      <c r="C40" s="13">
        <v>5214.5516</v>
      </c>
    </row>
    <row r="41" ht="32.25" spans="1:3">
      <c r="A41" s="10">
        <v>39</v>
      </c>
      <c r="B41" s="12" t="s">
        <v>1006</v>
      </c>
      <c r="C41" s="13">
        <v>5214.5516</v>
      </c>
    </row>
    <row r="42" ht="32.25" spans="1:3">
      <c r="A42" s="10">
        <v>40</v>
      </c>
      <c r="B42" s="12" t="s">
        <v>1008</v>
      </c>
      <c r="C42" s="13">
        <v>5761.9416</v>
      </c>
    </row>
    <row r="43" ht="32.25" spans="1:3">
      <c r="A43" s="10">
        <v>41</v>
      </c>
      <c r="B43" s="12" t="s">
        <v>1010</v>
      </c>
      <c r="C43" s="13">
        <v>5214.5516</v>
      </c>
    </row>
    <row r="44" ht="32.25" spans="1:3">
      <c r="A44" s="10">
        <v>42</v>
      </c>
      <c r="B44" s="12" t="s">
        <v>1012</v>
      </c>
      <c r="C44" s="13">
        <v>5214.5516</v>
      </c>
    </row>
    <row r="45" ht="32.25" spans="1:3">
      <c r="A45" s="10">
        <v>43</v>
      </c>
      <c r="B45" s="12" t="s">
        <v>1015</v>
      </c>
      <c r="C45" s="13">
        <v>5214.5516</v>
      </c>
    </row>
    <row r="46" ht="32.25" spans="1:3">
      <c r="A46" s="10">
        <v>44</v>
      </c>
      <c r="B46" s="12" t="s">
        <v>1017</v>
      </c>
      <c r="C46" s="13">
        <v>5214.5516</v>
      </c>
    </row>
    <row r="47" ht="32.25" spans="1:3">
      <c r="A47" s="10">
        <v>45</v>
      </c>
      <c r="B47" s="12" t="s">
        <v>1019</v>
      </c>
      <c r="C47" s="13">
        <v>6309.3316</v>
      </c>
    </row>
    <row r="48" ht="32.25" spans="1:3">
      <c r="A48" s="10">
        <v>46</v>
      </c>
      <c r="B48" s="12" t="s">
        <v>1020</v>
      </c>
      <c r="C48" s="13">
        <v>8201.9466</v>
      </c>
    </row>
    <row r="49" ht="32.25" spans="1:3">
      <c r="A49" s="10">
        <v>47</v>
      </c>
      <c r="B49" s="12" t="s">
        <v>1022</v>
      </c>
      <c r="C49" s="13">
        <v>7155.265</v>
      </c>
    </row>
    <row r="50" ht="32.25" spans="1:3">
      <c r="A50" s="10">
        <v>48</v>
      </c>
      <c r="B50" s="12" t="s">
        <v>1024</v>
      </c>
      <c r="C50" s="13">
        <v>7940.2784</v>
      </c>
    </row>
    <row r="51" ht="32.25" spans="1:3">
      <c r="A51" s="10">
        <v>49</v>
      </c>
      <c r="B51" s="12" t="s">
        <v>1026</v>
      </c>
      <c r="C51" s="13">
        <v>5214.5516</v>
      </c>
    </row>
    <row r="52" ht="32.25" spans="1:3">
      <c r="A52" s="10">
        <v>50</v>
      </c>
      <c r="B52" s="12" t="s">
        <v>1028</v>
      </c>
      <c r="C52" s="13">
        <v>5032.0884</v>
      </c>
    </row>
    <row r="53" ht="32.25" spans="1:3">
      <c r="A53" s="10">
        <v>51</v>
      </c>
      <c r="B53" s="12" t="s">
        <v>1030</v>
      </c>
      <c r="C53" s="13">
        <v>5214.5516</v>
      </c>
    </row>
    <row r="54" ht="32.25" spans="1:3">
      <c r="A54" s="10">
        <v>52</v>
      </c>
      <c r="B54" s="12" t="s">
        <v>1034</v>
      </c>
      <c r="C54" s="13">
        <v>7940.2784</v>
      </c>
    </row>
    <row r="55" ht="32.25" spans="1:3">
      <c r="A55" s="10">
        <v>53</v>
      </c>
      <c r="B55" s="12" t="s">
        <v>1036</v>
      </c>
      <c r="C55" s="13">
        <v>4470.6516</v>
      </c>
    </row>
    <row r="56" ht="32.25" spans="1:3">
      <c r="A56" s="10">
        <v>54</v>
      </c>
      <c r="B56" s="12" t="s">
        <v>1041</v>
      </c>
      <c r="C56" s="13">
        <v>5761.9416</v>
      </c>
    </row>
    <row r="57" ht="32.25" spans="1:3">
      <c r="A57" s="10">
        <v>55</v>
      </c>
      <c r="B57" s="12" t="s">
        <v>1043</v>
      </c>
      <c r="C57" s="13">
        <v>5397.0134</v>
      </c>
    </row>
    <row r="58" ht="32.25" spans="1:3">
      <c r="A58" s="10">
        <v>56</v>
      </c>
      <c r="B58" s="12" t="s">
        <v>1045</v>
      </c>
      <c r="C58" s="13">
        <v>1619.9996</v>
      </c>
    </row>
    <row r="59" ht="32.25" spans="1:3">
      <c r="A59" s="10">
        <v>57</v>
      </c>
      <c r="B59" s="12" t="s">
        <v>1047</v>
      </c>
      <c r="C59" s="13">
        <v>1619.9996</v>
      </c>
    </row>
    <row r="60" ht="32.25" spans="1:3">
      <c r="A60" s="10">
        <v>58</v>
      </c>
      <c r="B60" s="12" t="s">
        <v>1053</v>
      </c>
      <c r="C60" s="13">
        <v>4812.5734</v>
      </c>
    </row>
    <row r="61" ht="32.25" spans="1:3">
      <c r="A61" s="10">
        <v>59</v>
      </c>
      <c r="B61" s="12" t="s">
        <v>1054</v>
      </c>
      <c r="C61" s="13">
        <v>5397.0134</v>
      </c>
    </row>
    <row r="62" ht="32.25" spans="1:3">
      <c r="A62" s="10">
        <v>60</v>
      </c>
      <c r="B62" s="12" t="s">
        <v>1056</v>
      </c>
      <c r="C62" s="13">
        <v>5214.5516</v>
      </c>
    </row>
    <row r="63" ht="32.25" spans="1:3">
      <c r="A63" s="10">
        <v>61</v>
      </c>
      <c r="B63" s="12" t="s">
        <v>1058</v>
      </c>
      <c r="C63" s="13">
        <v>5214.5516</v>
      </c>
    </row>
    <row r="64" ht="32.25" spans="1:3">
      <c r="A64" s="10">
        <v>62</v>
      </c>
      <c r="B64" s="12" t="s">
        <v>1060</v>
      </c>
      <c r="C64" s="13">
        <v>5214.5516</v>
      </c>
    </row>
    <row r="65" ht="32.25" spans="1:3">
      <c r="A65" s="10">
        <v>63</v>
      </c>
      <c r="B65" s="12" t="s">
        <v>1062</v>
      </c>
      <c r="C65" s="13">
        <v>7155.265</v>
      </c>
    </row>
    <row r="66" ht="32.25" spans="1:3">
      <c r="A66" s="10">
        <v>64</v>
      </c>
      <c r="B66" s="12" t="s">
        <v>1064</v>
      </c>
      <c r="C66" s="13">
        <v>5040.52</v>
      </c>
    </row>
    <row r="67" ht="32.25" spans="1:3">
      <c r="A67" s="10">
        <v>65</v>
      </c>
      <c r="B67" s="12" t="s">
        <v>1066</v>
      </c>
      <c r="C67" s="13">
        <v>5214.5516</v>
      </c>
    </row>
    <row r="68" ht="32.25" spans="1:3">
      <c r="A68" s="10">
        <v>66</v>
      </c>
      <c r="B68" s="12" t="s">
        <v>1068</v>
      </c>
      <c r="C68" s="13">
        <v>5154.4934</v>
      </c>
    </row>
    <row r="69" ht="32.25" spans="1:3">
      <c r="A69" s="10">
        <v>67</v>
      </c>
      <c r="B69" s="12" t="s">
        <v>1070</v>
      </c>
      <c r="C69" s="13">
        <v>12254.0284</v>
      </c>
    </row>
    <row r="70" ht="32.25" spans="1:3">
      <c r="A70" s="10">
        <v>68</v>
      </c>
      <c r="B70" s="12" t="s">
        <v>1072</v>
      </c>
      <c r="C70" s="13">
        <v>5214.5516</v>
      </c>
    </row>
    <row r="71" ht="32.25" spans="1:3">
      <c r="A71" s="10">
        <v>69</v>
      </c>
      <c r="B71" s="12" t="s">
        <v>1074</v>
      </c>
      <c r="C71" s="13">
        <v>5032.0884</v>
      </c>
    </row>
    <row r="72" ht="32.25" spans="1:3">
      <c r="A72" s="10">
        <v>70</v>
      </c>
      <c r="B72" s="12" t="s">
        <v>1076</v>
      </c>
      <c r="C72" s="13">
        <v>5397.0114</v>
      </c>
    </row>
    <row r="73" ht="32.25" spans="1:3">
      <c r="A73" s="10">
        <v>71</v>
      </c>
      <c r="B73" s="12" t="s">
        <v>1078</v>
      </c>
      <c r="C73" s="13">
        <v>5214.5516</v>
      </c>
    </row>
    <row r="74" ht="32.25" spans="1:3">
      <c r="A74" s="10">
        <v>72</v>
      </c>
      <c r="B74" s="12" t="s">
        <v>1080</v>
      </c>
      <c r="C74" s="13">
        <v>7155.265</v>
      </c>
    </row>
    <row r="75" ht="32.25" spans="1:3">
      <c r="A75" s="10">
        <v>73</v>
      </c>
      <c r="B75" s="12" t="s">
        <v>1082</v>
      </c>
      <c r="C75" s="13">
        <v>5214.5516</v>
      </c>
    </row>
    <row r="76" ht="32.25" spans="1:3">
      <c r="A76" s="10">
        <v>74</v>
      </c>
      <c r="B76" s="12" t="s">
        <v>1084</v>
      </c>
      <c r="C76" s="13">
        <v>5032.0884</v>
      </c>
    </row>
    <row r="77" ht="32.25" spans="1:3">
      <c r="A77" s="10">
        <v>75</v>
      </c>
      <c r="B77" s="12" t="s">
        <v>1086</v>
      </c>
      <c r="C77" s="13">
        <v>4356.6784</v>
      </c>
    </row>
    <row r="78" ht="32.25" spans="1:3">
      <c r="A78" s="10">
        <v>76</v>
      </c>
      <c r="B78" s="12" t="s">
        <v>1088</v>
      </c>
      <c r="C78" s="13">
        <v>3487.0734</v>
      </c>
    </row>
    <row r="79" ht="32.25" spans="1:3">
      <c r="A79" s="10">
        <v>77</v>
      </c>
      <c r="B79" s="12" t="s">
        <v>1090</v>
      </c>
      <c r="C79" s="13">
        <v>3308.82916666667</v>
      </c>
    </row>
    <row r="80" ht="32.25" spans="1:3">
      <c r="A80" s="10">
        <v>78</v>
      </c>
      <c r="B80" s="12" t="s">
        <v>1092</v>
      </c>
      <c r="C80" s="13">
        <v>3308.83125</v>
      </c>
    </row>
    <row r="81" ht="32.25" spans="1:3">
      <c r="A81" s="10">
        <v>79</v>
      </c>
      <c r="B81" s="12" t="s">
        <v>1093</v>
      </c>
      <c r="C81" s="13">
        <v>3308.8312</v>
      </c>
    </row>
    <row r="82" ht="32.25" spans="1:3">
      <c r="A82" s="10">
        <v>80</v>
      </c>
      <c r="B82" s="12" t="s">
        <v>1095</v>
      </c>
      <c r="C82" s="13">
        <v>3308.8312</v>
      </c>
    </row>
    <row r="83" ht="32.25" spans="1:3">
      <c r="A83" s="10">
        <v>81</v>
      </c>
      <c r="B83" s="12" t="s">
        <v>1098</v>
      </c>
      <c r="C83" s="13">
        <v>3487.0734</v>
      </c>
    </row>
    <row r="84" ht="32.25" spans="1:3">
      <c r="A84" s="10">
        <v>82</v>
      </c>
      <c r="B84" s="12" t="s">
        <v>1099</v>
      </c>
      <c r="C84" s="13">
        <v>3487.0734</v>
      </c>
    </row>
    <row r="85" ht="32.25" spans="1:3">
      <c r="A85" s="10">
        <v>83</v>
      </c>
      <c r="B85" s="12" t="s">
        <v>1101</v>
      </c>
      <c r="C85" s="13">
        <v>3487.0734</v>
      </c>
    </row>
    <row r="86" ht="32.25" spans="1:3">
      <c r="A86" s="10">
        <v>84</v>
      </c>
      <c r="B86" s="12" t="s">
        <v>1102</v>
      </c>
      <c r="C86" s="13">
        <v>3487.0734</v>
      </c>
    </row>
    <row r="87" ht="32.25" spans="1:3">
      <c r="A87" s="10">
        <v>85</v>
      </c>
      <c r="B87" s="12" t="s">
        <v>1104</v>
      </c>
      <c r="C87" s="13">
        <v>3487.0734</v>
      </c>
    </row>
    <row r="88" ht="32.25" spans="1:3">
      <c r="A88" s="10">
        <v>86</v>
      </c>
      <c r="B88" s="12" t="s">
        <v>1106</v>
      </c>
      <c r="C88" s="13">
        <v>5032.0884</v>
      </c>
    </row>
    <row r="89" ht="32.25" spans="1:3">
      <c r="A89" s="10">
        <v>87</v>
      </c>
      <c r="B89" s="12" t="s">
        <v>1108</v>
      </c>
      <c r="C89" s="13">
        <v>5032.0884</v>
      </c>
    </row>
    <row r="90" ht="32.25" spans="1:3">
      <c r="A90" s="10">
        <v>88</v>
      </c>
      <c r="B90" s="12" t="s">
        <v>1110</v>
      </c>
      <c r="C90" s="13">
        <v>4166.215</v>
      </c>
    </row>
    <row r="91" ht="32.25" spans="1:3">
      <c r="A91" s="10">
        <v>89</v>
      </c>
      <c r="B91" s="12" t="s">
        <v>1112</v>
      </c>
      <c r="C91" s="13">
        <v>1875.8966</v>
      </c>
    </row>
    <row r="92" ht="32.25" spans="1:3">
      <c r="A92" s="10">
        <v>90</v>
      </c>
      <c r="B92" s="12" t="s">
        <v>1120</v>
      </c>
      <c r="C92" s="13">
        <v>3576.1934</v>
      </c>
    </row>
    <row r="93" ht="32.25" spans="1:3">
      <c r="A93" s="10">
        <v>91</v>
      </c>
      <c r="B93" s="12" t="s">
        <v>1122</v>
      </c>
      <c r="C93" s="13">
        <v>1689.70168333333</v>
      </c>
    </row>
    <row r="94" ht="32.25" spans="1:3">
      <c r="A94" s="10">
        <v>92</v>
      </c>
      <c r="B94" s="12" t="s">
        <v>1134</v>
      </c>
      <c r="C94" s="13">
        <v>3041.66</v>
      </c>
    </row>
    <row r="95" ht="32.25" spans="1:3">
      <c r="A95" s="10">
        <v>93</v>
      </c>
      <c r="B95" s="12" t="s">
        <v>1144</v>
      </c>
      <c r="C95" s="13">
        <v>3665.315</v>
      </c>
    </row>
    <row r="96" ht="32.25" spans="1:3">
      <c r="A96" s="10">
        <v>94</v>
      </c>
      <c r="B96" s="12" t="s">
        <v>1151</v>
      </c>
      <c r="C96" s="13">
        <v>3576.1934</v>
      </c>
    </row>
    <row r="97" ht="32.25" spans="1:3">
      <c r="A97" s="10">
        <v>95</v>
      </c>
      <c r="B97" s="12" t="s">
        <v>1250</v>
      </c>
      <c r="C97" s="13">
        <v>3851.53</v>
      </c>
    </row>
    <row r="98" ht="32.25" spans="1:3">
      <c r="A98" s="10">
        <v>96</v>
      </c>
      <c r="B98" s="12" t="s">
        <v>1252</v>
      </c>
      <c r="C98" s="13">
        <v>3487.0734</v>
      </c>
    </row>
    <row r="99" ht="32.25" spans="1:3">
      <c r="A99" s="10">
        <v>97</v>
      </c>
      <c r="B99" s="12" t="s">
        <v>1253</v>
      </c>
      <c r="C99" s="13">
        <v>2491.74375</v>
      </c>
    </row>
    <row r="100" ht="32.25" spans="1:3">
      <c r="A100" s="10">
        <v>98</v>
      </c>
      <c r="B100" s="12" t="s">
        <v>1255</v>
      </c>
      <c r="C100" s="13">
        <v>3397.9516</v>
      </c>
    </row>
    <row r="101" ht="32.25" spans="1:3">
      <c r="A101" s="10">
        <v>99</v>
      </c>
      <c r="B101" s="12" t="s">
        <v>1256</v>
      </c>
      <c r="C101" s="13">
        <v>3487.0734</v>
      </c>
    </row>
    <row r="102" ht="32.25" spans="1:3">
      <c r="A102" s="10">
        <v>100</v>
      </c>
      <c r="B102" s="12" t="s">
        <v>1257</v>
      </c>
      <c r="C102" s="13">
        <v>3641.7466</v>
      </c>
    </row>
    <row r="103" ht="32.25" spans="1:3">
      <c r="A103" s="10">
        <v>101</v>
      </c>
      <c r="B103" s="12" t="s">
        <v>1259</v>
      </c>
      <c r="C103" s="13">
        <v>3487.0734</v>
      </c>
    </row>
    <row r="104" ht="32.25" spans="1:3">
      <c r="A104" s="10">
        <v>102</v>
      </c>
      <c r="B104" s="12" t="s">
        <v>1261</v>
      </c>
      <c r="C104" s="13">
        <v>3487.0734</v>
      </c>
    </row>
    <row r="105" ht="32.25" spans="1:3">
      <c r="A105" s="10">
        <v>103</v>
      </c>
      <c r="B105" s="12" t="s">
        <v>1262</v>
      </c>
      <c r="C105" s="13">
        <v>3397.9516</v>
      </c>
    </row>
    <row r="106" ht="32.25" spans="1:3">
      <c r="A106" s="10">
        <v>104</v>
      </c>
      <c r="B106" s="12" t="s">
        <v>1264</v>
      </c>
      <c r="C106" s="13">
        <v>4356.6784</v>
      </c>
    </row>
    <row r="107" ht="32.25" spans="1:3">
      <c r="A107" s="10">
        <v>105</v>
      </c>
      <c r="B107" s="12" t="s">
        <v>1266</v>
      </c>
      <c r="C107" s="13">
        <v>5032.0884</v>
      </c>
    </row>
    <row r="108" ht="32.25" spans="1:3">
      <c r="A108" s="10">
        <v>106</v>
      </c>
      <c r="B108" s="12" t="s">
        <v>1268</v>
      </c>
      <c r="C108" s="13">
        <v>4376.0034</v>
      </c>
    </row>
    <row r="109" ht="32.25" spans="1:3">
      <c r="A109" s="10">
        <v>107</v>
      </c>
      <c r="B109" s="12" t="s">
        <v>1269</v>
      </c>
      <c r="C109" s="13">
        <v>5214.5516</v>
      </c>
    </row>
    <row r="110" ht="32.25" spans="1:3">
      <c r="A110" s="10">
        <v>108</v>
      </c>
      <c r="B110" s="12" t="s">
        <v>1292</v>
      </c>
      <c r="C110" s="13">
        <v>3851.53</v>
      </c>
    </row>
    <row r="111" ht="32.25" spans="1:3">
      <c r="A111" s="10">
        <v>109</v>
      </c>
      <c r="B111" s="12" t="s">
        <v>1294</v>
      </c>
      <c r="C111" s="13">
        <v>3576.1934</v>
      </c>
    </row>
    <row r="112" ht="32.25" spans="1:3">
      <c r="A112" s="10">
        <v>110</v>
      </c>
      <c r="B112" s="12" t="s">
        <v>1296</v>
      </c>
      <c r="C112" s="13">
        <v>3576.1934</v>
      </c>
    </row>
    <row r="113" ht="32.25" spans="1:3">
      <c r="A113" s="10">
        <v>111</v>
      </c>
      <c r="B113" s="12" t="s">
        <v>1298</v>
      </c>
      <c r="C113" s="13">
        <v>3576.1934</v>
      </c>
    </row>
    <row r="114" ht="32.25" spans="1:3">
      <c r="A114" s="10">
        <v>112</v>
      </c>
      <c r="B114" s="12" t="s">
        <v>1300</v>
      </c>
      <c r="C114" s="13">
        <v>12254.0284</v>
      </c>
    </row>
    <row r="115" ht="32.25" spans="1:3">
      <c r="A115" s="10">
        <v>113</v>
      </c>
      <c r="B115" s="12" t="s">
        <v>1302</v>
      </c>
      <c r="C115" s="13">
        <v>9186.8042</v>
      </c>
    </row>
    <row r="116" ht="32.25" spans="1:3">
      <c r="A116" s="10">
        <v>114</v>
      </c>
      <c r="B116" s="12" t="s">
        <v>1304</v>
      </c>
      <c r="C116" s="13">
        <v>3781.5125</v>
      </c>
    </row>
    <row r="117" ht="32.25" spans="1:3">
      <c r="A117" s="10">
        <v>115</v>
      </c>
      <c r="B117" s="12" t="s">
        <v>1322</v>
      </c>
      <c r="C117" s="13">
        <v>3851.53</v>
      </c>
    </row>
    <row r="118" ht="32.25" spans="1:3">
      <c r="A118" s="10">
        <v>116</v>
      </c>
      <c r="B118" s="12" t="s">
        <v>1324</v>
      </c>
      <c r="C118" s="13">
        <v>3397.9516</v>
      </c>
    </row>
    <row r="119" ht="32.25" spans="1:3">
      <c r="A119" s="10">
        <v>117</v>
      </c>
      <c r="B119" s="12" t="s">
        <v>1332</v>
      </c>
      <c r="C119" s="13">
        <v>3641.7466</v>
      </c>
    </row>
    <row r="120" ht="32.25" spans="1:3">
      <c r="A120" s="10">
        <v>118</v>
      </c>
      <c r="B120" s="12" t="s">
        <v>1334</v>
      </c>
      <c r="C120" s="13">
        <v>2100</v>
      </c>
    </row>
    <row r="121" ht="32.25" spans="1:3">
      <c r="A121" s="10">
        <v>119</v>
      </c>
      <c r="B121" s="12" t="s">
        <v>1336</v>
      </c>
      <c r="C121" s="13">
        <v>2000</v>
      </c>
    </row>
    <row r="122" ht="32.25" spans="1:3">
      <c r="A122" s="10">
        <v>120</v>
      </c>
      <c r="B122" s="12" t="s">
        <v>1344</v>
      </c>
      <c r="C122" s="13">
        <v>3397.9516</v>
      </c>
    </row>
    <row r="123" ht="32.25" spans="1:3">
      <c r="A123" s="10">
        <v>121</v>
      </c>
      <c r="B123" s="12" t="s">
        <v>1346</v>
      </c>
      <c r="C123" s="13">
        <v>3397.9516</v>
      </c>
    </row>
    <row r="124" ht="32.25" spans="1:3">
      <c r="A124" s="10">
        <v>122</v>
      </c>
      <c r="B124" s="12" t="s">
        <v>1348</v>
      </c>
      <c r="C124" s="13">
        <v>3397.9516</v>
      </c>
    </row>
    <row r="125" ht="32.25" spans="1:3">
      <c r="A125" s="10">
        <v>123</v>
      </c>
      <c r="B125" s="12" t="s">
        <v>1350</v>
      </c>
      <c r="C125" s="13">
        <v>3397.9516</v>
      </c>
    </row>
    <row r="126" ht="32.25" spans="1:3">
      <c r="A126" s="10">
        <v>124</v>
      </c>
      <c r="B126" s="12" t="s">
        <v>1352</v>
      </c>
      <c r="C126" s="13">
        <v>3397.9516</v>
      </c>
    </row>
    <row r="127" ht="32.25" spans="1:3">
      <c r="A127" s="10">
        <v>125</v>
      </c>
      <c r="B127" s="12" t="s">
        <v>1354</v>
      </c>
      <c r="C127" s="13">
        <v>3397.9516</v>
      </c>
    </row>
    <row r="128" ht="32.25" spans="1:3">
      <c r="A128" s="10">
        <v>126</v>
      </c>
      <c r="B128" s="12" t="s">
        <v>1355</v>
      </c>
      <c r="C128" s="13">
        <v>3397.9516</v>
      </c>
    </row>
    <row r="129" ht="32.25" spans="1:3">
      <c r="A129" s="10">
        <v>127</v>
      </c>
      <c r="B129" s="12" t="s">
        <v>1357</v>
      </c>
      <c r="C129" s="13">
        <v>3397.9516</v>
      </c>
    </row>
    <row r="130" ht="32.25" spans="1:3">
      <c r="A130" s="10">
        <v>128</v>
      </c>
      <c r="B130" s="12" t="s">
        <v>1358</v>
      </c>
      <c r="C130" s="13">
        <v>3397.9516</v>
      </c>
    </row>
    <row r="131" ht="32.25" spans="1:3">
      <c r="A131" s="10">
        <v>129</v>
      </c>
      <c r="B131" s="12" t="s">
        <v>1360</v>
      </c>
      <c r="C131" s="13">
        <v>3397.9516</v>
      </c>
    </row>
    <row r="132" ht="32.25" spans="1:3">
      <c r="A132" s="10">
        <v>130</v>
      </c>
      <c r="B132" s="12" t="s">
        <v>1362</v>
      </c>
      <c r="C132" s="13">
        <v>3397.9516</v>
      </c>
    </row>
    <row r="133" ht="32.25" spans="1:3">
      <c r="A133" s="10">
        <v>131</v>
      </c>
      <c r="B133" s="12" t="s">
        <v>1363</v>
      </c>
      <c r="C133" s="13">
        <v>3397.9516</v>
      </c>
    </row>
    <row r="134" ht="32.25" spans="1:3">
      <c r="A134" s="10">
        <v>132</v>
      </c>
      <c r="B134" s="12" t="s">
        <v>1365</v>
      </c>
      <c r="C134" s="13">
        <v>3397.9516</v>
      </c>
    </row>
    <row r="135" ht="32.25" spans="1:3">
      <c r="A135" s="10">
        <v>133</v>
      </c>
      <c r="B135" s="12" t="s">
        <v>1366</v>
      </c>
      <c r="C135" s="13">
        <v>3397.9516</v>
      </c>
    </row>
    <row r="136" ht="32.25" spans="1:3">
      <c r="A136" s="10">
        <v>134</v>
      </c>
      <c r="B136" s="12" t="s">
        <v>1368</v>
      </c>
      <c r="C136" s="13">
        <v>3397.9516</v>
      </c>
    </row>
    <row r="137" ht="32.25" spans="1:3">
      <c r="A137" s="10">
        <v>135</v>
      </c>
      <c r="B137" s="12" t="s">
        <v>1369</v>
      </c>
      <c r="C137" s="13">
        <v>3397.9516</v>
      </c>
    </row>
    <row r="138" ht="32.25" spans="1:3">
      <c r="A138" s="10">
        <v>136</v>
      </c>
      <c r="B138" s="12" t="s">
        <v>1371</v>
      </c>
      <c r="C138" s="13">
        <v>3397.9516</v>
      </c>
    </row>
    <row r="139" ht="32.25" spans="1:3">
      <c r="A139" s="10">
        <v>137</v>
      </c>
      <c r="B139" s="12" t="s">
        <v>1373</v>
      </c>
      <c r="C139" s="13">
        <v>3397.9516</v>
      </c>
    </row>
    <row r="140" ht="32.25" spans="1:3">
      <c r="A140" s="10">
        <v>138</v>
      </c>
      <c r="B140" s="12" t="s">
        <v>1375</v>
      </c>
      <c r="C140" s="13">
        <v>3397.9516</v>
      </c>
    </row>
    <row r="141" ht="32.25" spans="1:3">
      <c r="A141" s="10">
        <v>139</v>
      </c>
      <c r="B141" s="12" t="s">
        <v>1377</v>
      </c>
      <c r="C141" s="13">
        <v>3397.9516</v>
      </c>
    </row>
    <row r="142" ht="32.25" spans="1:3">
      <c r="A142" s="10">
        <v>140</v>
      </c>
      <c r="B142" s="12" t="s">
        <v>1379</v>
      </c>
      <c r="C142" s="13">
        <v>3397.9516</v>
      </c>
    </row>
    <row r="143" ht="32.25" spans="1:3">
      <c r="A143" s="10">
        <v>141</v>
      </c>
      <c r="B143" s="12" t="s">
        <v>1381</v>
      </c>
      <c r="C143" s="13">
        <v>3397.9516</v>
      </c>
    </row>
    <row r="144" ht="32.25" spans="1:3">
      <c r="A144" s="10">
        <v>142</v>
      </c>
      <c r="B144" s="12" t="s">
        <v>1382</v>
      </c>
      <c r="C144" s="13">
        <v>3397.9516</v>
      </c>
    </row>
    <row r="145" ht="32.25" spans="1:3">
      <c r="A145" s="10">
        <v>143</v>
      </c>
      <c r="B145" s="12" t="s">
        <v>1383</v>
      </c>
      <c r="C145" s="13">
        <v>3397.9516</v>
      </c>
    </row>
    <row r="146" ht="32.25" spans="1:3">
      <c r="A146" s="10">
        <v>144</v>
      </c>
      <c r="B146" s="12" t="s">
        <v>1384</v>
      </c>
      <c r="C146" s="13">
        <v>3397.9516</v>
      </c>
    </row>
    <row r="147" ht="32.25" spans="1:3">
      <c r="A147" s="10">
        <v>145</v>
      </c>
      <c r="B147" s="12" t="s">
        <v>1385</v>
      </c>
      <c r="C147" s="13">
        <v>3397.9516</v>
      </c>
    </row>
    <row r="148" ht="32.25" spans="1:3">
      <c r="A148" s="10">
        <v>146</v>
      </c>
      <c r="B148" s="12" t="s">
        <v>1386</v>
      </c>
      <c r="C148" s="13">
        <v>3397.9516</v>
      </c>
    </row>
    <row r="149" ht="32.25" spans="1:3">
      <c r="A149" s="10">
        <v>147</v>
      </c>
      <c r="B149" s="12" t="s">
        <v>1387</v>
      </c>
      <c r="C149" s="13">
        <v>3397.9516</v>
      </c>
    </row>
    <row r="150" ht="32.25" spans="1:3">
      <c r="A150" s="10">
        <v>148</v>
      </c>
      <c r="B150" s="12" t="s">
        <v>1388</v>
      </c>
      <c r="C150" s="13">
        <v>3397.9516</v>
      </c>
    </row>
    <row r="151" ht="32.25" spans="1:3">
      <c r="A151" s="10">
        <v>149</v>
      </c>
      <c r="B151" s="12" t="s">
        <v>1389</v>
      </c>
      <c r="C151" s="13">
        <v>3397.9516</v>
      </c>
    </row>
    <row r="152" ht="32.25" spans="1:3">
      <c r="A152" s="10">
        <v>150</v>
      </c>
      <c r="B152" s="12" t="s">
        <v>1390</v>
      </c>
      <c r="C152" s="13">
        <v>3397.9516</v>
      </c>
    </row>
    <row r="153" ht="32.25" spans="1:3">
      <c r="A153" s="10">
        <v>151</v>
      </c>
      <c r="B153" s="12" t="s">
        <v>1391</v>
      </c>
      <c r="C153" s="13">
        <v>3397.9516</v>
      </c>
    </row>
    <row r="154" ht="32.25" spans="1:3">
      <c r="A154" s="10">
        <v>152</v>
      </c>
      <c r="B154" s="12" t="s">
        <v>1392</v>
      </c>
      <c r="C154" s="13">
        <v>3397.9516</v>
      </c>
    </row>
    <row r="155" ht="32.25" spans="1:3">
      <c r="A155" s="10">
        <v>153</v>
      </c>
      <c r="B155" s="12" t="s">
        <v>1394</v>
      </c>
      <c r="C155" s="13">
        <v>3397.9516</v>
      </c>
    </row>
    <row r="156" ht="32.25" spans="1:3">
      <c r="A156" s="10">
        <v>154</v>
      </c>
      <c r="B156" s="12" t="s">
        <v>1395</v>
      </c>
      <c r="C156" s="13">
        <v>3397.9516</v>
      </c>
    </row>
    <row r="157" ht="32.25" spans="1:3">
      <c r="A157" s="10">
        <v>155</v>
      </c>
      <c r="B157" s="12" t="s">
        <v>1397</v>
      </c>
      <c r="C157" s="13">
        <v>3397.9516</v>
      </c>
    </row>
    <row r="158" ht="32.25" spans="1:3">
      <c r="A158" s="10">
        <v>156</v>
      </c>
      <c r="B158" s="12" t="s">
        <v>1398</v>
      </c>
      <c r="C158" s="13">
        <v>3397.9516</v>
      </c>
    </row>
    <row r="159" ht="32.25" spans="1:3">
      <c r="A159" s="10">
        <v>157</v>
      </c>
      <c r="B159" s="12" t="s">
        <v>1400</v>
      </c>
      <c r="C159" s="13">
        <v>3397.9516</v>
      </c>
    </row>
    <row r="160" ht="32.25" spans="1:3">
      <c r="A160" s="10">
        <v>158</v>
      </c>
      <c r="B160" s="12" t="s">
        <v>1402</v>
      </c>
      <c r="C160" s="13">
        <v>3397.9516</v>
      </c>
    </row>
    <row r="161" ht="32.25" spans="1:3">
      <c r="A161" s="10">
        <v>159</v>
      </c>
      <c r="B161" s="12" t="s">
        <v>1405</v>
      </c>
      <c r="C161" s="13">
        <v>3397.9516</v>
      </c>
    </row>
    <row r="162" ht="32.25" spans="1:3">
      <c r="A162" s="10">
        <v>160</v>
      </c>
      <c r="B162" s="12" t="s">
        <v>1406</v>
      </c>
      <c r="C162" s="13">
        <v>3397.9516</v>
      </c>
    </row>
    <row r="163" ht="32.25" spans="1:3">
      <c r="A163" s="10">
        <v>161</v>
      </c>
      <c r="B163" s="12" t="s">
        <v>1408</v>
      </c>
      <c r="C163" s="13">
        <v>3397.9516</v>
      </c>
    </row>
    <row r="164" ht="32.25" spans="1:3">
      <c r="A164" s="10">
        <v>162</v>
      </c>
      <c r="B164" s="12" t="s">
        <v>1411</v>
      </c>
      <c r="C164" s="13">
        <v>3397.9516</v>
      </c>
    </row>
    <row r="165" ht="32.25" spans="1:3">
      <c r="A165" s="10">
        <v>163</v>
      </c>
      <c r="B165" s="12" t="s">
        <v>1412</v>
      </c>
      <c r="C165" s="13">
        <v>3397.9516</v>
      </c>
    </row>
    <row r="166" ht="32.25" spans="1:3">
      <c r="A166" s="10">
        <v>164</v>
      </c>
      <c r="B166" s="12" t="s">
        <v>1413</v>
      </c>
      <c r="C166" s="13">
        <v>3397.9516</v>
      </c>
    </row>
    <row r="167" ht="32.25" spans="1:3">
      <c r="A167" s="10">
        <v>165</v>
      </c>
      <c r="B167" s="12" t="s">
        <v>1415</v>
      </c>
      <c r="C167" s="13">
        <v>3397.9516</v>
      </c>
    </row>
    <row r="168" ht="32.25" spans="1:3">
      <c r="A168" s="10">
        <v>166</v>
      </c>
      <c r="B168" s="12" t="s">
        <v>1417</v>
      </c>
      <c r="C168" s="13">
        <v>3397.9516</v>
      </c>
    </row>
    <row r="169" ht="32.25" spans="1:3">
      <c r="A169" s="10">
        <v>167</v>
      </c>
      <c r="B169" s="12" t="s">
        <v>1418</v>
      </c>
      <c r="C169" s="13">
        <v>3397.9516</v>
      </c>
    </row>
    <row r="170" ht="32.25" spans="1:3">
      <c r="A170" s="10">
        <v>168</v>
      </c>
      <c r="B170" s="12" t="s">
        <v>1420</v>
      </c>
      <c r="C170" s="13">
        <v>3397.9516</v>
      </c>
    </row>
    <row r="171" ht="32.25" spans="1:3">
      <c r="A171" s="10">
        <v>169</v>
      </c>
      <c r="B171" s="12" t="s">
        <v>1421</v>
      </c>
      <c r="C171" s="13">
        <v>3851.53</v>
      </c>
    </row>
    <row r="172" ht="32.25" spans="1:3">
      <c r="A172" s="10">
        <v>170</v>
      </c>
      <c r="B172" s="12" t="s">
        <v>1423</v>
      </c>
      <c r="C172" s="13">
        <v>3851.53</v>
      </c>
    </row>
    <row r="173" ht="32.25" spans="1:3">
      <c r="A173" s="10">
        <v>171</v>
      </c>
      <c r="B173" s="12" t="s">
        <v>1425</v>
      </c>
      <c r="C173" s="13">
        <v>3851.53</v>
      </c>
    </row>
    <row r="174" ht="32.25" spans="1:3">
      <c r="A174" s="10">
        <v>172</v>
      </c>
      <c r="B174" s="12" t="s">
        <v>1426</v>
      </c>
      <c r="C174" s="13">
        <v>3851.53</v>
      </c>
    </row>
    <row r="175" ht="32.25" spans="1:3">
      <c r="A175" s="10">
        <v>173</v>
      </c>
      <c r="B175" s="12" t="s">
        <v>1427</v>
      </c>
      <c r="C175" s="13">
        <v>3851.53</v>
      </c>
    </row>
    <row r="176" ht="32.25" spans="1:3">
      <c r="A176" s="10">
        <v>174</v>
      </c>
      <c r="B176" s="12" t="s">
        <v>1429</v>
      </c>
      <c r="C176" s="13">
        <v>3851.53</v>
      </c>
    </row>
    <row r="177" ht="32.25" spans="1:3">
      <c r="A177" s="10">
        <v>175</v>
      </c>
      <c r="B177" s="12" t="s">
        <v>1431</v>
      </c>
      <c r="C177" s="13">
        <v>3851.53</v>
      </c>
    </row>
    <row r="178" ht="32.25" spans="1:3">
      <c r="A178" s="10">
        <v>176</v>
      </c>
      <c r="B178" s="12" t="s">
        <v>1432</v>
      </c>
      <c r="C178" s="13">
        <v>3851.53</v>
      </c>
    </row>
    <row r="179" ht="32.25" spans="1:3">
      <c r="A179" s="10">
        <v>177</v>
      </c>
      <c r="B179" s="12" t="s">
        <v>1433</v>
      </c>
      <c r="C179" s="13">
        <v>3851.53</v>
      </c>
    </row>
    <row r="180" ht="32.25" spans="1:3">
      <c r="A180" s="10">
        <v>178</v>
      </c>
      <c r="B180" s="12" t="s">
        <v>1434</v>
      </c>
      <c r="C180" s="13">
        <v>3851.53</v>
      </c>
    </row>
    <row r="181" ht="32.25" spans="1:3">
      <c r="A181" s="10">
        <v>179</v>
      </c>
      <c r="B181" s="12" t="s">
        <v>1436</v>
      </c>
      <c r="C181" s="13">
        <v>3851.53</v>
      </c>
    </row>
    <row r="182" ht="32.25" spans="1:3">
      <c r="A182" s="10">
        <v>180</v>
      </c>
      <c r="B182" s="12" t="s">
        <v>1439</v>
      </c>
      <c r="C182" s="13">
        <v>3851.53</v>
      </c>
    </row>
    <row r="183" ht="32.25" spans="1:3">
      <c r="A183" s="10">
        <v>181</v>
      </c>
      <c r="B183" s="12" t="s">
        <v>1441</v>
      </c>
      <c r="C183" s="13">
        <v>5032.0884</v>
      </c>
    </row>
    <row r="184" ht="32.25" spans="1:3">
      <c r="A184" s="10">
        <v>182</v>
      </c>
      <c r="B184" s="12" t="s">
        <v>1444</v>
      </c>
      <c r="C184" s="13">
        <v>3397.9516</v>
      </c>
    </row>
    <row r="185" ht="32.25" spans="1:3">
      <c r="A185" s="10">
        <v>183</v>
      </c>
      <c r="B185" s="12" t="s">
        <v>1446</v>
      </c>
      <c r="C185" s="13">
        <v>2998.56</v>
      </c>
    </row>
    <row r="186" ht="32.25" spans="1:3">
      <c r="A186" s="10">
        <v>184</v>
      </c>
      <c r="B186" s="12" t="s">
        <v>1448</v>
      </c>
      <c r="C186" s="13">
        <v>2998.56</v>
      </c>
    </row>
    <row r="187" ht="32.25" spans="1:3">
      <c r="A187" s="10">
        <v>185</v>
      </c>
      <c r="B187" s="12" t="s">
        <v>1450</v>
      </c>
      <c r="C187" s="13">
        <v>3397.9516</v>
      </c>
    </row>
    <row r="188" ht="32.25" spans="1:3">
      <c r="A188" s="10">
        <v>186</v>
      </c>
      <c r="B188" s="12" t="s">
        <v>1451</v>
      </c>
      <c r="C188" s="13">
        <v>3397.9516</v>
      </c>
    </row>
    <row r="189" ht="32.25" spans="1:3">
      <c r="A189" s="10">
        <v>187</v>
      </c>
      <c r="B189" s="12" t="s">
        <v>1452</v>
      </c>
      <c r="C189" s="13">
        <v>3077.3334</v>
      </c>
    </row>
    <row r="190" ht="32.25" spans="1:3">
      <c r="A190" s="10">
        <v>188</v>
      </c>
      <c r="B190" s="12" t="s">
        <v>1454</v>
      </c>
      <c r="C190" s="13">
        <v>3869.8284</v>
      </c>
    </row>
    <row r="191" ht="32.25" spans="1:3">
      <c r="A191" s="10">
        <v>189</v>
      </c>
      <c r="B191" s="12" t="s">
        <v>1456</v>
      </c>
      <c r="C191" s="13">
        <v>3869.8284</v>
      </c>
    </row>
    <row r="192" ht="32.25" spans="1:3">
      <c r="A192" s="10">
        <v>190</v>
      </c>
      <c r="B192" s="12" t="s">
        <v>1458</v>
      </c>
      <c r="C192" s="13">
        <v>3869.8284</v>
      </c>
    </row>
    <row r="193" ht="32.25" spans="1:3">
      <c r="A193" s="10">
        <v>191</v>
      </c>
      <c r="B193" s="12" t="s">
        <v>1460</v>
      </c>
      <c r="C193" s="13">
        <v>3397.9516</v>
      </c>
    </row>
    <row r="194" ht="32.25" spans="1:3">
      <c r="A194" s="10">
        <v>192</v>
      </c>
      <c r="B194" s="12" t="s">
        <v>1462</v>
      </c>
      <c r="C194" s="13">
        <v>3397.9516</v>
      </c>
    </row>
    <row r="195" ht="54" customHeight="1" spans="1:3">
      <c r="A195" s="62"/>
      <c r="B195" s="24" t="s">
        <v>867</v>
      </c>
      <c r="C195" s="25">
        <f>SUM(C3:C194)</f>
        <v>849839.196133335</v>
      </c>
    </row>
    <row r="196" ht="15.75"/>
  </sheetData>
  <mergeCells count="1">
    <mergeCell ref="A1:C1"/>
  </mergeCells>
  <pageMargins left="0.7" right="0.7" top="0.75" bottom="0.75" header="0.3" footer="0.3"/>
  <pageSetup paperSize="1" scale="54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6"/>
  <sheetViews>
    <sheetView view="pageBreakPreview" zoomScale="60" zoomScaleNormal="100" workbookViewId="0">
      <selection activeCell="B12" sqref="B12"/>
    </sheetView>
  </sheetViews>
  <sheetFormatPr defaultColWidth="11" defaultRowHeight="31.5" outlineLevelCol="2"/>
  <cols>
    <col min="1" max="1" width="18" style="52" customWidth="1"/>
    <col min="2" max="2" width="66.1619047619048" customWidth="1"/>
    <col min="3" max="3" width="30.3333333333333" style="52" customWidth="1"/>
  </cols>
  <sheetData>
    <row r="1" ht="105" customHeight="1" spans="1:3">
      <c r="A1" s="53" t="s">
        <v>2347</v>
      </c>
      <c r="B1" s="53"/>
      <c r="C1" s="53"/>
    </row>
    <row r="2" ht="33" spans="1:3">
      <c r="A2" s="54" t="s">
        <v>2</v>
      </c>
      <c r="B2" s="55" t="s">
        <v>3</v>
      </c>
      <c r="C2" s="54" t="s">
        <v>862</v>
      </c>
    </row>
    <row r="3" ht="33" spans="1:3">
      <c r="A3" s="54">
        <v>1</v>
      </c>
      <c r="B3" s="56" t="s">
        <v>159</v>
      </c>
      <c r="C3" s="57">
        <v>2000</v>
      </c>
    </row>
    <row r="4" ht="33" spans="1:3">
      <c r="A4" s="54">
        <v>2</v>
      </c>
      <c r="B4" s="56" t="s">
        <v>163</v>
      </c>
      <c r="C4" s="57">
        <v>2000</v>
      </c>
    </row>
    <row r="5" ht="33" spans="1:3">
      <c r="A5" s="54">
        <v>3</v>
      </c>
      <c r="B5" s="56" t="s">
        <v>184</v>
      </c>
      <c r="C5" s="57">
        <v>2000</v>
      </c>
    </row>
    <row r="6" ht="33" spans="1:3">
      <c r="A6" s="54">
        <v>4</v>
      </c>
      <c r="B6" s="56" t="s">
        <v>187</v>
      </c>
      <c r="C6" s="57">
        <v>2000</v>
      </c>
    </row>
    <row r="7" ht="33" spans="1:3">
      <c r="A7" s="54">
        <v>5</v>
      </c>
      <c r="B7" s="56" t="s">
        <v>197</v>
      </c>
      <c r="C7" s="57">
        <v>2000</v>
      </c>
    </row>
    <row r="8" ht="33" spans="1:3">
      <c r="A8" s="54">
        <v>6</v>
      </c>
      <c r="B8" s="56" t="s">
        <v>222</v>
      </c>
      <c r="C8" s="57">
        <v>2000</v>
      </c>
    </row>
    <row r="9" ht="33" spans="1:3">
      <c r="A9" s="54">
        <v>7</v>
      </c>
      <c r="B9" s="56" t="s">
        <v>274</v>
      </c>
      <c r="C9" s="57">
        <v>2000</v>
      </c>
    </row>
    <row r="10" ht="33" spans="1:3">
      <c r="A10" s="54">
        <v>8</v>
      </c>
      <c r="B10" s="56" t="s">
        <v>296</v>
      </c>
      <c r="C10" s="57">
        <v>2000</v>
      </c>
    </row>
    <row r="11" ht="33" spans="1:3">
      <c r="A11" s="54">
        <v>9</v>
      </c>
      <c r="B11" s="56" t="s">
        <v>300</v>
      </c>
      <c r="C11" s="57">
        <v>2000</v>
      </c>
    </row>
    <row r="12" ht="33" spans="1:3">
      <c r="A12" s="54">
        <v>10</v>
      </c>
      <c r="B12" s="56" t="s">
        <v>303</v>
      </c>
      <c r="C12" s="57">
        <v>2000</v>
      </c>
    </row>
    <row r="13" ht="33" spans="1:3">
      <c r="A13" s="54">
        <v>11</v>
      </c>
      <c r="B13" s="56" t="s">
        <v>320</v>
      </c>
      <c r="C13" s="57">
        <v>2000</v>
      </c>
    </row>
    <row r="14" ht="33" spans="1:3">
      <c r="A14" s="54">
        <v>12</v>
      </c>
      <c r="B14" s="56" t="s">
        <v>321</v>
      </c>
      <c r="C14" s="57">
        <v>2000</v>
      </c>
    </row>
    <row r="15" ht="33" spans="1:3">
      <c r="A15" s="54">
        <v>13</v>
      </c>
      <c r="B15" s="56" t="s">
        <v>324</v>
      </c>
      <c r="C15" s="57">
        <v>2000</v>
      </c>
    </row>
    <row r="16" ht="33" spans="1:3">
      <c r="A16" s="54">
        <v>14</v>
      </c>
      <c r="B16" s="56" t="s">
        <v>351</v>
      </c>
      <c r="C16" s="57">
        <v>2000</v>
      </c>
    </row>
    <row r="17" ht="33" spans="1:3">
      <c r="A17" s="54">
        <v>15</v>
      </c>
      <c r="B17" s="56" t="s">
        <v>359</v>
      </c>
      <c r="C17" s="57">
        <v>2000</v>
      </c>
    </row>
    <row r="18" ht="33" spans="1:3">
      <c r="A18" s="54">
        <v>16</v>
      </c>
      <c r="B18" s="56" t="s">
        <v>362</v>
      </c>
      <c r="C18" s="57">
        <v>2000</v>
      </c>
    </row>
    <row r="19" ht="33" spans="1:3">
      <c r="A19" s="54">
        <v>17</v>
      </c>
      <c r="B19" s="56" t="s">
        <v>365</v>
      </c>
      <c r="C19" s="57">
        <v>2000</v>
      </c>
    </row>
    <row r="20" ht="33" spans="1:3">
      <c r="A20" s="54">
        <v>18</v>
      </c>
      <c r="B20" s="56" t="s">
        <v>383</v>
      </c>
      <c r="C20" s="57">
        <v>2000</v>
      </c>
    </row>
    <row r="21" ht="33" spans="1:3">
      <c r="A21" s="54">
        <v>19</v>
      </c>
      <c r="B21" s="56" t="s">
        <v>404</v>
      </c>
      <c r="C21" s="57">
        <v>2000</v>
      </c>
    </row>
    <row r="22" ht="33" spans="1:3">
      <c r="A22" s="54">
        <v>20</v>
      </c>
      <c r="B22" s="56" t="s">
        <v>408</v>
      </c>
      <c r="C22" s="57">
        <v>2000</v>
      </c>
    </row>
    <row r="23" ht="33" spans="1:3">
      <c r="A23" s="54">
        <v>21</v>
      </c>
      <c r="B23" s="56" t="s">
        <v>423</v>
      </c>
      <c r="C23" s="57">
        <v>2000</v>
      </c>
    </row>
    <row r="24" ht="33" spans="1:3">
      <c r="A24" s="54">
        <v>22</v>
      </c>
      <c r="B24" s="56" t="s">
        <v>437</v>
      </c>
      <c r="C24" s="57">
        <v>2000</v>
      </c>
    </row>
    <row r="25" ht="33" spans="1:3">
      <c r="A25" s="54">
        <v>23</v>
      </c>
      <c r="B25" s="56" t="s">
        <v>455</v>
      </c>
      <c r="C25" s="57">
        <v>2000</v>
      </c>
    </row>
    <row r="26" ht="33" spans="1:3">
      <c r="A26" s="54">
        <v>24</v>
      </c>
      <c r="B26" s="56" t="s">
        <v>470</v>
      </c>
      <c r="C26" s="57">
        <v>2000</v>
      </c>
    </row>
    <row r="27" ht="33" spans="1:3">
      <c r="A27" s="54">
        <v>25</v>
      </c>
      <c r="B27" s="56" t="s">
        <v>472</v>
      </c>
      <c r="C27" s="57">
        <v>2000</v>
      </c>
    </row>
    <row r="28" ht="33" spans="1:3">
      <c r="A28" s="54">
        <v>26</v>
      </c>
      <c r="B28" s="56" t="s">
        <v>473</v>
      </c>
      <c r="C28" s="57">
        <v>2000</v>
      </c>
    </row>
    <row r="29" ht="33" spans="1:3">
      <c r="A29" s="54">
        <v>27</v>
      </c>
      <c r="B29" s="56" t="s">
        <v>479</v>
      </c>
      <c r="C29" s="57">
        <v>2000</v>
      </c>
    </row>
    <row r="30" ht="33" spans="1:3">
      <c r="A30" s="54">
        <v>28</v>
      </c>
      <c r="B30" s="56" t="s">
        <v>490</v>
      </c>
      <c r="C30" s="57">
        <v>2000</v>
      </c>
    </row>
    <row r="31" ht="33" spans="1:3">
      <c r="A31" s="54">
        <v>29</v>
      </c>
      <c r="B31" s="56" t="s">
        <v>497</v>
      </c>
      <c r="C31" s="57">
        <v>2000</v>
      </c>
    </row>
    <row r="32" ht="33" spans="1:3">
      <c r="A32" s="54">
        <v>30</v>
      </c>
      <c r="B32" s="56" t="s">
        <v>500</v>
      </c>
      <c r="C32" s="57">
        <v>2000</v>
      </c>
    </row>
    <row r="33" ht="33" spans="1:3">
      <c r="A33" s="54">
        <v>31</v>
      </c>
      <c r="B33" s="56" t="s">
        <v>502</v>
      </c>
      <c r="C33" s="57">
        <v>2000</v>
      </c>
    </row>
    <row r="34" ht="33" spans="1:3">
      <c r="A34" s="54">
        <v>32</v>
      </c>
      <c r="B34" s="56" t="s">
        <v>504</v>
      </c>
      <c r="C34" s="57">
        <v>2000</v>
      </c>
    </row>
    <row r="35" ht="33" spans="1:3">
      <c r="A35" s="54">
        <v>33</v>
      </c>
      <c r="B35" s="56" t="s">
        <v>507</v>
      </c>
      <c r="C35" s="57">
        <v>2000</v>
      </c>
    </row>
    <row r="36" ht="33" spans="1:3">
      <c r="A36" s="54">
        <v>34</v>
      </c>
      <c r="B36" s="56" t="s">
        <v>510</v>
      </c>
      <c r="C36" s="57">
        <v>2000</v>
      </c>
    </row>
    <row r="37" ht="33" spans="1:3">
      <c r="A37" s="54">
        <v>35</v>
      </c>
      <c r="B37" s="56" t="s">
        <v>517</v>
      </c>
      <c r="C37" s="57">
        <v>2000</v>
      </c>
    </row>
    <row r="38" ht="33" spans="1:3">
      <c r="A38" s="54">
        <v>36</v>
      </c>
      <c r="B38" s="56" t="s">
        <v>521</v>
      </c>
      <c r="C38" s="57">
        <v>2000</v>
      </c>
    </row>
    <row r="39" ht="33" spans="1:3">
      <c r="A39" s="54">
        <v>37</v>
      </c>
      <c r="B39" s="56" t="s">
        <v>530</v>
      </c>
      <c r="C39" s="57">
        <v>2000</v>
      </c>
    </row>
    <row r="40" ht="33" spans="1:3">
      <c r="A40" s="54">
        <v>38</v>
      </c>
      <c r="B40" s="56" t="s">
        <v>533</v>
      </c>
      <c r="C40" s="57">
        <v>2000</v>
      </c>
    </row>
    <row r="41" ht="33" spans="1:3">
      <c r="A41" s="54">
        <v>39</v>
      </c>
      <c r="B41" s="56" t="s">
        <v>536</v>
      </c>
      <c r="C41" s="57">
        <v>2000</v>
      </c>
    </row>
    <row r="42" ht="33" spans="1:3">
      <c r="A42" s="54">
        <v>40</v>
      </c>
      <c r="B42" s="56" t="s">
        <v>563</v>
      </c>
      <c r="C42" s="57">
        <v>2000</v>
      </c>
    </row>
    <row r="43" ht="33" spans="1:3">
      <c r="A43" s="54">
        <v>41</v>
      </c>
      <c r="B43" s="56" t="s">
        <v>612</v>
      </c>
      <c r="C43" s="57">
        <v>2000</v>
      </c>
    </row>
    <row r="44" ht="33" spans="1:3">
      <c r="A44" s="54">
        <v>42</v>
      </c>
      <c r="B44" s="56" t="s">
        <v>634</v>
      </c>
      <c r="C44" s="57">
        <v>2000</v>
      </c>
    </row>
    <row r="45" ht="33" spans="1:3">
      <c r="A45" s="54">
        <v>43</v>
      </c>
      <c r="B45" s="56" t="s">
        <v>652</v>
      </c>
      <c r="C45" s="57">
        <v>2000</v>
      </c>
    </row>
    <row r="46" ht="33" spans="1:3">
      <c r="A46" s="54">
        <v>44</v>
      </c>
      <c r="B46" s="56" t="s">
        <v>659</v>
      </c>
      <c r="C46" s="57">
        <v>2000</v>
      </c>
    </row>
    <row r="47" ht="33" spans="1:3">
      <c r="A47" s="54">
        <v>45</v>
      </c>
      <c r="B47" s="56" t="s">
        <v>737</v>
      </c>
      <c r="C47" s="57">
        <v>2000</v>
      </c>
    </row>
    <row r="48" ht="33" spans="1:3">
      <c r="A48" s="54">
        <v>46</v>
      </c>
      <c r="B48" s="56" t="s">
        <v>747</v>
      </c>
      <c r="C48" s="57">
        <v>2000</v>
      </c>
    </row>
    <row r="49" ht="33" spans="1:3">
      <c r="A49" s="54">
        <v>47</v>
      </c>
      <c r="B49" s="56" t="s">
        <v>787</v>
      </c>
      <c r="C49" s="57">
        <v>2000</v>
      </c>
    </row>
    <row r="50" ht="33" spans="1:3">
      <c r="A50" s="54">
        <v>48</v>
      </c>
      <c r="B50" s="56" t="s">
        <v>1519</v>
      </c>
      <c r="C50" s="57">
        <v>2000</v>
      </c>
    </row>
    <row r="51" ht="33" spans="1:3">
      <c r="A51" s="54">
        <v>49</v>
      </c>
      <c r="B51" s="56" t="s">
        <v>881</v>
      </c>
      <c r="C51" s="57">
        <v>2000</v>
      </c>
    </row>
    <row r="52" ht="33" spans="1:3">
      <c r="A52" s="54">
        <v>50</v>
      </c>
      <c r="B52" s="56" t="s">
        <v>907</v>
      </c>
      <c r="C52" s="57">
        <v>2000</v>
      </c>
    </row>
    <row r="53" ht="33" spans="1:3">
      <c r="A53" s="54">
        <v>51</v>
      </c>
      <c r="B53" s="56" t="s">
        <v>912</v>
      </c>
      <c r="C53" s="57">
        <v>1000</v>
      </c>
    </row>
    <row r="54" ht="33" spans="1:3">
      <c r="A54" s="54">
        <v>52</v>
      </c>
      <c r="B54" s="56" t="s">
        <v>919</v>
      </c>
      <c r="C54" s="57">
        <v>2000</v>
      </c>
    </row>
    <row r="55" ht="33" spans="1:3">
      <c r="A55" s="54">
        <v>53</v>
      </c>
      <c r="B55" s="56" t="s">
        <v>921</v>
      </c>
      <c r="C55" s="57">
        <v>2000</v>
      </c>
    </row>
    <row r="56" ht="33" spans="1:3">
      <c r="A56" s="54">
        <v>54</v>
      </c>
      <c r="B56" s="56" t="s">
        <v>929</v>
      </c>
      <c r="C56" s="57">
        <v>2000</v>
      </c>
    </row>
    <row r="57" ht="33" spans="1:3">
      <c r="A57" s="54">
        <v>55</v>
      </c>
      <c r="B57" s="56" t="s">
        <v>933</v>
      </c>
      <c r="C57" s="57">
        <v>2000</v>
      </c>
    </row>
    <row r="58" ht="33" spans="1:3">
      <c r="A58" s="54">
        <v>56</v>
      </c>
      <c r="B58" s="56" t="s">
        <v>936</v>
      </c>
      <c r="C58" s="57">
        <v>2000</v>
      </c>
    </row>
    <row r="59" ht="33" spans="1:3">
      <c r="A59" s="54">
        <v>57</v>
      </c>
      <c r="B59" s="56" t="s">
        <v>941</v>
      </c>
      <c r="C59" s="57">
        <v>2000</v>
      </c>
    </row>
    <row r="60" ht="33" spans="1:3">
      <c r="A60" s="54">
        <v>58</v>
      </c>
      <c r="B60" s="56" t="s">
        <v>955</v>
      </c>
      <c r="C60" s="57">
        <v>2000</v>
      </c>
    </row>
    <row r="61" ht="33" spans="1:3">
      <c r="A61" s="54">
        <v>59</v>
      </c>
      <c r="B61" s="56" t="s">
        <v>970</v>
      </c>
      <c r="C61" s="57">
        <v>1000</v>
      </c>
    </row>
    <row r="62" ht="33" spans="1:3">
      <c r="A62" s="54">
        <v>60</v>
      </c>
      <c r="B62" s="56" t="s">
        <v>972</v>
      </c>
      <c r="C62" s="57">
        <v>1000</v>
      </c>
    </row>
    <row r="63" ht="33" spans="1:3">
      <c r="A63" s="54">
        <v>61</v>
      </c>
      <c r="B63" s="56" t="s">
        <v>973</v>
      </c>
      <c r="C63" s="57">
        <v>1000</v>
      </c>
    </row>
    <row r="64" ht="33" spans="1:3">
      <c r="A64" s="54">
        <v>62</v>
      </c>
      <c r="B64" s="56" t="s">
        <v>974</v>
      </c>
      <c r="C64" s="57">
        <v>1000</v>
      </c>
    </row>
    <row r="65" ht="33" spans="1:3">
      <c r="A65" s="54">
        <v>63</v>
      </c>
      <c r="B65" s="56" t="s">
        <v>976</v>
      </c>
      <c r="C65" s="57">
        <v>1000</v>
      </c>
    </row>
    <row r="66" ht="33" spans="1:3">
      <c r="A66" s="54">
        <v>64</v>
      </c>
      <c r="B66" s="56" t="s">
        <v>984</v>
      </c>
      <c r="C66" s="57">
        <v>1000</v>
      </c>
    </row>
    <row r="67" ht="33" spans="1:3">
      <c r="A67" s="54">
        <v>65</v>
      </c>
      <c r="B67" s="56" t="s">
        <v>985</v>
      </c>
      <c r="C67" s="57">
        <v>1000</v>
      </c>
    </row>
    <row r="68" ht="33" spans="1:3">
      <c r="A68" s="54">
        <v>66</v>
      </c>
      <c r="B68" s="56" t="s">
        <v>987</v>
      </c>
      <c r="C68" s="57">
        <v>1000</v>
      </c>
    </row>
    <row r="69" ht="33" spans="1:3">
      <c r="A69" s="54">
        <v>67</v>
      </c>
      <c r="B69" s="56" t="s">
        <v>989</v>
      </c>
      <c r="C69" s="57">
        <v>1000</v>
      </c>
    </row>
    <row r="70" ht="33" spans="1:3">
      <c r="A70" s="54">
        <v>68</v>
      </c>
      <c r="B70" s="56" t="s">
        <v>996</v>
      </c>
      <c r="C70" s="57">
        <v>1000</v>
      </c>
    </row>
    <row r="71" ht="33" spans="1:3">
      <c r="A71" s="54">
        <v>69</v>
      </c>
      <c r="B71" s="56" t="s">
        <v>999</v>
      </c>
      <c r="C71" s="57">
        <v>2000</v>
      </c>
    </row>
    <row r="72" ht="33" spans="1:3">
      <c r="A72" s="54">
        <v>70</v>
      </c>
      <c r="B72" s="56" t="s">
        <v>1001</v>
      </c>
      <c r="C72" s="57">
        <v>1000</v>
      </c>
    </row>
    <row r="73" ht="33" spans="1:3">
      <c r="A73" s="54">
        <v>71</v>
      </c>
      <c r="B73" s="56" t="s">
        <v>1004</v>
      </c>
      <c r="C73" s="57">
        <v>2000</v>
      </c>
    </row>
    <row r="74" ht="33" spans="1:3">
      <c r="A74" s="54">
        <v>72</v>
      </c>
      <c r="B74" s="56" t="s">
        <v>1012</v>
      </c>
      <c r="C74" s="57">
        <v>2000</v>
      </c>
    </row>
    <row r="75" ht="33" spans="1:3">
      <c r="A75" s="54">
        <v>73</v>
      </c>
      <c r="B75" s="56" t="s">
        <v>1019</v>
      </c>
      <c r="C75" s="57">
        <v>2000</v>
      </c>
    </row>
    <row r="76" ht="33" spans="1:3">
      <c r="A76" s="54">
        <v>74</v>
      </c>
      <c r="B76" s="56" t="s">
        <v>1020</v>
      </c>
      <c r="C76" s="57">
        <v>2000</v>
      </c>
    </row>
    <row r="77" ht="33" spans="1:3">
      <c r="A77" s="54">
        <v>75</v>
      </c>
      <c r="B77" s="56" t="s">
        <v>1024</v>
      </c>
      <c r="C77" s="57">
        <v>2000</v>
      </c>
    </row>
    <row r="78" ht="33" spans="1:3">
      <c r="A78" s="54">
        <v>76</v>
      </c>
      <c r="B78" s="56" t="s">
        <v>1026</v>
      </c>
      <c r="C78" s="57">
        <v>2000</v>
      </c>
    </row>
    <row r="79" ht="33" spans="1:3">
      <c r="A79" s="54">
        <v>77</v>
      </c>
      <c r="B79" s="56" t="s">
        <v>1030</v>
      </c>
      <c r="C79" s="57">
        <v>2000</v>
      </c>
    </row>
    <row r="80" ht="33" spans="1:3">
      <c r="A80" s="54">
        <v>78</v>
      </c>
      <c r="B80" s="56" t="s">
        <v>1034</v>
      </c>
      <c r="C80" s="57">
        <v>2000</v>
      </c>
    </row>
    <row r="81" ht="33" spans="1:3">
      <c r="A81" s="54">
        <v>79</v>
      </c>
      <c r="B81" s="56" t="s">
        <v>1039</v>
      </c>
      <c r="C81" s="57">
        <v>1000</v>
      </c>
    </row>
    <row r="82" ht="33" spans="1:3">
      <c r="A82" s="54">
        <v>80</v>
      </c>
      <c r="B82" s="56" t="s">
        <v>1041</v>
      </c>
      <c r="C82" s="57">
        <v>2000</v>
      </c>
    </row>
    <row r="83" ht="33" spans="1:3">
      <c r="A83" s="54">
        <v>81</v>
      </c>
      <c r="B83" s="56" t="s">
        <v>1047</v>
      </c>
      <c r="C83" s="57">
        <v>2000</v>
      </c>
    </row>
    <row r="84" ht="33" spans="1:3">
      <c r="A84" s="54">
        <v>82</v>
      </c>
      <c r="B84" s="56" t="s">
        <v>1049</v>
      </c>
      <c r="C84" s="57">
        <v>2000</v>
      </c>
    </row>
    <row r="85" ht="33" spans="1:3">
      <c r="A85" s="54">
        <v>83</v>
      </c>
      <c r="B85" s="56" t="s">
        <v>1060</v>
      </c>
      <c r="C85" s="57">
        <v>2000</v>
      </c>
    </row>
    <row r="86" ht="33" spans="1:3">
      <c r="A86" s="54">
        <v>84</v>
      </c>
      <c r="B86" s="56" t="s">
        <v>1068</v>
      </c>
      <c r="C86" s="57">
        <v>2000</v>
      </c>
    </row>
    <row r="87" ht="33" spans="1:3">
      <c r="A87" s="54">
        <v>85</v>
      </c>
      <c r="B87" s="56" t="s">
        <v>1074</v>
      </c>
      <c r="C87" s="57">
        <v>2000</v>
      </c>
    </row>
    <row r="88" ht="33" spans="1:3">
      <c r="A88" s="54">
        <v>86</v>
      </c>
      <c r="B88" s="56" t="s">
        <v>1080</v>
      </c>
      <c r="C88" s="57">
        <v>2000</v>
      </c>
    </row>
    <row r="89" ht="33" spans="1:3">
      <c r="A89" s="54">
        <v>87</v>
      </c>
      <c r="B89" s="56" t="s">
        <v>1084</v>
      </c>
      <c r="C89" s="57">
        <v>2000</v>
      </c>
    </row>
    <row r="90" ht="33" spans="1:3">
      <c r="A90" s="54">
        <v>88</v>
      </c>
      <c r="B90" s="56" t="s">
        <v>1099</v>
      </c>
      <c r="C90" s="57">
        <v>2000</v>
      </c>
    </row>
    <row r="91" ht="33" spans="1:3">
      <c r="A91" s="54">
        <v>89</v>
      </c>
      <c r="B91" s="56" t="s">
        <v>1101</v>
      </c>
      <c r="C91" s="57">
        <v>2000</v>
      </c>
    </row>
    <row r="92" ht="33" spans="1:3">
      <c r="A92" s="54">
        <v>90</v>
      </c>
      <c r="B92" s="56" t="s">
        <v>1102</v>
      </c>
      <c r="C92" s="57">
        <v>2000</v>
      </c>
    </row>
    <row r="93" ht="33" spans="1:3">
      <c r="A93" s="54">
        <v>91</v>
      </c>
      <c r="B93" s="56" t="s">
        <v>1104</v>
      </c>
      <c r="C93" s="57">
        <v>2000</v>
      </c>
    </row>
    <row r="94" ht="33" spans="1:3">
      <c r="A94" s="54">
        <v>92</v>
      </c>
      <c r="B94" s="56" t="s">
        <v>1108</v>
      </c>
      <c r="C94" s="57">
        <v>2000</v>
      </c>
    </row>
    <row r="95" ht="33" spans="1:3">
      <c r="A95" s="54">
        <v>93</v>
      </c>
      <c r="B95" s="56" t="s">
        <v>1120</v>
      </c>
      <c r="C95" s="57">
        <v>2000</v>
      </c>
    </row>
    <row r="96" ht="33" spans="1:3">
      <c r="A96" s="54">
        <v>94</v>
      </c>
      <c r="B96" s="56" t="s">
        <v>1122</v>
      </c>
      <c r="C96" s="57">
        <v>500</v>
      </c>
    </row>
    <row r="97" ht="33" spans="1:3">
      <c r="A97" s="54">
        <v>95</v>
      </c>
      <c r="B97" s="56" t="s">
        <v>1127</v>
      </c>
      <c r="C97" s="57">
        <v>1000</v>
      </c>
    </row>
    <row r="98" ht="33" spans="1:3">
      <c r="A98" s="54">
        <v>96</v>
      </c>
      <c r="B98" s="56" t="s">
        <v>1128</v>
      </c>
      <c r="C98" s="57">
        <v>1000</v>
      </c>
    </row>
    <row r="99" ht="33" spans="1:3">
      <c r="A99" s="54">
        <v>97</v>
      </c>
      <c r="B99" s="56" t="s">
        <v>1130</v>
      </c>
      <c r="C99" s="57">
        <v>1000</v>
      </c>
    </row>
    <row r="100" ht="33" spans="1:3">
      <c r="A100" s="54">
        <v>98</v>
      </c>
      <c r="B100" s="56" t="s">
        <v>1138</v>
      </c>
      <c r="C100" s="57">
        <v>1000</v>
      </c>
    </row>
    <row r="101" ht="33" spans="1:3">
      <c r="A101" s="54">
        <v>99</v>
      </c>
      <c r="B101" s="56" t="s">
        <v>1142</v>
      </c>
      <c r="C101" s="57">
        <v>1000</v>
      </c>
    </row>
    <row r="102" ht="33" spans="1:3">
      <c r="A102" s="54">
        <v>100</v>
      </c>
      <c r="B102" s="56" t="s">
        <v>1144</v>
      </c>
      <c r="C102" s="57">
        <v>2000</v>
      </c>
    </row>
    <row r="103" ht="33" spans="1:3">
      <c r="A103" s="54">
        <v>101</v>
      </c>
      <c r="B103" s="56" t="s">
        <v>1157</v>
      </c>
      <c r="C103" s="57">
        <v>1000</v>
      </c>
    </row>
    <row r="104" ht="33" spans="1:3">
      <c r="A104" s="54">
        <v>102</v>
      </c>
      <c r="B104" s="56" t="s">
        <v>1161</v>
      </c>
      <c r="C104" s="57">
        <v>1000</v>
      </c>
    </row>
    <row r="105" ht="33" spans="1:3">
      <c r="A105" s="54">
        <v>103</v>
      </c>
      <c r="B105" s="56" t="s">
        <v>1163</v>
      </c>
      <c r="C105" s="57">
        <v>1000</v>
      </c>
    </row>
    <row r="106" ht="33" spans="1:3">
      <c r="A106" s="54">
        <v>104</v>
      </c>
      <c r="B106" s="56" t="s">
        <v>1164</v>
      </c>
      <c r="C106" s="57">
        <v>1000</v>
      </c>
    </row>
    <row r="107" ht="33" spans="1:3">
      <c r="A107" s="54">
        <v>105</v>
      </c>
      <c r="B107" s="56" t="s">
        <v>1172</v>
      </c>
      <c r="C107" s="57">
        <v>1000</v>
      </c>
    </row>
    <row r="108" ht="33" spans="1:3">
      <c r="A108" s="54">
        <v>106</v>
      </c>
      <c r="B108" s="56" t="s">
        <v>1174</v>
      </c>
      <c r="C108" s="57">
        <v>1000</v>
      </c>
    </row>
    <row r="109" ht="33" spans="1:3">
      <c r="A109" s="54">
        <v>107</v>
      </c>
      <c r="B109" s="56" t="s">
        <v>1183</v>
      </c>
      <c r="C109" s="57">
        <v>1000</v>
      </c>
    </row>
    <row r="110" ht="33" spans="1:3">
      <c r="A110" s="54">
        <v>108</v>
      </c>
      <c r="B110" s="56" t="s">
        <v>1185</v>
      </c>
      <c r="C110" s="57">
        <v>1000</v>
      </c>
    </row>
    <row r="111" ht="33" spans="1:3">
      <c r="A111" s="54">
        <v>109</v>
      </c>
      <c r="B111" s="56" t="s">
        <v>1187</v>
      </c>
      <c r="C111" s="57">
        <v>1000</v>
      </c>
    </row>
    <row r="112" ht="33" spans="1:3">
      <c r="A112" s="54">
        <v>110</v>
      </c>
      <c r="B112" s="56" t="s">
        <v>1188</v>
      </c>
      <c r="C112" s="57">
        <v>1000</v>
      </c>
    </row>
    <row r="113" ht="33" spans="1:3">
      <c r="A113" s="54">
        <v>111</v>
      </c>
      <c r="B113" s="56" t="s">
        <v>1192</v>
      </c>
      <c r="C113" s="57">
        <v>1000</v>
      </c>
    </row>
    <row r="114" ht="33" spans="1:3">
      <c r="A114" s="54">
        <v>112</v>
      </c>
      <c r="B114" s="56" t="s">
        <v>1193</v>
      </c>
      <c r="C114" s="57">
        <v>1000</v>
      </c>
    </row>
    <row r="115" ht="33" spans="1:3">
      <c r="A115" s="54">
        <v>113</v>
      </c>
      <c r="B115" s="56" t="s">
        <v>1194</v>
      </c>
      <c r="C115" s="57">
        <v>1000</v>
      </c>
    </row>
    <row r="116" ht="33" spans="1:3">
      <c r="A116" s="54">
        <v>114</v>
      </c>
      <c r="B116" s="56" t="s">
        <v>1196</v>
      </c>
      <c r="C116" s="57">
        <v>1000</v>
      </c>
    </row>
    <row r="117" ht="33" spans="1:3">
      <c r="A117" s="54">
        <v>115</v>
      </c>
      <c r="B117" s="56" t="s">
        <v>1198</v>
      </c>
      <c r="C117" s="57">
        <v>1000</v>
      </c>
    </row>
    <row r="118" ht="33" spans="1:3">
      <c r="A118" s="54">
        <v>116</v>
      </c>
      <c r="B118" s="56" t="s">
        <v>1202</v>
      </c>
      <c r="C118" s="57">
        <v>1000</v>
      </c>
    </row>
    <row r="119" ht="33" spans="1:3">
      <c r="A119" s="54">
        <v>117</v>
      </c>
      <c r="B119" s="56" t="s">
        <v>1204</v>
      </c>
      <c r="C119" s="57">
        <v>1000</v>
      </c>
    </row>
    <row r="120" ht="33" spans="1:3">
      <c r="A120" s="54">
        <v>118</v>
      </c>
      <c r="B120" s="56" t="s">
        <v>1205</v>
      </c>
      <c r="C120" s="57">
        <v>1000</v>
      </c>
    </row>
    <row r="121" ht="33" spans="1:3">
      <c r="A121" s="54">
        <v>119</v>
      </c>
      <c r="B121" s="56" t="s">
        <v>1207</v>
      </c>
      <c r="C121" s="57">
        <v>1000</v>
      </c>
    </row>
    <row r="122" ht="33" spans="1:3">
      <c r="A122" s="54">
        <v>120</v>
      </c>
      <c r="B122" s="56" t="s">
        <v>1208</v>
      </c>
      <c r="C122" s="57">
        <v>1000</v>
      </c>
    </row>
    <row r="123" ht="33" spans="1:3">
      <c r="A123" s="54">
        <v>121</v>
      </c>
      <c r="B123" s="56" t="s">
        <v>1210</v>
      </c>
      <c r="C123" s="57">
        <v>1000</v>
      </c>
    </row>
    <row r="124" ht="33" spans="1:3">
      <c r="A124" s="54">
        <v>122</v>
      </c>
      <c r="B124" s="56" t="s">
        <v>1212</v>
      </c>
      <c r="C124" s="57">
        <v>1000</v>
      </c>
    </row>
    <row r="125" ht="33" spans="1:3">
      <c r="A125" s="54">
        <v>123</v>
      </c>
      <c r="B125" s="56" t="s">
        <v>1214</v>
      </c>
      <c r="C125" s="57">
        <v>1000</v>
      </c>
    </row>
    <row r="126" ht="33" spans="1:3">
      <c r="A126" s="54">
        <v>124</v>
      </c>
      <c r="B126" s="56" t="s">
        <v>1216</v>
      </c>
      <c r="C126" s="57">
        <v>1000</v>
      </c>
    </row>
    <row r="127" ht="33" spans="1:3">
      <c r="A127" s="54">
        <v>125</v>
      </c>
      <c r="B127" s="56" t="s">
        <v>1217</v>
      </c>
      <c r="C127" s="57">
        <v>1000</v>
      </c>
    </row>
    <row r="128" ht="33" spans="1:3">
      <c r="A128" s="54">
        <v>126</v>
      </c>
      <c r="B128" s="56" t="s">
        <v>1219</v>
      </c>
      <c r="C128" s="57">
        <v>1000</v>
      </c>
    </row>
    <row r="129" ht="33" spans="1:3">
      <c r="A129" s="54">
        <v>127</v>
      </c>
      <c r="B129" s="56" t="s">
        <v>1221</v>
      </c>
      <c r="C129" s="57">
        <v>1000</v>
      </c>
    </row>
    <row r="130" ht="33" spans="1:3">
      <c r="A130" s="54">
        <v>128</v>
      </c>
      <c r="B130" s="56" t="s">
        <v>1223</v>
      </c>
      <c r="C130" s="57">
        <v>1000</v>
      </c>
    </row>
    <row r="131" ht="33" spans="1:3">
      <c r="A131" s="54">
        <v>129</v>
      </c>
      <c r="B131" s="56" t="s">
        <v>1225</v>
      </c>
      <c r="C131" s="57">
        <v>1000</v>
      </c>
    </row>
    <row r="132" ht="33" spans="1:3">
      <c r="A132" s="54">
        <v>130</v>
      </c>
      <c r="B132" s="56" t="s">
        <v>1227</v>
      </c>
      <c r="C132" s="57">
        <v>1000</v>
      </c>
    </row>
    <row r="133" ht="33" spans="1:3">
      <c r="A133" s="54">
        <v>131</v>
      </c>
      <c r="B133" s="56" t="s">
        <v>1235</v>
      </c>
      <c r="C133" s="57">
        <v>1000</v>
      </c>
    </row>
    <row r="134" ht="33" spans="1:3">
      <c r="A134" s="54">
        <v>132</v>
      </c>
      <c r="B134" s="56" t="s">
        <v>1237</v>
      </c>
      <c r="C134" s="57">
        <v>1000</v>
      </c>
    </row>
    <row r="135" ht="33" spans="1:3">
      <c r="A135" s="54">
        <v>133</v>
      </c>
      <c r="B135" s="56" t="s">
        <v>1239</v>
      </c>
      <c r="C135" s="57">
        <v>1000</v>
      </c>
    </row>
    <row r="136" ht="33" spans="1:3">
      <c r="A136" s="54">
        <v>134</v>
      </c>
      <c r="B136" s="56" t="s">
        <v>1241</v>
      </c>
      <c r="C136" s="57">
        <v>1000</v>
      </c>
    </row>
    <row r="137" ht="33" spans="1:3">
      <c r="A137" s="54">
        <v>135</v>
      </c>
      <c r="B137" s="56" t="s">
        <v>1243</v>
      </c>
      <c r="C137" s="57">
        <v>1000</v>
      </c>
    </row>
    <row r="138" ht="33" spans="1:3">
      <c r="A138" s="54">
        <v>136</v>
      </c>
      <c r="B138" s="56" t="s">
        <v>1245</v>
      </c>
      <c r="C138" s="57">
        <v>1000</v>
      </c>
    </row>
    <row r="139" ht="33" spans="1:3">
      <c r="A139" s="54">
        <v>137</v>
      </c>
      <c r="B139" s="56" t="s">
        <v>1246</v>
      </c>
      <c r="C139" s="57">
        <v>1000</v>
      </c>
    </row>
    <row r="140" ht="33" spans="1:3">
      <c r="A140" s="54">
        <v>138</v>
      </c>
      <c r="B140" s="56" t="s">
        <v>1248</v>
      </c>
      <c r="C140" s="57">
        <v>1000</v>
      </c>
    </row>
    <row r="141" ht="33" spans="1:3">
      <c r="A141" s="54">
        <v>139</v>
      </c>
      <c r="B141" s="56" t="s">
        <v>1250</v>
      </c>
      <c r="C141" s="57">
        <v>2000</v>
      </c>
    </row>
    <row r="142" ht="33" spans="1:3">
      <c r="A142" s="54">
        <v>140</v>
      </c>
      <c r="B142" s="56" t="s">
        <v>1255</v>
      </c>
      <c r="C142" s="57">
        <v>2000</v>
      </c>
    </row>
    <row r="143" ht="33" spans="1:3">
      <c r="A143" s="54">
        <v>141</v>
      </c>
      <c r="B143" s="56" t="s">
        <v>1257</v>
      </c>
      <c r="C143" s="57">
        <v>2000</v>
      </c>
    </row>
    <row r="144" ht="33" spans="1:3">
      <c r="A144" s="54">
        <v>142</v>
      </c>
      <c r="B144" s="56" t="s">
        <v>1261</v>
      </c>
      <c r="C144" s="57">
        <v>2000</v>
      </c>
    </row>
    <row r="145" ht="33" spans="1:3">
      <c r="A145" s="54">
        <v>143</v>
      </c>
      <c r="B145" s="56" t="s">
        <v>1268</v>
      </c>
      <c r="C145" s="57">
        <v>2000</v>
      </c>
    </row>
    <row r="146" ht="33" spans="1:3">
      <c r="A146" s="54">
        <v>144</v>
      </c>
      <c r="B146" s="56" t="s">
        <v>1271</v>
      </c>
      <c r="C146" s="57">
        <v>2000</v>
      </c>
    </row>
    <row r="147" ht="33" spans="1:3">
      <c r="A147" s="54">
        <v>145</v>
      </c>
      <c r="B147" s="56" t="s">
        <v>1275</v>
      </c>
      <c r="C147" s="57">
        <v>2000</v>
      </c>
    </row>
    <row r="148" ht="33" spans="1:3">
      <c r="A148" s="54">
        <v>146</v>
      </c>
      <c r="B148" s="56" t="s">
        <v>1280</v>
      </c>
      <c r="C148" s="57">
        <v>2000</v>
      </c>
    </row>
    <row r="149" ht="33" spans="1:3">
      <c r="A149" s="54">
        <v>147</v>
      </c>
      <c r="B149" s="56" t="s">
        <v>1282</v>
      </c>
      <c r="C149" s="57">
        <v>2000</v>
      </c>
    </row>
    <row r="150" ht="33" spans="1:3">
      <c r="A150" s="54">
        <v>148</v>
      </c>
      <c r="B150" s="56" t="s">
        <v>1296</v>
      </c>
      <c r="C150" s="57">
        <v>2000</v>
      </c>
    </row>
    <row r="151" ht="33" spans="1:3">
      <c r="A151" s="54">
        <v>149</v>
      </c>
      <c r="B151" s="56" t="s">
        <v>1298</v>
      </c>
      <c r="C151" s="57">
        <v>2000</v>
      </c>
    </row>
    <row r="152" ht="33" spans="1:3">
      <c r="A152" s="54">
        <v>150</v>
      </c>
      <c r="B152" s="56" t="s">
        <v>1342</v>
      </c>
      <c r="C152" s="57">
        <v>2000</v>
      </c>
    </row>
    <row r="153" ht="33" spans="1:3">
      <c r="A153" s="54">
        <v>151</v>
      </c>
      <c r="B153" s="56" t="s">
        <v>1344</v>
      </c>
      <c r="C153" s="57">
        <v>2000</v>
      </c>
    </row>
    <row r="154" ht="33" spans="1:3">
      <c r="A154" s="54">
        <v>152</v>
      </c>
      <c r="B154" s="56" t="s">
        <v>1346</v>
      </c>
      <c r="C154" s="57">
        <v>2000</v>
      </c>
    </row>
    <row r="155" ht="33" spans="1:3">
      <c r="A155" s="54">
        <v>153</v>
      </c>
      <c r="B155" s="56" t="s">
        <v>1362</v>
      </c>
      <c r="C155" s="57">
        <v>2000</v>
      </c>
    </row>
    <row r="156" ht="33" spans="1:3">
      <c r="A156" s="54">
        <v>154</v>
      </c>
      <c r="B156" s="56" t="s">
        <v>1365</v>
      </c>
      <c r="C156" s="57">
        <v>2000</v>
      </c>
    </row>
    <row r="157" ht="33" spans="1:3">
      <c r="A157" s="54">
        <v>155</v>
      </c>
      <c r="B157" s="56" t="s">
        <v>1366</v>
      </c>
      <c r="C157" s="57">
        <v>2000</v>
      </c>
    </row>
    <row r="158" ht="33" spans="1:3">
      <c r="A158" s="54">
        <v>156</v>
      </c>
      <c r="B158" s="56" t="s">
        <v>1368</v>
      </c>
      <c r="C158" s="57">
        <v>2000</v>
      </c>
    </row>
    <row r="159" ht="33" spans="1:3">
      <c r="A159" s="54">
        <v>157</v>
      </c>
      <c r="B159" s="56" t="s">
        <v>1369</v>
      </c>
      <c r="C159" s="57">
        <v>2000</v>
      </c>
    </row>
    <row r="160" ht="33" spans="1:3">
      <c r="A160" s="54">
        <v>158</v>
      </c>
      <c r="B160" s="56" t="s">
        <v>1373</v>
      </c>
      <c r="C160" s="57">
        <v>2000</v>
      </c>
    </row>
    <row r="161" ht="33" spans="1:3">
      <c r="A161" s="54">
        <v>159</v>
      </c>
      <c r="B161" s="56" t="s">
        <v>1377</v>
      </c>
      <c r="C161" s="57">
        <v>2000</v>
      </c>
    </row>
    <row r="162" ht="33" spans="1:3">
      <c r="A162" s="54">
        <v>160</v>
      </c>
      <c r="B162" s="56" t="s">
        <v>1385</v>
      </c>
      <c r="C162" s="57">
        <v>2000</v>
      </c>
    </row>
    <row r="163" ht="33" spans="1:3">
      <c r="A163" s="54">
        <v>161</v>
      </c>
      <c r="B163" s="56" t="s">
        <v>1388</v>
      </c>
      <c r="C163" s="57">
        <v>2000</v>
      </c>
    </row>
    <row r="164" ht="33" spans="1:3">
      <c r="A164" s="54">
        <v>162</v>
      </c>
      <c r="B164" s="56" t="s">
        <v>1390</v>
      </c>
      <c r="C164" s="57">
        <v>2000</v>
      </c>
    </row>
    <row r="165" ht="33" spans="1:3">
      <c r="A165" s="54">
        <v>163</v>
      </c>
      <c r="B165" s="56" t="s">
        <v>1392</v>
      </c>
      <c r="C165" s="57">
        <v>2000</v>
      </c>
    </row>
    <row r="166" ht="33" spans="1:3">
      <c r="A166" s="54">
        <v>164</v>
      </c>
      <c r="B166" s="56" t="s">
        <v>1394</v>
      </c>
      <c r="C166" s="57">
        <v>2000</v>
      </c>
    </row>
    <row r="167" ht="33" spans="1:3">
      <c r="A167" s="54">
        <v>165</v>
      </c>
      <c r="B167" s="56" t="s">
        <v>1395</v>
      </c>
      <c r="C167" s="57">
        <v>2000</v>
      </c>
    </row>
    <row r="168" ht="33" spans="1:3">
      <c r="A168" s="54">
        <v>166</v>
      </c>
      <c r="B168" s="56" t="s">
        <v>1397</v>
      </c>
      <c r="C168" s="57">
        <v>2000</v>
      </c>
    </row>
    <row r="169" ht="33" spans="1:3">
      <c r="A169" s="54">
        <v>167</v>
      </c>
      <c r="B169" s="56" t="s">
        <v>1398</v>
      </c>
      <c r="C169" s="57">
        <v>2000</v>
      </c>
    </row>
    <row r="170" ht="33" spans="1:3">
      <c r="A170" s="54">
        <v>168</v>
      </c>
      <c r="B170" s="56" t="s">
        <v>1400</v>
      </c>
      <c r="C170" s="57">
        <v>2000</v>
      </c>
    </row>
    <row r="171" ht="33" spans="1:3">
      <c r="A171" s="54">
        <v>169</v>
      </c>
      <c r="B171" s="56" t="s">
        <v>1402</v>
      </c>
      <c r="C171" s="57">
        <v>2000</v>
      </c>
    </row>
    <row r="172" ht="33" spans="1:3">
      <c r="A172" s="54">
        <v>170</v>
      </c>
      <c r="B172" s="56" t="s">
        <v>1412</v>
      </c>
      <c r="C172" s="57">
        <v>2000</v>
      </c>
    </row>
    <row r="173" ht="33" spans="1:3">
      <c r="A173" s="54">
        <v>171</v>
      </c>
      <c r="B173" s="56" t="s">
        <v>1415</v>
      </c>
      <c r="C173" s="57">
        <v>2000</v>
      </c>
    </row>
    <row r="174" ht="33" spans="1:3">
      <c r="A174" s="54">
        <v>172</v>
      </c>
      <c r="B174" s="56" t="s">
        <v>1418</v>
      </c>
      <c r="C174" s="57">
        <v>2000</v>
      </c>
    </row>
    <row r="175" ht="33" spans="1:3">
      <c r="A175" s="54">
        <v>173</v>
      </c>
      <c r="B175" s="56" t="s">
        <v>1420</v>
      </c>
      <c r="C175" s="57">
        <v>2000</v>
      </c>
    </row>
    <row r="176" ht="33" spans="1:3">
      <c r="A176" s="54">
        <v>174</v>
      </c>
      <c r="B176" s="56" t="s">
        <v>1421</v>
      </c>
      <c r="C176" s="57">
        <v>2000</v>
      </c>
    </row>
    <row r="177" ht="33" spans="1:3">
      <c r="A177" s="54">
        <v>175</v>
      </c>
      <c r="B177" s="56" t="s">
        <v>1423</v>
      </c>
      <c r="C177" s="57">
        <v>2000</v>
      </c>
    </row>
    <row r="178" ht="33" spans="1:3">
      <c r="A178" s="54">
        <v>176</v>
      </c>
      <c r="B178" s="56" t="s">
        <v>1426</v>
      </c>
      <c r="C178" s="57">
        <v>2000</v>
      </c>
    </row>
    <row r="179" ht="33" spans="1:3">
      <c r="A179" s="54">
        <v>177</v>
      </c>
      <c r="B179" s="56" t="s">
        <v>1427</v>
      </c>
      <c r="C179" s="57">
        <v>2000</v>
      </c>
    </row>
    <row r="180" ht="33" spans="1:3">
      <c r="A180" s="54">
        <v>178</v>
      </c>
      <c r="B180" s="56" t="s">
        <v>1431</v>
      </c>
      <c r="C180" s="57">
        <v>2000</v>
      </c>
    </row>
    <row r="181" ht="33" spans="1:3">
      <c r="A181" s="54">
        <v>179</v>
      </c>
      <c r="B181" s="56" t="s">
        <v>1434</v>
      </c>
      <c r="C181" s="57">
        <v>2000</v>
      </c>
    </row>
    <row r="182" ht="33" spans="1:3">
      <c r="A182" s="54">
        <v>180</v>
      </c>
      <c r="B182" s="56" t="s">
        <v>1446</v>
      </c>
      <c r="C182" s="57">
        <v>2000</v>
      </c>
    </row>
    <row r="183" ht="33" spans="1:3">
      <c r="A183" s="54">
        <v>181</v>
      </c>
      <c r="B183" s="56" t="s">
        <v>1452</v>
      </c>
      <c r="C183" s="57">
        <v>2000</v>
      </c>
    </row>
    <row r="184" ht="33" spans="1:3">
      <c r="A184" s="54">
        <v>182</v>
      </c>
      <c r="B184" s="56" t="s">
        <v>1454</v>
      </c>
      <c r="C184" s="57">
        <v>2000</v>
      </c>
    </row>
    <row r="185" ht="33" spans="1:3">
      <c r="A185" s="54">
        <v>183</v>
      </c>
      <c r="B185" s="56" t="s">
        <v>1456</v>
      </c>
      <c r="C185" s="57">
        <v>2000</v>
      </c>
    </row>
    <row r="186" ht="33" spans="1:3">
      <c r="A186" s="58"/>
      <c r="B186" s="56"/>
      <c r="C186" s="59">
        <f>SUM(C3:C185)</f>
        <v>308500</v>
      </c>
    </row>
  </sheetData>
  <mergeCells count="1">
    <mergeCell ref="A1:C1"/>
  </mergeCells>
  <pageMargins left="0.7" right="0.7" top="0.75" bottom="0.75" header="0.3" footer="0.3"/>
  <pageSetup paperSize="1" scale="68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15"/>
  <sheetViews>
    <sheetView view="pageBreakPreview" zoomScale="60" zoomScaleNormal="100" topLeftCell="A247" workbookViewId="0">
      <selection activeCell="C263" sqref="C263"/>
    </sheetView>
  </sheetViews>
  <sheetFormatPr defaultColWidth="11" defaultRowHeight="28.5" outlineLevelCol="2"/>
  <cols>
    <col min="1" max="1" width="14.8285714285714" style="43" customWidth="1"/>
    <col min="2" max="2" width="72" customWidth="1"/>
    <col min="3" max="3" width="47.1619047619048" customWidth="1"/>
  </cols>
  <sheetData>
    <row r="2" ht="53" customHeight="1" spans="1:3">
      <c r="A2" s="44" t="s">
        <v>2348</v>
      </c>
      <c r="B2" s="44"/>
      <c r="C2" s="44"/>
    </row>
    <row r="3" ht="35.25" spans="1:3">
      <c r="A3" s="45" t="s">
        <v>2</v>
      </c>
      <c r="B3" s="45" t="s">
        <v>3</v>
      </c>
      <c r="C3" s="45" t="s">
        <v>862</v>
      </c>
    </row>
    <row r="4" ht="33" spans="1:3">
      <c r="A4" s="46">
        <v>1</v>
      </c>
      <c r="B4" s="47" t="s">
        <v>89</v>
      </c>
      <c r="C4" s="48">
        <v>456250</v>
      </c>
    </row>
    <row r="5" ht="33" spans="1:3">
      <c r="A5" s="46">
        <v>2</v>
      </c>
      <c r="B5" s="47" t="s">
        <v>124</v>
      </c>
      <c r="C5" s="48">
        <v>5000</v>
      </c>
    </row>
    <row r="6" ht="33" spans="1:3">
      <c r="A6" s="46">
        <v>3</v>
      </c>
      <c r="B6" s="47" t="s">
        <v>132</v>
      </c>
      <c r="C6" s="48">
        <v>19333.33</v>
      </c>
    </row>
    <row r="7" ht="33" spans="1:3">
      <c r="A7" s="46">
        <v>4</v>
      </c>
      <c r="B7" s="47" t="s">
        <v>137</v>
      </c>
      <c r="C7" s="48">
        <v>85000</v>
      </c>
    </row>
    <row r="8" ht="33" spans="1:3">
      <c r="A8" s="46">
        <v>5</v>
      </c>
      <c r="B8" s="47" t="s">
        <v>152</v>
      </c>
      <c r="C8" s="48">
        <v>10000</v>
      </c>
    </row>
    <row r="9" ht="33" spans="1:3">
      <c r="A9" s="46">
        <v>6</v>
      </c>
      <c r="B9" s="47" t="s">
        <v>159</v>
      </c>
      <c r="C9" s="48">
        <v>33339.29</v>
      </c>
    </row>
    <row r="10" ht="33" spans="1:3">
      <c r="A10" s="46">
        <v>7</v>
      </c>
      <c r="B10" s="47" t="s">
        <v>166</v>
      </c>
      <c r="C10" s="48">
        <v>97947</v>
      </c>
    </row>
    <row r="11" ht="33" spans="1:3">
      <c r="A11" s="46">
        <v>8</v>
      </c>
      <c r="B11" s="47" t="s">
        <v>180</v>
      </c>
      <c r="C11" s="48">
        <v>118333.33</v>
      </c>
    </row>
    <row r="12" ht="33" spans="1:3">
      <c r="A12" s="46">
        <v>9</v>
      </c>
      <c r="B12" s="47" t="s">
        <v>182</v>
      </c>
      <c r="C12" s="48">
        <v>95000</v>
      </c>
    </row>
    <row r="13" ht="33" spans="1:3">
      <c r="A13" s="46">
        <v>10</v>
      </c>
      <c r="B13" s="47" t="s">
        <v>184</v>
      </c>
      <c r="C13" s="48">
        <v>265000</v>
      </c>
    </row>
    <row r="14" ht="33" spans="1:3">
      <c r="A14" s="46">
        <v>11</v>
      </c>
      <c r="B14" s="47" t="s">
        <v>187</v>
      </c>
      <c r="C14" s="48">
        <v>78833.33</v>
      </c>
    </row>
    <row r="15" ht="33" spans="1:3">
      <c r="A15" s="46">
        <v>12</v>
      </c>
      <c r="B15" s="47" t="s">
        <v>190</v>
      </c>
      <c r="C15" s="48">
        <v>119583.33</v>
      </c>
    </row>
    <row r="16" ht="33" spans="1:3">
      <c r="A16" s="46">
        <v>13</v>
      </c>
      <c r="B16" s="47" t="s">
        <v>217</v>
      </c>
      <c r="C16" s="48">
        <v>90000</v>
      </c>
    </row>
    <row r="17" ht="33" spans="1:3">
      <c r="A17" s="46">
        <v>14</v>
      </c>
      <c r="B17" s="47" t="s">
        <v>222</v>
      </c>
      <c r="C17" s="48">
        <v>97500</v>
      </c>
    </row>
    <row r="18" ht="33" spans="1:3">
      <c r="A18" s="46">
        <v>15</v>
      </c>
      <c r="B18" s="47" t="s">
        <v>224</v>
      </c>
      <c r="C18" s="48">
        <v>119459</v>
      </c>
    </row>
    <row r="19" ht="33" spans="1:3">
      <c r="A19" s="46">
        <v>16</v>
      </c>
      <c r="B19" s="47" t="s">
        <v>230</v>
      </c>
      <c r="C19" s="48">
        <v>100000</v>
      </c>
    </row>
    <row r="20" ht="33" spans="1:3">
      <c r="A20" s="46">
        <v>17</v>
      </c>
      <c r="B20" s="47" t="s">
        <v>233</v>
      </c>
      <c r="C20" s="48">
        <v>20000</v>
      </c>
    </row>
    <row r="21" ht="33" spans="1:3">
      <c r="A21" s="46">
        <v>18</v>
      </c>
      <c r="B21" s="47" t="s">
        <v>237</v>
      </c>
      <c r="C21" s="48">
        <v>200000</v>
      </c>
    </row>
    <row r="22" ht="33" spans="1:3">
      <c r="A22" s="46">
        <v>19</v>
      </c>
      <c r="B22" s="47" t="s">
        <v>256</v>
      </c>
      <c r="C22" s="48">
        <v>75000</v>
      </c>
    </row>
    <row r="23" ht="33" spans="1:3">
      <c r="A23" s="46">
        <v>20</v>
      </c>
      <c r="B23" s="47" t="s">
        <v>260</v>
      </c>
      <c r="C23" s="48">
        <v>197709</v>
      </c>
    </row>
    <row r="24" ht="33" spans="1:3">
      <c r="A24" s="46">
        <v>21</v>
      </c>
      <c r="B24" s="47" t="s">
        <v>262</v>
      </c>
      <c r="C24" s="48">
        <v>40000</v>
      </c>
    </row>
    <row r="25" ht="33" spans="1:3">
      <c r="A25" s="46">
        <v>22</v>
      </c>
      <c r="B25" s="47" t="s">
        <v>265</v>
      </c>
      <c r="C25" s="48">
        <v>200303.363636364</v>
      </c>
    </row>
    <row r="26" ht="33" spans="1:3">
      <c r="A26" s="46">
        <v>23</v>
      </c>
      <c r="B26" s="47" t="s">
        <v>271</v>
      </c>
      <c r="C26" s="48">
        <v>75834</v>
      </c>
    </row>
    <row r="27" ht="33" spans="1:3">
      <c r="A27" s="46">
        <v>24</v>
      </c>
      <c r="B27" s="47" t="s">
        <v>274</v>
      </c>
      <c r="C27" s="48">
        <v>350000</v>
      </c>
    </row>
    <row r="28" ht="33" spans="1:3">
      <c r="A28" s="46">
        <v>25</v>
      </c>
      <c r="B28" s="47" t="s">
        <v>278</v>
      </c>
      <c r="C28" s="48">
        <v>30834</v>
      </c>
    </row>
    <row r="29" ht="33" spans="1:3">
      <c r="A29" s="46">
        <v>26</v>
      </c>
      <c r="B29" s="47" t="s">
        <v>282</v>
      </c>
      <c r="C29" s="48">
        <v>121875</v>
      </c>
    </row>
    <row r="30" ht="33" spans="1:3">
      <c r="A30" s="46">
        <v>27</v>
      </c>
      <c r="B30" s="47" t="s">
        <v>285</v>
      </c>
      <c r="C30" s="48">
        <v>12500</v>
      </c>
    </row>
    <row r="31" ht="33" spans="1:3">
      <c r="A31" s="46">
        <v>28</v>
      </c>
      <c r="B31" s="47" t="s">
        <v>289</v>
      </c>
      <c r="C31" s="48">
        <v>71667</v>
      </c>
    </row>
    <row r="32" ht="33" spans="1:3">
      <c r="A32" s="46">
        <v>29</v>
      </c>
      <c r="B32" s="47" t="s">
        <v>290</v>
      </c>
      <c r="C32" s="48">
        <v>50000</v>
      </c>
    </row>
    <row r="33" ht="33" spans="1:3">
      <c r="A33" s="46">
        <v>30</v>
      </c>
      <c r="B33" s="47" t="s">
        <v>293</v>
      </c>
      <c r="C33" s="48">
        <v>12500</v>
      </c>
    </row>
    <row r="34" ht="33" spans="1:3">
      <c r="A34" s="46">
        <v>31</v>
      </c>
      <c r="B34" s="47" t="s">
        <v>300</v>
      </c>
      <c r="C34" s="48">
        <v>70000</v>
      </c>
    </row>
    <row r="35" ht="33" spans="1:3">
      <c r="A35" s="46">
        <v>32</v>
      </c>
      <c r="B35" s="47" t="s">
        <v>303</v>
      </c>
      <c r="C35" s="48">
        <v>10000</v>
      </c>
    </row>
    <row r="36" ht="33" spans="1:3">
      <c r="A36" s="46">
        <v>33</v>
      </c>
      <c r="B36" s="47" t="s">
        <v>306</v>
      </c>
      <c r="C36" s="48">
        <v>100000</v>
      </c>
    </row>
    <row r="37" ht="33" spans="1:3">
      <c r="A37" s="46">
        <v>34</v>
      </c>
      <c r="B37" s="47" t="s">
        <v>310</v>
      </c>
      <c r="C37" s="48">
        <v>76848.955</v>
      </c>
    </row>
    <row r="38" ht="33" spans="1:3">
      <c r="A38" s="46">
        <v>35</v>
      </c>
      <c r="B38" s="47" t="s">
        <v>312</v>
      </c>
      <c r="C38" s="48">
        <v>45000</v>
      </c>
    </row>
    <row r="39" ht="33" spans="1:3">
      <c r="A39" s="46">
        <v>36</v>
      </c>
      <c r="B39" s="47" t="s">
        <v>316</v>
      </c>
      <c r="C39" s="48">
        <v>214999.996666667</v>
      </c>
    </row>
    <row r="40" ht="33" spans="1:3">
      <c r="A40" s="46">
        <v>37</v>
      </c>
      <c r="B40" s="47" t="s">
        <v>320</v>
      </c>
      <c r="C40" s="48">
        <v>116818.18</v>
      </c>
    </row>
    <row r="41" ht="33" spans="1:3">
      <c r="A41" s="46">
        <v>38</v>
      </c>
      <c r="B41" s="47" t="s">
        <v>323</v>
      </c>
      <c r="C41" s="48">
        <v>141250.33</v>
      </c>
    </row>
    <row r="42" ht="33" spans="1:3">
      <c r="A42" s="46">
        <v>39</v>
      </c>
      <c r="B42" s="47" t="s">
        <v>324</v>
      </c>
      <c r="C42" s="48">
        <v>103333.33</v>
      </c>
    </row>
    <row r="43" ht="33" spans="1:3">
      <c r="A43" s="46">
        <v>40</v>
      </c>
      <c r="B43" s="47" t="s">
        <v>326</v>
      </c>
      <c r="C43" s="48">
        <v>5000</v>
      </c>
    </row>
    <row r="44" ht="33" spans="1:3">
      <c r="A44" s="46">
        <v>41</v>
      </c>
      <c r="B44" s="47" t="s">
        <v>327</v>
      </c>
      <c r="C44" s="48">
        <v>60000</v>
      </c>
    </row>
    <row r="45" ht="33" spans="1:3">
      <c r="A45" s="46">
        <v>42</v>
      </c>
      <c r="B45" s="47" t="s">
        <v>330</v>
      </c>
      <c r="C45" s="48">
        <v>190000</v>
      </c>
    </row>
    <row r="46" ht="33" spans="1:3">
      <c r="A46" s="46">
        <v>43</v>
      </c>
      <c r="B46" s="47" t="s">
        <v>337</v>
      </c>
      <c r="C46" s="48">
        <v>20000</v>
      </c>
    </row>
    <row r="47" ht="33" spans="1:3">
      <c r="A47" s="46">
        <v>44</v>
      </c>
      <c r="B47" s="47" t="s">
        <v>339</v>
      </c>
      <c r="C47" s="48">
        <v>522222.196666667</v>
      </c>
    </row>
    <row r="48" ht="33" spans="1:3">
      <c r="A48" s="46">
        <v>45</v>
      </c>
      <c r="B48" s="47" t="s">
        <v>342</v>
      </c>
      <c r="C48" s="48">
        <v>50000</v>
      </c>
    </row>
    <row r="49" ht="33" spans="1:3">
      <c r="A49" s="46">
        <v>46</v>
      </c>
      <c r="B49" s="47" t="s">
        <v>345</v>
      </c>
      <c r="C49" s="48">
        <v>201960</v>
      </c>
    </row>
    <row r="50" ht="33" spans="1:3">
      <c r="A50" s="46">
        <v>47</v>
      </c>
      <c r="B50" s="47" t="s">
        <v>349</v>
      </c>
      <c r="C50" s="48">
        <v>35000</v>
      </c>
    </row>
    <row r="51" ht="33" spans="1:3">
      <c r="A51" s="46">
        <v>48</v>
      </c>
      <c r="B51" s="47" t="s">
        <v>351</v>
      </c>
      <c r="C51" s="48">
        <v>88333.33</v>
      </c>
    </row>
    <row r="52" ht="33" spans="1:3">
      <c r="A52" s="46">
        <v>49</v>
      </c>
      <c r="B52" s="47" t="s">
        <v>355</v>
      </c>
      <c r="C52" s="48">
        <v>174803</v>
      </c>
    </row>
    <row r="53" ht="33" spans="1:3">
      <c r="A53" s="46">
        <v>50</v>
      </c>
      <c r="B53" s="47" t="s">
        <v>357</v>
      </c>
      <c r="C53" s="48">
        <v>32917</v>
      </c>
    </row>
    <row r="54" ht="33" spans="1:3">
      <c r="A54" s="46">
        <v>51</v>
      </c>
      <c r="B54" s="47" t="s">
        <v>359</v>
      </c>
      <c r="C54" s="48">
        <v>70000</v>
      </c>
    </row>
    <row r="55" ht="33" spans="1:3">
      <c r="A55" s="46">
        <v>52</v>
      </c>
      <c r="B55" s="47" t="s">
        <v>367</v>
      </c>
      <c r="C55" s="48">
        <v>105499.861111111</v>
      </c>
    </row>
    <row r="56" ht="33" spans="1:3">
      <c r="A56" s="46">
        <v>53</v>
      </c>
      <c r="B56" s="47" t="s">
        <v>369</v>
      </c>
      <c r="C56" s="48">
        <v>5000</v>
      </c>
    </row>
    <row r="57" ht="33" spans="1:3">
      <c r="A57" s="46">
        <v>54</v>
      </c>
      <c r="B57" s="47" t="s">
        <v>371</v>
      </c>
      <c r="C57" s="48">
        <v>55000</v>
      </c>
    </row>
    <row r="58" ht="33" spans="1:3">
      <c r="A58" s="46">
        <v>55</v>
      </c>
      <c r="B58" s="47" t="s">
        <v>373</v>
      </c>
      <c r="C58" s="48">
        <v>60000</v>
      </c>
    </row>
    <row r="59" ht="33" spans="1:3">
      <c r="A59" s="46">
        <v>56</v>
      </c>
      <c r="B59" s="47" t="s">
        <v>375</v>
      </c>
      <c r="C59" s="48">
        <v>85000</v>
      </c>
    </row>
    <row r="60" ht="33" spans="1:3">
      <c r="A60" s="46">
        <v>57</v>
      </c>
      <c r="B60" s="47" t="s">
        <v>378</v>
      </c>
      <c r="C60" s="48">
        <v>207334</v>
      </c>
    </row>
    <row r="61" ht="33" spans="1:3">
      <c r="A61" s="46">
        <v>58</v>
      </c>
      <c r="B61" s="47" t="s">
        <v>380</v>
      </c>
      <c r="C61" s="48">
        <v>100000</v>
      </c>
    </row>
    <row r="62" ht="33" spans="1:3">
      <c r="A62" s="46">
        <v>59</v>
      </c>
      <c r="B62" s="47" t="s">
        <v>382</v>
      </c>
      <c r="C62" s="48">
        <v>20000</v>
      </c>
    </row>
    <row r="63" ht="33" spans="1:3">
      <c r="A63" s="46">
        <v>60</v>
      </c>
      <c r="B63" s="47" t="s">
        <v>383</v>
      </c>
      <c r="C63" s="48">
        <v>47500</v>
      </c>
    </row>
    <row r="64" ht="33" spans="1:3">
      <c r="A64" s="46">
        <v>61</v>
      </c>
      <c r="B64" s="47" t="s">
        <v>386</v>
      </c>
      <c r="C64" s="48">
        <v>20000</v>
      </c>
    </row>
    <row r="65" ht="33" spans="1:3">
      <c r="A65" s="46">
        <v>62</v>
      </c>
      <c r="B65" s="47" t="s">
        <v>388</v>
      </c>
      <c r="C65" s="48">
        <v>85000</v>
      </c>
    </row>
    <row r="66" ht="33" spans="1:3">
      <c r="A66" s="46">
        <v>63</v>
      </c>
      <c r="B66" s="47" t="s">
        <v>390</v>
      </c>
      <c r="C66" s="48">
        <v>15000</v>
      </c>
    </row>
    <row r="67" ht="33" spans="1:3">
      <c r="A67" s="46">
        <v>64</v>
      </c>
      <c r="B67" s="47" t="s">
        <v>392</v>
      </c>
      <c r="C67" s="48">
        <v>91666.6666666667</v>
      </c>
    </row>
    <row r="68" ht="33" spans="1:3">
      <c r="A68" s="46">
        <v>65</v>
      </c>
      <c r="B68" s="47" t="s">
        <v>393</v>
      </c>
      <c r="C68" s="48">
        <v>20000</v>
      </c>
    </row>
    <row r="69" ht="33" spans="1:3">
      <c r="A69" s="46">
        <v>66</v>
      </c>
      <c r="B69" s="47" t="s">
        <v>396</v>
      </c>
      <c r="C69" s="48">
        <v>10000</v>
      </c>
    </row>
    <row r="70" ht="33" spans="1:3">
      <c r="A70" s="46">
        <v>67</v>
      </c>
      <c r="B70" s="47" t="s">
        <v>397</v>
      </c>
      <c r="C70" s="48">
        <v>25000</v>
      </c>
    </row>
    <row r="71" ht="33" spans="1:3">
      <c r="A71" s="46">
        <v>68</v>
      </c>
      <c r="B71" s="47" t="s">
        <v>404</v>
      </c>
      <c r="C71" s="48">
        <v>162917</v>
      </c>
    </row>
    <row r="72" ht="33" spans="1:3">
      <c r="A72" s="46">
        <v>69</v>
      </c>
      <c r="B72" s="47" t="s">
        <v>410</v>
      </c>
      <c r="C72" s="48">
        <v>40834</v>
      </c>
    </row>
    <row r="73" ht="33" spans="1:3">
      <c r="A73" s="46">
        <v>70</v>
      </c>
      <c r="B73" s="47" t="s">
        <v>412</v>
      </c>
      <c r="C73" s="48">
        <v>20000</v>
      </c>
    </row>
    <row r="74" ht="33" spans="1:3">
      <c r="A74" s="46">
        <v>71</v>
      </c>
      <c r="B74" s="47" t="s">
        <v>414</v>
      </c>
      <c r="C74" s="48">
        <v>160001</v>
      </c>
    </row>
    <row r="75" ht="33" spans="1:3">
      <c r="A75" s="46">
        <v>72</v>
      </c>
      <c r="B75" s="47" t="s">
        <v>416</v>
      </c>
      <c r="C75" s="48">
        <v>5000</v>
      </c>
    </row>
    <row r="76" ht="33" spans="1:3">
      <c r="A76" s="46">
        <v>73</v>
      </c>
      <c r="B76" s="47" t="s">
        <v>421</v>
      </c>
      <c r="C76" s="48">
        <v>35000</v>
      </c>
    </row>
    <row r="77" ht="33" spans="1:3">
      <c r="A77" s="46">
        <v>74</v>
      </c>
      <c r="B77" s="47" t="s">
        <v>423</v>
      </c>
      <c r="C77" s="48">
        <v>190556</v>
      </c>
    </row>
    <row r="78" ht="33" spans="1:3">
      <c r="A78" s="46">
        <v>75</v>
      </c>
      <c r="B78" s="47" t="s">
        <v>427</v>
      </c>
      <c r="C78" s="48">
        <v>86250</v>
      </c>
    </row>
    <row r="79" ht="33" spans="1:3">
      <c r="A79" s="46">
        <v>76</v>
      </c>
      <c r="B79" s="47" t="s">
        <v>428</v>
      </c>
      <c r="C79" s="48">
        <v>67500</v>
      </c>
    </row>
    <row r="80" ht="33" spans="1:3">
      <c r="A80" s="46">
        <v>77</v>
      </c>
      <c r="B80" s="47" t="s">
        <v>431</v>
      </c>
      <c r="C80" s="48">
        <v>10000</v>
      </c>
    </row>
    <row r="81" ht="33" spans="1:3">
      <c r="A81" s="46">
        <v>78</v>
      </c>
      <c r="B81" s="47" t="s">
        <v>433</v>
      </c>
      <c r="C81" s="48">
        <v>5000</v>
      </c>
    </row>
    <row r="82" ht="33" spans="1:3">
      <c r="A82" s="46">
        <v>79</v>
      </c>
      <c r="B82" s="47" t="s">
        <v>434</v>
      </c>
      <c r="C82" s="48">
        <v>106666.67</v>
      </c>
    </row>
    <row r="83" ht="33" spans="1:3">
      <c r="A83" s="46">
        <v>80</v>
      </c>
      <c r="B83" s="47" t="s">
        <v>451</v>
      </c>
      <c r="C83" s="48">
        <v>20000</v>
      </c>
    </row>
    <row r="84" ht="33" spans="1:3">
      <c r="A84" s="46">
        <v>81</v>
      </c>
      <c r="B84" s="47" t="s">
        <v>452</v>
      </c>
      <c r="C84" s="48">
        <v>116667</v>
      </c>
    </row>
    <row r="85" ht="33" spans="1:3">
      <c r="A85" s="46">
        <v>82</v>
      </c>
      <c r="B85" s="47" t="s">
        <v>455</v>
      </c>
      <c r="C85" s="48">
        <v>251250</v>
      </c>
    </row>
    <row r="86" ht="33" spans="1:3">
      <c r="A86" s="46">
        <v>83</v>
      </c>
      <c r="B86" s="47" t="s">
        <v>457</v>
      </c>
      <c r="C86" s="48">
        <v>50000</v>
      </c>
    </row>
    <row r="87" ht="33" spans="1:3">
      <c r="A87" s="46">
        <v>84</v>
      </c>
      <c r="B87" s="47" t="s">
        <v>458</v>
      </c>
      <c r="C87" s="48">
        <v>70000</v>
      </c>
    </row>
    <row r="88" ht="33" spans="1:3">
      <c r="A88" s="46">
        <v>85</v>
      </c>
      <c r="B88" s="47" t="s">
        <v>460</v>
      </c>
      <c r="C88" s="48">
        <v>20000</v>
      </c>
    </row>
    <row r="89" ht="33" spans="1:3">
      <c r="A89" s="46">
        <v>86</v>
      </c>
      <c r="B89" s="47" t="s">
        <v>462</v>
      </c>
      <c r="C89" s="48">
        <v>20000</v>
      </c>
    </row>
    <row r="90" ht="33" spans="1:3">
      <c r="A90" s="46">
        <v>87</v>
      </c>
      <c r="B90" s="47" t="s">
        <v>470</v>
      </c>
      <c r="C90" s="48">
        <v>66666.67</v>
      </c>
    </row>
    <row r="91" ht="33" spans="1:3">
      <c r="A91" s="46">
        <v>88</v>
      </c>
      <c r="B91" s="47" t="s">
        <v>477</v>
      </c>
      <c r="C91" s="48">
        <v>89843.63</v>
      </c>
    </row>
    <row r="92" ht="33" spans="1:3">
      <c r="A92" s="46">
        <v>89</v>
      </c>
      <c r="B92" s="47" t="s">
        <v>481</v>
      </c>
      <c r="C92" s="48">
        <v>50555</v>
      </c>
    </row>
    <row r="93" ht="33" spans="1:3">
      <c r="A93" s="46">
        <v>90</v>
      </c>
      <c r="B93" s="47" t="s">
        <v>482</v>
      </c>
      <c r="C93" s="48">
        <v>48572</v>
      </c>
    </row>
    <row r="94" ht="33" spans="1:3">
      <c r="A94" s="46">
        <v>91</v>
      </c>
      <c r="B94" s="47" t="s">
        <v>488</v>
      </c>
      <c r="C94" s="48">
        <v>30000</v>
      </c>
    </row>
    <row r="95" ht="33" spans="1:3">
      <c r="A95" s="46">
        <v>92</v>
      </c>
      <c r="B95" s="47" t="s">
        <v>490</v>
      </c>
      <c r="C95" s="48">
        <v>50000</v>
      </c>
    </row>
    <row r="96" ht="33" spans="1:3">
      <c r="A96" s="46">
        <v>93</v>
      </c>
      <c r="B96" s="47" t="s">
        <v>497</v>
      </c>
      <c r="C96" s="48">
        <v>10000</v>
      </c>
    </row>
    <row r="97" ht="33" spans="1:3">
      <c r="A97" s="46">
        <v>94</v>
      </c>
      <c r="B97" s="47" t="s">
        <v>502</v>
      </c>
      <c r="C97" s="48">
        <v>10000</v>
      </c>
    </row>
    <row r="98" ht="33" spans="1:3">
      <c r="A98" s="46">
        <v>95</v>
      </c>
      <c r="B98" s="47" t="s">
        <v>504</v>
      </c>
      <c r="C98" s="48">
        <v>50000</v>
      </c>
    </row>
    <row r="99" ht="33" spans="1:3">
      <c r="A99" s="46">
        <v>96</v>
      </c>
      <c r="B99" s="47" t="s">
        <v>507</v>
      </c>
      <c r="C99" s="48">
        <v>137500</v>
      </c>
    </row>
    <row r="100" ht="33" spans="1:3">
      <c r="A100" s="46">
        <v>97</v>
      </c>
      <c r="B100" s="47" t="s">
        <v>512</v>
      </c>
      <c r="C100" s="48">
        <v>46667</v>
      </c>
    </row>
    <row r="101" ht="33" spans="1:3">
      <c r="A101" s="46">
        <v>98</v>
      </c>
      <c r="B101" s="47" t="s">
        <v>517</v>
      </c>
      <c r="C101" s="48">
        <v>125000</v>
      </c>
    </row>
    <row r="102" ht="33" spans="1:3">
      <c r="A102" s="46">
        <v>99</v>
      </c>
      <c r="B102" s="47" t="s">
        <v>530</v>
      </c>
      <c r="C102" s="48">
        <v>30000</v>
      </c>
    </row>
    <row r="103" ht="33" spans="1:3">
      <c r="A103" s="46">
        <v>100</v>
      </c>
      <c r="B103" s="47" t="s">
        <v>533</v>
      </c>
      <c r="C103" s="48">
        <v>15000</v>
      </c>
    </row>
    <row r="104" ht="33" spans="1:3">
      <c r="A104" s="46">
        <v>101</v>
      </c>
      <c r="B104" s="47" t="s">
        <v>539</v>
      </c>
      <c r="C104" s="48">
        <v>20000</v>
      </c>
    </row>
    <row r="105" ht="33" spans="1:3">
      <c r="A105" s="46">
        <v>102</v>
      </c>
      <c r="B105" s="47" t="s">
        <v>545</v>
      </c>
      <c r="C105" s="48">
        <v>120000</v>
      </c>
    </row>
    <row r="106" ht="33" spans="1:3">
      <c r="A106" s="46">
        <v>103</v>
      </c>
      <c r="B106" s="47" t="s">
        <v>563</v>
      </c>
      <c r="C106" s="48">
        <v>10000</v>
      </c>
    </row>
    <row r="107" ht="33" spans="1:3">
      <c r="A107" s="46">
        <v>104</v>
      </c>
      <c r="B107" s="47" t="s">
        <v>569</v>
      </c>
      <c r="C107" s="48">
        <v>50000</v>
      </c>
    </row>
    <row r="108" ht="33" spans="1:3">
      <c r="A108" s="46">
        <v>105</v>
      </c>
      <c r="B108" s="47" t="s">
        <v>570</v>
      </c>
      <c r="C108" s="48">
        <v>30000</v>
      </c>
    </row>
    <row r="109" ht="33" spans="1:3">
      <c r="A109" s="46">
        <v>106</v>
      </c>
      <c r="B109" s="47" t="s">
        <v>572</v>
      </c>
      <c r="C109" s="48">
        <v>25000</v>
      </c>
    </row>
    <row r="110" ht="33" spans="1:3">
      <c r="A110" s="46">
        <v>107</v>
      </c>
      <c r="B110" s="47" t="s">
        <v>577</v>
      </c>
      <c r="C110" s="48">
        <v>10000</v>
      </c>
    </row>
    <row r="111" ht="33" spans="1:3">
      <c r="A111" s="46">
        <v>108</v>
      </c>
      <c r="B111" s="47" t="s">
        <v>580</v>
      </c>
      <c r="C111" s="48">
        <v>10000</v>
      </c>
    </row>
    <row r="112" ht="33" spans="1:3">
      <c r="A112" s="46">
        <v>109</v>
      </c>
      <c r="B112" s="47" t="s">
        <v>585</v>
      </c>
      <c r="C112" s="48">
        <v>20000</v>
      </c>
    </row>
    <row r="113" ht="33" spans="1:3">
      <c r="A113" s="46">
        <v>110</v>
      </c>
      <c r="B113" s="47" t="s">
        <v>608</v>
      </c>
      <c r="C113" s="48">
        <v>10000</v>
      </c>
    </row>
    <row r="114" ht="33" spans="1:3">
      <c r="A114" s="46">
        <v>111</v>
      </c>
      <c r="B114" s="47" t="s">
        <v>616</v>
      </c>
      <c r="C114" s="48">
        <v>20000</v>
      </c>
    </row>
    <row r="115" ht="33" spans="1:3">
      <c r="A115" s="46">
        <v>112</v>
      </c>
      <c r="B115" s="47" t="s">
        <v>620</v>
      </c>
      <c r="C115" s="48">
        <v>20000</v>
      </c>
    </row>
    <row r="116" ht="33" spans="1:3">
      <c r="A116" s="46">
        <v>113</v>
      </c>
      <c r="B116" s="47" t="s">
        <v>622</v>
      </c>
      <c r="C116" s="48">
        <v>30000</v>
      </c>
    </row>
    <row r="117" ht="33" spans="1:3">
      <c r="A117" s="46">
        <v>114</v>
      </c>
      <c r="B117" s="47" t="s">
        <v>626</v>
      </c>
      <c r="C117" s="48">
        <v>50000</v>
      </c>
    </row>
    <row r="118" ht="33" spans="1:3">
      <c r="A118" s="46">
        <v>115</v>
      </c>
      <c r="B118" s="47" t="s">
        <v>628</v>
      </c>
      <c r="C118" s="48">
        <v>10000</v>
      </c>
    </row>
    <row r="119" ht="33" spans="1:3">
      <c r="A119" s="46">
        <v>116</v>
      </c>
      <c r="B119" s="47" t="s">
        <v>630</v>
      </c>
      <c r="C119" s="48">
        <v>20000</v>
      </c>
    </row>
    <row r="120" ht="33" spans="1:3">
      <c r="A120" s="46">
        <v>117</v>
      </c>
      <c r="B120" s="47" t="s">
        <v>650</v>
      </c>
      <c r="C120" s="48">
        <v>20000</v>
      </c>
    </row>
    <row r="121" ht="33" spans="1:3">
      <c r="A121" s="46">
        <v>118</v>
      </c>
      <c r="B121" s="47" t="s">
        <v>652</v>
      </c>
      <c r="C121" s="48">
        <v>10000</v>
      </c>
    </row>
    <row r="122" ht="33" spans="1:3">
      <c r="A122" s="46">
        <v>119</v>
      </c>
      <c r="B122" s="47" t="s">
        <v>665</v>
      </c>
      <c r="C122" s="48">
        <v>20000</v>
      </c>
    </row>
    <row r="123" ht="33" spans="1:3">
      <c r="A123" s="46">
        <v>120</v>
      </c>
      <c r="B123" s="47" t="s">
        <v>670</v>
      </c>
      <c r="C123" s="48">
        <v>10000</v>
      </c>
    </row>
    <row r="124" ht="33" spans="1:3">
      <c r="A124" s="46">
        <v>121</v>
      </c>
      <c r="B124" s="47" t="s">
        <v>677</v>
      </c>
      <c r="C124" s="48">
        <v>20000</v>
      </c>
    </row>
    <row r="125" ht="33" spans="1:3">
      <c r="A125" s="46">
        <v>122</v>
      </c>
      <c r="B125" s="47" t="s">
        <v>680</v>
      </c>
      <c r="C125" s="48">
        <v>40000</v>
      </c>
    </row>
    <row r="126" ht="33" spans="1:3">
      <c r="A126" s="46">
        <v>123</v>
      </c>
      <c r="B126" s="47" t="s">
        <v>682</v>
      </c>
      <c r="C126" s="48">
        <v>35000</v>
      </c>
    </row>
    <row r="127" ht="33" spans="1:3">
      <c r="A127" s="46">
        <v>124</v>
      </c>
      <c r="B127" s="47" t="s">
        <v>683</v>
      </c>
      <c r="C127" s="48">
        <v>20000</v>
      </c>
    </row>
    <row r="128" ht="33" spans="1:3">
      <c r="A128" s="46">
        <v>125</v>
      </c>
      <c r="B128" s="47" t="s">
        <v>689</v>
      </c>
      <c r="C128" s="48">
        <v>10000</v>
      </c>
    </row>
    <row r="129" ht="33" spans="1:3">
      <c r="A129" s="46">
        <v>126</v>
      </c>
      <c r="B129" s="47" t="s">
        <v>693</v>
      </c>
      <c r="C129" s="48">
        <v>30000</v>
      </c>
    </row>
    <row r="130" ht="33" spans="1:3">
      <c r="A130" s="46">
        <v>127</v>
      </c>
      <c r="B130" s="47" t="s">
        <v>719</v>
      </c>
      <c r="C130" s="48">
        <v>15000</v>
      </c>
    </row>
    <row r="131" ht="33" spans="1:3">
      <c r="A131" s="46">
        <v>128</v>
      </c>
      <c r="B131" s="47" t="s">
        <v>725</v>
      </c>
      <c r="C131" s="48">
        <v>57500</v>
      </c>
    </row>
    <row r="132" ht="33" spans="1:3">
      <c r="A132" s="46">
        <v>129</v>
      </c>
      <c r="B132" s="47" t="s">
        <v>737</v>
      </c>
      <c r="C132" s="48">
        <v>5000</v>
      </c>
    </row>
    <row r="133" ht="33" spans="1:3">
      <c r="A133" s="46">
        <v>130</v>
      </c>
      <c r="B133" s="47" t="s">
        <v>739</v>
      </c>
      <c r="C133" s="48">
        <v>30000</v>
      </c>
    </row>
    <row r="134" ht="33" spans="1:3">
      <c r="A134" s="46">
        <v>131</v>
      </c>
      <c r="B134" s="47" t="s">
        <v>741</v>
      </c>
      <c r="C134" s="48">
        <v>20000</v>
      </c>
    </row>
    <row r="135" ht="33" spans="1:3">
      <c r="A135" s="46">
        <v>132</v>
      </c>
      <c r="B135" s="47" t="s">
        <v>747</v>
      </c>
      <c r="C135" s="48">
        <v>20000</v>
      </c>
    </row>
    <row r="136" ht="33" spans="1:3">
      <c r="A136" s="46">
        <v>133</v>
      </c>
      <c r="B136" s="47" t="s">
        <v>749</v>
      </c>
      <c r="C136" s="48">
        <v>5000</v>
      </c>
    </row>
    <row r="137" ht="33" spans="1:3">
      <c r="A137" s="46">
        <v>134</v>
      </c>
      <c r="B137" s="47" t="s">
        <v>751</v>
      </c>
      <c r="C137" s="48">
        <v>10000</v>
      </c>
    </row>
    <row r="138" ht="33" spans="1:3">
      <c r="A138" s="46">
        <v>135</v>
      </c>
      <c r="B138" s="47" t="s">
        <v>757</v>
      </c>
      <c r="C138" s="48">
        <v>10000</v>
      </c>
    </row>
    <row r="139" ht="33" spans="1:3">
      <c r="A139" s="46">
        <v>136</v>
      </c>
      <c r="B139" s="47" t="s">
        <v>775</v>
      </c>
      <c r="C139" s="48">
        <v>15000</v>
      </c>
    </row>
    <row r="140" ht="33" spans="1:3">
      <c r="A140" s="46">
        <v>137</v>
      </c>
      <c r="B140" s="47" t="s">
        <v>779</v>
      </c>
      <c r="C140" s="48">
        <v>20000</v>
      </c>
    </row>
    <row r="141" ht="33" spans="1:3">
      <c r="A141" s="46">
        <v>138</v>
      </c>
      <c r="B141" s="47" t="s">
        <v>793</v>
      </c>
      <c r="C141" s="48">
        <v>10000</v>
      </c>
    </row>
    <row r="142" ht="33" spans="1:3">
      <c r="A142" s="46">
        <v>139</v>
      </c>
      <c r="B142" s="47" t="s">
        <v>803</v>
      </c>
      <c r="C142" s="48">
        <v>10000</v>
      </c>
    </row>
    <row r="143" ht="33" spans="1:3">
      <c r="A143" s="46">
        <v>140</v>
      </c>
      <c r="B143" s="47" t="s">
        <v>817</v>
      </c>
      <c r="C143" s="48">
        <v>20000</v>
      </c>
    </row>
    <row r="144" ht="48" spans="1:3">
      <c r="A144" s="46"/>
      <c r="B144" s="49" t="s">
        <v>1464</v>
      </c>
      <c r="C144" s="50">
        <f>SUM(C4:C143)</f>
        <v>9644233.78974748</v>
      </c>
    </row>
    <row r="145" ht="48" spans="1:3">
      <c r="A145" s="46"/>
      <c r="B145" s="51" t="s">
        <v>868</v>
      </c>
      <c r="C145" s="51"/>
    </row>
    <row r="146" ht="33" spans="1:3">
      <c r="A146" s="46">
        <v>328</v>
      </c>
      <c r="B146" s="47" t="s">
        <v>869</v>
      </c>
      <c r="C146" s="48">
        <v>20000</v>
      </c>
    </row>
    <row r="147" ht="33" spans="1:3">
      <c r="A147" s="46">
        <v>329</v>
      </c>
      <c r="B147" s="47" t="s">
        <v>870</v>
      </c>
      <c r="C147" s="48">
        <v>100000</v>
      </c>
    </row>
    <row r="148" ht="33" spans="1:3">
      <c r="A148" s="46">
        <v>330</v>
      </c>
      <c r="B148" s="47" t="s">
        <v>872</v>
      </c>
      <c r="C148" s="48">
        <v>35000</v>
      </c>
    </row>
    <row r="149" ht="33" spans="1:3">
      <c r="A149" s="46">
        <v>331</v>
      </c>
      <c r="B149" s="47" t="s">
        <v>875</v>
      </c>
      <c r="C149" s="48">
        <v>82500</v>
      </c>
    </row>
    <row r="150" ht="33" spans="1:3">
      <c r="A150" s="46">
        <v>332</v>
      </c>
      <c r="B150" s="47" t="s">
        <v>876</v>
      </c>
      <c r="C150" s="48">
        <v>96912.25</v>
      </c>
    </row>
    <row r="151" ht="33" spans="1:3">
      <c r="A151" s="46">
        <v>333</v>
      </c>
      <c r="B151" s="47" t="s">
        <v>878</v>
      </c>
      <c r="C151" s="48">
        <v>10000</v>
      </c>
    </row>
    <row r="152" ht="33" spans="1:3">
      <c r="A152" s="46">
        <v>334</v>
      </c>
      <c r="B152" s="47" t="s">
        <v>880</v>
      </c>
      <c r="C152" s="48">
        <v>103750.333333333</v>
      </c>
    </row>
    <row r="153" ht="33" spans="1:3">
      <c r="A153" s="46">
        <v>335</v>
      </c>
      <c r="B153" s="47" t="s">
        <v>881</v>
      </c>
      <c r="C153" s="48">
        <v>30000</v>
      </c>
    </row>
    <row r="154" ht="33" spans="1:3">
      <c r="A154" s="46">
        <v>336</v>
      </c>
      <c r="B154" s="47" t="s">
        <v>882</v>
      </c>
      <c r="C154" s="48">
        <v>26666.6666666667</v>
      </c>
    </row>
    <row r="155" ht="33" spans="1:3">
      <c r="A155" s="46">
        <v>337</v>
      </c>
      <c r="B155" s="47" t="s">
        <v>883</v>
      </c>
      <c r="C155" s="48">
        <v>45625</v>
      </c>
    </row>
    <row r="156" ht="33" spans="1:3">
      <c r="A156" s="46">
        <v>341</v>
      </c>
      <c r="B156" s="47" t="s">
        <v>891</v>
      </c>
      <c r="C156" s="48">
        <v>200000</v>
      </c>
    </row>
    <row r="157" ht="33" spans="1:3">
      <c r="A157" s="46">
        <v>342</v>
      </c>
      <c r="B157" s="47" t="s">
        <v>894</v>
      </c>
      <c r="C157" s="48">
        <v>243024</v>
      </c>
    </row>
    <row r="158" ht="33" spans="1:3">
      <c r="A158" s="46">
        <v>343</v>
      </c>
      <c r="B158" s="47" t="s">
        <v>896</v>
      </c>
      <c r="C158" s="48">
        <v>205416.666666667</v>
      </c>
    </row>
    <row r="159" ht="33" spans="1:3">
      <c r="A159" s="46">
        <v>344</v>
      </c>
      <c r="B159" s="47" t="s">
        <v>898</v>
      </c>
      <c r="C159" s="48">
        <v>22666.67</v>
      </c>
    </row>
    <row r="160" ht="33" spans="1:3">
      <c r="A160" s="46">
        <v>346</v>
      </c>
      <c r="B160" s="47" t="s">
        <v>901</v>
      </c>
      <c r="C160" s="48">
        <v>10000</v>
      </c>
    </row>
    <row r="161" ht="33" spans="1:3">
      <c r="A161" s="46">
        <v>347</v>
      </c>
      <c r="B161" s="47" t="s">
        <v>903</v>
      </c>
      <c r="C161" s="48">
        <v>66666.6666666667</v>
      </c>
    </row>
    <row r="162" ht="33" spans="1:3">
      <c r="A162" s="46">
        <v>348</v>
      </c>
      <c r="B162" s="47" t="s">
        <v>905</v>
      </c>
      <c r="C162" s="48">
        <v>160277.333333333</v>
      </c>
    </row>
    <row r="163" ht="33" spans="1:3">
      <c r="A163" s="46">
        <v>350</v>
      </c>
      <c r="B163" s="47" t="s">
        <v>908</v>
      </c>
      <c r="C163" s="48">
        <v>116667</v>
      </c>
    </row>
    <row r="164" ht="33" spans="1:3">
      <c r="A164" s="46">
        <v>351</v>
      </c>
      <c r="B164" s="47" t="s">
        <v>910</v>
      </c>
      <c r="C164" s="48">
        <v>97455</v>
      </c>
    </row>
    <row r="165" ht="33" spans="1:3">
      <c r="A165" s="46">
        <v>353</v>
      </c>
      <c r="B165" s="47" t="s">
        <v>914</v>
      </c>
      <c r="C165" s="48">
        <v>85000</v>
      </c>
    </row>
    <row r="166" ht="33" spans="1:3">
      <c r="A166" s="46">
        <v>354</v>
      </c>
      <c r="B166" s="47" t="s">
        <v>917</v>
      </c>
      <c r="C166" s="48">
        <v>46666.666</v>
      </c>
    </row>
    <row r="167" ht="33" spans="1:3">
      <c r="A167" s="46">
        <v>355</v>
      </c>
      <c r="B167" s="47" t="s">
        <v>919</v>
      </c>
      <c r="C167" s="48">
        <v>62750</v>
      </c>
    </row>
    <row r="168" ht="33" spans="1:3">
      <c r="A168" s="46">
        <v>356</v>
      </c>
      <c r="B168" s="47" t="s">
        <v>921</v>
      </c>
      <c r="C168" s="48">
        <v>101667</v>
      </c>
    </row>
    <row r="169" ht="33" spans="1:3">
      <c r="A169" s="46">
        <v>357</v>
      </c>
      <c r="B169" s="47" t="s">
        <v>923</v>
      </c>
      <c r="C169" s="48">
        <v>58205.13</v>
      </c>
    </row>
    <row r="170" ht="33" spans="1:3">
      <c r="A170" s="46">
        <v>358</v>
      </c>
      <c r="B170" s="47" t="s">
        <v>925</v>
      </c>
      <c r="C170" s="48">
        <v>10000</v>
      </c>
    </row>
    <row r="171" ht="33" spans="1:3">
      <c r="A171" s="46">
        <v>359</v>
      </c>
      <c r="B171" s="47" t="s">
        <v>927</v>
      </c>
      <c r="C171" s="48">
        <v>10000</v>
      </c>
    </row>
    <row r="172" ht="33" spans="1:3">
      <c r="A172" s="46">
        <v>361</v>
      </c>
      <c r="B172" s="47" t="s">
        <v>931</v>
      </c>
      <c r="C172" s="48">
        <v>136667</v>
      </c>
    </row>
    <row r="173" ht="33" spans="1:3">
      <c r="A173" s="46">
        <v>362</v>
      </c>
      <c r="B173" s="47" t="s">
        <v>933</v>
      </c>
      <c r="C173" s="48">
        <v>51666.6666666667</v>
      </c>
    </row>
    <row r="174" ht="33" spans="1:3">
      <c r="A174" s="46">
        <v>363</v>
      </c>
      <c r="B174" s="47" t="s">
        <v>936</v>
      </c>
      <c r="C174" s="48">
        <v>20000</v>
      </c>
    </row>
    <row r="175" ht="33" spans="1:3">
      <c r="A175" s="46">
        <v>364</v>
      </c>
      <c r="B175" s="47" t="s">
        <v>938</v>
      </c>
      <c r="C175" s="48">
        <v>36666.6666666667</v>
      </c>
    </row>
    <row r="176" ht="33" spans="1:3">
      <c r="A176" s="46">
        <v>365</v>
      </c>
      <c r="B176" s="47" t="s">
        <v>939</v>
      </c>
      <c r="C176" s="48">
        <v>96041.6666666667</v>
      </c>
    </row>
    <row r="177" ht="33" spans="1:3">
      <c r="A177" s="46">
        <v>366</v>
      </c>
      <c r="B177" s="47" t="s">
        <v>941</v>
      </c>
      <c r="C177" s="48">
        <v>50000</v>
      </c>
    </row>
    <row r="178" ht="33" spans="1:3">
      <c r="A178" s="46">
        <v>368</v>
      </c>
      <c r="B178" s="47" t="s">
        <v>944</v>
      </c>
      <c r="C178" s="48">
        <v>36667</v>
      </c>
    </row>
    <row r="179" ht="33" spans="1:3">
      <c r="A179" s="46">
        <v>370</v>
      </c>
      <c r="B179" s="47" t="s">
        <v>946</v>
      </c>
      <c r="C179" s="48">
        <v>60000</v>
      </c>
    </row>
    <row r="180" ht="33" spans="1:3">
      <c r="A180" s="46">
        <v>371</v>
      </c>
      <c r="B180" s="47" t="s">
        <v>948</v>
      </c>
      <c r="C180" s="48">
        <v>66333.33</v>
      </c>
    </row>
    <row r="181" ht="33" spans="1:3">
      <c r="A181" s="46">
        <v>372</v>
      </c>
      <c r="B181" s="47" t="s">
        <v>949</v>
      </c>
      <c r="C181" s="48">
        <v>10000</v>
      </c>
    </row>
    <row r="182" ht="33" spans="1:3">
      <c r="A182" s="46">
        <v>373</v>
      </c>
      <c r="B182" s="47" t="s">
        <v>951</v>
      </c>
      <c r="C182" s="48">
        <v>37778</v>
      </c>
    </row>
    <row r="183" ht="33" spans="1:3">
      <c r="A183" s="46">
        <v>376</v>
      </c>
      <c r="B183" s="47" t="s">
        <v>957</v>
      </c>
      <c r="C183" s="48">
        <v>27917</v>
      </c>
    </row>
    <row r="184" ht="33" spans="1:3">
      <c r="A184" s="46">
        <v>380</v>
      </c>
      <c r="B184" s="47" t="s">
        <v>964</v>
      </c>
      <c r="C184" s="48">
        <v>30833.34</v>
      </c>
    </row>
    <row r="185" ht="33" spans="1:3">
      <c r="A185" s="46">
        <v>381</v>
      </c>
      <c r="B185" s="47" t="s">
        <v>966</v>
      </c>
      <c r="C185" s="48">
        <v>15000</v>
      </c>
    </row>
    <row r="186" ht="33" spans="1:3">
      <c r="A186" s="46">
        <v>389</v>
      </c>
      <c r="B186" s="47" t="s">
        <v>980</v>
      </c>
      <c r="C186" s="48">
        <v>17500</v>
      </c>
    </row>
    <row r="187" ht="33" spans="1:3">
      <c r="A187" s="46">
        <v>390</v>
      </c>
      <c r="B187" s="47" t="s">
        <v>982</v>
      </c>
      <c r="C187" s="48">
        <v>10000</v>
      </c>
    </row>
    <row r="188" ht="33" spans="1:3">
      <c r="A188" s="46">
        <v>392</v>
      </c>
      <c r="B188" s="47" t="s">
        <v>985</v>
      </c>
      <c r="C188" s="48">
        <v>5000</v>
      </c>
    </row>
    <row r="189" ht="33" spans="1:3">
      <c r="A189" s="46">
        <v>395</v>
      </c>
      <c r="B189" s="47" t="s">
        <v>991</v>
      </c>
      <c r="C189" s="48">
        <v>88333</v>
      </c>
    </row>
    <row r="190" ht="33" spans="1:3">
      <c r="A190" s="46">
        <v>397</v>
      </c>
      <c r="B190" s="47" t="s">
        <v>994</v>
      </c>
      <c r="C190" s="48">
        <v>56667</v>
      </c>
    </row>
    <row r="191" ht="33" spans="1:3">
      <c r="A191" s="46">
        <v>398</v>
      </c>
      <c r="B191" s="47" t="s">
        <v>995</v>
      </c>
      <c r="C191" s="48">
        <v>20000</v>
      </c>
    </row>
    <row r="192" ht="33" spans="1:3">
      <c r="A192" s="46">
        <v>400</v>
      </c>
      <c r="B192" s="47" t="s">
        <v>997</v>
      </c>
      <c r="C192" s="48">
        <v>15000</v>
      </c>
    </row>
    <row r="193" ht="33" spans="1:3">
      <c r="A193" s="46">
        <v>405</v>
      </c>
      <c r="B193" s="47" t="s">
        <v>1003</v>
      </c>
      <c r="C193" s="48">
        <v>55455</v>
      </c>
    </row>
    <row r="194" ht="33" spans="1:3">
      <c r="A194" s="46">
        <v>406</v>
      </c>
      <c r="B194" s="47" t="s">
        <v>1004</v>
      </c>
      <c r="C194" s="48">
        <v>35000</v>
      </c>
    </row>
    <row r="195" ht="33" spans="1:3">
      <c r="A195" s="46">
        <v>407</v>
      </c>
      <c r="B195" s="47" t="s">
        <v>1006</v>
      </c>
      <c r="C195" s="48">
        <v>47500</v>
      </c>
    </row>
    <row r="196" ht="33" spans="1:3">
      <c r="A196" s="46">
        <v>408</v>
      </c>
      <c r="B196" s="47" t="s">
        <v>1008</v>
      </c>
      <c r="C196" s="48">
        <v>104999.996666667</v>
      </c>
    </row>
    <row r="197" ht="33" spans="1:3">
      <c r="A197" s="46">
        <v>409</v>
      </c>
      <c r="B197" s="47" t="s">
        <v>1010</v>
      </c>
      <c r="C197" s="48">
        <v>3000</v>
      </c>
    </row>
    <row r="198" ht="33" spans="1:3">
      <c r="A198" s="46">
        <v>410</v>
      </c>
      <c r="B198" s="47" t="s">
        <v>1012</v>
      </c>
      <c r="C198" s="48">
        <v>28333.3333333333</v>
      </c>
    </row>
    <row r="199" ht="33" spans="1:3">
      <c r="A199" s="46">
        <v>412</v>
      </c>
      <c r="B199" s="47" t="s">
        <v>1015</v>
      </c>
      <c r="C199" s="48">
        <v>70000</v>
      </c>
    </row>
    <row r="200" ht="33" spans="1:3">
      <c r="A200" s="46">
        <v>413</v>
      </c>
      <c r="B200" s="47" t="s">
        <v>1017</v>
      </c>
      <c r="C200" s="48">
        <v>52500</v>
      </c>
    </row>
    <row r="201" ht="33" spans="1:3">
      <c r="A201" s="46">
        <v>414</v>
      </c>
      <c r="B201" s="47" t="s">
        <v>1019</v>
      </c>
      <c r="C201" s="48">
        <v>10000</v>
      </c>
    </row>
    <row r="202" ht="33" spans="1:3">
      <c r="A202" s="46">
        <v>415</v>
      </c>
      <c r="B202" s="47" t="s">
        <v>1020</v>
      </c>
      <c r="C202" s="48">
        <v>200000</v>
      </c>
    </row>
    <row r="203" ht="33" spans="1:3">
      <c r="A203" s="46">
        <v>416</v>
      </c>
      <c r="B203" s="47" t="s">
        <v>1022</v>
      </c>
      <c r="C203" s="48">
        <v>80000</v>
      </c>
    </row>
    <row r="204" ht="33" spans="1:3">
      <c r="A204" s="46">
        <v>417</v>
      </c>
      <c r="B204" s="47" t="s">
        <v>1024</v>
      </c>
      <c r="C204" s="48">
        <v>52500</v>
      </c>
    </row>
    <row r="205" ht="33" spans="1:3">
      <c r="A205" s="46">
        <v>418</v>
      </c>
      <c r="B205" s="47" t="s">
        <v>1026</v>
      </c>
      <c r="C205" s="48">
        <v>20000</v>
      </c>
    </row>
    <row r="206" ht="33" spans="1:3">
      <c r="A206" s="46">
        <v>419</v>
      </c>
      <c r="B206" s="47" t="s">
        <v>1028</v>
      </c>
      <c r="C206" s="48">
        <v>26666.6666666667</v>
      </c>
    </row>
    <row r="207" ht="33" spans="1:3">
      <c r="A207" s="46">
        <v>420</v>
      </c>
      <c r="B207" s="47" t="s">
        <v>1030</v>
      </c>
      <c r="C207" s="48">
        <v>42500</v>
      </c>
    </row>
    <row r="208" ht="33" spans="1:3">
      <c r="A208" s="46">
        <v>422</v>
      </c>
      <c r="B208" s="47" t="s">
        <v>1034</v>
      </c>
      <c r="C208" s="48">
        <v>302709.333333333</v>
      </c>
    </row>
    <row r="209" ht="33" spans="1:3">
      <c r="A209" s="46">
        <v>423</v>
      </c>
      <c r="B209" s="47" t="s">
        <v>1036</v>
      </c>
      <c r="C209" s="48">
        <v>60000</v>
      </c>
    </row>
    <row r="210" ht="33" spans="1:3">
      <c r="A210" s="46">
        <v>425</v>
      </c>
      <c r="B210" s="47" t="s">
        <v>1041</v>
      </c>
      <c r="C210" s="48">
        <v>131923.08</v>
      </c>
    </row>
    <row r="211" ht="33" spans="1:3">
      <c r="A211" s="46">
        <v>426</v>
      </c>
      <c r="B211" s="47" t="s">
        <v>1043</v>
      </c>
      <c r="C211" s="48">
        <v>70000</v>
      </c>
    </row>
    <row r="212" ht="33" spans="1:3">
      <c r="A212" s="46">
        <v>430</v>
      </c>
      <c r="B212" s="47" t="s">
        <v>1051</v>
      </c>
      <c r="C212" s="48">
        <v>5000</v>
      </c>
    </row>
    <row r="213" ht="33" spans="1:3">
      <c r="A213" s="46">
        <v>431</v>
      </c>
      <c r="B213" s="47" t="s">
        <v>1053</v>
      </c>
      <c r="C213" s="48">
        <v>35000</v>
      </c>
    </row>
    <row r="214" ht="33" spans="1:3">
      <c r="A214" s="46">
        <v>432</v>
      </c>
      <c r="B214" s="47" t="s">
        <v>1054</v>
      </c>
      <c r="C214" s="48">
        <v>54583.33</v>
      </c>
    </row>
    <row r="215" ht="33" spans="1:3">
      <c r="A215" s="46">
        <v>433</v>
      </c>
      <c r="B215" s="47" t="s">
        <v>1056</v>
      </c>
      <c r="C215" s="48">
        <v>90000.6666666667</v>
      </c>
    </row>
    <row r="216" ht="33" spans="1:3">
      <c r="A216" s="46">
        <v>434</v>
      </c>
      <c r="B216" s="47" t="s">
        <v>1058</v>
      </c>
      <c r="C216" s="48">
        <v>102500</v>
      </c>
    </row>
    <row r="217" ht="33" spans="1:3">
      <c r="A217" s="46">
        <v>435</v>
      </c>
      <c r="B217" s="47" t="s">
        <v>1060</v>
      </c>
      <c r="C217" s="48">
        <v>47500</v>
      </c>
    </row>
    <row r="218" ht="33" spans="1:3">
      <c r="A218" s="46">
        <v>438</v>
      </c>
      <c r="B218" s="47" t="s">
        <v>1066</v>
      </c>
      <c r="C218" s="48">
        <v>60000</v>
      </c>
    </row>
    <row r="219" ht="33" spans="1:3">
      <c r="A219" s="46">
        <v>439</v>
      </c>
      <c r="B219" s="47" t="s">
        <v>1068</v>
      </c>
      <c r="C219" s="48">
        <v>10000</v>
      </c>
    </row>
    <row r="220" ht="33" spans="1:3">
      <c r="A220" s="46">
        <v>441</v>
      </c>
      <c r="B220" s="47" t="s">
        <v>1072</v>
      </c>
      <c r="C220" s="48">
        <v>132083.46</v>
      </c>
    </row>
    <row r="221" ht="33" spans="1:3">
      <c r="A221" s="46">
        <v>442</v>
      </c>
      <c r="B221" s="47" t="s">
        <v>1074</v>
      </c>
      <c r="C221" s="48">
        <v>10000</v>
      </c>
    </row>
    <row r="222" ht="33" spans="1:3">
      <c r="A222" s="46">
        <v>443</v>
      </c>
      <c r="B222" s="47" t="s">
        <v>1076</v>
      </c>
      <c r="C222" s="48">
        <v>137500</v>
      </c>
    </row>
    <row r="223" ht="33" spans="1:3">
      <c r="A223" s="46">
        <v>444</v>
      </c>
      <c r="B223" s="47" t="s">
        <v>1078</v>
      </c>
      <c r="C223" s="48">
        <v>10000</v>
      </c>
    </row>
    <row r="224" ht="33" spans="1:3">
      <c r="A224" s="46">
        <v>445</v>
      </c>
      <c r="B224" s="47" t="s">
        <v>1080</v>
      </c>
      <c r="C224" s="48">
        <v>113333</v>
      </c>
    </row>
    <row r="225" ht="33" spans="1:3">
      <c r="A225" s="46">
        <v>447</v>
      </c>
      <c r="B225" s="47" t="s">
        <v>1084</v>
      </c>
      <c r="C225" s="48">
        <v>85000</v>
      </c>
    </row>
    <row r="226" ht="33" spans="1:3">
      <c r="A226" s="46">
        <v>448</v>
      </c>
      <c r="B226" s="47" t="s">
        <v>1086</v>
      </c>
      <c r="C226" s="48">
        <v>85833.3333333333</v>
      </c>
    </row>
    <row r="227" ht="33" spans="1:3">
      <c r="A227" s="46">
        <v>449</v>
      </c>
      <c r="B227" s="47" t="s">
        <v>1088</v>
      </c>
      <c r="C227" s="48">
        <v>70000</v>
      </c>
    </row>
    <row r="228" ht="33" spans="1:3">
      <c r="A228" s="46">
        <v>452</v>
      </c>
      <c r="B228" s="47" t="s">
        <v>1093</v>
      </c>
      <c r="C228" s="48">
        <v>20000</v>
      </c>
    </row>
    <row r="229" ht="33" spans="1:3">
      <c r="A229" s="46">
        <v>454</v>
      </c>
      <c r="B229" s="47" t="s">
        <v>1098</v>
      </c>
      <c r="C229" s="48">
        <v>10000</v>
      </c>
    </row>
    <row r="230" ht="33" spans="1:3">
      <c r="A230" s="46">
        <v>455</v>
      </c>
      <c r="B230" s="47" t="s">
        <v>1099</v>
      </c>
      <c r="C230" s="48">
        <v>38666.6666666667</v>
      </c>
    </row>
    <row r="231" ht="33" spans="1:3">
      <c r="A231" s="46">
        <v>456</v>
      </c>
      <c r="B231" s="47" t="s">
        <v>1101</v>
      </c>
      <c r="C231" s="48">
        <v>10000</v>
      </c>
    </row>
    <row r="232" ht="33" spans="1:3">
      <c r="A232" s="46">
        <v>457</v>
      </c>
      <c r="B232" s="47" t="s">
        <v>1102</v>
      </c>
      <c r="C232" s="48">
        <v>85000</v>
      </c>
    </row>
    <row r="233" ht="33" spans="1:3">
      <c r="A233" s="46">
        <v>459</v>
      </c>
      <c r="B233" s="47" t="s">
        <v>1106</v>
      </c>
      <c r="C233" s="48">
        <v>68333.3266666667</v>
      </c>
    </row>
    <row r="234" ht="33" spans="1:3">
      <c r="A234" s="46">
        <v>460</v>
      </c>
      <c r="B234" s="47" t="s">
        <v>1108</v>
      </c>
      <c r="C234" s="48">
        <v>63125</v>
      </c>
    </row>
    <row r="235" ht="33" spans="1:3">
      <c r="A235" s="46">
        <v>461</v>
      </c>
      <c r="B235" s="47" t="s">
        <v>1110</v>
      </c>
      <c r="C235" s="48">
        <v>35000</v>
      </c>
    </row>
    <row r="236" ht="33" spans="1:3">
      <c r="A236" s="46">
        <v>463</v>
      </c>
      <c r="B236" s="47" t="s">
        <v>1114</v>
      </c>
      <c r="C236" s="48">
        <v>26667</v>
      </c>
    </row>
    <row r="237" ht="33" spans="1:3">
      <c r="A237" s="46">
        <v>464</v>
      </c>
      <c r="B237" s="47" t="s">
        <v>1116</v>
      </c>
      <c r="C237" s="48">
        <v>36334</v>
      </c>
    </row>
    <row r="238" ht="33" spans="1:3">
      <c r="A238" s="46">
        <v>465</v>
      </c>
      <c r="B238" s="47" t="s">
        <v>1118</v>
      </c>
      <c r="C238" s="48">
        <v>5000</v>
      </c>
    </row>
    <row r="239" ht="33" spans="1:3">
      <c r="A239" s="46">
        <v>466</v>
      </c>
      <c r="B239" s="47" t="s">
        <v>1120</v>
      </c>
      <c r="C239" s="48">
        <v>45000</v>
      </c>
    </row>
    <row r="240" ht="33" spans="1:3">
      <c r="A240" s="46">
        <v>474</v>
      </c>
      <c r="B240" s="47" t="s">
        <v>1134</v>
      </c>
      <c r="C240" s="48">
        <v>10000</v>
      </c>
    </row>
    <row r="241" ht="33" spans="1:3">
      <c r="A241" s="46">
        <v>476</v>
      </c>
      <c r="B241" s="47" t="s">
        <v>1138</v>
      </c>
      <c r="C241" s="48">
        <v>10000</v>
      </c>
    </row>
    <row r="242" ht="33" spans="1:3">
      <c r="A242" s="46">
        <v>477</v>
      </c>
      <c r="B242" s="47" t="s">
        <v>1140</v>
      </c>
      <c r="C242" s="48">
        <v>39167</v>
      </c>
    </row>
    <row r="243" ht="33" spans="1:3">
      <c r="A243" s="46">
        <v>482</v>
      </c>
      <c r="B243" s="47" t="s">
        <v>1151</v>
      </c>
      <c r="C243" s="48">
        <v>82500</v>
      </c>
    </row>
    <row r="244" ht="33" spans="1:3">
      <c r="A244" s="46">
        <v>483</v>
      </c>
      <c r="B244" s="47" t="s">
        <v>1153</v>
      </c>
      <c r="C244" s="48">
        <v>50000</v>
      </c>
    </row>
    <row r="245" ht="33" spans="1:3">
      <c r="A245" s="46">
        <v>486</v>
      </c>
      <c r="B245" s="47" t="s">
        <v>1159</v>
      </c>
      <c r="C245" s="48">
        <v>24401</v>
      </c>
    </row>
    <row r="246" ht="33" spans="1:3">
      <c r="A246" s="46">
        <v>491</v>
      </c>
      <c r="B246" s="47" t="s">
        <v>1168</v>
      </c>
      <c r="C246" s="48">
        <v>20833.3333333333</v>
      </c>
    </row>
    <row r="247" ht="33" spans="1:3">
      <c r="A247" s="46">
        <v>496</v>
      </c>
      <c r="B247" s="47" t="s">
        <v>1178</v>
      </c>
      <c r="C247" s="48">
        <v>10000</v>
      </c>
    </row>
    <row r="248" ht="33" spans="1:3">
      <c r="A248" s="46">
        <v>507</v>
      </c>
      <c r="B248" s="47" t="s">
        <v>1194</v>
      </c>
      <c r="C248" s="48">
        <v>5000</v>
      </c>
    </row>
    <row r="249" ht="33" spans="1:3">
      <c r="A249" s="46">
        <v>508</v>
      </c>
      <c r="B249" s="47" t="s">
        <v>1196</v>
      </c>
      <c r="C249" s="48">
        <v>5000</v>
      </c>
    </row>
    <row r="250" ht="33" spans="1:3">
      <c r="A250" s="46">
        <v>510</v>
      </c>
      <c r="B250" s="47" t="s">
        <v>1200</v>
      </c>
      <c r="C250" s="48">
        <v>15000</v>
      </c>
    </row>
    <row r="251" ht="33" spans="1:3">
      <c r="A251" s="46">
        <v>511</v>
      </c>
      <c r="B251" s="47" t="s">
        <v>1202</v>
      </c>
      <c r="C251" s="48">
        <v>5000</v>
      </c>
    </row>
    <row r="252" ht="33" spans="1:3">
      <c r="A252" s="46">
        <v>514</v>
      </c>
      <c r="B252" s="47" t="s">
        <v>1207</v>
      </c>
      <c r="C252" s="48">
        <v>10000</v>
      </c>
    </row>
    <row r="253" ht="33" spans="1:3">
      <c r="A253" s="46">
        <v>517</v>
      </c>
      <c r="B253" s="47" t="s">
        <v>1212</v>
      </c>
      <c r="C253" s="48">
        <v>10000</v>
      </c>
    </row>
    <row r="254" ht="33" spans="1:3">
      <c r="A254" s="46">
        <v>522</v>
      </c>
      <c r="B254" s="47" t="s">
        <v>1221</v>
      </c>
      <c r="C254" s="48">
        <v>40000</v>
      </c>
    </row>
    <row r="255" ht="33" spans="1:3">
      <c r="A255" s="46">
        <v>524</v>
      </c>
      <c r="B255" s="47" t="s">
        <v>1225</v>
      </c>
      <c r="C255" s="48">
        <v>15000</v>
      </c>
    </row>
    <row r="256" ht="33" spans="1:3">
      <c r="A256" s="46">
        <v>526</v>
      </c>
      <c r="B256" s="47" t="s">
        <v>1229</v>
      </c>
      <c r="C256" s="48">
        <v>22833</v>
      </c>
    </row>
    <row r="257" ht="33" spans="1:3">
      <c r="A257" s="46">
        <v>531</v>
      </c>
      <c r="B257" s="47" t="s">
        <v>1237</v>
      </c>
      <c r="C257" s="48">
        <v>18333.3333333333</v>
      </c>
    </row>
    <row r="258" ht="33" spans="1:3">
      <c r="A258" s="46">
        <v>532</v>
      </c>
      <c r="B258" s="47" t="s">
        <v>1239</v>
      </c>
      <c r="C258" s="48">
        <v>32222.2222222222</v>
      </c>
    </row>
    <row r="259" ht="33" spans="1:3">
      <c r="A259" s="46">
        <v>533</v>
      </c>
      <c r="B259" s="47" t="s">
        <v>1241</v>
      </c>
      <c r="C259" s="48">
        <v>10000</v>
      </c>
    </row>
    <row r="260" ht="33" spans="1:3">
      <c r="A260" s="46">
        <v>538</v>
      </c>
      <c r="B260" s="47" t="s">
        <v>1250</v>
      </c>
      <c r="C260" s="48">
        <v>15000</v>
      </c>
    </row>
    <row r="261" ht="33" spans="1:3">
      <c r="A261" s="46">
        <v>539</v>
      </c>
      <c r="B261" s="47" t="s">
        <v>1252</v>
      </c>
      <c r="C261" s="48"/>
    </row>
    <row r="262" ht="33" spans="1:3">
      <c r="A262" s="46">
        <v>541</v>
      </c>
      <c r="B262" s="47" t="s">
        <v>1255</v>
      </c>
      <c r="C262" s="48">
        <v>20000</v>
      </c>
    </row>
    <row r="263" ht="33" spans="1:3">
      <c r="A263" s="46">
        <v>542</v>
      </c>
      <c r="B263" s="47" t="s">
        <v>1256</v>
      </c>
      <c r="C263" s="48">
        <v>91666.67</v>
      </c>
    </row>
    <row r="264" ht="33" spans="1:3">
      <c r="A264" s="46">
        <v>543</v>
      </c>
      <c r="B264" s="47" t="s">
        <v>1257</v>
      </c>
      <c r="C264" s="48">
        <v>26667</v>
      </c>
    </row>
    <row r="265" ht="33" spans="1:3">
      <c r="A265" s="46">
        <v>545</v>
      </c>
      <c r="B265" s="47" t="s">
        <v>1261</v>
      </c>
      <c r="C265" s="48">
        <v>40000</v>
      </c>
    </row>
    <row r="266" ht="33" spans="1:3">
      <c r="A266" s="46">
        <v>547</v>
      </c>
      <c r="B266" s="47" t="s">
        <v>1264</v>
      </c>
      <c r="C266" s="48">
        <v>89619.7142857143</v>
      </c>
    </row>
    <row r="267" ht="33" spans="1:3">
      <c r="A267" s="46">
        <v>548</v>
      </c>
      <c r="B267" s="47" t="s">
        <v>1266</v>
      </c>
      <c r="C267" s="48">
        <v>20000</v>
      </c>
    </row>
    <row r="268" ht="33" spans="1:3">
      <c r="A268" s="46">
        <v>549</v>
      </c>
      <c r="B268" s="47" t="s">
        <v>1268</v>
      </c>
      <c r="C268" s="48">
        <v>67500</v>
      </c>
    </row>
    <row r="269" ht="33" spans="1:3">
      <c r="A269" s="46">
        <v>550</v>
      </c>
      <c r="B269" s="47" t="s">
        <v>1269</v>
      </c>
      <c r="C269" s="48">
        <v>87500</v>
      </c>
    </row>
    <row r="270" ht="33" spans="1:3">
      <c r="A270" s="46">
        <v>554</v>
      </c>
      <c r="B270" s="47" t="s">
        <v>1276</v>
      </c>
      <c r="C270" s="48">
        <v>72500</v>
      </c>
    </row>
    <row r="271" ht="33" spans="1:3">
      <c r="A271" s="46">
        <v>555</v>
      </c>
      <c r="B271" s="47" t="s">
        <v>1278</v>
      </c>
      <c r="C271" s="48">
        <v>54583</v>
      </c>
    </row>
    <row r="272" ht="33" spans="1:3">
      <c r="A272" s="46">
        <v>559</v>
      </c>
      <c r="B272" s="47" t="s">
        <v>1286</v>
      </c>
      <c r="C272" s="48">
        <v>147417</v>
      </c>
    </row>
    <row r="273" ht="33" spans="1:3">
      <c r="A273" s="46">
        <v>560</v>
      </c>
      <c r="B273" s="47" t="s">
        <v>1288</v>
      </c>
      <c r="C273" s="48">
        <v>155555.55</v>
      </c>
    </row>
    <row r="274" ht="33" spans="1:3">
      <c r="A274" s="46">
        <v>561</v>
      </c>
      <c r="B274" s="47" t="s">
        <v>1290</v>
      </c>
      <c r="C274" s="48">
        <v>30834</v>
      </c>
    </row>
    <row r="275" ht="33" spans="1:3">
      <c r="A275" s="46">
        <v>562</v>
      </c>
      <c r="B275" s="47" t="s">
        <v>1292</v>
      </c>
      <c r="C275" s="48">
        <v>50000</v>
      </c>
    </row>
    <row r="276" ht="33" spans="1:3">
      <c r="A276" s="46">
        <v>563</v>
      </c>
      <c r="B276" s="47" t="s">
        <v>1294</v>
      </c>
      <c r="C276" s="48">
        <v>101667</v>
      </c>
    </row>
    <row r="277" ht="33" spans="1:3">
      <c r="A277" s="46">
        <v>564</v>
      </c>
      <c r="B277" s="47" t="s">
        <v>1296</v>
      </c>
      <c r="C277" s="48">
        <v>20000</v>
      </c>
    </row>
    <row r="278" ht="33" spans="1:3">
      <c r="A278" s="46">
        <v>565</v>
      </c>
      <c r="B278" s="47" t="s">
        <v>1298</v>
      </c>
      <c r="C278" s="48">
        <v>20000</v>
      </c>
    </row>
    <row r="279" ht="33" spans="1:3">
      <c r="A279" s="46">
        <v>566</v>
      </c>
      <c r="B279" s="47" t="s">
        <v>1300</v>
      </c>
      <c r="C279" s="48">
        <v>100000</v>
      </c>
    </row>
    <row r="280" ht="33" spans="1:3">
      <c r="A280" s="46">
        <v>572</v>
      </c>
      <c r="B280" s="47" t="s">
        <v>1312</v>
      </c>
      <c r="C280" s="48">
        <v>21625</v>
      </c>
    </row>
    <row r="281" ht="33" spans="1:3">
      <c r="A281" s="46">
        <v>574</v>
      </c>
      <c r="B281" s="47" t="s">
        <v>1316</v>
      </c>
      <c r="C281" s="48">
        <v>20417</v>
      </c>
    </row>
    <row r="282" ht="33" spans="1:3">
      <c r="A282" s="46">
        <v>577</v>
      </c>
      <c r="B282" s="47" t="s">
        <v>1322</v>
      </c>
      <c r="C282" s="48">
        <v>25000</v>
      </c>
    </row>
    <row r="283" ht="33" spans="1:3">
      <c r="A283" s="46">
        <v>578</v>
      </c>
      <c r="B283" s="47" t="s">
        <v>1324</v>
      </c>
      <c r="C283" s="48">
        <v>13250</v>
      </c>
    </row>
    <row r="284" ht="33" spans="1:3">
      <c r="A284" s="46">
        <v>582</v>
      </c>
      <c r="B284" s="47" t="s">
        <v>1331</v>
      </c>
      <c r="C284" s="48">
        <v>10000</v>
      </c>
    </row>
    <row r="285" ht="33" spans="1:3">
      <c r="A285" s="46">
        <v>587</v>
      </c>
      <c r="B285" s="47" t="s">
        <v>1339</v>
      </c>
      <c r="C285" s="48">
        <v>68000</v>
      </c>
    </row>
    <row r="286" ht="33" spans="1:3">
      <c r="A286" s="46">
        <v>588</v>
      </c>
      <c r="B286" s="47" t="s">
        <v>1340</v>
      </c>
      <c r="C286" s="48">
        <v>20000</v>
      </c>
    </row>
    <row r="287" ht="33" spans="1:3">
      <c r="A287" s="46">
        <v>589</v>
      </c>
      <c r="B287" s="47" t="s">
        <v>1342</v>
      </c>
      <c r="C287" s="48">
        <v>20000</v>
      </c>
    </row>
    <row r="288" ht="33" spans="1:3">
      <c r="A288" s="46">
        <v>590</v>
      </c>
      <c r="B288" s="47" t="s">
        <v>1343</v>
      </c>
      <c r="C288" s="48">
        <v>20000</v>
      </c>
    </row>
    <row r="289" ht="33" spans="1:3">
      <c r="A289" s="46">
        <v>591</v>
      </c>
      <c r="B289" s="47" t="s">
        <v>1344</v>
      </c>
      <c r="C289" s="48">
        <v>10000</v>
      </c>
    </row>
    <row r="290" ht="33" spans="1:3">
      <c r="A290" s="46">
        <v>592</v>
      </c>
      <c r="B290" s="47" t="s">
        <v>1346</v>
      </c>
      <c r="C290" s="48">
        <v>20000</v>
      </c>
    </row>
    <row r="291" ht="33" spans="1:3">
      <c r="A291" s="46">
        <v>594</v>
      </c>
      <c r="B291" s="47" t="s">
        <v>1350</v>
      </c>
      <c r="C291" s="48">
        <v>35000</v>
      </c>
    </row>
    <row r="292" ht="33" spans="1:3">
      <c r="A292" s="46">
        <v>595</v>
      </c>
      <c r="B292" s="47" t="s">
        <v>1352</v>
      </c>
      <c r="C292" s="48">
        <v>20000</v>
      </c>
    </row>
    <row r="293" ht="33" spans="1:3">
      <c r="A293" s="46">
        <v>596</v>
      </c>
      <c r="B293" s="47" t="s">
        <v>1354</v>
      </c>
      <c r="C293" s="48">
        <v>20000</v>
      </c>
    </row>
    <row r="294" ht="33" spans="1:3">
      <c r="A294" s="46">
        <v>608</v>
      </c>
      <c r="B294" s="47" t="s">
        <v>1373</v>
      </c>
      <c r="C294" s="48">
        <v>10000</v>
      </c>
    </row>
    <row r="295" ht="33" spans="1:3">
      <c r="A295" s="46">
        <v>609</v>
      </c>
      <c r="B295" s="47" t="s">
        <v>1375</v>
      </c>
      <c r="C295" s="48">
        <v>15000</v>
      </c>
    </row>
    <row r="296" ht="33" spans="1:3">
      <c r="A296" s="46">
        <v>615</v>
      </c>
      <c r="B296" s="47" t="s">
        <v>1384</v>
      </c>
      <c r="C296" s="48">
        <v>10000</v>
      </c>
    </row>
    <row r="297" ht="33" spans="1:3">
      <c r="A297" s="46">
        <v>616</v>
      </c>
      <c r="B297" s="47" t="s">
        <v>1385</v>
      </c>
      <c r="C297" s="48">
        <v>10000</v>
      </c>
    </row>
    <row r="298" ht="33" spans="1:3">
      <c r="A298" s="46">
        <v>621</v>
      </c>
      <c r="B298" s="47" t="s">
        <v>1390</v>
      </c>
      <c r="C298" s="48">
        <v>35000</v>
      </c>
    </row>
    <row r="299" ht="33" spans="1:3">
      <c r="A299" s="46">
        <v>623</v>
      </c>
      <c r="B299" s="47" t="s">
        <v>1392</v>
      </c>
      <c r="C299" s="48">
        <v>23333.3333333333</v>
      </c>
    </row>
    <row r="300" ht="33" spans="1:3">
      <c r="A300" s="46">
        <v>625</v>
      </c>
      <c r="B300" s="47" t="s">
        <v>1395</v>
      </c>
      <c r="C300" s="48">
        <v>10000</v>
      </c>
    </row>
    <row r="301" ht="33" spans="1:3">
      <c r="A301" s="46">
        <v>626</v>
      </c>
      <c r="B301" s="47" t="s">
        <v>1397</v>
      </c>
      <c r="C301" s="48">
        <v>20000</v>
      </c>
    </row>
    <row r="302" ht="33" spans="1:3">
      <c r="A302" s="46">
        <v>627</v>
      </c>
      <c r="B302" s="47" t="s">
        <v>1398</v>
      </c>
      <c r="C302" s="48">
        <v>10000</v>
      </c>
    </row>
    <row r="303" ht="33" spans="1:3">
      <c r="A303" s="46">
        <v>630</v>
      </c>
      <c r="B303" s="47" t="s">
        <v>1405</v>
      </c>
      <c r="C303" s="48">
        <v>10000</v>
      </c>
    </row>
    <row r="304" ht="33" spans="1:3">
      <c r="A304" s="46">
        <v>632</v>
      </c>
      <c r="B304" s="47" t="s">
        <v>1408</v>
      </c>
      <c r="C304" s="48">
        <v>20000</v>
      </c>
    </row>
    <row r="305" ht="33" spans="1:3">
      <c r="A305" s="46">
        <v>633</v>
      </c>
      <c r="B305" s="47" t="s">
        <v>1411</v>
      </c>
      <c r="C305" s="48">
        <v>10000</v>
      </c>
    </row>
    <row r="306" ht="33" spans="1:3">
      <c r="A306" s="46">
        <v>634</v>
      </c>
      <c r="B306" s="47" t="s">
        <v>1412</v>
      </c>
      <c r="C306" s="48">
        <v>10000</v>
      </c>
    </row>
    <row r="307" ht="33" spans="1:3">
      <c r="A307" s="46">
        <v>635</v>
      </c>
      <c r="B307" s="47" t="s">
        <v>1413</v>
      </c>
      <c r="C307" s="48">
        <v>10000</v>
      </c>
    </row>
    <row r="308" ht="33" spans="1:3">
      <c r="A308" s="46">
        <v>636</v>
      </c>
      <c r="B308" s="47" t="s">
        <v>1415</v>
      </c>
      <c r="C308" s="48">
        <v>10000</v>
      </c>
    </row>
    <row r="309" ht="33" spans="1:3">
      <c r="A309" s="46">
        <v>637</v>
      </c>
      <c r="B309" s="47" t="s">
        <v>1417</v>
      </c>
      <c r="C309" s="48">
        <v>21000</v>
      </c>
    </row>
    <row r="310" ht="33" spans="1:3">
      <c r="A310" s="46">
        <v>638</v>
      </c>
      <c r="B310" s="47" t="s">
        <v>1418</v>
      </c>
      <c r="C310" s="48">
        <v>20000</v>
      </c>
    </row>
    <row r="311" ht="33" spans="1:3">
      <c r="A311" s="46">
        <v>654</v>
      </c>
      <c r="B311" s="47" t="s">
        <v>1444</v>
      </c>
      <c r="C311" s="48">
        <v>10000</v>
      </c>
    </row>
    <row r="312" ht="33" spans="1:3">
      <c r="A312" s="46">
        <v>658</v>
      </c>
      <c r="B312" s="47" t="s">
        <v>1451</v>
      </c>
      <c r="C312" s="48">
        <v>20000</v>
      </c>
    </row>
    <row r="313" ht="33" spans="1:3">
      <c r="A313" s="46">
        <v>660</v>
      </c>
      <c r="B313" s="47" t="s">
        <v>1454</v>
      </c>
      <c r="C313" s="48">
        <v>20000</v>
      </c>
    </row>
    <row r="314" ht="36" spans="1:3">
      <c r="A314" s="32"/>
      <c r="B314" s="32" t="s">
        <v>1464</v>
      </c>
      <c r="C314" s="42">
        <f>SUM(C146:C313)</f>
        <v>8092959.40250793</v>
      </c>
    </row>
    <row r="315" ht="36" spans="1:3">
      <c r="A315" s="32"/>
      <c r="B315" s="32" t="s">
        <v>1465</v>
      </c>
      <c r="C315" s="42">
        <f>C314+C144</f>
        <v>17737193.1922554</v>
      </c>
    </row>
  </sheetData>
  <mergeCells count="2">
    <mergeCell ref="A2:C2"/>
    <mergeCell ref="B145:C145"/>
  </mergeCells>
  <pageMargins left="0.7" right="0.7" top="0.75" bottom="0.75" header="0.3" footer="0.3"/>
  <pageSetup paperSize="1" scale="63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view="pageBreakPreview" zoomScale="60" zoomScaleNormal="100" topLeftCell="A60" workbookViewId="0">
      <selection activeCell="B68" sqref="B68"/>
    </sheetView>
  </sheetViews>
  <sheetFormatPr defaultColWidth="11" defaultRowHeight="46.5" outlineLevelCol="2"/>
  <cols>
    <col min="1" max="1" width="13" style="27" customWidth="1"/>
    <col min="2" max="2" width="71.6666666666667" customWidth="1"/>
    <col min="3" max="3" width="25.3333333333333" style="28" customWidth="1"/>
  </cols>
  <sheetData>
    <row r="1" ht="77" customHeight="1" spans="1:3">
      <c r="A1" s="29" t="s">
        <v>2349</v>
      </c>
      <c r="B1" s="29"/>
      <c r="C1" s="29"/>
    </row>
    <row r="2" ht="66" customHeight="1" spans="1:3">
      <c r="A2" s="30" t="s">
        <v>2</v>
      </c>
      <c r="B2" s="31" t="s">
        <v>3</v>
      </c>
      <c r="C2" s="32" t="s">
        <v>862</v>
      </c>
    </row>
    <row r="3" ht="55" customHeight="1" spans="1:3">
      <c r="A3" s="33">
        <v>1</v>
      </c>
      <c r="B3" s="34" t="s">
        <v>89</v>
      </c>
      <c r="C3" s="35">
        <v>1000</v>
      </c>
    </row>
    <row r="4" ht="55" customHeight="1" spans="1:3">
      <c r="A4" s="33">
        <v>2</v>
      </c>
      <c r="B4" s="34" t="s">
        <v>117</v>
      </c>
      <c r="C4" s="35">
        <v>1000</v>
      </c>
    </row>
    <row r="5" ht="55" customHeight="1" spans="1:3">
      <c r="A5" s="33">
        <v>3</v>
      </c>
      <c r="B5" s="34" t="s">
        <v>184</v>
      </c>
      <c r="C5" s="35">
        <v>1000</v>
      </c>
    </row>
    <row r="6" ht="55" customHeight="1" spans="1:3">
      <c r="A6" s="33">
        <v>4</v>
      </c>
      <c r="B6" s="34" t="s">
        <v>190</v>
      </c>
      <c r="C6" s="35">
        <v>1000</v>
      </c>
    </row>
    <row r="7" ht="55" customHeight="1" spans="1:3">
      <c r="A7" s="33">
        <v>5</v>
      </c>
      <c r="B7" s="34" t="s">
        <v>202</v>
      </c>
      <c r="C7" s="35">
        <v>1000</v>
      </c>
    </row>
    <row r="8" ht="55" customHeight="1" spans="1:3">
      <c r="A8" s="33">
        <v>6</v>
      </c>
      <c r="B8" s="34" t="s">
        <v>215</v>
      </c>
      <c r="C8" s="35">
        <v>1000</v>
      </c>
    </row>
    <row r="9" ht="55" customHeight="1" spans="1:3">
      <c r="A9" s="33">
        <v>7</v>
      </c>
      <c r="B9" s="34" t="s">
        <v>217</v>
      </c>
      <c r="C9" s="35">
        <v>1000</v>
      </c>
    </row>
    <row r="10" ht="55" customHeight="1" spans="1:3">
      <c r="A10" s="33">
        <v>8</v>
      </c>
      <c r="B10" s="34" t="s">
        <v>222</v>
      </c>
      <c r="C10" s="35">
        <v>1000</v>
      </c>
    </row>
    <row r="11" ht="55" customHeight="1" spans="1:3">
      <c r="A11" s="33">
        <v>9</v>
      </c>
      <c r="B11" s="34" t="s">
        <v>253</v>
      </c>
      <c r="C11" s="35">
        <v>1000</v>
      </c>
    </row>
    <row r="12" ht="55" customHeight="1" spans="1:3">
      <c r="A12" s="33">
        <v>10</v>
      </c>
      <c r="B12" s="34" t="s">
        <v>256</v>
      </c>
      <c r="C12" s="35">
        <v>1000</v>
      </c>
    </row>
    <row r="13" ht="55" customHeight="1" spans="1:3">
      <c r="A13" s="33">
        <v>11</v>
      </c>
      <c r="B13" s="34" t="s">
        <v>261</v>
      </c>
      <c r="C13" s="35">
        <v>1000</v>
      </c>
    </row>
    <row r="14" ht="55" customHeight="1" spans="1:3">
      <c r="A14" s="33">
        <v>12</v>
      </c>
      <c r="B14" s="34" t="s">
        <v>300</v>
      </c>
      <c r="C14" s="35">
        <v>1000</v>
      </c>
    </row>
    <row r="15" ht="55" customHeight="1" spans="1:3">
      <c r="A15" s="33">
        <v>13</v>
      </c>
      <c r="B15" s="34" t="s">
        <v>303</v>
      </c>
      <c r="C15" s="35">
        <v>1000</v>
      </c>
    </row>
    <row r="16" ht="55" customHeight="1" spans="1:3">
      <c r="A16" s="33">
        <v>14</v>
      </c>
      <c r="B16" s="34" t="s">
        <v>312</v>
      </c>
      <c r="C16" s="35">
        <v>1000</v>
      </c>
    </row>
    <row r="17" ht="55" customHeight="1" spans="1:3">
      <c r="A17" s="33">
        <v>15</v>
      </c>
      <c r="B17" s="34" t="s">
        <v>323</v>
      </c>
      <c r="C17" s="35">
        <v>1000</v>
      </c>
    </row>
    <row r="18" ht="55" customHeight="1" spans="1:3">
      <c r="A18" s="33">
        <v>16</v>
      </c>
      <c r="B18" s="34" t="s">
        <v>324</v>
      </c>
      <c r="C18" s="35">
        <v>1000</v>
      </c>
    </row>
    <row r="19" ht="55" customHeight="1" spans="1:3">
      <c r="A19" s="33">
        <v>17</v>
      </c>
      <c r="B19" s="34" t="s">
        <v>326</v>
      </c>
      <c r="C19" s="35">
        <v>1000</v>
      </c>
    </row>
    <row r="20" ht="55" customHeight="1" spans="1:3">
      <c r="A20" s="33">
        <v>18</v>
      </c>
      <c r="B20" s="34" t="s">
        <v>330</v>
      </c>
      <c r="C20" s="35">
        <v>1000</v>
      </c>
    </row>
    <row r="21" ht="55" customHeight="1" spans="1:3">
      <c r="A21" s="33">
        <v>19</v>
      </c>
      <c r="B21" s="34" t="s">
        <v>349</v>
      </c>
      <c r="C21" s="35">
        <v>1000</v>
      </c>
    </row>
    <row r="22" ht="55" customHeight="1" spans="1:3">
      <c r="A22" s="33">
        <v>20</v>
      </c>
      <c r="B22" s="34" t="s">
        <v>378</v>
      </c>
      <c r="C22" s="35">
        <v>1000</v>
      </c>
    </row>
    <row r="23" ht="55" customHeight="1" spans="1:3">
      <c r="A23" s="33">
        <v>21</v>
      </c>
      <c r="B23" s="34" t="s">
        <v>386</v>
      </c>
      <c r="C23" s="35">
        <v>1000</v>
      </c>
    </row>
    <row r="24" ht="55" customHeight="1" spans="1:3">
      <c r="A24" s="33">
        <v>22</v>
      </c>
      <c r="B24" s="34" t="s">
        <v>390</v>
      </c>
      <c r="C24" s="35">
        <v>1000</v>
      </c>
    </row>
    <row r="25" ht="55" customHeight="1" spans="1:3">
      <c r="A25" s="33">
        <v>23</v>
      </c>
      <c r="B25" s="34" t="s">
        <v>396</v>
      </c>
      <c r="C25" s="35">
        <v>1000</v>
      </c>
    </row>
    <row r="26" ht="55" customHeight="1" spans="1:3">
      <c r="A26" s="33">
        <v>24</v>
      </c>
      <c r="B26" s="34" t="s">
        <v>397</v>
      </c>
      <c r="C26" s="35">
        <v>1000</v>
      </c>
    </row>
    <row r="27" ht="55" customHeight="1" spans="1:3">
      <c r="A27" s="33">
        <v>25</v>
      </c>
      <c r="B27" s="34" t="s">
        <v>400</v>
      </c>
      <c r="C27" s="35">
        <v>1000</v>
      </c>
    </row>
    <row r="28" ht="55" customHeight="1" spans="1:3">
      <c r="A28" s="33">
        <v>26</v>
      </c>
      <c r="B28" s="34" t="s">
        <v>403</v>
      </c>
      <c r="C28" s="35">
        <v>1000</v>
      </c>
    </row>
    <row r="29" ht="55" customHeight="1" spans="1:3">
      <c r="A29" s="33">
        <v>27</v>
      </c>
      <c r="B29" s="34" t="s">
        <v>410</v>
      </c>
      <c r="C29" s="35">
        <v>1000</v>
      </c>
    </row>
    <row r="30" ht="55" customHeight="1" spans="1:3">
      <c r="A30" s="33">
        <v>28</v>
      </c>
      <c r="B30" s="34" t="str">
        <f>'[3]TEACHING STAFF'!$B$126</f>
        <v>WERIDONGHAN ERNEST JACKSON</v>
      </c>
      <c r="C30" s="35">
        <v>1000</v>
      </c>
    </row>
    <row r="31" ht="55" customHeight="1" spans="1:3">
      <c r="A31" s="33">
        <v>29</v>
      </c>
      <c r="B31" s="34" t="s">
        <v>447</v>
      </c>
      <c r="C31" s="35">
        <v>1000</v>
      </c>
    </row>
    <row r="32" ht="55" customHeight="1" spans="1:3">
      <c r="A32" s="33">
        <v>30</v>
      </c>
      <c r="B32" s="34" t="s">
        <v>455</v>
      </c>
      <c r="C32" s="35">
        <v>1000</v>
      </c>
    </row>
    <row r="33" ht="55" customHeight="1" spans="1:3">
      <c r="A33" s="33">
        <v>31</v>
      </c>
      <c r="B33" s="34" t="s">
        <v>457</v>
      </c>
      <c r="C33" s="35">
        <v>1000</v>
      </c>
    </row>
    <row r="34" ht="55" customHeight="1" spans="1:3">
      <c r="A34" s="33">
        <v>32</v>
      </c>
      <c r="B34" s="34" t="s">
        <v>472</v>
      </c>
      <c r="C34" s="35">
        <v>1000</v>
      </c>
    </row>
    <row r="35" ht="55" customHeight="1" spans="1:3">
      <c r="A35" s="33">
        <v>33</v>
      </c>
      <c r="B35" s="34" t="s">
        <v>473</v>
      </c>
      <c r="C35" s="35">
        <v>1000</v>
      </c>
    </row>
    <row r="36" ht="55" customHeight="1" spans="1:3">
      <c r="A36" s="33">
        <v>34</v>
      </c>
      <c r="B36" s="34" t="s">
        <v>477</v>
      </c>
      <c r="C36" s="35">
        <v>1000</v>
      </c>
    </row>
    <row r="37" ht="55" customHeight="1" spans="1:3">
      <c r="A37" s="33">
        <v>35</v>
      </c>
      <c r="B37" s="34" t="s">
        <v>479</v>
      </c>
      <c r="C37" s="35">
        <v>1000</v>
      </c>
    </row>
    <row r="38" ht="55" customHeight="1" spans="1:3">
      <c r="A38" s="33">
        <v>36</v>
      </c>
      <c r="B38" s="34" t="s">
        <v>490</v>
      </c>
      <c r="C38" s="35">
        <v>1000</v>
      </c>
    </row>
    <row r="39" ht="55" customHeight="1" spans="1:3">
      <c r="A39" s="33">
        <v>37</v>
      </c>
      <c r="B39" s="34" t="s">
        <v>512</v>
      </c>
      <c r="C39" s="35">
        <v>1000</v>
      </c>
    </row>
    <row r="40" ht="55" customHeight="1" spans="1:3">
      <c r="A40" s="33">
        <v>38</v>
      </c>
      <c r="B40" s="34" t="s">
        <v>517</v>
      </c>
      <c r="C40" s="35">
        <v>1000</v>
      </c>
    </row>
    <row r="41" ht="55" customHeight="1" spans="1:3">
      <c r="A41" s="33">
        <v>39</v>
      </c>
      <c r="B41" s="34" t="s">
        <v>543</v>
      </c>
      <c r="C41" s="35">
        <v>1000</v>
      </c>
    </row>
    <row r="42" ht="55" customHeight="1" spans="1:3">
      <c r="A42" s="33">
        <v>40</v>
      </c>
      <c r="B42" s="34" t="s">
        <v>557</v>
      </c>
      <c r="C42" s="35">
        <v>1000</v>
      </c>
    </row>
    <row r="43" ht="55" customHeight="1" spans="1:3">
      <c r="A43" s="33">
        <v>41</v>
      </c>
      <c r="B43" s="36" t="s">
        <v>565</v>
      </c>
      <c r="C43" s="35">
        <v>1000</v>
      </c>
    </row>
    <row r="44" ht="55" customHeight="1" spans="1:3">
      <c r="A44" s="33">
        <v>42</v>
      </c>
      <c r="B44" s="34" t="s">
        <v>567</v>
      </c>
      <c r="C44" s="35">
        <v>1000</v>
      </c>
    </row>
    <row r="45" ht="55" customHeight="1" spans="1:3">
      <c r="A45" s="33">
        <v>43</v>
      </c>
      <c r="B45" s="34" t="s">
        <v>569</v>
      </c>
      <c r="C45" s="35">
        <v>1000</v>
      </c>
    </row>
    <row r="46" ht="55" customHeight="1" spans="1:3">
      <c r="A46" s="33">
        <v>44</v>
      </c>
      <c r="B46" s="34" t="s">
        <v>570</v>
      </c>
      <c r="C46" s="35">
        <v>1000</v>
      </c>
    </row>
    <row r="47" ht="55" customHeight="1" spans="1:3">
      <c r="A47" s="33">
        <v>45</v>
      </c>
      <c r="B47" s="34" t="s">
        <v>572</v>
      </c>
      <c r="C47" s="35">
        <v>1000</v>
      </c>
    </row>
    <row r="48" ht="55" customHeight="1" spans="1:3">
      <c r="A48" s="33">
        <v>46</v>
      </c>
      <c r="B48" s="34" t="s">
        <v>577</v>
      </c>
      <c r="C48" s="37">
        <v>1000</v>
      </c>
    </row>
    <row r="49" ht="55" customHeight="1" spans="1:3">
      <c r="A49" s="33">
        <v>47</v>
      </c>
      <c r="B49" s="34" t="s">
        <v>585</v>
      </c>
      <c r="C49" s="37">
        <v>1000</v>
      </c>
    </row>
    <row r="50" ht="55" customHeight="1" spans="1:3">
      <c r="A50" s="33">
        <v>48</v>
      </c>
      <c r="B50" s="34" t="s">
        <v>587</v>
      </c>
      <c r="C50" s="37">
        <v>1000</v>
      </c>
    </row>
    <row r="51" ht="55" customHeight="1" spans="1:3">
      <c r="A51" s="33">
        <v>49</v>
      </c>
      <c r="B51" s="34" t="s">
        <v>680</v>
      </c>
      <c r="C51" s="37">
        <v>1000</v>
      </c>
    </row>
    <row r="52" s="26" customFormat="1" ht="55" customHeight="1" spans="1:3">
      <c r="A52" s="38">
        <v>50</v>
      </c>
      <c r="B52" s="39" t="s">
        <v>682</v>
      </c>
      <c r="C52" s="40">
        <v>1000</v>
      </c>
    </row>
    <row r="53" ht="55" customHeight="1" spans="1:3">
      <c r="A53" s="33">
        <v>51</v>
      </c>
      <c r="B53" s="34" t="s">
        <v>697</v>
      </c>
      <c r="C53" s="35">
        <v>1000</v>
      </c>
    </row>
    <row r="54" ht="55" customHeight="1" spans="1:3">
      <c r="A54" s="33">
        <v>52</v>
      </c>
      <c r="B54" s="34" t="s">
        <v>699</v>
      </c>
      <c r="C54" s="35">
        <v>1000</v>
      </c>
    </row>
    <row r="55" ht="55" customHeight="1" spans="1:3">
      <c r="A55" s="33">
        <v>53</v>
      </c>
      <c r="B55" s="34" t="s">
        <v>701</v>
      </c>
      <c r="C55" s="35">
        <v>1000</v>
      </c>
    </row>
    <row r="56" ht="55" customHeight="1" spans="1:3">
      <c r="A56" s="33">
        <v>54</v>
      </c>
      <c r="B56" s="34" t="s">
        <v>725</v>
      </c>
      <c r="C56" s="35">
        <v>1000</v>
      </c>
    </row>
    <row r="57" ht="55" customHeight="1" spans="1:3">
      <c r="A57" s="33">
        <v>55</v>
      </c>
      <c r="B57" s="34" t="s">
        <v>737</v>
      </c>
      <c r="C57" s="35">
        <v>1000</v>
      </c>
    </row>
    <row r="58" ht="55" customHeight="1" spans="1:3">
      <c r="A58" s="33">
        <v>56</v>
      </c>
      <c r="B58" s="34" t="s">
        <v>739</v>
      </c>
      <c r="C58" s="35">
        <v>1000</v>
      </c>
    </row>
    <row r="59" ht="55" customHeight="1" spans="1:3">
      <c r="A59" s="33">
        <v>57</v>
      </c>
      <c r="B59" s="34" t="s">
        <v>769</v>
      </c>
      <c r="C59" s="35">
        <v>1000</v>
      </c>
    </row>
    <row r="60" ht="55" customHeight="1" spans="1:3">
      <c r="A60" s="33">
        <v>58</v>
      </c>
      <c r="B60" s="34" t="s">
        <v>771</v>
      </c>
      <c r="C60" s="35">
        <v>1000</v>
      </c>
    </row>
    <row r="61" ht="55" customHeight="1" spans="1:3">
      <c r="A61" s="33">
        <v>59</v>
      </c>
      <c r="B61" s="34" t="s">
        <v>773</v>
      </c>
      <c r="C61" s="35">
        <v>1000</v>
      </c>
    </row>
    <row r="62" ht="55" customHeight="1" spans="1:3">
      <c r="A62" s="33">
        <v>60</v>
      </c>
      <c r="B62" s="34" t="s">
        <v>810</v>
      </c>
      <c r="C62" s="35">
        <v>1000</v>
      </c>
    </row>
    <row r="63" ht="55" customHeight="1" spans="1:3">
      <c r="A63" s="33">
        <v>61</v>
      </c>
      <c r="B63" s="34" t="s">
        <v>812</v>
      </c>
      <c r="C63" s="35">
        <v>1000</v>
      </c>
    </row>
    <row r="64" ht="55" customHeight="1" spans="1:3">
      <c r="A64" s="33">
        <v>62</v>
      </c>
      <c r="B64" s="34" t="s">
        <v>825</v>
      </c>
      <c r="C64" s="35">
        <v>1000</v>
      </c>
    </row>
    <row r="65" ht="55" customHeight="1" spans="1:3">
      <c r="A65" s="33">
        <v>63</v>
      </c>
      <c r="B65" s="34" t="s">
        <v>833</v>
      </c>
      <c r="C65" s="35">
        <v>1000</v>
      </c>
    </row>
    <row r="66" ht="55" customHeight="1" spans="1:3">
      <c r="A66" s="33">
        <v>64</v>
      </c>
      <c r="B66" s="34" t="s">
        <v>835</v>
      </c>
      <c r="C66" s="35">
        <v>1000</v>
      </c>
    </row>
    <row r="67" ht="55" customHeight="1" spans="1:3">
      <c r="A67" s="33">
        <v>65</v>
      </c>
      <c r="B67" s="34" t="s">
        <v>839</v>
      </c>
      <c r="C67" s="35">
        <v>1000</v>
      </c>
    </row>
    <row r="68" ht="62" customHeight="1" spans="1:3">
      <c r="A68" s="41"/>
      <c r="B68" s="32" t="s">
        <v>867</v>
      </c>
      <c r="C68" s="42">
        <f>SUM(C3:C67)</f>
        <v>65000</v>
      </c>
    </row>
  </sheetData>
  <mergeCells count="1">
    <mergeCell ref="A1:C1"/>
  </mergeCells>
  <pageMargins left="0.7" right="0.7" top="0.75" bottom="0.75" header="0.3" footer="0.3"/>
  <pageSetup paperSize="1" scale="70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"/>
  <sheetViews>
    <sheetView view="pageBreakPreview" zoomScale="60" zoomScaleNormal="100" topLeftCell="A45" workbookViewId="0">
      <selection activeCell="B52" sqref="B52"/>
    </sheetView>
  </sheetViews>
  <sheetFormatPr defaultColWidth="11" defaultRowHeight="18.75" outlineLevelCol="2"/>
  <cols>
    <col min="1" max="1" width="18.8285714285714" style="16" customWidth="1"/>
    <col min="2" max="2" width="112" style="17" customWidth="1"/>
    <col min="3" max="3" width="34.8285714285714" style="17" customWidth="1"/>
  </cols>
  <sheetData>
    <row r="1" ht="96" customHeight="1" spans="1:3">
      <c r="A1" s="18" t="s">
        <v>2350</v>
      </c>
      <c r="B1" s="18"/>
      <c r="C1" s="18"/>
    </row>
    <row r="2" ht="55" customHeight="1" spans="1:3">
      <c r="A2" s="19" t="s">
        <v>2</v>
      </c>
      <c r="B2" s="19" t="s">
        <v>3</v>
      </c>
      <c r="C2" s="19" t="s">
        <v>862</v>
      </c>
    </row>
    <row r="3" ht="36" spans="1:3">
      <c r="A3" s="20">
        <v>1</v>
      </c>
      <c r="B3" s="21" t="s">
        <v>141</v>
      </c>
      <c r="C3" s="22">
        <v>1000</v>
      </c>
    </row>
    <row r="4" ht="36" spans="1:3">
      <c r="A4" s="20">
        <v>2</v>
      </c>
      <c r="B4" s="21" t="s">
        <v>147</v>
      </c>
      <c r="C4" s="22">
        <v>1000</v>
      </c>
    </row>
    <row r="5" ht="36" spans="1:3">
      <c r="A5" s="20">
        <v>3</v>
      </c>
      <c r="B5" s="21" t="s">
        <v>159</v>
      </c>
      <c r="C5" s="22">
        <v>1000</v>
      </c>
    </row>
    <row r="6" ht="36" spans="1:3">
      <c r="A6" s="20">
        <v>4</v>
      </c>
      <c r="B6" s="21" t="s">
        <v>166</v>
      </c>
      <c r="C6" s="22">
        <v>1000</v>
      </c>
    </row>
    <row r="7" ht="36" spans="1:3">
      <c r="A7" s="20">
        <v>5</v>
      </c>
      <c r="B7" s="21" t="s">
        <v>170</v>
      </c>
      <c r="C7" s="22">
        <v>1000</v>
      </c>
    </row>
    <row r="8" ht="36" spans="1:3">
      <c r="A8" s="20">
        <v>6</v>
      </c>
      <c r="B8" s="21" t="s">
        <v>173</v>
      </c>
      <c r="C8" s="22">
        <v>1000</v>
      </c>
    </row>
    <row r="9" ht="36" spans="1:3">
      <c r="A9" s="20">
        <v>7</v>
      </c>
      <c r="B9" s="21" t="s">
        <v>176</v>
      </c>
      <c r="C9" s="22">
        <v>1000</v>
      </c>
    </row>
    <row r="10" ht="36" spans="1:3">
      <c r="A10" s="20">
        <v>8</v>
      </c>
      <c r="B10" s="21" t="s">
        <v>262</v>
      </c>
      <c r="C10" s="22">
        <v>1000</v>
      </c>
    </row>
    <row r="11" ht="36" spans="1:3">
      <c r="A11" s="20">
        <v>9</v>
      </c>
      <c r="B11" s="21" t="s">
        <v>265</v>
      </c>
      <c r="C11" s="22">
        <v>1000</v>
      </c>
    </row>
    <row r="12" ht="36" spans="1:3">
      <c r="A12" s="20">
        <v>10</v>
      </c>
      <c r="B12" s="21" t="s">
        <v>268</v>
      </c>
      <c r="C12" s="22">
        <v>1000</v>
      </c>
    </row>
    <row r="13" ht="36" spans="1:3">
      <c r="A13" s="20">
        <v>11</v>
      </c>
      <c r="B13" s="21" t="s">
        <v>282</v>
      </c>
      <c r="C13" s="22">
        <v>1000</v>
      </c>
    </row>
    <row r="14" ht="36" spans="1:3">
      <c r="A14" s="20">
        <v>12</v>
      </c>
      <c r="B14" s="21" t="s">
        <v>285</v>
      </c>
      <c r="C14" s="22">
        <v>1000</v>
      </c>
    </row>
    <row r="15" ht="36" spans="1:3">
      <c r="A15" s="20">
        <v>13</v>
      </c>
      <c r="B15" s="21" t="s">
        <v>290</v>
      </c>
      <c r="C15" s="22">
        <v>1000</v>
      </c>
    </row>
    <row r="16" ht="36" spans="1:3">
      <c r="A16" s="20">
        <v>14</v>
      </c>
      <c r="B16" s="21" t="s">
        <v>293</v>
      </c>
      <c r="C16" s="22">
        <v>1000</v>
      </c>
    </row>
    <row r="17" ht="36" spans="1:3">
      <c r="A17" s="20">
        <v>15</v>
      </c>
      <c r="B17" s="21" t="s">
        <v>316</v>
      </c>
      <c r="C17" s="22">
        <v>1000</v>
      </c>
    </row>
    <row r="18" ht="36" spans="1:3">
      <c r="A18" s="20">
        <v>16</v>
      </c>
      <c r="B18" s="21" t="s">
        <v>334</v>
      </c>
      <c r="C18" s="22">
        <v>1000</v>
      </c>
    </row>
    <row r="19" ht="36" spans="1:3">
      <c r="A19" s="20">
        <v>17</v>
      </c>
      <c r="B19" s="21" t="s">
        <v>359</v>
      </c>
      <c r="C19" s="22">
        <v>1000</v>
      </c>
    </row>
    <row r="20" ht="36" spans="1:3">
      <c r="A20" s="20">
        <v>18</v>
      </c>
      <c r="B20" s="21" t="s">
        <v>367</v>
      </c>
      <c r="C20" s="22">
        <v>1000</v>
      </c>
    </row>
    <row r="21" ht="36" spans="1:3">
      <c r="A21" s="20">
        <v>19</v>
      </c>
      <c r="B21" s="21" t="s">
        <v>373</v>
      </c>
      <c r="C21" s="22">
        <v>1000</v>
      </c>
    </row>
    <row r="22" ht="36" spans="1:3">
      <c r="A22" s="20">
        <v>20</v>
      </c>
      <c r="B22" s="21" t="s">
        <v>383</v>
      </c>
      <c r="C22" s="22">
        <v>1000</v>
      </c>
    </row>
    <row r="23" ht="36" spans="1:3">
      <c r="A23" s="20">
        <v>21</v>
      </c>
      <c r="B23" s="21" t="s">
        <v>388</v>
      </c>
      <c r="C23" s="22">
        <v>1000</v>
      </c>
    </row>
    <row r="24" ht="36" spans="1:3">
      <c r="A24" s="20">
        <v>22</v>
      </c>
      <c r="B24" s="21" t="s">
        <v>389</v>
      </c>
      <c r="C24" s="22">
        <v>1000</v>
      </c>
    </row>
    <row r="25" ht="36" spans="1:3">
      <c r="A25" s="20">
        <v>23</v>
      </c>
      <c r="B25" s="21" t="s">
        <v>416</v>
      </c>
      <c r="C25" s="22">
        <v>1000</v>
      </c>
    </row>
    <row r="26" ht="36" spans="1:3">
      <c r="A26" s="20">
        <v>24</v>
      </c>
      <c r="B26" s="21" t="s">
        <v>421</v>
      </c>
      <c r="C26" s="22">
        <v>1000</v>
      </c>
    </row>
    <row r="27" ht="36" spans="1:3">
      <c r="A27" s="20">
        <v>25</v>
      </c>
      <c r="B27" s="21" t="s">
        <v>425</v>
      </c>
      <c r="C27" s="22">
        <v>1000</v>
      </c>
    </row>
    <row r="28" ht="36" spans="1:3">
      <c r="A28" s="20">
        <v>26</v>
      </c>
      <c r="B28" s="21" t="s">
        <v>451</v>
      </c>
      <c r="C28" s="22">
        <v>1000</v>
      </c>
    </row>
    <row r="29" ht="36" spans="1:3">
      <c r="A29" s="20">
        <v>27</v>
      </c>
      <c r="B29" s="21" t="s">
        <v>460</v>
      </c>
      <c r="C29" s="22">
        <v>1000</v>
      </c>
    </row>
    <row r="30" ht="36" spans="1:3">
      <c r="A30" s="20">
        <v>28</v>
      </c>
      <c r="B30" s="21" t="s">
        <v>478</v>
      </c>
      <c r="C30" s="22">
        <v>1000</v>
      </c>
    </row>
    <row r="31" ht="36" spans="1:3">
      <c r="A31" s="20">
        <v>29</v>
      </c>
      <c r="B31" s="21" t="s">
        <v>481</v>
      </c>
      <c r="C31" s="22">
        <v>1000</v>
      </c>
    </row>
    <row r="32" ht="36" spans="1:3">
      <c r="A32" s="20">
        <v>30</v>
      </c>
      <c r="B32" s="21" t="s">
        <v>482</v>
      </c>
      <c r="C32" s="22">
        <v>1000</v>
      </c>
    </row>
    <row r="33" ht="36" spans="1:3">
      <c r="A33" s="20">
        <v>31</v>
      </c>
      <c r="B33" s="21" t="s">
        <v>484</v>
      </c>
      <c r="C33" s="22">
        <v>1000</v>
      </c>
    </row>
    <row r="34" ht="36" spans="1:3">
      <c r="A34" s="20">
        <v>32</v>
      </c>
      <c r="B34" s="21" t="s">
        <v>508</v>
      </c>
      <c r="C34" s="22">
        <v>1000</v>
      </c>
    </row>
    <row r="35" ht="36" spans="1:3">
      <c r="A35" s="20">
        <v>33</v>
      </c>
      <c r="B35" s="21" t="s">
        <v>580</v>
      </c>
      <c r="C35" s="22">
        <v>1000</v>
      </c>
    </row>
    <row r="36" ht="36" spans="1:3">
      <c r="A36" s="20">
        <v>34</v>
      </c>
      <c r="B36" s="21" t="s">
        <v>589</v>
      </c>
      <c r="C36" s="22">
        <v>1000</v>
      </c>
    </row>
    <row r="37" ht="36" spans="1:3">
      <c r="A37" s="20">
        <v>35</v>
      </c>
      <c r="B37" s="21" t="s">
        <v>592</v>
      </c>
      <c r="C37" s="22">
        <v>1000</v>
      </c>
    </row>
    <row r="38" ht="36" spans="1:3">
      <c r="A38" s="20">
        <v>36</v>
      </c>
      <c r="B38" s="21" t="s">
        <v>594</v>
      </c>
      <c r="C38" s="22">
        <v>1000</v>
      </c>
    </row>
    <row r="39" ht="36" spans="1:3">
      <c r="A39" s="20">
        <v>37</v>
      </c>
      <c r="B39" s="21" t="s">
        <v>596</v>
      </c>
      <c r="C39" s="22">
        <v>1000</v>
      </c>
    </row>
    <row r="40" ht="36" spans="1:3">
      <c r="A40" s="20">
        <v>38</v>
      </c>
      <c r="B40" s="21" t="s">
        <v>605</v>
      </c>
      <c r="C40" s="22">
        <v>1000</v>
      </c>
    </row>
    <row r="41" ht="36" spans="1:3">
      <c r="A41" s="20">
        <v>39</v>
      </c>
      <c r="B41" s="21" t="s">
        <v>608</v>
      </c>
      <c r="C41" s="22">
        <v>1000</v>
      </c>
    </row>
    <row r="42" ht="36" spans="1:3">
      <c r="A42" s="20">
        <v>40</v>
      </c>
      <c r="B42" s="21" t="s">
        <v>616</v>
      </c>
      <c r="C42" s="22">
        <v>1000</v>
      </c>
    </row>
    <row r="43" ht="36" spans="1:3">
      <c r="A43" s="20">
        <v>41</v>
      </c>
      <c r="B43" s="21" t="s">
        <v>618</v>
      </c>
      <c r="C43" s="22">
        <v>1000</v>
      </c>
    </row>
    <row r="44" ht="36" spans="1:3">
      <c r="A44" s="20">
        <v>42</v>
      </c>
      <c r="B44" s="21" t="s">
        <v>620</v>
      </c>
      <c r="C44" s="22">
        <v>1000</v>
      </c>
    </row>
    <row r="45" ht="36" spans="1:3">
      <c r="A45" s="20">
        <v>43</v>
      </c>
      <c r="B45" s="21" t="s">
        <v>622</v>
      </c>
      <c r="C45" s="22">
        <v>1000</v>
      </c>
    </row>
    <row r="46" ht="36" spans="1:3">
      <c r="A46" s="20">
        <v>44</v>
      </c>
      <c r="B46" s="21" t="s">
        <v>632</v>
      </c>
      <c r="C46" s="22">
        <v>1000</v>
      </c>
    </row>
    <row r="47" ht="36" spans="1:3">
      <c r="A47" s="20">
        <v>45</v>
      </c>
      <c r="B47" s="21" t="s">
        <v>640</v>
      </c>
      <c r="C47" s="22">
        <v>1000</v>
      </c>
    </row>
    <row r="48" ht="36" spans="1:3">
      <c r="A48" s="20">
        <v>46</v>
      </c>
      <c r="B48" s="21" t="s">
        <v>642</v>
      </c>
      <c r="C48" s="22">
        <v>1000</v>
      </c>
    </row>
    <row r="49" ht="36" spans="1:3">
      <c r="A49" s="20">
        <v>47</v>
      </c>
      <c r="B49" s="21" t="s">
        <v>695</v>
      </c>
      <c r="C49" s="22">
        <v>1000</v>
      </c>
    </row>
    <row r="50" ht="36" spans="1:3">
      <c r="A50" s="20">
        <v>48</v>
      </c>
      <c r="B50" s="21" t="s">
        <v>743</v>
      </c>
      <c r="C50" s="22">
        <v>1000</v>
      </c>
    </row>
    <row r="51" ht="36" spans="1:3">
      <c r="A51" s="20">
        <v>49</v>
      </c>
      <c r="B51" s="21" t="s">
        <v>751</v>
      </c>
      <c r="C51" s="22">
        <v>1000</v>
      </c>
    </row>
    <row r="52" ht="36" spans="1:3">
      <c r="A52" s="20">
        <v>50</v>
      </c>
      <c r="B52" s="21" t="s">
        <v>755</v>
      </c>
      <c r="C52" s="22">
        <v>1000</v>
      </c>
    </row>
    <row r="53" ht="36" spans="1:3">
      <c r="A53" s="20">
        <v>51</v>
      </c>
      <c r="B53" s="21" t="s">
        <v>759</v>
      </c>
      <c r="C53" s="22">
        <v>1000</v>
      </c>
    </row>
    <row r="54" ht="36" spans="1:3">
      <c r="A54" s="20">
        <v>52</v>
      </c>
      <c r="B54" s="21" t="s">
        <v>767</v>
      </c>
      <c r="C54" s="22">
        <v>1000</v>
      </c>
    </row>
    <row r="55" ht="36" spans="1:3">
      <c r="A55" s="20">
        <v>53</v>
      </c>
      <c r="B55" s="21" t="s">
        <v>775</v>
      </c>
      <c r="C55" s="22">
        <v>1000</v>
      </c>
    </row>
    <row r="56" ht="36" spans="1:3">
      <c r="A56" s="20">
        <v>54</v>
      </c>
      <c r="B56" s="21" t="s">
        <v>779</v>
      </c>
      <c r="C56" s="22">
        <v>1000</v>
      </c>
    </row>
    <row r="57" ht="36" spans="1:3">
      <c r="A57" s="20">
        <v>55</v>
      </c>
      <c r="B57" s="21" t="s">
        <v>781</v>
      </c>
      <c r="C57" s="22">
        <v>1000</v>
      </c>
    </row>
    <row r="58" ht="36" spans="1:3">
      <c r="A58" s="20">
        <v>56</v>
      </c>
      <c r="B58" s="21" t="s">
        <v>843</v>
      </c>
      <c r="C58" s="22">
        <v>1000</v>
      </c>
    </row>
    <row r="59" ht="59" customHeight="1" spans="1:3">
      <c r="A59" s="23"/>
      <c r="B59" s="24" t="s">
        <v>867</v>
      </c>
      <c r="C59" s="25">
        <f>SUM(C3:C58)</f>
        <v>56000</v>
      </c>
    </row>
  </sheetData>
  <mergeCells count="1">
    <mergeCell ref="A1:C1"/>
  </mergeCells>
  <pageMargins left="0.7" right="0.7" top="0.75" bottom="0.75" header="0.3" footer="0.3"/>
  <pageSetup paperSize="1" scale="48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view="pageBreakPreview" zoomScale="60" zoomScaleNormal="100" workbookViewId="0">
      <selection activeCell="B15" sqref="B15"/>
    </sheetView>
  </sheetViews>
  <sheetFormatPr defaultColWidth="11.5047619047619" defaultRowHeight="15" outlineLevelCol="2"/>
  <cols>
    <col min="1" max="1" width="10.8285714285714" style="2"/>
    <col min="2" max="2" width="87.8285714285714" customWidth="1"/>
    <col min="3" max="3" width="34.5047619047619" style="2" customWidth="1"/>
  </cols>
  <sheetData>
    <row r="1" ht="215" customHeight="1" spans="1:3">
      <c r="A1" s="9" t="s">
        <v>2351</v>
      </c>
      <c r="B1" s="9"/>
      <c r="C1" s="9"/>
    </row>
    <row r="2" ht="32.25" spans="1:3">
      <c r="A2" s="10" t="s">
        <v>2</v>
      </c>
      <c r="B2" s="11" t="s">
        <v>1468</v>
      </c>
      <c r="C2" s="10" t="s">
        <v>862</v>
      </c>
    </row>
    <row r="3" ht="32.25" spans="1:3">
      <c r="A3" s="10">
        <v>1</v>
      </c>
      <c r="B3" s="12" t="s">
        <v>1519</v>
      </c>
      <c r="C3" s="13">
        <v>9853.0932</v>
      </c>
    </row>
    <row r="4" ht="32.25" spans="1:3">
      <c r="A4" s="10">
        <v>2</v>
      </c>
      <c r="B4" s="12" t="s">
        <v>869</v>
      </c>
      <c r="C4" s="13">
        <v>9853.0932</v>
      </c>
    </row>
    <row r="5" ht="32.25" spans="1:3">
      <c r="A5" s="10">
        <v>3</v>
      </c>
      <c r="B5" s="12" t="s">
        <v>870</v>
      </c>
      <c r="C5" s="13">
        <v>9625.15</v>
      </c>
    </row>
    <row r="6" ht="32.25" spans="1:3">
      <c r="A6" s="10">
        <v>4</v>
      </c>
      <c r="B6" s="12" t="s">
        <v>1014</v>
      </c>
      <c r="C6" s="13">
        <v>6953.25</v>
      </c>
    </row>
    <row r="7" ht="32.25" spans="1:3">
      <c r="A7" s="10">
        <v>5</v>
      </c>
      <c r="B7" s="12" t="s">
        <v>1271</v>
      </c>
      <c r="C7" s="13">
        <v>8752.00833333333</v>
      </c>
    </row>
    <row r="8" ht="32.25" spans="1:3">
      <c r="A8" s="10">
        <v>6</v>
      </c>
      <c r="B8" s="12" t="s">
        <v>1273</v>
      </c>
      <c r="C8" s="13">
        <v>7493.275</v>
      </c>
    </row>
    <row r="9" ht="32.25" spans="1:3">
      <c r="A9" s="10">
        <v>7</v>
      </c>
      <c r="B9" s="12" t="s">
        <v>1275</v>
      </c>
      <c r="C9" s="13">
        <v>7493.27916666667</v>
      </c>
    </row>
    <row r="10" ht="32.25" spans="1:3">
      <c r="A10" s="10">
        <v>8</v>
      </c>
      <c r="B10" s="12" t="s">
        <v>1276</v>
      </c>
      <c r="C10" s="13">
        <v>8542.21666666667</v>
      </c>
    </row>
    <row r="11" ht="32.25" spans="1:3">
      <c r="A11" s="10">
        <v>9</v>
      </c>
      <c r="B11" s="12" t="s">
        <v>1278</v>
      </c>
      <c r="C11" s="13">
        <v>7912.85416666667</v>
      </c>
    </row>
    <row r="12" ht="32.25" spans="1:3">
      <c r="A12" s="10">
        <v>10</v>
      </c>
      <c r="B12" s="12" t="s">
        <v>1280</v>
      </c>
      <c r="C12" s="13">
        <v>7912.85416666667</v>
      </c>
    </row>
    <row r="13" ht="32.25" spans="1:3">
      <c r="A13" s="10">
        <v>11</v>
      </c>
      <c r="B13" s="12" t="s">
        <v>1282</v>
      </c>
      <c r="C13" s="13">
        <v>7912.85416666667</v>
      </c>
    </row>
    <row r="14" ht="32.25" spans="1:3">
      <c r="A14" s="10">
        <v>12</v>
      </c>
      <c r="B14" s="12" t="s">
        <v>1284</v>
      </c>
      <c r="C14" s="13">
        <v>7912.85416666667</v>
      </c>
    </row>
    <row r="15" ht="32.25" spans="1:3">
      <c r="A15" s="10">
        <v>13</v>
      </c>
      <c r="B15" s="12" t="s">
        <v>1286</v>
      </c>
      <c r="C15" s="13">
        <v>7912.85416666667</v>
      </c>
    </row>
    <row r="16" ht="32.25" spans="1:3">
      <c r="A16" s="10">
        <v>14</v>
      </c>
      <c r="B16" s="12" t="s">
        <v>1288</v>
      </c>
      <c r="C16" s="13">
        <v>7912.85416666667</v>
      </c>
    </row>
    <row r="17" ht="32.25" spans="1:3">
      <c r="A17" s="10">
        <v>15</v>
      </c>
      <c r="B17" s="12" t="s">
        <v>1290</v>
      </c>
      <c r="C17" s="13">
        <v>7912.85416666667</v>
      </c>
    </row>
    <row r="18" ht="32.25" spans="1:3">
      <c r="A18" s="10">
        <v>16</v>
      </c>
      <c r="B18" s="12" t="s">
        <v>1338</v>
      </c>
      <c r="C18" s="13">
        <v>6795.9032</v>
      </c>
    </row>
    <row r="19" ht="32.25" spans="1:3">
      <c r="A19" s="10">
        <v>17</v>
      </c>
      <c r="B19" s="12" t="s">
        <v>1339</v>
      </c>
      <c r="C19" s="13">
        <v>6795.9032</v>
      </c>
    </row>
    <row r="20" ht="32.25" spans="1:3">
      <c r="A20" s="10">
        <v>18</v>
      </c>
      <c r="B20" s="12" t="s">
        <v>1340</v>
      </c>
      <c r="C20" s="13">
        <v>6795.9032</v>
      </c>
    </row>
    <row r="21" ht="32.25" spans="1:3">
      <c r="A21" s="10">
        <v>19</v>
      </c>
      <c r="B21" s="12" t="s">
        <v>1342</v>
      </c>
      <c r="C21" s="13">
        <v>6795.9032</v>
      </c>
    </row>
    <row r="22" ht="32.25" spans="1:3">
      <c r="A22" s="10">
        <v>20</v>
      </c>
      <c r="B22" s="12" t="s">
        <v>1343</v>
      </c>
      <c r="C22" s="13">
        <v>6795.9032</v>
      </c>
    </row>
    <row r="23" ht="36.75" spans="2:3">
      <c r="B23" s="14" t="s">
        <v>867</v>
      </c>
      <c r="C23" s="15">
        <f>SUM(C3:C22)</f>
        <v>157934.860733333</v>
      </c>
    </row>
  </sheetData>
  <mergeCells count="1">
    <mergeCell ref="A1:C1"/>
  </mergeCells>
  <pageMargins left="0.7" right="0.7" top="0.75" bottom="0.75" header="0.3" footer="0.3"/>
  <pageSetup paperSize="1" scale="62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3"/>
  <sheetViews>
    <sheetView view="pageBreakPreview" zoomScale="60" zoomScaleNormal="100" workbookViewId="0">
      <selection activeCell="B15" sqref="B15"/>
    </sheetView>
  </sheetViews>
  <sheetFormatPr defaultColWidth="11" defaultRowHeight="15" outlineLevelCol="2"/>
  <cols>
    <col min="1" max="1" width="10.8285714285714" style="1"/>
    <col min="2" max="2" width="68.3333333333333" customWidth="1"/>
    <col min="3" max="3" width="25.8285714285714" style="2" customWidth="1"/>
  </cols>
  <sheetData>
    <row r="1" ht="70" customHeight="1" spans="1:3">
      <c r="A1" s="3" t="s">
        <v>2352</v>
      </c>
      <c r="B1" s="3"/>
      <c r="C1" s="3"/>
    </row>
    <row r="2" ht="27.75" spans="1:3">
      <c r="A2" s="4">
        <v>1</v>
      </c>
      <c r="B2" s="5" t="s">
        <v>94</v>
      </c>
      <c r="C2" s="6">
        <v>1000</v>
      </c>
    </row>
    <row r="3" ht="27.75" spans="1:3">
      <c r="A3" s="4">
        <v>2</v>
      </c>
      <c r="B3" s="5" t="s">
        <v>99</v>
      </c>
      <c r="C3" s="6">
        <v>1000</v>
      </c>
    </row>
    <row r="4" ht="27.75" spans="1:3">
      <c r="A4" s="4">
        <v>3</v>
      </c>
      <c r="B4" s="5" t="s">
        <v>103</v>
      </c>
      <c r="C4" s="6">
        <v>1000</v>
      </c>
    </row>
    <row r="5" ht="27.75" spans="1:3">
      <c r="A5" s="4">
        <v>4</v>
      </c>
      <c r="B5" s="5" t="s">
        <v>109</v>
      </c>
      <c r="C5" s="6">
        <v>1000</v>
      </c>
    </row>
    <row r="6" ht="27.75" spans="1:3">
      <c r="A6" s="4">
        <v>5</v>
      </c>
      <c r="B6" s="5" t="s">
        <v>114</v>
      </c>
      <c r="C6" s="6">
        <v>1000</v>
      </c>
    </row>
    <row r="7" ht="27.75" spans="1:3">
      <c r="A7" s="4">
        <v>6</v>
      </c>
      <c r="B7" s="5" t="s">
        <v>119</v>
      </c>
      <c r="C7" s="6">
        <v>1000</v>
      </c>
    </row>
    <row r="8" ht="27.75" spans="1:3">
      <c r="A8" s="4">
        <v>7</v>
      </c>
      <c r="B8" s="5" t="s">
        <v>124</v>
      </c>
      <c r="C8" s="6">
        <v>1000</v>
      </c>
    </row>
    <row r="9" ht="27.75" spans="1:3">
      <c r="A9" s="4">
        <v>8</v>
      </c>
      <c r="B9" s="5" t="s">
        <v>129</v>
      </c>
      <c r="C9" s="6">
        <v>1000</v>
      </c>
    </row>
    <row r="10" ht="27.75" spans="1:3">
      <c r="A10" s="4">
        <v>9</v>
      </c>
      <c r="B10" s="5" t="s">
        <v>132</v>
      </c>
      <c r="C10" s="6">
        <v>1000</v>
      </c>
    </row>
    <row r="11" ht="27.75" spans="1:3">
      <c r="A11" s="4">
        <v>10</v>
      </c>
      <c r="B11" s="5" t="s">
        <v>137</v>
      </c>
      <c r="C11" s="6">
        <v>1000</v>
      </c>
    </row>
    <row r="12" ht="27.75" spans="1:3">
      <c r="A12" s="4">
        <v>11</v>
      </c>
      <c r="B12" s="5" t="s">
        <v>152</v>
      </c>
      <c r="C12" s="6">
        <v>1000</v>
      </c>
    </row>
    <row r="13" ht="27.75" spans="1:3">
      <c r="A13" s="4">
        <v>12</v>
      </c>
      <c r="B13" s="5" t="s">
        <v>154</v>
      </c>
      <c r="C13" s="6">
        <v>1000</v>
      </c>
    </row>
    <row r="14" ht="27.75" spans="1:3">
      <c r="A14" s="4">
        <v>13</v>
      </c>
      <c r="B14" s="5" t="s">
        <v>182</v>
      </c>
      <c r="C14" s="6">
        <v>1000</v>
      </c>
    </row>
    <row r="15" ht="27.75" spans="1:3">
      <c r="A15" s="4">
        <v>14</v>
      </c>
      <c r="B15" s="5" t="s">
        <v>206</v>
      </c>
      <c r="C15" s="6">
        <v>1000</v>
      </c>
    </row>
    <row r="16" ht="27.75" spans="1:3">
      <c r="A16" s="4">
        <v>15</v>
      </c>
      <c r="B16" s="5" t="s">
        <v>230</v>
      </c>
      <c r="C16" s="6">
        <v>1000</v>
      </c>
    </row>
    <row r="17" ht="27.75" spans="1:3">
      <c r="A17" s="4">
        <v>16</v>
      </c>
      <c r="B17" s="5" t="s">
        <v>233</v>
      </c>
      <c r="C17" s="6">
        <v>1000</v>
      </c>
    </row>
    <row r="18" ht="27.75" spans="1:3">
      <c r="A18" s="4">
        <v>17</v>
      </c>
      <c r="B18" s="5" t="s">
        <v>234</v>
      </c>
      <c r="C18" s="6">
        <v>1000</v>
      </c>
    </row>
    <row r="19" ht="27.75" spans="1:3">
      <c r="A19" s="4">
        <v>18</v>
      </c>
      <c r="B19" s="5" t="s">
        <v>237</v>
      </c>
      <c r="C19" s="6">
        <v>1000</v>
      </c>
    </row>
    <row r="20" ht="27.75" spans="1:3">
      <c r="A20" s="4">
        <v>19</v>
      </c>
      <c r="B20" s="5" t="s">
        <v>244</v>
      </c>
      <c r="C20" s="6">
        <v>1000</v>
      </c>
    </row>
    <row r="21" ht="27.75" spans="1:3">
      <c r="A21" s="4">
        <v>20</v>
      </c>
      <c r="B21" s="5" t="s">
        <v>260</v>
      </c>
      <c r="C21" s="6">
        <v>1000</v>
      </c>
    </row>
    <row r="22" ht="27.75" spans="1:3">
      <c r="A22" s="4">
        <v>21</v>
      </c>
      <c r="B22" s="5" t="s">
        <v>289</v>
      </c>
      <c r="C22" s="6">
        <v>1000</v>
      </c>
    </row>
    <row r="23" ht="27.75" spans="1:3">
      <c r="A23" s="4">
        <v>22</v>
      </c>
      <c r="B23" s="5" t="s">
        <v>296</v>
      </c>
      <c r="C23" s="6">
        <v>1000</v>
      </c>
    </row>
    <row r="24" ht="27.75" spans="1:3">
      <c r="A24" s="4">
        <v>23</v>
      </c>
      <c r="B24" s="5" t="s">
        <v>314</v>
      </c>
      <c r="C24" s="6">
        <v>1000</v>
      </c>
    </row>
    <row r="25" ht="27.75" spans="1:3">
      <c r="A25" s="4">
        <v>24</v>
      </c>
      <c r="B25" s="5" t="s">
        <v>318</v>
      </c>
      <c r="C25" s="6">
        <v>1000</v>
      </c>
    </row>
    <row r="26" ht="27.75" spans="1:3">
      <c r="A26" s="4">
        <v>25</v>
      </c>
      <c r="B26" s="5" t="s">
        <v>321</v>
      </c>
      <c r="C26" s="6">
        <v>1000</v>
      </c>
    </row>
    <row r="27" ht="27.75" spans="1:3">
      <c r="A27" s="4">
        <v>26</v>
      </c>
      <c r="B27" s="5" t="s">
        <v>337</v>
      </c>
      <c r="C27" s="6">
        <v>1000</v>
      </c>
    </row>
    <row r="28" ht="27.75" spans="1:3">
      <c r="A28" s="4">
        <v>27</v>
      </c>
      <c r="B28" s="5" t="s">
        <v>339</v>
      </c>
      <c r="C28" s="6">
        <v>1000</v>
      </c>
    </row>
    <row r="29" ht="27.75" spans="1:3">
      <c r="A29" s="4">
        <v>28</v>
      </c>
      <c r="B29" s="5" t="s">
        <v>357</v>
      </c>
      <c r="C29" s="6">
        <v>1000</v>
      </c>
    </row>
    <row r="30" ht="27.75" spans="1:3">
      <c r="A30" s="4">
        <v>29</v>
      </c>
      <c r="B30" s="5" t="s">
        <v>365</v>
      </c>
      <c r="C30" s="6">
        <v>1000</v>
      </c>
    </row>
    <row r="31" ht="27.75" spans="1:3">
      <c r="A31" s="4">
        <v>30</v>
      </c>
      <c r="B31" s="5" t="s">
        <v>369</v>
      </c>
      <c r="C31" s="6">
        <v>1000</v>
      </c>
    </row>
    <row r="32" ht="27.75" spans="1:3">
      <c r="A32" s="4">
        <v>31</v>
      </c>
      <c r="B32" s="5" t="s">
        <v>375</v>
      </c>
      <c r="C32" s="6">
        <v>1000</v>
      </c>
    </row>
    <row r="33" ht="27.75" spans="1:3">
      <c r="A33" s="4">
        <v>32</v>
      </c>
      <c r="B33" s="5" t="s">
        <v>382</v>
      </c>
      <c r="C33" s="6">
        <v>1000</v>
      </c>
    </row>
    <row r="34" ht="27.75" spans="1:3">
      <c r="A34" s="4">
        <v>33</v>
      </c>
      <c r="B34" s="5" t="s">
        <v>404</v>
      </c>
      <c r="C34" s="6">
        <v>1000</v>
      </c>
    </row>
    <row r="35" ht="27.75" spans="1:3">
      <c r="A35" s="4">
        <v>34</v>
      </c>
      <c r="B35" s="5" t="s">
        <v>406</v>
      </c>
      <c r="C35" s="6">
        <v>1000</v>
      </c>
    </row>
    <row r="36" ht="27.75" spans="1:3">
      <c r="A36" s="4">
        <v>35</v>
      </c>
      <c r="B36" s="5" t="s">
        <v>408</v>
      </c>
      <c r="C36" s="6">
        <v>1000</v>
      </c>
    </row>
    <row r="37" ht="27.75" spans="1:3">
      <c r="A37" s="4">
        <v>36</v>
      </c>
      <c r="B37" s="5" t="s">
        <v>412</v>
      </c>
      <c r="C37" s="6">
        <v>1000</v>
      </c>
    </row>
    <row r="38" ht="27.75" spans="1:3">
      <c r="A38" s="4">
        <v>37</v>
      </c>
      <c r="B38" s="5" t="s">
        <v>428</v>
      </c>
      <c r="C38" s="6">
        <v>1000</v>
      </c>
    </row>
    <row r="39" ht="27.75" spans="1:3">
      <c r="A39" s="4">
        <v>38</v>
      </c>
      <c r="B39" s="5" t="s">
        <v>431</v>
      </c>
      <c r="C39" s="6">
        <v>1000</v>
      </c>
    </row>
    <row r="40" ht="27.75" spans="1:3">
      <c r="A40" s="4">
        <v>39</v>
      </c>
      <c r="B40" s="5" t="s">
        <v>437</v>
      </c>
      <c r="C40" s="6">
        <v>1000</v>
      </c>
    </row>
    <row r="41" ht="27.75" spans="1:3">
      <c r="A41" s="4">
        <v>40</v>
      </c>
      <c r="B41" s="5" t="s">
        <v>454</v>
      </c>
      <c r="C41" s="6">
        <v>1000</v>
      </c>
    </row>
    <row r="42" ht="27.75" spans="1:3">
      <c r="A42" s="4">
        <v>41</v>
      </c>
      <c r="B42" s="5" t="s">
        <v>458</v>
      </c>
      <c r="C42" s="6">
        <v>1000</v>
      </c>
    </row>
    <row r="43" ht="27.75" spans="1:3">
      <c r="A43" s="4">
        <v>42</v>
      </c>
      <c r="B43" s="5" t="s">
        <v>485</v>
      </c>
      <c r="C43" s="6">
        <v>1000</v>
      </c>
    </row>
    <row r="44" ht="27.75" spans="1:3">
      <c r="A44" s="4">
        <v>43</v>
      </c>
      <c r="B44" s="5" t="s">
        <v>488</v>
      </c>
      <c r="C44" s="6">
        <v>1000</v>
      </c>
    </row>
    <row r="45" ht="27.75" spans="1:3">
      <c r="A45" s="4">
        <v>44</v>
      </c>
      <c r="B45" s="5" t="s">
        <v>504</v>
      </c>
      <c r="C45" s="6">
        <v>1000</v>
      </c>
    </row>
    <row r="46" ht="27.75" spans="1:3">
      <c r="A46" s="4">
        <v>45</v>
      </c>
      <c r="B46" s="5" t="s">
        <v>510</v>
      </c>
      <c r="C46" s="6">
        <v>1000</v>
      </c>
    </row>
    <row r="47" ht="27.75" spans="1:3">
      <c r="A47" s="4">
        <v>46</v>
      </c>
      <c r="B47" s="5" t="s">
        <v>521</v>
      </c>
      <c r="C47" s="6">
        <v>1000</v>
      </c>
    </row>
    <row r="48" ht="27.75" spans="1:3">
      <c r="A48" s="4">
        <v>47</v>
      </c>
      <c r="B48" s="5" t="s">
        <v>524</v>
      </c>
      <c r="C48" s="6">
        <v>1000</v>
      </c>
    </row>
    <row r="49" ht="27.75" spans="1:3">
      <c r="A49" s="4">
        <v>48</v>
      </c>
      <c r="B49" s="5" t="s">
        <v>527</v>
      </c>
      <c r="C49" s="6">
        <v>1000</v>
      </c>
    </row>
    <row r="50" ht="27.75" spans="1:3">
      <c r="A50" s="4">
        <v>49</v>
      </c>
      <c r="B50" s="5" t="s">
        <v>528</v>
      </c>
      <c r="C50" s="6">
        <v>1000</v>
      </c>
    </row>
    <row r="51" ht="27.75" spans="1:3">
      <c r="A51" s="4">
        <v>50</v>
      </c>
      <c r="B51" s="5" t="s">
        <v>530</v>
      </c>
      <c r="C51" s="6">
        <v>1000</v>
      </c>
    </row>
    <row r="52" ht="27.75" spans="1:3">
      <c r="A52" s="4">
        <v>51</v>
      </c>
      <c r="B52" s="5" t="s">
        <v>533</v>
      </c>
      <c r="C52" s="6">
        <v>1000</v>
      </c>
    </row>
    <row r="53" ht="27.75" spans="1:3">
      <c r="A53" s="4">
        <v>52</v>
      </c>
      <c r="B53" s="5" t="s">
        <v>541</v>
      </c>
      <c r="C53" s="6">
        <v>1000</v>
      </c>
    </row>
    <row r="54" ht="27.75" spans="1:3">
      <c r="A54" s="4">
        <v>53</v>
      </c>
      <c r="B54" s="5" t="s">
        <v>545</v>
      </c>
      <c r="C54" s="6">
        <v>1000</v>
      </c>
    </row>
    <row r="55" ht="27.75" spans="1:3">
      <c r="A55" s="4">
        <v>54</v>
      </c>
      <c r="B55" s="5" t="s">
        <v>548</v>
      </c>
      <c r="C55" s="6">
        <v>1000</v>
      </c>
    </row>
    <row r="56" ht="27.75" spans="1:3">
      <c r="A56" s="4">
        <v>55</v>
      </c>
      <c r="B56" s="5" t="s">
        <v>582</v>
      </c>
      <c r="C56" s="6">
        <v>1000</v>
      </c>
    </row>
    <row r="57" ht="27.75" spans="1:3">
      <c r="A57" s="4">
        <v>56</v>
      </c>
      <c r="B57" s="5" t="s">
        <v>650</v>
      </c>
      <c r="C57" s="6">
        <v>1000</v>
      </c>
    </row>
    <row r="58" ht="27.75" spans="1:3">
      <c r="A58" s="4">
        <v>57</v>
      </c>
      <c r="B58" s="5" t="s">
        <v>652</v>
      </c>
      <c r="C58" s="6">
        <v>1000</v>
      </c>
    </row>
    <row r="59" ht="27.75" spans="1:3">
      <c r="A59" s="4">
        <v>58</v>
      </c>
      <c r="B59" s="5" t="s">
        <v>656</v>
      </c>
      <c r="C59" s="6">
        <v>1000</v>
      </c>
    </row>
    <row r="60" ht="27.75" spans="1:3">
      <c r="A60" s="4">
        <v>59</v>
      </c>
      <c r="B60" s="5" t="s">
        <v>659</v>
      </c>
      <c r="C60" s="6">
        <v>1000</v>
      </c>
    </row>
    <row r="61" ht="27.75" spans="1:3">
      <c r="A61" s="4">
        <v>60</v>
      </c>
      <c r="B61" s="5" t="s">
        <v>662</v>
      </c>
      <c r="C61" s="6">
        <v>1000</v>
      </c>
    </row>
    <row r="62" ht="27.75" spans="1:3">
      <c r="A62" s="4">
        <v>61</v>
      </c>
      <c r="B62" s="5" t="s">
        <v>665</v>
      </c>
      <c r="C62" s="6">
        <v>1000</v>
      </c>
    </row>
    <row r="63" ht="27.75" spans="1:3">
      <c r="A63" s="4">
        <v>62</v>
      </c>
      <c r="B63" s="5" t="s">
        <v>668</v>
      </c>
      <c r="C63" s="6">
        <v>1000</v>
      </c>
    </row>
    <row r="64" ht="27.75" spans="1:3">
      <c r="A64" s="4">
        <v>63</v>
      </c>
      <c r="B64" s="5" t="s">
        <v>670</v>
      </c>
      <c r="C64" s="6">
        <v>1000</v>
      </c>
    </row>
    <row r="65" ht="27.75" spans="1:3">
      <c r="A65" s="4">
        <v>64</v>
      </c>
      <c r="B65" s="5" t="s">
        <v>673</v>
      </c>
      <c r="C65" s="6">
        <v>1000</v>
      </c>
    </row>
    <row r="66" ht="27.75" spans="1:3">
      <c r="A66" s="4">
        <v>65</v>
      </c>
      <c r="B66" s="5" t="s">
        <v>677</v>
      </c>
      <c r="C66" s="6">
        <v>1000</v>
      </c>
    </row>
    <row r="67" ht="27.75" spans="1:3">
      <c r="A67" s="4">
        <v>66</v>
      </c>
      <c r="B67" s="5" t="s">
        <v>683</v>
      </c>
      <c r="C67" s="6">
        <v>1000</v>
      </c>
    </row>
    <row r="68" ht="27.75" spans="1:3">
      <c r="A68" s="4">
        <v>67</v>
      </c>
      <c r="B68" s="5" t="s">
        <v>685</v>
      </c>
      <c r="C68" s="6">
        <v>1000</v>
      </c>
    </row>
    <row r="69" ht="27.75" spans="1:3">
      <c r="A69" s="4">
        <v>68</v>
      </c>
      <c r="B69" s="5" t="s">
        <v>687</v>
      </c>
      <c r="C69" s="6">
        <v>1000</v>
      </c>
    </row>
    <row r="70" ht="27.75" spans="1:3">
      <c r="A70" s="4">
        <v>69</v>
      </c>
      <c r="B70" s="5" t="s">
        <v>689</v>
      </c>
      <c r="C70" s="6">
        <v>1000</v>
      </c>
    </row>
    <row r="71" ht="27.75" spans="1:3">
      <c r="A71" s="4">
        <v>70</v>
      </c>
      <c r="B71" s="5" t="s">
        <v>691</v>
      </c>
      <c r="C71" s="6">
        <v>1000</v>
      </c>
    </row>
    <row r="72" ht="27.75" spans="1:3">
      <c r="A72" s="4">
        <v>71</v>
      </c>
      <c r="B72" s="5" t="s">
        <v>707</v>
      </c>
      <c r="C72" s="6">
        <v>1000</v>
      </c>
    </row>
    <row r="73" ht="27.75" spans="1:3">
      <c r="A73" s="4">
        <v>72</v>
      </c>
      <c r="B73" s="5" t="s">
        <v>723</v>
      </c>
      <c r="C73" s="6">
        <v>1000</v>
      </c>
    </row>
    <row r="74" ht="27.75" spans="1:3">
      <c r="A74" s="4">
        <v>73</v>
      </c>
      <c r="B74" s="5" t="s">
        <v>727</v>
      </c>
      <c r="C74" s="6">
        <v>1000</v>
      </c>
    </row>
    <row r="75" ht="27.75" spans="1:3">
      <c r="A75" s="4">
        <v>74</v>
      </c>
      <c r="B75" s="5" t="s">
        <v>729</v>
      </c>
      <c r="C75" s="6">
        <v>1000</v>
      </c>
    </row>
    <row r="76" ht="27.75" spans="1:3">
      <c r="A76" s="4">
        <v>75</v>
      </c>
      <c r="B76" s="5" t="s">
        <v>733</v>
      </c>
      <c r="C76" s="6">
        <v>1000</v>
      </c>
    </row>
    <row r="77" ht="27.75" spans="1:3">
      <c r="A77" s="4">
        <v>76</v>
      </c>
      <c r="B77" s="5" t="s">
        <v>763</v>
      </c>
      <c r="C77" s="6">
        <v>1000</v>
      </c>
    </row>
    <row r="78" ht="27.75" spans="1:3">
      <c r="A78" s="4">
        <v>77</v>
      </c>
      <c r="B78" s="5" t="s">
        <v>765</v>
      </c>
      <c r="C78" s="6">
        <v>1000</v>
      </c>
    </row>
    <row r="79" ht="27.75" spans="1:3">
      <c r="A79" s="4">
        <v>78</v>
      </c>
      <c r="B79" s="5" t="s">
        <v>783</v>
      </c>
      <c r="C79" s="6">
        <v>1000</v>
      </c>
    </row>
    <row r="80" ht="27.75" spans="1:3">
      <c r="A80" s="4">
        <v>79</v>
      </c>
      <c r="B80" s="5" t="s">
        <v>785</v>
      </c>
      <c r="C80" s="6">
        <v>1000</v>
      </c>
    </row>
    <row r="81" ht="27.75" spans="1:3">
      <c r="A81" s="4">
        <v>80</v>
      </c>
      <c r="B81" s="5" t="s">
        <v>787</v>
      </c>
      <c r="C81" s="6">
        <v>1000</v>
      </c>
    </row>
    <row r="82" ht="27.75" spans="1:3">
      <c r="A82" s="4">
        <v>81</v>
      </c>
      <c r="B82" s="5" t="s">
        <v>801</v>
      </c>
      <c r="C82" s="6">
        <v>1000</v>
      </c>
    </row>
    <row r="83" ht="27.75" spans="1:3">
      <c r="A83" s="4">
        <v>82</v>
      </c>
      <c r="B83" s="5" t="s">
        <v>803</v>
      </c>
      <c r="C83" s="6">
        <v>1000</v>
      </c>
    </row>
    <row r="84" ht="27.75" spans="1:3">
      <c r="A84" s="4">
        <v>83</v>
      </c>
      <c r="B84" s="5" t="s">
        <v>805</v>
      </c>
      <c r="C84" s="6">
        <v>1000</v>
      </c>
    </row>
    <row r="85" ht="27.75" spans="1:3">
      <c r="A85" s="4">
        <v>84</v>
      </c>
      <c r="B85" s="5" t="s">
        <v>814</v>
      </c>
      <c r="C85" s="6">
        <v>1000</v>
      </c>
    </row>
    <row r="86" ht="27.75" spans="1:3">
      <c r="A86" s="4">
        <v>85</v>
      </c>
      <c r="B86" s="5" t="s">
        <v>817</v>
      </c>
      <c r="C86" s="6">
        <v>1000</v>
      </c>
    </row>
    <row r="87" ht="27.75" spans="1:3">
      <c r="A87" s="4">
        <v>86</v>
      </c>
      <c r="B87" s="5" t="s">
        <v>819</v>
      </c>
      <c r="C87" s="6">
        <v>1000</v>
      </c>
    </row>
    <row r="88" ht="27.75" spans="1:3">
      <c r="A88" s="4">
        <v>87</v>
      </c>
      <c r="B88" s="5" t="s">
        <v>821</v>
      </c>
      <c r="C88" s="6">
        <v>1000</v>
      </c>
    </row>
    <row r="89" ht="27.75" spans="1:3">
      <c r="A89" s="4">
        <v>88</v>
      </c>
      <c r="B89" s="5" t="s">
        <v>823</v>
      </c>
      <c r="C89" s="6">
        <v>1000</v>
      </c>
    </row>
    <row r="90" ht="27.75" spans="1:3">
      <c r="A90" s="4">
        <v>89</v>
      </c>
      <c r="B90" s="5" t="s">
        <v>827</v>
      </c>
      <c r="C90" s="6">
        <v>1000</v>
      </c>
    </row>
    <row r="91" ht="27.75" spans="1:3">
      <c r="A91" s="4">
        <v>90</v>
      </c>
      <c r="B91" s="5" t="s">
        <v>831</v>
      </c>
      <c r="C91" s="6">
        <v>1000</v>
      </c>
    </row>
    <row r="92" ht="27.75" spans="1:3">
      <c r="A92" s="4">
        <v>91</v>
      </c>
      <c r="B92" s="5" t="s">
        <v>855</v>
      </c>
      <c r="C92" s="6">
        <v>1000</v>
      </c>
    </row>
    <row r="93" ht="27.75" spans="1:3">
      <c r="A93" s="4">
        <v>92</v>
      </c>
      <c r="B93" s="5" t="s">
        <v>856</v>
      </c>
      <c r="C93" s="6">
        <v>1000</v>
      </c>
    </row>
    <row r="94" ht="27" spans="1:3">
      <c r="A94" s="4"/>
      <c r="B94" s="4" t="s">
        <v>867</v>
      </c>
      <c r="C94" s="7">
        <f>SUM(C2:C93)</f>
        <v>92000</v>
      </c>
    </row>
    <row r="95" ht="29" customHeight="1" spans="1:3">
      <c r="A95" s="8" t="s">
        <v>1830</v>
      </c>
      <c r="B95" s="8"/>
      <c r="C95" s="8"/>
    </row>
    <row r="96" ht="27.75" spans="1:3">
      <c r="A96" s="4">
        <v>93</v>
      </c>
      <c r="B96" s="5" t="s">
        <v>1519</v>
      </c>
      <c r="C96" s="6">
        <v>1000</v>
      </c>
    </row>
    <row r="97" ht="27.75" spans="1:3">
      <c r="A97" s="4">
        <v>94</v>
      </c>
      <c r="B97" s="5" t="s">
        <v>869</v>
      </c>
      <c r="C97" s="6">
        <v>1000</v>
      </c>
    </row>
    <row r="98" ht="27.75" spans="1:3">
      <c r="A98" s="4">
        <v>95</v>
      </c>
      <c r="B98" s="5" t="s">
        <v>870</v>
      </c>
      <c r="C98" s="6">
        <v>1000</v>
      </c>
    </row>
    <row r="99" ht="27.75" spans="1:3">
      <c r="A99" s="4">
        <v>96</v>
      </c>
      <c r="B99" s="5" t="s">
        <v>1271</v>
      </c>
      <c r="C99" s="6">
        <v>1000</v>
      </c>
    </row>
    <row r="100" ht="27.75" spans="1:3">
      <c r="A100" s="4">
        <v>97</v>
      </c>
      <c r="B100" s="5" t="s">
        <v>1275</v>
      </c>
      <c r="C100" s="6">
        <v>1000</v>
      </c>
    </row>
    <row r="101" ht="27.75" spans="1:3">
      <c r="A101" s="4">
        <v>98</v>
      </c>
      <c r="B101" s="5" t="s">
        <v>1276</v>
      </c>
      <c r="C101" s="6">
        <v>1000</v>
      </c>
    </row>
    <row r="102" ht="27.75" spans="1:3">
      <c r="A102" s="4">
        <v>99</v>
      </c>
      <c r="B102" s="5" t="s">
        <v>1278</v>
      </c>
      <c r="C102" s="6">
        <v>1000</v>
      </c>
    </row>
    <row r="103" ht="27.75" spans="1:3">
      <c r="A103" s="4">
        <v>100</v>
      </c>
      <c r="B103" s="5" t="s">
        <v>1280</v>
      </c>
      <c r="C103" s="6">
        <v>1000</v>
      </c>
    </row>
    <row r="104" ht="27.75" spans="1:3">
      <c r="A104" s="4">
        <v>101</v>
      </c>
      <c r="B104" s="5" t="s">
        <v>1282</v>
      </c>
      <c r="C104" s="6">
        <v>1000</v>
      </c>
    </row>
    <row r="105" ht="27.75" spans="1:3">
      <c r="A105" s="4">
        <v>102</v>
      </c>
      <c r="B105" s="5" t="s">
        <v>1284</v>
      </c>
      <c r="C105" s="6">
        <v>1000</v>
      </c>
    </row>
    <row r="106" ht="27.75" spans="1:3">
      <c r="A106" s="4">
        <v>103</v>
      </c>
      <c r="B106" s="5" t="s">
        <v>1286</v>
      </c>
      <c r="C106" s="6">
        <v>1000</v>
      </c>
    </row>
    <row r="107" ht="27.75" spans="1:3">
      <c r="A107" s="4">
        <v>104</v>
      </c>
      <c r="B107" s="5" t="s">
        <v>1288</v>
      </c>
      <c r="C107" s="6">
        <v>1000</v>
      </c>
    </row>
    <row r="108" ht="27.75" spans="1:3">
      <c r="A108" s="4">
        <v>105</v>
      </c>
      <c r="B108" s="5" t="s">
        <v>1290</v>
      </c>
      <c r="C108" s="6">
        <v>1000</v>
      </c>
    </row>
    <row r="109" ht="27.75" spans="1:3">
      <c r="A109" s="4">
        <v>106</v>
      </c>
      <c r="B109" s="5" t="s">
        <v>1306</v>
      </c>
      <c r="C109" s="6">
        <v>1000</v>
      </c>
    </row>
    <row r="110" ht="27.75" spans="1:3">
      <c r="A110" s="4">
        <v>107</v>
      </c>
      <c r="B110" s="5" t="s">
        <v>1328</v>
      </c>
      <c r="C110" s="6">
        <v>1000</v>
      </c>
    </row>
    <row r="111" ht="27" spans="1:3">
      <c r="A111" s="4"/>
      <c r="B111" s="4" t="s">
        <v>867</v>
      </c>
      <c r="C111" s="7">
        <f>SUM(C96:C110)</f>
        <v>15000</v>
      </c>
    </row>
    <row r="112" ht="27" spans="1:3">
      <c r="A112" s="4"/>
      <c r="B112" s="4" t="s">
        <v>1465</v>
      </c>
      <c r="C112" s="7">
        <f>C111+C94</f>
        <v>107000</v>
      </c>
    </row>
    <row r="113" ht="15.75"/>
  </sheetData>
  <mergeCells count="2">
    <mergeCell ref="A1:C1"/>
    <mergeCell ref="A95:C95"/>
  </mergeCells>
  <pageMargins left="0.7" right="0.7" top="0.75" bottom="0.75" header="0.3" footer="0.3"/>
  <pageSetup paperSize="1" scale="8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TEACHING STAFF</vt:lpstr>
      <vt:lpstr>BANK SCH</vt:lpstr>
      <vt:lpstr>NON TEACHING STAFF</vt:lpstr>
      <vt:lpstr>Sheet4</vt:lpstr>
      <vt:lpstr>WAGE BILL</vt:lpstr>
      <vt:lpstr>STATUTORY DED</vt:lpstr>
      <vt:lpstr>ASUU DED</vt:lpstr>
      <vt:lpstr>FLOURISH DEDUCT</vt:lpstr>
      <vt:lpstr>NASU</vt:lpstr>
      <vt:lpstr>FLORSHINE</vt:lpstr>
      <vt:lpstr>FLOURISH COOPERATIVE </vt:lpstr>
      <vt:lpstr>SALARY ADVANCE &amp; SCH FEELS</vt:lpstr>
      <vt:lpstr>DEPENDENT RELATIVE </vt:lpstr>
      <vt:lpstr>TopLifters </vt:lpstr>
      <vt:lpstr>Sheet1</vt:lpstr>
      <vt:lpstr>Sheet2</vt:lpstr>
      <vt:lpstr>Sheet3</vt:lpstr>
      <vt:lpstr>BHIS 2</vt:lpstr>
      <vt:lpstr>ASUU</vt:lpstr>
      <vt:lpstr>BETF</vt:lpstr>
      <vt:lpstr>BANK SCH II</vt:lpstr>
      <vt:lpstr>BANK SCHDULE</vt:lpstr>
      <vt:lpstr>BHIS</vt:lpstr>
      <vt:lpstr>ECONOMICS</vt:lpstr>
      <vt:lpstr>SSANU DEDUCTION</vt:lpstr>
      <vt:lpstr>WOMAN FORUM DEDUCTION</vt:lpstr>
      <vt:lpstr>CO-OPERATIVE</vt:lpstr>
      <vt:lpstr>FAE DEDUCTION</vt:lpstr>
      <vt:lpstr>FMS DEDUCTION</vt:lpstr>
      <vt:lpstr>NAAT DEDUCTIONS</vt:lpstr>
      <vt:lpstr>FBAS DEDUCT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 Green</cp:lastModifiedBy>
  <dcterms:created xsi:type="dcterms:W3CDTF">2006-09-16T00:00:00Z</dcterms:created>
  <cp:lastPrinted>2025-12-02T15:42:00Z</cp:lastPrinted>
  <dcterms:modified xsi:type="dcterms:W3CDTF">2026-03-16T11:48:29Z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E3187A0AC0CA4DC7BA9B2EFC7D255F37_12</vt:lpwstr>
  </property>
  <property fmtid="{D5CDD505-2E9C-101B-9397-08002B2CF9AE}" pid="3" name="KSOProductBuildVer">
    <vt:lpwstr>2057-12.2.0.23197</vt:lpwstr>
  </property>
</Properties>
</file>