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arl\Downloads\"/>
    </mc:Choice>
  </mc:AlternateContent>
  <xr:revisionPtr revIDLastSave="0" documentId="13_ncr:1_{9C1CBFC7-878E-4F5F-B1A1-EC680E891737}" xr6:coauthVersionLast="46" xr6:coauthVersionMax="46" xr10:uidLastSave="{00000000-0000-0000-0000-000000000000}"/>
  <bookViews>
    <workbookView xWindow="-120" yWindow="-120" windowWidth="20730" windowHeight="11160" tabRatio="775" activeTab="5" xr2:uid="{00000000-000D-0000-FFFF-FFFF00000000}"/>
  </bookViews>
  <sheets>
    <sheet name="Constants" sheetId="6" r:id="rId1"/>
    <sheet name="Current - Variables" sheetId="4" r:id="rId2"/>
    <sheet name="Current Cost Structure" sheetId="1" r:id="rId3"/>
    <sheet name="Proposed - Variables" sheetId="7" r:id="rId4"/>
    <sheet name="Virtualized Cost Structure" sheetId="2" r:id="rId5"/>
    <sheet name="Project Cost Summary" sheetId="3" r:id="rId6"/>
  </sheets>
  <definedNames>
    <definedName name="admin_payIncrease">'Current - Variables'!$B$37</definedName>
    <definedName name="adminCostOnVirtualServer">'Proposed - Variables'!#REF!</definedName>
    <definedName name="AdminCostPerHour">Constants!$B$14</definedName>
    <definedName name="administrativeCostPerHourYear1">'Current - Variables'!#REF!</definedName>
    <definedName name="administrativeRateIncrease">'Current - Variables'!#REF!</definedName>
    <definedName name="AdminPayIncrease">Constants!$B$15</definedName>
    <definedName name="alpha">'Proposed - Variables'!#REF!</definedName>
    <definedName name="backupTImeGroup1V">'Proposed - Variables'!#REF!</definedName>
    <definedName name="backupTimeGroup2V">'Proposed - Variables'!#REF!</definedName>
    <definedName name="backupTimeGroup3V">'Proposed - Variables'!#REF!</definedName>
    <definedName name="backupTimeGroup4V">'Proposed - Variables'!#REF!</definedName>
    <definedName name="beta">'Proposed - Variables'!#REF!</definedName>
    <definedName name="costGroup1ServerMaintenanceYear1">'Proposed - Variables'!#REF!</definedName>
    <definedName name="costGroup2ServerMaintenanceYear1">'Proposed - Variables'!#REF!</definedName>
    <definedName name="costGroup3ServerMaintenanceYear1">'Proposed - Variables'!#REF!</definedName>
    <definedName name="costkwHYear1">'Current - Variables'!#REF!</definedName>
    <definedName name="costNewGroup1Server">'Proposed - Variables'!#REF!</definedName>
    <definedName name="costNewGroup2Server">'Proposed - Variables'!#REF!</definedName>
    <definedName name="costNewGroup3Server">'Proposed - Variables'!#REF!</definedName>
    <definedName name="costNewGroup4Server">'Proposed - Variables'!#REF!</definedName>
    <definedName name="costPerKwH">Constants!$B$16</definedName>
    <definedName name="CurrentYear1HardCosts">'Current Cost Structure'!$B$23</definedName>
    <definedName name="CurrentYear1SoftCosts">'Current Cost Structure'!$B$43</definedName>
    <definedName name="CurrentYear2HardCosts">'Current Cost Structure'!$C$23</definedName>
    <definedName name="CurrentYear2SoftCosts">'Current Cost Structure'!$C$43</definedName>
    <definedName name="CurrentYear3HardCosts">'Current Cost Structure'!$D$23</definedName>
    <definedName name="CurrentYear3SoftCosts">'Current Cost Structure'!$D$43</definedName>
    <definedName name="CurrentYear4HardCosts">'Current Cost Structure'!$E$23</definedName>
    <definedName name="CurrentYear4SoftCosts">'Current Cost Structure'!$E$43</definedName>
    <definedName name="CurrentYear5HardCosts">'Current Cost Structure'!$F$23</definedName>
    <definedName name="CurrentYear5SoftCosts">'Current Cost Structure'!$F$43</definedName>
    <definedName name="dataStorageMonthlyChargeYears1And2">'Current - Variables'!#REF!</definedName>
    <definedName name="dataStorageMonthlyChargeYears3Thru5">'Current - Variables'!#REF!</definedName>
    <definedName name="daysInAYear">Constants!#REF!</definedName>
    <definedName name="EmployeesTrained12">'Proposed - Variables'!$B$36</definedName>
    <definedName name="EmployeesTrained345">'Proposed - Variables'!$B$37</definedName>
    <definedName name="empsTrainedYears1And2">'Proposed - Variables'!#REF!</definedName>
    <definedName name="empsTrainedYears3Thru5">'Proposed - Variables'!#REF!</definedName>
    <definedName name="group1_adminWeeks">'Current - Variables'!$B$38</definedName>
    <definedName name="group1_avgLoad">'Current - Variables'!$B$18</definedName>
    <definedName name="group1_hoursPerBackup">'Current - Variables'!$B$44</definedName>
    <definedName name="group1_maintenance">'Current - Variables'!$B$24</definedName>
    <definedName name="group1_no_of_backups">'Current - Variables'!$B$50</definedName>
    <definedName name="group1_no_of_servers">'Current - Variables'!$B$6</definedName>
    <definedName name="group1_numBackups">'Proposed - Variables'!$B$50</definedName>
    <definedName name="group1_numHoursBackup">'Proposed - Variables'!$B$45</definedName>
    <definedName name="group1_power">'Current - Variables'!$B$12</definedName>
    <definedName name="group1Cost">'Proposed - Variables'!$B$5</definedName>
    <definedName name="group1Maintenance">'Proposed - Variables'!$B$6</definedName>
    <definedName name="group1PhysicalServers">'Proposed - Variables'!$B$17</definedName>
    <definedName name="group1VirtualizedServers">'Proposed - Variables'!$B$18</definedName>
    <definedName name="group2_adminWeeks">'Current - Variables'!$B$39</definedName>
    <definedName name="group2_avgLoad">'Current - Variables'!$B$19</definedName>
    <definedName name="group2_hoursPerBackup">'Current - Variables'!$B$45</definedName>
    <definedName name="group2_maintenance">'Current - Variables'!$B$25</definedName>
    <definedName name="group2_no_of_backups">'Current - Variables'!$B$51</definedName>
    <definedName name="group2_no_of_servers">'Current - Variables'!$B$7</definedName>
    <definedName name="group2_numBackups">'Proposed - Variables'!$B$51</definedName>
    <definedName name="group2_numHoursBackup">'Proposed - Variables'!$B$46</definedName>
    <definedName name="group2_power">'Current - Variables'!$B$13</definedName>
    <definedName name="group2Cost">'Proposed - Variables'!$B$8</definedName>
    <definedName name="group2Maintenance">'Proposed - Variables'!$B$9</definedName>
    <definedName name="group2PhysicalServers">'Proposed - Variables'!$B$19</definedName>
    <definedName name="group2VirtualizedServers">'Proposed - Variables'!$B$20</definedName>
    <definedName name="group3_adminWeeks">'Current - Variables'!$B$40</definedName>
    <definedName name="group3_avgLoad">'Current - Variables'!$B$20</definedName>
    <definedName name="group3_hoursPerBackup">'Current - Variables'!$B$46</definedName>
    <definedName name="group3_maintenance">'Current - Variables'!$B$26</definedName>
    <definedName name="group3_no_of_backups">'Current - Variables'!$B$52</definedName>
    <definedName name="group3_no_of_servers">'Current - Variables'!$B$8</definedName>
    <definedName name="group3_numBackups">'Proposed - Variables'!$B$52</definedName>
    <definedName name="group3_numHoursBackup">'Proposed - Variables'!$B$47</definedName>
    <definedName name="group3_power">'Current - Variables'!$B$14</definedName>
    <definedName name="group3Cost">'Proposed - Variables'!$B$11</definedName>
    <definedName name="group3Maintenance">'Proposed - Variables'!$B$12</definedName>
    <definedName name="group3PhysicalServers">'Proposed - Variables'!$B$21</definedName>
    <definedName name="group3VirtualizedServers">'Proposed - Variables'!$B$22</definedName>
    <definedName name="group4_numBackups">'Proposed - Variables'!$B$53</definedName>
    <definedName name="group4_numHoursBackup">'Proposed - Variables'!$B$48</definedName>
    <definedName name="group4A_adminWeeks">'Current - Variables'!$B$41</definedName>
    <definedName name="group4A_avgLoad">'Current - Variables'!$B$21</definedName>
    <definedName name="group4A_hoursPerBackup">'Current - Variables'!$B$47</definedName>
    <definedName name="group4A_maintenance">'Current - Variables'!$B$27</definedName>
    <definedName name="group4A_no_of_backups">'Current - Variables'!$B$53</definedName>
    <definedName name="group4A_no_of_servers">'Current - Variables'!$B$9</definedName>
    <definedName name="group4A_power">'Current - Variables'!$B$15</definedName>
    <definedName name="group4B_adminWeeks">'Current - Variables'!$B$42</definedName>
    <definedName name="group4B_avgLoad">'Current - Variables'!$B$22</definedName>
    <definedName name="group4B_hoursPerBackup">'Current - Variables'!$B$48</definedName>
    <definedName name="group4B_maintenance">'Current - Variables'!$B$28</definedName>
    <definedName name="group4B_no_of_backups">'Current - Variables'!$B$54</definedName>
    <definedName name="group4B_no_of_servers">'Current - Variables'!$B$10</definedName>
    <definedName name="group4B_power">'Current - Variables'!$B$16</definedName>
    <definedName name="group4Cost">'Proposed - Variables'!$B$14</definedName>
    <definedName name="group4Maintenance">'Proposed - Variables'!$B$15</definedName>
    <definedName name="group4PhysicalServers">'Proposed - Variables'!$B$23</definedName>
    <definedName name="group4VirtualizedServers">'Proposed - Variables'!$B$24</definedName>
    <definedName name="groupAB_maintenance">'Current - Variables'!$B$28</definedName>
    <definedName name="hoursInAWeek">Constants!#REF!</definedName>
    <definedName name="hoursInAYear">Constants!#REF!</definedName>
    <definedName name="hoursPerBackupGroup1">'Current - Variables'!#REF!</definedName>
    <definedName name="hoursPerBackupGroup1A">'Current - Variables'!#REF!</definedName>
    <definedName name="hoursPerBackupGroup1B">'Current - Variables'!#REF!</definedName>
    <definedName name="hoursPerBackupGroup2">'Current - Variables'!#REF!</definedName>
    <definedName name="hoursPerBackupGroup3">'Current - Variables'!#REF!</definedName>
    <definedName name="hoursPerBackupGroup3A">'Current - Variables'!#REF!</definedName>
    <definedName name="hoursPerBackupGroup3B">'Current - Variables'!#REF!</definedName>
    <definedName name="hoursPerBackupGroup4A">'Current - Variables'!#REF!</definedName>
    <definedName name="hoursPerBackupGroup4B">'Current - Variables'!#REF!</definedName>
    <definedName name="HoursServerDay">Constants!$B$19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aintenanceCostYear1Group1">'Current - Variables'!#REF!</definedName>
    <definedName name="maintenanceCostYear1Group1A">'Current - Variables'!#REF!</definedName>
    <definedName name="maintenanceCostYear1Group1B">'Current - Variables'!#REF!</definedName>
    <definedName name="maintenanceCostYear1Group2">'Current - Variables'!#REF!</definedName>
    <definedName name="maintenanceCostYear1Group3">'Current - Variables'!#REF!</definedName>
    <definedName name="maintenanceCostYear1Group3A">'Current - Variables'!#REF!</definedName>
    <definedName name="maintenanceCostYear1Group3B">'Current - Variables'!#REF!</definedName>
    <definedName name="maintenanceCostYear1Group4A">'Current - Variables'!#REF!</definedName>
    <definedName name="maintenanceCostYear1Group4B">'Current - Variables'!#REF!</definedName>
    <definedName name="maintenanceRateIncrease">'Current - Variables'!#REF!</definedName>
    <definedName name="monthsInAYear">Constants!#REF!</definedName>
    <definedName name="newServerPowerGroup1">'Proposed - Variables'!#REF!</definedName>
    <definedName name="newServerPowerGroup2">'Proposed - Variables'!#REF!</definedName>
    <definedName name="newServerPowerGroup3">'Proposed - Variables'!#REF!</definedName>
    <definedName name="newServerPowerGroup4">'Proposed - Variables'!#REF!</definedName>
    <definedName name="no_of_DaysYear">Constants!$B$12</definedName>
    <definedName name="no_of_HoursAdminDay">Constants!$B$7</definedName>
    <definedName name="no_of_HoursAdminWeek">Constants!$B$8</definedName>
    <definedName name="no_of_HoursYear">Constants!$B$9</definedName>
    <definedName name="no_of_MonthsYear">Constants!$B$10</definedName>
    <definedName name="no_of_WattsPerKilowatt">Constants!$B$13</definedName>
    <definedName name="no_of_WeeksYear">Constants!$B$11</definedName>
    <definedName name="numberOfBackUpsGroup1V">'Proposed - Variables'!#REF!</definedName>
    <definedName name="numberOfBackUpsGroup2V">'Proposed - Variables'!#REF!</definedName>
    <definedName name="numberOfBackUpsGroup3V">'Proposed - Variables'!#REF!</definedName>
    <definedName name="numberOfBackupsGroup4V">'Proposed - Variables'!#REF!</definedName>
    <definedName name="numberOfBackupsPerYearGroup1">'Current - Variables'!#REF!</definedName>
    <definedName name="numberOfBackupsPerYearGroup1A">'Current - Variables'!#REF!</definedName>
    <definedName name="numberOfBackupsPerYearGroup1B">'Current - Variables'!#REF!</definedName>
    <definedName name="numberOfBackupsPerYearGroup2">'Current - Variables'!#REF!</definedName>
    <definedName name="numberOfBackupsPerYearGroup3">'Current - Variables'!#REF!</definedName>
    <definedName name="numberOfBackupsPerYearGroup3A">'Current - Variables'!#REF!</definedName>
    <definedName name="numberOfBackupsPerYearGroup3B">'Current - Variables'!#REF!</definedName>
    <definedName name="numberOfBackupsPerYearGroup4A">'Current - Variables'!#REF!</definedName>
    <definedName name="numberOfBackupsPerYearGroup4B">'Current - Variables'!#REF!</definedName>
    <definedName name="numNewServersGroup1">'Proposed - Variables'!#REF!</definedName>
    <definedName name="numNewServersGroup2">'Proposed - Variables'!#REF!</definedName>
    <definedName name="numNewServersGroup3">'Proposed - Variables'!#REF!</definedName>
    <definedName name="numNewServersGroup4">'Proposed - Variables'!#REF!</definedName>
    <definedName name="numServersGroup1">'Current - Variables'!#REF!</definedName>
    <definedName name="numServersGroup1A">'Current - Variables'!#REF!</definedName>
    <definedName name="numServersGroup1B">'Current - Variables'!#REF!</definedName>
    <definedName name="numServersGroup2">'Current - Variables'!#REF!</definedName>
    <definedName name="numServersGroup3">'Current - Variables'!#REF!</definedName>
    <definedName name="numServersGroup3A">'Current - Variables'!#REF!</definedName>
    <definedName name="numServersGroup3B">'Current - Variables'!#REF!</definedName>
    <definedName name="numServersGroup4A">'Current - Variables'!#REF!</definedName>
    <definedName name="numServersGroup4B">'Current - Variables'!#REF!</definedName>
    <definedName name="numVirtualServersGroup1">'Proposed - Variables'!#REF!</definedName>
    <definedName name="numVirtualServersGroup2">'Proposed - Variables'!#REF!</definedName>
    <definedName name="numVirtualServersGroup3">'Proposed - Variables'!#REF!</definedName>
    <definedName name="numVirtualServersGroup4">'Proposed - Variables'!#REF!</definedName>
    <definedName name="numWeeksPhysical">'Proposed - Variables'!$B$42</definedName>
    <definedName name="percentCostVirtual">'Proposed - Variables'!$B$43</definedName>
    <definedName name="powerGroup1">'Proposed - Variables'!$B$27</definedName>
    <definedName name="powerGroup2">'Proposed - Variables'!$B$28</definedName>
    <definedName name="powerGroup3">'Proposed - Variables'!$B$29</definedName>
    <definedName name="powerGroup4">'Proposed - Variables'!$B$30</definedName>
    <definedName name="powerIncreasePerYear">Constants!$B$17</definedName>
    <definedName name="powerRateIncrease">'Current - Variables'!#REF!</definedName>
    <definedName name="ProposedYear1HardCosts">'Virtualized Cost Structure'!$B$20</definedName>
    <definedName name="ProposedYear1SoftCosts">'Virtualized Cost Structure'!$B$41</definedName>
    <definedName name="ProposedYear2HardCosts">'Virtualized Cost Structure'!$C$20</definedName>
    <definedName name="ProposedYear2SoftCosts">'Virtualized Cost Structure'!$C$41</definedName>
    <definedName name="ProposedYear3HardCosts">'Virtualized Cost Structure'!$D$20</definedName>
    <definedName name="ProposedYear3SoftCosts">'Virtualized Cost Structure'!$D$41</definedName>
    <definedName name="ProposedYear4HardCosts">'Virtualized Cost Structure'!$E$20</definedName>
    <definedName name="ProposedYear4SoftCosts">'Virtualized Cost Structure'!$E$41</definedName>
    <definedName name="ProposedYear5HardCosts">'Virtualized Cost Structure'!$F$20</definedName>
    <definedName name="ProposedYear5SoftCosts">'Virtualized Cost Structure'!$F$41</definedName>
    <definedName name="securityAuditing">'Current - Variables'!$B$30</definedName>
    <definedName name="securityFirmMonthlyCharge">'Current - Variables'!#REF!</definedName>
    <definedName name="serverLoadGroup1">'Current - Variables'!#REF!</definedName>
    <definedName name="serverLoadGroup1A">'Current - Variables'!#REF!</definedName>
    <definedName name="serverLoadGroup1B">'Current - Variables'!#REF!</definedName>
    <definedName name="serverLoadGroup2">'Current - Variables'!#REF!</definedName>
    <definedName name="serverLoadGroup3">'Current - Variables'!#REF!</definedName>
    <definedName name="serverLoadGroup3A">'Current - Variables'!#REF!</definedName>
    <definedName name="serverLoadGroup3B">'Current - Variables'!#REF!</definedName>
    <definedName name="serverLoadGroup4A">'Current - Variables'!#REF!</definedName>
    <definedName name="serverLoadGroup4B">'Current - Variables'!#REF!</definedName>
    <definedName name="ServerMaintenanceRateIncrease">Constants!$B$18</definedName>
    <definedName name="serverPowerGroup1">'Current - Variables'!#REF!</definedName>
    <definedName name="serverPowerGroup1A">'Current - Variables'!#REF!</definedName>
    <definedName name="serverPowerGroup1B">'Current - Variables'!#REF!</definedName>
    <definedName name="serverPowerGroup2">'Current - Variables'!#REF!</definedName>
    <definedName name="serverPowerGroup3">'Current - Variables'!#REF!</definedName>
    <definedName name="serverPowerGroup3A">'Current - Variables'!#REF!</definedName>
    <definedName name="serverPowerGroup3B">'Current - Variables'!#REF!</definedName>
    <definedName name="serverPowerGroup4A">'Current - Variables'!#REF!</definedName>
    <definedName name="serverPowerGroup4B">'Current - Variables'!#REF!</definedName>
    <definedName name="Total5YearCurrentHardCosts">'Current Cost Structure'!$G$23</definedName>
    <definedName name="Total5YearCurrentSoftCosts">'Current Cost Structure'!$G$43</definedName>
    <definedName name="Total5YearProposedHardCosts">'Virtualized Cost Structure'!$G$20</definedName>
    <definedName name="Total5YearProposedSoftCosts">'Virtualized Cost Structure'!$G$41</definedName>
    <definedName name="Total5YearSoftCosts">'Current Cost Structure'!$G$43</definedName>
    <definedName name="TotalCurrentCost">'Current Cost Structure'!$G$47</definedName>
    <definedName name="TotalProposedCost">'Virtualized Cost Structure'!$G$45</definedName>
    <definedName name="TrainingCost">'Proposed - Variables'!$B$35</definedName>
    <definedName name="trainingCostPerEmployee">'Proposed - Variables'!#REF!</definedName>
    <definedName name="virtualizationSoftwareCost">'Proposed - Variables'!#REF!</definedName>
    <definedName name="virtualizationSoftwareMaintenanceRate">'Proposed - Variables'!#REF!</definedName>
    <definedName name="VirtualMainCost">'Proposed - Variables'!$B$33</definedName>
    <definedName name="VirtualSoftwareCost">'Proposed - Variables'!$B$32</definedName>
    <definedName name="wattsInAKilowatt">Constants!#REF!</definedName>
    <definedName name="weeksAdministrativeTimeGroup1">'Current - Variables'!#REF!</definedName>
    <definedName name="weeksAdministrativeTimeGroup1A">'Current - Variables'!#REF!</definedName>
    <definedName name="weeksAdministrativeTimeGroup1B">'Current - Variables'!#REF!</definedName>
    <definedName name="weeksAdministrativeTimeGroup2">'Current - Variables'!#REF!</definedName>
    <definedName name="weeksAdministrativeTImeGroup3">'Current - Variables'!#REF!</definedName>
    <definedName name="weeksAdministrativeTimeGroup3A">'Current - Variables'!#REF!</definedName>
    <definedName name="weeksAdministrativeTimeGroup3B">'Current - Variables'!#REF!</definedName>
    <definedName name="weeksAdministrativeTimeGroup4A">'Current - Variables'!#REF!</definedName>
    <definedName name="weeksAdministrativeTimeGroup4B">'Current - Variables'!#REF!</definedName>
    <definedName name="weeksAdminTimeNewServers">'Proposed - Variables'!#REF!</definedName>
    <definedName name="weeksInAYear">Constants!#REF!</definedName>
    <definedName name="year12_archivalBackups">'Current - Variables'!$B$31</definedName>
    <definedName name="year1Group1ServerMaintenance">'Proposed - Variables'!#REF!</definedName>
    <definedName name="year1Group2ServerMaintenance">'Proposed - Variables'!#REF!</definedName>
    <definedName name="year1Group3ServerMaintenance">'Proposed - Variables'!#REF!</definedName>
    <definedName name="year1Group4ServerMaintenance">'Proposed - Variables'!#REF!</definedName>
    <definedName name="year345_archivalBackups">'Current - Variables'!$B$32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3" l="1"/>
  <c r="J19" i="3"/>
  <c r="J22" i="3"/>
  <c r="B5" i="2"/>
  <c r="G5" i="2" s="1"/>
  <c r="B7" i="2"/>
  <c r="G47" i="1"/>
  <c r="B49" i="1" s="1"/>
  <c r="B10" i="3"/>
  <c r="G9" i="3"/>
  <c r="G8" i="3"/>
  <c r="F8" i="3"/>
  <c r="E8" i="3"/>
  <c r="D8" i="3"/>
  <c r="C8" i="3"/>
  <c r="G7" i="3"/>
  <c r="G6" i="3"/>
  <c r="F6" i="3"/>
  <c r="E6" i="3"/>
  <c r="D6" i="3"/>
  <c r="C6" i="3"/>
  <c r="B47" i="1"/>
  <c r="C47" i="1"/>
  <c r="G36" i="2"/>
  <c r="G37" i="2"/>
  <c r="G38" i="2"/>
  <c r="G39" i="2"/>
  <c r="C39" i="2"/>
  <c r="D39" i="2"/>
  <c r="E39" i="2"/>
  <c r="F39" i="2"/>
  <c r="B39" i="2"/>
  <c r="G35" i="2"/>
  <c r="D38" i="2"/>
  <c r="E38" i="2" s="1"/>
  <c r="F38" i="2" s="1"/>
  <c r="D37" i="2"/>
  <c r="E37" i="2" s="1"/>
  <c r="F37" i="2" s="1"/>
  <c r="D36" i="2"/>
  <c r="E36" i="2" s="1"/>
  <c r="F36" i="2" s="1"/>
  <c r="C36" i="2"/>
  <c r="C37" i="2"/>
  <c r="C38" i="2"/>
  <c r="D35" i="2"/>
  <c r="E35" i="2"/>
  <c r="F35" i="2"/>
  <c r="C35" i="2"/>
  <c r="B38" i="2"/>
  <c r="B37" i="2"/>
  <c r="B36" i="2"/>
  <c r="B35" i="2"/>
  <c r="G27" i="2"/>
  <c r="G29" i="2"/>
  <c r="G31" i="2"/>
  <c r="G25" i="2"/>
  <c r="D31" i="2"/>
  <c r="E31" i="2" s="1"/>
  <c r="F31" i="2" s="1"/>
  <c r="D29" i="2"/>
  <c r="E29" i="2" s="1"/>
  <c r="F29" i="2" s="1"/>
  <c r="D27" i="2"/>
  <c r="E27" i="2" s="1"/>
  <c r="F27" i="2" s="1"/>
  <c r="C27" i="2"/>
  <c r="C29" i="2"/>
  <c r="C31" i="2"/>
  <c r="B32" i="2"/>
  <c r="C32" i="2" s="1"/>
  <c r="D32" i="2" s="1"/>
  <c r="E32" i="2" s="1"/>
  <c r="F32" i="2" s="1"/>
  <c r="B31" i="2"/>
  <c r="B30" i="2"/>
  <c r="B29" i="2"/>
  <c r="B28" i="2"/>
  <c r="B27" i="2"/>
  <c r="B26" i="2"/>
  <c r="B33" i="2" s="1"/>
  <c r="B25" i="2"/>
  <c r="C25" i="2" s="1"/>
  <c r="D25" i="2" s="1"/>
  <c r="E25" i="2" s="1"/>
  <c r="F25" i="2" s="1"/>
  <c r="B45" i="1"/>
  <c r="B25" i="1"/>
  <c r="G12" i="2"/>
  <c r="G13" i="2"/>
  <c r="G14" i="2"/>
  <c r="G15" i="2"/>
  <c r="G16" i="2"/>
  <c r="G17" i="2"/>
  <c r="G18" i="2"/>
  <c r="G6" i="2"/>
  <c r="D15" i="2"/>
  <c r="E15" i="2" s="1"/>
  <c r="F15" i="2" s="1"/>
  <c r="D14" i="2"/>
  <c r="E14" i="2" s="1"/>
  <c r="F14" i="2" s="1"/>
  <c r="D13" i="2"/>
  <c r="E13" i="2" s="1"/>
  <c r="F13" i="2" s="1"/>
  <c r="C13" i="2"/>
  <c r="C14" i="2"/>
  <c r="C15" i="2"/>
  <c r="D12" i="2"/>
  <c r="E12" i="2" s="1"/>
  <c r="F12" i="2" s="1"/>
  <c r="C12" i="2"/>
  <c r="B15" i="2"/>
  <c r="B14" i="2"/>
  <c r="B13" i="2"/>
  <c r="B12" i="2"/>
  <c r="B11" i="2"/>
  <c r="B10" i="2"/>
  <c r="C10" i="2" s="1"/>
  <c r="B9" i="2"/>
  <c r="C9" i="2" s="1"/>
  <c r="D9" i="2" s="1"/>
  <c r="E9" i="2" s="1"/>
  <c r="F9" i="2" s="1"/>
  <c r="B8" i="2"/>
  <c r="C7" i="2"/>
  <c r="D7" i="2" s="1"/>
  <c r="E7" i="2" s="1"/>
  <c r="F7" i="2" s="1"/>
  <c r="E16" i="2"/>
  <c r="F16" i="2"/>
  <c r="D16" i="2"/>
  <c r="C16" i="2"/>
  <c r="B16" i="2"/>
  <c r="E18" i="2"/>
  <c r="F18" i="2"/>
  <c r="D18" i="2"/>
  <c r="C18" i="2"/>
  <c r="B18" i="2"/>
  <c r="C17" i="2"/>
  <c r="D17" i="2"/>
  <c r="E17" i="2"/>
  <c r="F17" i="2"/>
  <c r="B17" i="2"/>
  <c r="B6" i="2"/>
  <c r="D43" i="1"/>
  <c r="B32" i="1"/>
  <c r="G32" i="1" s="1"/>
  <c r="B31" i="1"/>
  <c r="B30" i="1"/>
  <c r="B29" i="1"/>
  <c r="B28" i="1"/>
  <c r="E21" i="1"/>
  <c r="F21" i="1"/>
  <c r="D21" i="1"/>
  <c r="D23" i="1" s="1"/>
  <c r="C21" i="1"/>
  <c r="C23" i="1" s="1"/>
  <c r="B21" i="1"/>
  <c r="G37" i="1"/>
  <c r="G38" i="1"/>
  <c r="G39" i="1"/>
  <c r="G40" i="1"/>
  <c r="G41" i="1"/>
  <c r="G36" i="1"/>
  <c r="C41" i="1"/>
  <c r="D41" i="1"/>
  <c r="E41" i="1"/>
  <c r="F41" i="1"/>
  <c r="F37" i="1"/>
  <c r="F38" i="1"/>
  <c r="F39" i="1"/>
  <c r="F40" i="1"/>
  <c r="E37" i="1"/>
  <c r="E38" i="1"/>
  <c r="E39" i="1"/>
  <c r="E40" i="1"/>
  <c r="D37" i="1"/>
  <c r="D38" i="1"/>
  <c r="D39" i="1"/>
  <c r="D40" i="1"/>
  <c r="C37" i="1"/>
  <c r="C38" i="1"/>
  <c r="C39" i="1"/>
  <c r="C40" i="1"/>
  <c r="D36" i="1"/>
  <c r="E36" i="1" s="1"/>
  <c r="F36" i="1" s="1"/>
  <c r="C36" i="1"/>
  <c r="B41" i="1"/>
  <c r="B40" i="1"/>
  <c r="B39" i="1"/>
  <c r="B38" i="1"/>
  <c r="B37" i="1"/>
  <c r="B36" i="1"/>
  <c r="C30" i="1"/>
  <c r="D30" i="1" s="1"/>
  <c r="E30" i="1" s="1"/>
  <c r="F30" i="1" s="1"/>
  <c r="C32" i="1"/>
  <c r="D32" i="1" s="1"/>
  <c r="E32" i="1" s="1"/>
  <c r="F32" i="1" s="1"/>
  <c r="C28" i="1"/>
  <c r="E23" i="1"/>
  <c r="F23" i="1"/>
  <c r="G20" i="1"/>
  <c r="F20" i="1"/>
  <c r="C20" i="1"/>
  <c r="D20" i="1"/>
  <c r="E20" i="1"/>
  <c r="B20" i="1"/>
  <c r="G14" i="1"/>
  <c r="G15" i="1"/>
  <c r="G16" i="1"/>
  <c r="G17" i="1"/>
  <c r="G18" i="1"/>
  <c r="G13" i="1"/>
  <c r="C18" i="1"/>
  <c r="D18" i="1"/>
  <c r="E18" i="1"/>
  <c r="F18" i="1"/>
  <c r="B18" i="1"/>
  <c r="F14" i="1"/>
  <c r="F15" i="1"/>
  <c r="F16" i="1"/>
  <c r="F17" i="1"/>
  <c r="E14" i="1"/>
  <c r="E15" i="1"/>
  <c r="E16" i="1"/>
  <c r="E17" i="1"/>
  <c r="D14" i="1"/>
  <c r="D15" i="1"/>
  <c r="D16" i="1"/>
  <c r="D17" i="1"/>
  <c r="C14" i="1"/>
  <c r="C15" i="1"/>
  <c r="C16" i="1"/>
  <c r="C17" i="1"/>
  <c r="D13" i="1"/>
  <c r="E13" i="1" s="1"/>
  <c r="F13" i="1" s="1"/>
  <c r="C13" i="1"/>
  <c r="B17" i="1" a="1"/>
  <c r="B17" i="1" s="1"/>
  <c r="B16" i="1"/>
  <c r="B15" i="1"/>
  <c r="B14" i="1"/>
  <c r="B13" i="1"/>
  <c r="G6" i="1"/>
  <c r="G11" i="1"/>
  <c r="G10" i="1"/>
  <c r="G9" i="1"/>
  <c r="G8" i="1"/>
  <c r="G7" i="1"/>
  <c r="C11" i="1"/>
  <c r="D11" i="1"/>
  <c r="E11" i="1"/>
  <c r="F11" i="1"/>
  <c r="B11" i="1"/>
  <c r="D10" i="1"/>
  <c r="E10" i="1"/>
  <c r="F10" i="1" s="1"/>
  <c r="D9" i="1"/>
  <c r="E9" i="1"/>
  <c r="F9" i="1" s="1"/>
  <c r="F8" i="1"/>
  <c r="D8" i="1"/>
  <c r="E8" i="1" s="1"/>
  <c r="C9" i="1"/>
  <c r="C10" i="1"/>
  <c r="B10" i="1"/>
  <c r="B9" i="1"/>
  <c r="C8" i="1"/>
  <c r="B8" i="1"/>
  <c r="B7" i="1"/>
  <c r="C7" i="1" s="1"/>
  <c r="D7" i="1" s="1"/>
  <c r="E7" i="1" s="1"/>
  <c r="F7" i="1" s="1"/>
  <c r="B6" i="1"/>
  <c r="C26" i="2" l="1"/>
  <c r="D26" i="2" s="1"/>
  <c r="E26" i="2" s="1"/>
  <c r="G30" i="2"/>
  <c r="C30" i="2"/>
  <c r="D30" i="2" s="1"/>
  <c r="E30" i="2" s="1"/>
  <c r="F30" i="2" s="1"/>
  <c r="B41" i="2"/>
  <c r="G32" i="2"/>
  <c r="C28" i="2"/>
  <c r="D28" i="2" s="1"/>
  <c r="E28" i="2" s="1"/>
  <c r="F28" i="2" s="1"/>
  <c r="G7" i="2"/>
  <c r="C11" i="2"/>
  <c r="D11" i="2" s="1"/>
  <c r="E11" i="2" s="1"/>
  <c r="F11" i="2" s="1"/>
  <c r="D10" i="2"/>
  <c r="E10" i="2" s="1"/>
  <c r="F10" i="2" s="1"/>
  <c r="G9" i="2"/>
  <c r="B20" i="2"/>
  <c r="C8" i="2"/>
  <c r="C31" i="1"/>
  <c r="D31" i="1" s="1"/>
  <c r="E31" i="1" s="1"/>
  <c r="F31" i="1" s="1"/>
  <c r="G30" i="1"/>
  <c r="C29" i="1"/>
  <c r="D29" i="1" s="1"/>
  <c r="E29" i="1" s="1"/>
  <c r="F29" i="1" s="1"/>
  <c r="B33" i="1"/>
  <c r="B43" i="1"/>
  <c r="D28" i="1"/>
  <c r="G21" i="1"/>
  <c r="B23" i="1"/>
  <c r="C6" i="1"/>
  <c r="C33" i="2" l="1"/>
  <c r="C41" i="2" s="1"/>
  <c r="D15" i="3" s="1"/>
  <c r="C15" i="3"/>
  <c r="G28" i="2"/>
  <c r="D33" i="2"/>
  <c r="D41" i="2" s="1"/>
  <c r="E15" i="3" s="1"/>
  <c r="F26" i="2"/>
  <c r="E33" i="2"/>
  <c r="E41" i="2" s="1"/>
  <c r="F15" i="3" s="1"/>
  <c r="B45" i="2"/>
  <c r="C13" i="3"/>
  <c r="G11" i="2"/>
  <c r="G10" i="2"/>
  <c r="D8" i="2"/>
  <c r="C20" i="2"/>
  <c r="G31" i="1"/>
  <c r="C33" i="1"/>
  <c r="C43" i="1" s="1"/>
  <c r="G29" i="1"/>
  <c r="E28" i="1"/>
  <c r="D33" i="1"/>
  <c r="G23" i="1"/>
  <c r="D6" i="1"/>
  <c r="E6" i="1" s="1"/>
  <c r="F6" i="1" s="1"/>
  <c r="F33" i="2" l="1"/>
  <c r="F41" i="2" s="1"/>
  <c r="G15" i="3" s="1"/>
  <c r="G26" i="2"/>
  <c r="C45" i="2"/>
  <c r="D13" i="3"/>
  <c r="E8" i="2"/>
  <c r="D20" i="2"/>
  <c r="E13" i="3" s="1"/>
  <c r="F28" i="1"/>
  <c r="E33" i="1"/>
  <c r="E43" i="1" s="1"/>
  <c r="E47" i="1" s="1"/>
  <c r="G41" i="2" l="1"/>
  <c r="B43" i="2" s="1"/>
  <c r="G33" i="2"/>
  <c r="F8" i="2"/>
  <c r="F20" i="2" s="1"/>
  <c r="E20" i="2"/>
  <c r="D45" i="2"/>
  <c r="D47" i="1"/>
  <c r="F33" i="1"/>
  <c r="G28" i="1"/>
  <c r="G16" i="3" l="1"/>
  <c r="C20" i="3" s="1"/>
  <c r="E45" i="2"/>
  <c r="F13" i="3"/>
  <c r="F45" i="2"/>
  <c r="G13" i="3"/>
  <c r="G8" i="2"/>
  <c r="G20" i="2"/>
  <c r="F43" i="1"/>
  <c r="G33" i="1"/>
  <c r="G45" i="2" l="1"/>
  <c r="B17" i="3" s="1"/>
  <c r="I19" i="3" s="1"/>
  <c r="B22" i="2"/>
  <c r="G14" i="3"/>
  <c r="C19" i="3" s="1"/>
  <c r="F47" i="1"/>
  <c r="G43" i="1"/>
  <c r="B47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<sst xmlns="http://schemas.openxmlformats.org/spreadsheetml/2006/main" count="311" uniqueCount="259">
  <si>
    <t>Category</t>
  </si>
  <si>
    <t>Hard Costs</t>
  </si>
  <si>
    <t>Total Yearly Hard Costs</t>
  </si>
  <si>
    <t>Soft Costs</t>
  </si>
  <si>
    <t>Total Yearly Soft Costs</t>
  </si>
  <si>
    <t>Cost</t>
  </si>
  <si>
    <t>Year 1</t>
  </si>
  <si>
    <t>Year 2</t>
  </si>
  <si>
    <t>Year 3</t>
  </si>
  <si>
    <t>Year 4</t>
  </si>
  <si>
    <t>Year 5</t>
  </si>
  <si>
    <t>Total Five Year Hard Costs =</t>
  </si>
  <si>
    <t>Total Five Year Soft Costs =</t>
  </si>
  <si>
    <t>Machine Purchases</t>
  </si>
  <si>
    <t>Software Purchases</t>
  </si>
  <si>
    <t>Software Maintenance</t>
  </si>
  <si>
    <t>Training</t>
  </si>
  <si>
    <t>Virtualization Project Cost Summary</t>
  </si>
  <si>
    <t>Current Infrastructure Costs</t>
  </si>
  <si>
    <t>Virtualized Infrastructure Costs</t>
  </si>
  <si>
    <t>Total Five Year Hard Costs</t>
  </si>
  <si>
    <t>Total Five Year Soft Costs</t>
  </si>
  <si>
    <t>Net Five Year Hard Cost Savings</t>
  </si>
  <si>
    <t>Net Five Year Soft Cost Savings</t>
  </si>
  <si>
    <t>Net Five Year Overall Cost Savings</t>
  </si>
  <si>
    <t>Value</t>
  </si>
  <si>
    <t>Variable Description</t>
  </si>
  <si>
    <t>Variable Name</t>
  </si>
  <si>
    <t>number of hours in 1 year (24 hrs/day * 365 days/yr)</t>
  </si>
  <si>
    <t>number of hours in 1 administrative day</t>
  </si>
  <si>
    <t>cost per month for security auditing service - outside vendor</t>
  </si>
  <si>
    <t>cost per month for storing archival backups - years 3,4 5 - outside vendor</t>
  </si>
  <si>
    <t>cost per month for storing archival backups - years 1 &amp; 2 - outside vendor</t>
  </si>
  <si>
    <t>cost of 1 kwH or power in year 1</t>
  </si>
  <si>
    <t>assume 2% increase in cost of power/year of study</t>
  </si>
  <si>
    <t>Power - Group 2</t>
  </si>
  <si>
    <t>assume 3% increase in server maintenance cost each year of study</t>
  </si>
  <si>
    <t>Server Maintenance - Group 2</t>
  </si>
  <si>
    <t>Security Auditing Costs</t>
  </si>
  <si>
    <t>Archival/Storage Costs</t>
  </si>
  <si>
    <t>Server Administration - Group 2</t>
  </si>
  <si>
    <t>administrative pay increase amount</t>
  </si>
  <si>
    <t>number of months in a year</t>
  </si>
  <si>
    <t>number of weeks in a year</t>
  </si>
  <si>
    <t>number of hours in 1 administrative week</t>
  </si>
  <si>
    <t>hours per backup of server in Group 2</t>
  </si>
  <si>
    <t>number of backups performed on servers in Group 2 in 1 year</t>
  </si>
  <si>
    <t>first year service maintenance cost for server in group 2</t>
  </si>
  <si>
    <t>number of new physical servers in Group 1</t>
  </si>
  <si>
    <t>number of new physical servers in Group 2</t>
  </si>
  <si>
    <t>cost of a new group 1 server</t>
  </si>
  <si>
    <t>first year service maintenance cost for server in group 1</t>
  </si>
  <si>
    <t>cost of a new group 3 server</t>
  </si>
  <si>
    <t>first year service maintenance cost for server in group 3</t>
  </si>
  <si>
    <t>number of new physical servers in Group 3</t>
  </si>
  <si>
    <t>cost in dollars for virtualization software for 1 server.</t>
  </si>
  <si>
    <t>% of original cost to maintain virtualization software</t>
  </si>
  <si>
    <t>cost per year to train one employee on virtualized system</t>
  </si>
  <si>
    <t>number of employees trained in years 1 and 2 of the study</t>
  </si>
  <si>
    <t>number of employees trained in years 3 through 5 of the study</t>
  </si>
  <si>
    <t>estimated number of weeks/year of administrative time per new physical server</t>
  </si>
  <si>
    <t>Server Administration Group 1 - Physical</t>
  </si>
  <si>
    <t>Server Administration Group 2 - Physical</t>
  </si>
  <si>
    <t>ServerAdministration Group 3 - Physical</t>
  </si>
  <si>
    <t>Server Admin Group 1 - Virtual Systems</t>
  </si>
  <si>
    <t>Server Admin Group 2 - Virtual Systems</t>
  </si>
  <si>
    <t>Server Admin Group 3 - Virtual Systems</t>
  </si>
  <si>
    <t>percentage of regular admin cost associated with a virtual server</t>
  </si>
  <si>
    <t>Group 1 Backup</t>
  </si>
  <si>
    <t>Group 2 Backup</t>
  </si>
  <si>
    <t>Group 3 Backup</t>
  </si>
  <si>
    <t>number of days in 1 year</t>
  </si>
  <si>
    <t>number of watts in one kilowatt</t>
  </si>
  <si>
    <t>average load of the servers in group 2</t>
  </si>
  <si>
    <t>cost of maintenance contract year 1 - servers in group 2</t>
  </si>
  <si>
    <t>hours per backup of physical servers + virtual servers - Group 1</t>
  </si>
  <si>
    <t>hours per backup of physical servers + virtual servers - Group 2</t>
  </si>
  <si>
    <t>hours per backup of physical servers + virtual servers - Group 3</t>
  </si>
  <si>
    <t>number of backup of physical servers + virtual servers per year - Group 1</t>
  </si>
  <si>
    <t>number of backup of physical servers + virtual servers per year - Group 2</t>
  </si>
  <si>
    <t>number of backup of physical servers + virtual servers per year - Group 3</t>
  </si>
  <si>
    <t>number of virtualized servers in Group 1</t>
  </si>
  <si>
    <t>number of virtualized servers in Group 2</t>
  </si>
  <si>
    <t>number of virtualized servers in Group 3</t>
  </si>
  <si>
    <t>power in watts of a server in group 1</t>
  </si>
  <si>
    <t xml:space="preserve">power in watts of a server in group 2 </t>
  </si>
  <si>
    <t>power in watts of a server in group 3</t>
  </si>
  <si>
    <t>Total Power Costs/Year</t>
  </si>
  <si>
    <t>Total Server Maintenance Costs/Year</t>
  </si>
  <si>
    <t>5 Year Totals</t>
  </si>
  <si>
    <t>Total Server Administration Costs/Year</t>
  </si>
  <si>
    <t>Total Server Backup Costs/Year</t>
  </si>
  <si>
    <t>Total Current Cost/Year</t>
  </si>
  <si>
    <t>Total 5 Year Cost</t>
  </si>
  <si>
    <t>Virtualized Infrastructure Yearly Costs - Proposed Project Costs</t>
  </si>
  <si>
    <t>Total Administration Cost/Year</t>
  </si>
  <si>
    <t>Total Backup Cost/Year</t>
  </si>
  <si>
    <t>Total Proposed Project Costs/Year</t>
  </si>
  <si>
    <t>Total 5 Year Proposed Project Cost</t>
  </si>
  <si>
    <t>Total 5 YearCurrent Cost</t>
  </si>
  <si>
    <t>Power - Group 1</t>
  </si>
  <si>
    <t>Power - Group 3</t>
  </si>
  <si>
    <t>Server Maintenance - Group 1</t>
  </si>
  <si>
    <t>Server Maintenance - Group 3</t>
  </si>
  <si>
    <t>Group 3 consists of this many 2800W servers</t>
  </si>
  <si>
    <t>Group 4A consists of this many 3800W servers - backup servers</t>
  </si>
  <si>
    <t>Group 4B consists of this many 2800W servers - backup servers</t>
  </si>
  <si>
    <t>power in watts of the servers in group 3</t>
  </si>
  <si>
    <t>power in watts of the servers in group 1</t>
  </si>
  <si>
    <t>power in watts of the servers in group 2</t>
  </si>
  <si>
    <t>power in watts of the servers in group 4A</t>
  </si>
  <si>
    <t>power in watts of the servers in group 4B</t>
  </si>
  <si>
    <t>average load of the servers in group 1</t>
  </si>
  <si>
    <t>average load of the servers in group 3</t>
  </si>
  <si>
    <t>average load of servers in group 4A</t>
  </si>
  <si>
    <t>average load of servers in group 4B</t>
  </si>
  <si>
    <t>cost of maintenance contract year 1 - servers in group 1</t>
  </si>
  <si>
    <t>cost of maintenance contract year 1 - servers in group 3</t>
  </si>
  <si>
    <t>cost of maintenance contract year 1 - servers in group 4A</t>
  </si>
  <si>
    <t>cost of maintenance contract year 1 - servers in group 4B</t>
  </si>
  <si>
    <t>weeks of administrative time per server Group 1</t>
  </si>
  <si>
    <t>weeks of administrative time per server Group 3</t>
  </si>
  <si>
    <t>weeks of administrative time per server Group 4A</t>
  </si>
  <si>
    <t>weeks of administrative time per server Group 4B</t>
  </si>
  <si>
    <t>hours per backup of server in Group 1</t>
  </si>
  <si>
    <t>hours per backup of server in Group 3</t>
  </si>
  <si>
    <t>hours per backup of server in Group 4A</t>
  </si>
  <si>
    <t>hours per backup of server in Group 4B</t>
  </si>
  <si>
    <t>number of backups performed on servers in Group 1 in 1 year</t>
  </si>
  <si>
    <t>number of backups performed on servers in Group 3 in 1 year</t>
  </si>
  <si>
    <t>number of backups performed on servers in Group 4A in 1 year</t>
  </si>
  <si>
    <t>number of backups performed on servers in Group 4B in 1 year</t>
  </si>
  <si>
    <t>Power - Group 4A</t>
  </si>
  <si>
    <t>Power - Group 4B</t>
  </si>
  <si>
    <t>Server Maintenance - Group 4A</t>
  </si>
  <si>
    <t>Server Maintenance - Group 4B</t>
  </si>
  <si>
    <t>Server Administration - Group 1</t>
  </si>
  <si>
    <t>Server Administration - Group 3</t>
  </si>
  <si>
    <t>Server Administration - Group 4A</t>
  </si>
  <si>
    <t>Server Administration - Group 4B</t>
  </si>
  <si>
    <t>Server Backup - Group 1</t>
  </si>
  <si>
    <t>Server Backup - Group 3</t>
  </si>
  <si>
    <t>Server Backup - Group 4A</t>
  </si>
  <si>
    <t>Server Backup - Group 4B</t>
  </si>
  <si>
    <t>cost of a new group4 server</t>
  </si>
  <si>
    <t>first year service maintenance cost for server in group 4</t>
  </si>
  <si>
    <t>number of virtualized servers in Group 4</t>
  </si>
  <si>
    <t>number of new physical servers in Group 4</t>
  </si>
  <si>
    <t>power in watts of a server in group 4</t>
  </si>
  <si>
    <t>number of backup of physical servers + virtual servers per year - Group 4</t>
  </si>
  <si>
    <t>hours per backup of physical servers + virtual servers - Group 4</t>
  </si>
  <si>
    <t>Server Maintenance - Group 4</t>
  </si>
  <si>
    <t>Server Administration Group 4 - Physical</t>
  </si>
  <si>
    <t>Server Administration Group 4 - Virtual</t>
  </si>
  <si>
    <t>Group 4 Backup</t>
  </si>
  <si>
    <t>Group 2 consists of this many 4200W servers</t>
  </si>
  <si>
    <t>administrative cost for one hour in year 1 of study</t>
  </si>
  <si>
    <t>These are numbers will are constants for both scenarios (current and proposed).  Do not add any values here which vary between the two scenarios</t>
  </si>
  <si>
    <t>administrative pay increase awarded each year</t>
  </si>
  <si>
    <t>Description</t>
  </si>
  <si>
    <t>CONSTANTS WORKSHEET</t>
  </si>
  <si>
    <t>CURRENT SCENARIO VARIABLES WORKSHEET</t>
  </si>
  <si>
    <t>CURRENT SCENARIO WORKSHEET</t>
  </si>
  <si>
    <t>PROPOSED SCENARIO VARIABLES WORKSHEET</t>
  </si>
  <si>
    <t xml:space="preserve">cost of a new group 2 server </t>
  </si>
  <si>
    <t>Group 1 consists of this many 3500W servers</t>
  </si>
  <si>
    <t>group1_no_of_servers</t>
  </si>
  <si>
    <t>group2_no_of_servers</t>
  </si>
  <si>
    <t>group3_no_of_servers</t>
  </si>
  <si>
    <t>group4A_no_of_servers</t>
  </si>
  <si>
    <t>group4B_no_of_servers</t>
  </si>
  <si>
    <t>group1_power</t>
  </si>
  <si>
    <t>group2_power</t>
  </si>
  <si>
    <t>group3_power</t>
  </si>
  <si>
    <t>group4A_power</t>
  </si>
  <si>
    <t>group4B_power</t>
  </si>
  <si>
    <t>group1_avgLoad</t>
  </si>
  <si>
    <t>group2_avgLoad</t>
  </si>
  <si>
    <t>group3_avgLoad</t>
  </si>
  <si>
    <t>group4A_avgLoad</t>
  </si>
  <si>
    <t>group4B_avgLoad</t>
  </si>
  <si>
    <t>group1_maintenance</t>
  </si>
  <si>
    <t>group2_maintenance</t>
  </si>
  <si>
    <t>group3_maintenance</t>
  </si>
  <si>
    <t>group4A_maintenance</t>
  </si>
  <si>
    <t>group1_adminWeeks</t>
  </si>
  <si>
    <t>group2_adminWeeks</t>
  </si>
  <si>
    <t>group3_adminWeeks</t>
  </si>
  <si>
    <t>weeks of administrative time per server Group 2</t>
  </si>
  <si>
    <t>group4A_adminWeeks</t>
  </si>
  <si>
    <t>group4B_adminWeeks</t>
  </si>
  <si>
    <t>group1_hoursPerBackup</t>
  </si>
  <si>
    <t>group2_hoursPerBackup</t>
  </si>
  <si>
    <t>group3_hoursPerBackup</t>
  </si>
  <si>
    <t>group4A_hoursPerBackup</t>
  </si>
  <si>
    <t>group4B_hoursPerBackup</t>
  </si>
  <si>
    <t>group1_no_of_backups</t>
  </si>
  <si>
    <t>group2_no_of_backups</t>
  </si>
  <si>
    <t>group3_no_of_backups</t>
  </si>
  <si>
    <t>group4A_no_of_backups</t>
  </si>
  <si>
    <t>group4B_no_of_backups</t>
  </si>
  <si>
    <t>securityAuditing</t>
  </si>
  <si>
    <t>year12_archivalBackups</t>
  </si>
  <si>
    <t>year345_archivalBackups</t>
  </si>
  <si>
    <t>admin_payIncrease</t>
  </si>
  <si>
    <t>no_of_HoursAdminDay</t>
  </si>
  <si>
    <t>no_of_HoursAdminWeek</t>
  </si>
  <si>
    <t>no_of_MonthsYear</t>
  </si>
  <si>
    <t>no_of_WeeksYear</t>
  </si>
  <si>
    <t>no_of_DaysYear</t>
  </si>
  <si>
    <t>AdminCostPerHour</t>
  </si>
  <si>
    <t>AdminPayIncrease</t>
  </si>
  <si>
    <t>costPerKwH</t>
  </si>
  <si>
    <t>no_of_HoursYear</t>
  </si>
  <si>
    <t>powerIncreasePerYear</t>
  </si>
  <si>
    <t>no_of_WattsPerKilowatt</t>
  </si>
  <si>
    <t>HoursServerDay</t>
  </si>
  <si>
    <t>number of hours in 1 server day</t>
  </si>
  <si>
    <t>group4B_maintenance</t>
  </si>
  <si>
    <t>ServerMaintenanceRateIncrease</t>
  </si>
  <si>
    <t>group1Cost</t>
  </si>
  <si>
    <t>group1Maintenance</t>
  </si>
  <si>
    <t>group2Cost</t>
  </si>
  <si>
    <t>group2Maintenance</t>
  </si>
  <si>
    <t>group4Cost</t>
  </si>
  <si>
    <t>group4Maintenance</t>
  </si>
  <si>
    <t>group3Cost</t>
  </si>
  <si>
    <t>group3Maintenance</t>
  </si>
  <si>
    <t>group1PhysicalServers</t>
  </si>
  <si>
    <t>group1VirtualizedServers</t>
  </si>
  <si>
    <t>group2PhysicalServers</t>
  </si>
  <si>
    <t>group2VirtualizedServers</t>
  </si>
  <si>
    <t>group3PhysicalServers</t>
  </si>
  <si>
    <t>group3VirtualizedServers</t>
  </si>
  <si>
    <t>group4PhysicalServers</t>
  </si>
  <si>
    <t>group4VirtualizedServers</t>
  </si>
  <si>
    <t>powerGroup1</t>
  </si>
  <si>
    <t>powerGroup2</t>
  </si>
  <si>
    <t>powerGroup3</t>
  </si>
  <si>
    <t>powerGroup4</t>
  </si>
  <si>
    <t>VirtualSoftwareCost</t>
  </si>
  <si>
    <t>VirtualMainCost</t>
  </si>
  <si>
    <t>TrainingCost</t>
  </si>
  <si>
    <t>EmployeesTrained12</t>
  </si>
  <si>
    <t>EmployeesTrained345</t>
  </si>
  <si>
    <t>percentCostVirtual</t>
  </si>
  <si>
    <t>group1_numHoursBackup</t>
  </si>
  <si>
    <t>group2_numHoursBackup</t>
  </si>
  <si>
    <t>group3_numHoursBackup</t>
  </si>
  <si>
    <t>group4_numHoursBackup</t>
  </si>
  <si>
    <t>group1_numBackups</t>
  </si>
  <si>
    <t>group2_numBackups</t>
  </si>
  <si>
    <t>group3_numBackups</t>
  </si>
  <si>
    <t>group4_numBackups</t>
  </si>
  <si>
    <t>numWeeksPhysical</t>
  </si>
  <si>
    <t>Power - Group 4</t>
  </si>
  <si>
    <t>Percent of total savings</t>
  </si>
  <si>
    <t>Percent of Hard Costs Savings</t>
  </si>
  <si>
    <t>Percent of Soft Costs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</si>
</sst>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0.0%"/>
    <numFmt numFmtId="165" formatCode="&quot;$&quot;#,##0.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4DD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4" fontId="12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15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3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0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right"/>
    </xf>
    <xf numFmtId="4" fontId="0" fillId="7" borderId="1" xfId="0" applyNumberFormat="1" applyFill="1" applyBorder="1"/>
    <xf numFmtId="4" fontId="0" fillId="0" borderId="0" xfId="0" applyNumberFormat="1"/>
    <xf numFmtId="0" fontId="1" fillId="7" borderId="1" xfId="0" applyFont="1" applyFill="1" applyBorder="1" applyAlignment="1">
      <alignment horizontal="right"/>
    </xf>
    <xf numFmtId="0" fontId="1" fillId="7" borderId="1" xfId="0" applyFont="1" applyFill="1" applyBorder="1"/>
    <xf numFmtId="4" fontId="0" fillId="7" borderId="9" xfId="0" applyNumberFormat="1" applyFill="1" applyBorder="1"/>
    <xf numFmtId="4" fontId="0" fillId="7" borderId="10" xfId="0" applyNumberFormat="1" applyFill="1" applyBorder="1"/>
    <xf numFmtId="0" fontId="1" fillId="8" borderId="1" xfId="0" applyFont="1" applyFill="1" applyBorder="1"/>
    <xf numFmtId="0" fontId="1" fillId="7" borderId="8" xfId="0" applyFont="1" applyFill="1" applyBorder="1" applyAlignment="1">
      <alignment horizontal="right"/>
    </xf>
    <xf numFmtId="0" fontId="4" fillId="5" borderId="12" xfId="0" applyFont="1" applyFill="1" applyBorder="1"/>
    <xf numFmtId="0" fontId="4" fillId="5" borderId="5" xfId="0" applyFont="1" applyFill="1" applyBorder="1"/>
    <xf numFmtId="0" fontId="1" fillId="8" borderId="8" xfId="0" applyFont="1" applyFill="1" applyBorder="1" applyAlignment="1">
      <alignment horizontal="left"/>
    </xf>
    <xf numFmtId="0" fontId="1" fillId="11" borderId="1" xfId="0" applyFont="1" applyFill="1" applyBorder="1"/>
    <xf numFmtId="0" fontId="0" fillId="0" borderId="0" xfId="0" applyBorder="1"/>
    <xf numFmtId="4" fontId="0" fillId="4" borderId="0" xfId="0" applyNumberFormat="1" applyFill="1" applyBorder="1"/>
    <xf numFmtId="0" fontId="0" fillId="7" borderId="1" xfId="0" applyFont="1" applyFill="1" applyBorder="1"/>
    <xf numFmtId="0" fontId="1" fillId="12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4" fillId="11" borderId="1" xfId="0" applyFont="1" applyFill="1" applyBorder="1" applyAlignment="1">
      <alignment horizontal="right"/>
    </xf>
    <xf numFmtId="0" fontId="0" fillId="0" borderId="0" xfId="0" applyFill="1"/>
    <xf numFmtId="4" fontId="0" fillId="0" borderId="13" xfId="0" applyNumberFormat="1" applyFill="1" applyBorder="1" applyAlignment="1">
      <alignment horizontal="right"/>
    </xf>
    <xf numFmtId="0" fontId="0" fillId="8" borderId="1" xfId="0" applyFont="1" applyFill="1" applyBorder="1"/>
    <xf numFmtId="0" fontId="0" fillId="8" borderId="1" xfId="0" applyFill="1" applyBorder="1"/>
    <xf numFmtId="0" fontId="0" fillId="7" borderId="13" xfId="0" applyFill="1" applyBorder="1" applyAlignment="1">
      <alignment horizontal="right"/>
    </xf>
    <xf numFmtId="0" fontId="0" fillId="0" borderId="13" xfId="0" applyFill="1" applyBorder="1"/>
    <xf numFmtId="0" fontId="3" fillId="0" borderId="1" xfId="0" applyFont="1" applyFill="1" applyBorder="1"/>
    <xf numFmtId="0" fontId="3" fillId="3" borderId="1" xfId="0" applyFont="1" applyFill="1" applyBorder="1" applyAlignment="1">
      <alignment horizontal="center"/>
    </xf>
    <xf numFmtId="0" fontId="8" fillId="3" borderId="1" xfId="0" applyFont="1" applyFill="1" applyBorder="1"/>
    <xf numFmtId="0" fontId="11" fillId="15" borderId="1" xfId="0" applyFont="1" applyFill="1" applyBorder="1"/>
    <xf numFmtId="0" fontId="0" fillId="15" borderId="8" xfId="0" applyFill="1" applyBorder="1" applyAlignment="1"/>
    <xf numFmtId="0" fontId="0" fillId="15" borderId="10" xfId="0" applyFill="1" applyBorder="1" applyAlignment="1"/>
    <xf numFmtId="0" fontId="9" fillId="0" borderId="0" xfId="0" applyFont="1"/>
    <xf numFmtId="0" fontId="9" fillId="16" borderId="0" xfId="0" applyFont="1" applyFill="1"/>
    <xf numFmtId="0" fontId="11" fillId="16" borderId="0" xfId="0" applyFont="1" applyFill="1"/>
    <xf numFmtId="0" fontId="10" fillId="16" borderId="0" xfId="0" applyFont="1" applyFill="1"/>
    <xf numFmtId="0" fontId="3" fillId="3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44" fontId="0" fillId="0" borderId="1" xfId="1" applyFont="1" applyBorder="1"/>
    <xf numFmtId="0" fontId="1" fillId="7" borderId="1" xfId="0" applyFont="1" applyFill="1" applyBorder="1" applyAlignment="1">
      <alignment horizontal="center" shrinkToFit="1"/>
    </xf>
    <xf numFmtId="0" fontId="1" fillId="7" borderId="1" xfId="0" applyFont="1" applyFill="1" applyBorder="1" applyAlignment="1">
      <alignment shrinkToFit="1"/>
    </xf>
    <xf numFmtId="0" fontId="4" fillId="5" borderId="1" xfId="0" applyFont="1" applyFill="1" applyBorder="1" applyAlignment="1">
      <alignment shrinkToFit="1"/>
    </xf>
    <xf numFmtId="0" fontId="1" fillId="5" borderId="1" xfId="0" applyFont="1" applyFill="1" applyBorder="1" applyAlignment="1">
      <alignment shrinkToFit="1"/>
    </xf>
    <xf numFmtId="0" fontId="0" fillId="7" borderId="1" xfId="0" applyFill="1" applyBorder="1" applyAlignment="1">
      <alignment horizontal="right" shrinkToFit="1"/>
    </xf>
    <xf numFmtId="4" fontId="0" fillId="9" borderId="1" xfId="0" applyNumberFormat="1" applyFill="1" applyBorder="1" applyAlignment="1">
      <alignment shrinkToFit="1"/>
    </xf>
    <xf numFmtId="0" fontId="1" fillId="8" borderId="1" xfId="0" applyFont="1" applyFill="1" applyBorder="1" applyAlignment="1">
      <alignment horizontal="left" shrinkToFit="1"/>
    </xf>
    <xf numFmtId="0" fontId="0" fillId="7" borderId="1" xfId="0" applyFill="1" applyBorder="1" applyAlignment="1">
      <alignment shrinkToFit="1"/>
    </xf>
    <xf numFmtId="0" fontId="0" fillId="9" borderId="1" xfId="0" applyFill="1" applyBorder="1" applyAlignment="1">
      <alignment shrinkToFit="1"/>
    </xf>
    <xf numFmtId="0" fontId="1" fillId="8" borderId="1" xfId="0" applyFont="1" applyFill="1" applyBorder="1" applyAlignment="1">
      <alignment shrinkToFit="1"/>
    </xf>
    <xf numFmtId="0" fontId="0" fillId="7" borderId="8" xfId="0" applyFill="1" applyBorder="1" applyAlignment="1">
      <alignment horizontal="center" shrinkToFit="1"/>
    </xf>
    <xf numFmtId="0" fontId="0" fillId="7" borderId="9" xfId="0" applyFill="1" applyBorder="1" applyAlignment="1">
      <alignment horizontal="center" shrinkToFit="1"/>
    </xf>
    <xf numFmtId="0" fontId="0" fillId="7" borderId="1" xfId="0" applyFill="1" applyBorder="1" applyAlignment="1">
      <alignment horizontal="center" shrinkToFit="1"/>
    </xf>
    <xf numFmtId="0" fontId="1" fillId="7" borderId="1" xfId="0" applyFont="1" applyFill="1" applyBorder="1" applyAlignment="1">
      <alignment horizontal="right" shrinkToFit="1"/>
    </xf>
    <xf numFmtId="4" fontId="0" fillId="7" borderId="11" xfId="0" applyNumberFormat="1" applyFill="1" applyBorder="1" applyAlignment="1">
      <alignment shrinkToFit="1"/>
    </xf>
    <xf numFmtId="4" fontId="0" fillId="7" borderId="6" xfId="0" applyNumberFormat="1" applyFill="1" applyBorder="1" applyAlignment="1">
      <alignment shrinkToFit="1"/>
    </xf>
    <xf numFmtId="4" fontId="0" fillId="7" borderId="7" xfId="0" applyNumberFormat="1" applyFill="1" applyBorder="1" applyAlignment="1">
      <alignment shrinkToFit="1"/>
    </xf>
    <xf numFmtId="0" fontId="0" fillId="5" borderId="1" xfId="0" applyFill="1" applyBorder="1" applyAlignment="1">
      <alignment shrinkToFit="1"/>
    </xf>
    <xf numFmtId="4" fontId="0" fillId="7" borderId="1" xfId="0" applyNumberFormat="1" applyFill="1" applyBorder="1" applyAlignment="1">
      <alignment shrinkToFit="1"/>
    </xf>
    <xf numFmtId="0" fontId="1" fillId="5" borderId="1" xfId="0" applyFont="1" applyFill="1" applyBorder="1" applyAlignment="1">
      <alignment horizontal="left" shrinkToFit="1"/>
    </xf>
    <xf numFmtId="0" fontId="1" fillId="7" borderId="8" xfId="0" applyFont="1" applyFill="1" applyBorder="1" applyAlignment="1">
      <alignment shrinkToFit="1"/>
    </xf>
    <xf numFmtId="4" fontId="0" fillId="7" borderId="9" xfId="0" applyNumberFormat="1" applyFill="1" applyBorder="1" applyAlignment="1">
      <alignment shrinkToFit="1"/>
    </xf>
    <xf numFmtId="4" fontId="0" fillId="7" borderId="10" xfId="0" applyNumberFormat="1" applyFill="1" applyBorder="1" applyAlignment="1">
      <alignment shrinkToFit="1"/>
    </xf>
    <xf numFmtId="0" fontId="1" fillId="7" borderId="8" xfId="0" applyFont="1" applyFill="1" applyBorder="1" applyAlignment="1">
      <alignment horizontal="right" shrinkToFit="1"/>
    </xf>
    <xf numFmtId="0" fontId="1" fillId="7" borderId="1" xfId="0" applyFont="1" applyFill="1" applyBorder="1" applyAlignment="1">
      <alignment horizontal="left" shrinkToFit="1"/>
    </xf>
    <xf numFmtId="0" fontId="1" fillId="11" borderId="1" xfId="0" applyFont="1" applyFill="1" applyBorder="1" applyAlignment="1">
      <alignment horizontal="right" shrinkToFit="1"/>
    </xf>
    <xf numFmtId="0" fontId="0" fillId="7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4" fontId="0" fillId="7" borderId="1" xfId="1" applyFont="1" applyFill="1" applyBorder="1"/>
    <xf numFmtId="44" fontId="0" fillId="7" borderId="1" xfId="1" applyFont="1" applyFill="1" applyBorder="1" applyAlignment="1">
      <alignment horizontal="right"/>
    </xf>
    <xf numFmtId="44" fontId="0" fillId="8" borderId="1" xfId="1" applyFont="1" applyFill="1" applyBorder="1" applyAlignment="1">
      <alignment horizontal="right"/>
    </xf>
    <xf numFmtId="44" fontId="0" fillId="7" borderId="1" xfId="1" applyFont="1" applyFill="1" applyBorder="1" applyAlignment="1"/>
    <xf numFmtId="44" fontId="0" fillId="9" borderId="1" xfId="1" applyFont="1" applyFill="1" applyBorder="1" applyAlignment="1"/>
    <xf numFmtId="44" fontId="0" fillId="10" borderId="1" xfId="1" applyFont="1" applyFill="1" applyBorder="1" applyAlignment="1"/>
    <xf numFmtId="44" fontId="0" fillId="8" borderId="1" xfId="1" applyFont="1" applyFill="1" applyBorder="1" applyAlignment="1"/>
    <xf numFmtId="44" fontId="0" fillId="11" borderId="1" xfId="1" applyFont="1" applyFill="1" applyBorder="1" applyAlignment="1"/>
    <xf numFmtId="44" fontId="0" fillId="5" borderId="1" xfId="1" applyFont="1" applyFill="1" applyBorder="1" applyAlignment="1"/>
    <xf numFmtId="44" fontId="0" fillId="12" borderId="1" xfId="1" applyFont="1" applyFill="1" applyBorder="1"/>
    <xf numFmtId="44" fontId="0" fillId="6" borderId="1" xfId="1" applyFont="1" applyFill="1" applyBorder="1"/>
    <xf numFmtId="44" fontId="5" fillId="13" borderId="1" xfId="1" applyFont="1" applyFill="1" applyBorder="1"/>
    <xf numFmtId="44" fontId="4" fillId="11" borderId="1" xfId="1" applyFont="1" applyFill="1" applyBorder="1"/>
    <xf numFmtId="0" fontId="0" fillId="7" borderId="8" xfId="0" applyFill="1" applyBorder="1" applyAlignment="1">
      <alignment horizontal="left"/>
    </xf>
    <xf numFmtId="0" fontId="0" fillId="7" borderId="9" xfId="0" applyFill="1" applyBorder="1" applyAlignment="1">
      <alignment horizontal="left"/>
    </xf>
    <xf numFmtId="0" fontId="0" fillId="7" borderId="10" xfId="0" applyFill="1" applyBorder="1" applyAlignment="1">
      <alignment horizontal="left"/>
    </xf>
    <xf numFmtId="0" fontId="11" fillId="7" borderId="8" xfId="0" applyFont="1" applyFill="1" applyBorder="1" applyAlignment="1">
      <alignment horizontal="center"/>
    </xf>
    <xf numFmtId="0" fontId="11" fillId="7" borderId="9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4" fontId="0" fillId="7" borderId="12" xfId="0" applyNumberFormat="1" applyFill="1" applyBorder="1" applyAlignment="1">
      <alignment shrinkToFit="1"/>
    </xf>
    <xf numFmtId="4" fontId="0" fillId="7" borderId="3" xfId="0" applyNumberFormat="1" applyFill="1" applyBorder="1" applyAlignment="1">
      <alignment shrinkToFit="1"/>
    </xf>
    <xf numFmtId="4" fontId="0" fillId="7" borderId="4" xfId="0" applyNumberFormat="1" applyFill="1" applyBorder="1" applyAlignment="1">
      <alignment shrinkToFit="1"/>
    </xf>
    <xf numFmtId="4" fontId="0" fillId="7" borderId="11" xfId="0" applyNumberFormat="1" applyFill="1" applyBorder="1" applyAlignment="1">
      <alignment shrinkToFit="1"/>
    </xf>
    <xf numFmtId="4" fontId="0" fillId="7" borderId="6" xfId="0" applyNumberFormat="1" applyFill="1" applyBorder="1" applyAlignment="1">
      <alignment shrinkToFit="1"/>
    </xf>
    <xf numFmtId="4" fontId="0" fillId="7" borderId="7" xfId="0" applyNumberFormat="1" applyFill="1" applyBorder="1" applyAlignment="1">
      <alignment shrinkToFit="1"/>
    </xf>
    <xf numFmtId="0" fontId="0" fillId="7" borderId="8" xfId="0" applyFill="1" applyBorder="1" applyAlignment="1">
      <alignment horizontal="center" shrinkToFit="1"/>
    </xf>
    <xf numFmtId="0" fontId="0" fillId="7" borderId="9" xfId="0" applyFill="1" applyBorder="1" applyAlignment="1">
      <alignment horizontal="center" shrinkToFit="1"/>
    </xf>
    <xf numFmtId="0" fontId="0" fillId="7" borderId="10" xfId="0" applyFill="1" applyBorder="1" applyAlignment="1">
      <alignment horizontal="center" shrinkToFit="1"/>
    </xf>
    <xf numFmtId="0" fontId="1" fillId="7" borderId="8" xfId="0" applyFont="1" applyFill="1" applyBorder="1" applyAlignment="1">
      <alignment horizontal="center" shrinkToFit="1"/>
    </xf>
    <xf numFmtId="0" fontId="1" fillId="7" borderId="9" xfId="0" applyFont="1" applyFill="1" applyBorder="1" applyAlignment="1">
      <alignment horizontal="center" shrinkToFit="1"/>
    </xf>
    <xf numFmtId="0" fontId="1" fillId="7" borderId="10" xfId="0" applyFont="1" applyFill="1" applyBorder="1" applyAlignment="1">
      <alignment horizontal="center" shrinkToFit="1"/>
    </xf>
    <xf numFmtId="0" fontId="7" fillId="2" borderId="3" xfId="0" applyFont="1" applyFill="1" applyBorder="1" applyAlignment="1">
      <alignment horizontal="left" vertical="top" shrinkToFit="1"/>
    </xf>
    <xf numFmtId="0" fontId="7" fillId="2" borderId="6" xfId="0" applyFont="1" applyFill="1" applyBorder="1" applyAlignment="1">
      <alignment horizontal="left" vertical="top" shrinkToFit="1"/>
    </xf>
    <xf numFmtId="0" fontId="1" fillId="9" borderId="12" xfId="0" applyFont="1" applyFill="1" applyBorder="1" applyAlignment="1">
      <alignment horizontal="center" vertical="center" shrinkToFit="1"/>
    </xf>
    <xf numFmtId="0" fontId="1" fillId="9" borderId="5" xfId="0" applyFont="1" applyFill="1" applyBorder="1" applyAlignment="1">
      <alignment horizontal="center" vertical="center" shrinkToFit="1"/>
    </xf>
    <xf numFmtId="0" fontId="0" fillId="7" borderId="12" xfId="0" applyFill="1" applyBorder="1" applyAlignment="1">
      <alignment horizontal="right" shrinkToFit="1"/>
    </xf>
    <xf numFmtId="0" fontId="0" fillId="7" borderId="3" xfId="0" applyFill="1" applyBorder="1" applyAlignment="1">
      <alignment horizontal="right" shrinkToFit="1"/>
    </xf>
    <xf numFmtId="0" fontId="0" fillId="7" borderId="4" xfId="0" applyFill="1" applyBorder="1" applyAlignment="1">
      <alignment horizontal="right" shrinkToFit="1"/>
    </xf>
    <xf numFmtId="0" fontId="0" fillId="7" borderId="11" xfId="0" applyFill="1" applyBorder="1" applyAlignment="1">
      <alignment horizontal="right" shrinkToFit="1"/>
    </xf>
    <xf numFmtId="0" fontId="0" fillId="7" borderId="6" xfId="0" applyFill="1" applyBorder="1" applyAlignment="1">
      <alignment horizontal="right" shrinkToFit="1"/>
    </xf>
    <xf numFmtId="0" fontId="0" fillId="7" borderId="7" xfId="0" applyFill="1" applyBorder="1" applyAlignment="1">
      <alignment horizontal="right" shrinkToFit="1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" fontId="0" fillId="7" borderId="8" xfId="0" applyNumberFormat="1" applyFill="1" applyBorder="1" applyAlignment="1">
      <alignment horizontal="center"/>
    </xf>
    <xf numFmtId="4" fontId="0" fillId="7" borderId="9" xfId="0" applyNumberFormat="1" applyFill="1" applyBorder="1" applyAlignment="1">
      <alignment horizontal="center"/>
    </xf>
    <xf numFmtId="4" fontId="0" fillId="7" borderId="10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5" fillId="9" borderId="8" xfId="0" applyFont="1" applyFill="1" applyBorder="1" applyAlignment="1">
      <alignment horizontal="right"/>
    </xf>
    <xf numFmtId="0" fontId="5" fillId="9" borderId="10" xfId="0" applyFont="1" applyFill="1" applyBorder="1" applyAlignment="1">
      <alignment horizontal="right"/>
    </xf>
    <xf numFmtId="0" fontId="5" fillId="13" borderId="8" xfId="0" applyFont="1" applyFill="1" applyBorder="1" applyAlignment="1">
      <alignment horizontal="right"/>
    </xf>
    <xf numFmtId="0" fontId="5" fillId="13" borderId="10" xfId="0" applyFont="1" applyFill="1" applyBorder="1" applyAlignment="1">
      <alignment horizontal="right"/>
    </xf>
    <xf numFmtId="0" fontId="7" fillId="14" borderId="8" xfId="0" applyFont="1" applyFill="1" applyBorder="1" applyAlignment="1">
      <alignment horizontal="center"/>
    </xf>
    <xf numFmtId="0" fontId="7" fillId="14" borderId="9" xfId="0" applyFont="1" applyFill="1" applyBorder="1" applyAlignment="1">
      <alignment horizontal="center"/>
    </xf>
    <xf numFmtId="0" fontId="7" fillId="14" borderId="10" xfId="0" applyFont="1" applyFill="1" applyBorder="1" applyAlignment="1">
      <alignment horizontal="center"/>
    </xf>
    <xf numFmtId="4" fontId="0" fillId="7" borderId="8" xfId="0" applyNumberFormat="1" applyFill="1" applyBorder="1" applyAlignment="1">
      <alignment horizontal="right"/>
    </xf>
    <xf numFmtId="4" fontId="0" fillId="7" borderId="9" xfId="0" applyNumberFormat="1" applyFill="1" applyBorder="1" applyAlignment="1">
      <alignment horizontal="right"/>
    </xf>
    <xf numFmtId="4" fontId="0" fillId="7" borderId="10" xfId="0" applyNumberFormat="1" applyFill="1" applyBorder="1" applyAlignment="1">
      <alignment horizontal="right"/>
    </xf>
    <xf numFmtId="164" fontId="0" fillId="0" borderId="0" xfId="2" applyNumberFormat="1" applyFont="1"/>
    <xf numFmtId="164" fontId="0" fillId="0" borderId="0" xfId="0" applyNumberFormat="1"/>
    <xf numFmtId="165" fontId="5" fillId="9" borderId="1" xfId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4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topLeftCell="A3" zoomScaleNormal="100" workbookViewId="0">
      <selection activeCell="C19" sqref="C19"/>
    </sheetView>
  </sheetViews>
  <sheetFormatPr defaultColWidth="8.85546875" defaultRowHeight="15" x14ac:dyDescent="0.25"/>
  <cols>
    <col min="1" max="1" width="12.42578125" customWidth="1"/>
    <col min="2" max="2" width="9" bestFit="1" customWidth="1"/>
    <col min="3" max="3" width="30.42578125" bestFit="1" customWidth="1"/>
    <col min="4" max="4" width="60.85546875" bestFit="1" customWidth="1"/>
  </cols>
  <sheetData>
    <row r="1" spans="1:4" ht="23.25" x14ac:dyDescent="0.35">
      <c r="A1" s="49" t="s">
        <v>160</v>
      </c>
      <c r="B1" s="49"/>
      <c r="C1" s="50"/>
      <c r="D1" s="51"/>
    </row>
    <row r="2" spans="1:4" ht="14.1" customHeight="1" x14ac:dyDescent="0.35">
      <c r="A2" s="104"/>
      <c r="B2" s="105"/>
      <c r="C2" s="105"/>
      <c r="D2" s="106"/>
    </row>
    <row r="3" spans="1:4" x14ac:dyDescent="0.25">
      <c r="A3" s="101" t="s">
        <v>157</v>
      </c>
      <c r="B3" s="102"/>
      <c r="C3" s="102"/>
      <c r="D3" s="103"/>
    </row>
    <row r="4" spans="1:4" x14ac:dyDescent="0.25">
      <c r="A4" s="16"/>
      <c r="B4" s="16"/>
      <c r="C4" s="16"/>
      <c r="D4" s="16"/>
    </row>
    <row r="5" spans="1:4" ht="18.75" x14ac:dyDescent="0.3">
      <c r="A5" s="47"/>
      <c r="B5" s="47" t="s">
        <v>25</v>
      </c>
      <c r="C5" s="47" t="s">
        <v>27</v>
      </c>
      <c r="D5" s="47" t="s">
        <v>159</v>
      </c>
    </row>
    <row r="6" spans="1:4" ht="18.75" x14ac:dyDescent="0.3">
      <c r="A6" s="46"/>
      <c r="B6" s="46"/>
      <c r="C6" s="4"/>
      <c r="D6" s="4"/>
    </row>
    <row r="7" spans="1:4" x14ac:dyDescent="0.25">
      <c r="A7" s="4"/>
      <c r="B7" s="4">
        <v>10</v>
      </c>
      <c r="C7" s="4" t="s">
        <v>205</v>
      </c>
      <c r="D7" s="4" t="s">
        <v>29</v>
      </c>
    </row>
    <row r="8" spans="1:4" x14ac:dyDescent="0.25">
      <c r="A8" s="4"/>
      <c r="B8" s="4">
        <v>70</v>
      </c>
      <c r="C8" s="4" t="s">
        <v>206</v>
      </c>
      <c r="D8" s="4" t="s">
        <v>44</v>
      </c>
    </row>
    <row r="9" spans="1:4" x14ac:dyDescent="0.25">
      <c r="A9" s="4"/>
      <c r="B9" s="4">
        <v>8760</v>
      </c>
      <c r="C9" s="4" t="s">
        <v>213</v>
      </c>
      <c r="D9" s="4" t="s">
        <v>28</v>
      </c>
    </row>
    <row r="10" spans="1:4" x14ac:dyDescent="0.25">
      <c r="A10" s="4"/>
      <c r="B10" s="4">
        <v>12</v>
      </c>
      <c r="C10" s="4" t="s">
        <v>207</v>
      </c>
      <c r="D10" s="4" t="s">
        <v>42</v>
      </c>
    </row>
    <row r="11" spans="1:4" x14ac:dyDescent="0.25">
      <c r="A11" s="4"/>
      <c r="B11" s="4">
        <v>52</v>
      </c>
      <c r="C11" s="4" t="s">
        <v>208</v>
      </c>
      <c r="D11" s="4" t="s">
        <v>43</v>
      </c>
    </row>
    <row r="12" spans="1:4" x14ac:dyDescent="0.25">
      <c r="A12" s="4"/>
      <c r="B12" s="4">
        <v>365</v>
      </c>
      <c r="C12" s="4" t="s">
        <v>209</v>
      </c>
      <c r="D12" s="4" t="s">
        <v>71</v>
      </c>
    </row>
    <row r="13" spans="1:4" x14ac:dyDescent="0.25">
      <c r="A13" s="4"/>
      <c r="B13" s="4">
        <v>1000</v>
      </c>
      <c r="C13" s="4" t="s">
        <v>215</v>
      </c>
      <c r="D13" s="4" t="s">
        <v>72</v>
      </c>
    </row>
    <row r="14" spans="1:4" x14ac:dyDescent="0.25">
      <c r="A14" s="4"/>
      <c r="B14" s="59">
        <v>100</v>
      </c>
      <c r="C14" s="4" t="s">
        <v>210</v>
      </c>
      <c r="D14" s="45" t="s">
        <v>156</v>
      </c>
    </row>
    <row r="15" spans="1:4" x14ac:dyDescent="0.25">
      <c r="A15" s="4"/>
      <c r="B15" s="4">
        <v>1.02</v>
      </c>
      <c r="C15" s="4" t="s">
        <v>211</v>
      </c>
      <c r="D15" s="45" t="s">
        <v>158</v>
      </c>
    </row>
    <row r="16" spans="1:4" x14ac:dyDescent="0.25">
      <c r="A16" s="4"/>
      <c r="B16" s="59">
        <v>0.13</v>
      </c>
      <c r="C16" s="4" t="s">
        <v>212</v>
      </c>
      <c r="D16" s="7" t="s">
        <v>33</v>
      </c>
    </row>
    <row r="17" spans="1:4" x14ac:dyDescent="0.25">
      <c r="A17" s="4"/>
      <c r="B17" s="4">
        <v>1.02</v>
      </c>
      <c r="C17" s="4" t="s">
        <v>214</v>
      </c>
      <c r="D17" s="7" t="s">
        <v>34</v>
      </c>
    </row>
    <row r="18" spans="1:4" x14ac:dyDescent="0.25">
      <c r="A18" s="4"/>
      <c r="B18" s="4">
        <v>1.03</v>
      </c>
      <c r="C18" s="4" t="s">
        <v>219</v>
      </c>
      <c r="D18" s="7" t="s">
        <v>36</v>
      </c>
    </row>
    <row r="19" spans="1:4" x14ac:dyDescent="0.25">
      <c r="A19" s="4"/>
      <c r="B19" s="4">
        <v>24</v>
      </c>
      <c r="C19" s="4" t="s">
        <v>216</v>
      </c>
      <c r="D19" s="4" t="s">
        <v>217</v>
      </c>
    </row>
  </sheetData>
  <mergeCells count="2">
    <mergeCell ref="A3:D3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8"/>
  <sheetViews>
    <sheetView topLeftCell="A29" zoomScale="80" zoomScaleNormal="80" workbookViewId="0">
      <selection activeCell="D43" sqref="D43"/>
    </sheetView>
  </sheetViews>
  <sheetFormatPr defaultColWidth="8.85546875" defaultRowHeight="15" x14ac:dyDescent="0.25"/>
  <cols>
    <col min="1" max="2" width="14.7109375" customWidth="1"/>
    <col min="3" max="3" width="26.28515625" bestFit="1" customWidth="1"/>
    <col min="4" max="4" width="74.140625" bestFit="1" customWidth="1"/>
  </cols>
  <sheetData>
    <row r="1" spans="1:4" s="52" customFormat="1" ht="23.25" x14ac:dyDescent="0.35">
      <c r="A1" s="54" t="s">
        <v>161</v>
      </c>
      <c r="B1" s="55"/>
      <c r="C1" s="55"/>
      <c r="D1" s="53"/>
    </row>
    <row r="2" spans="1:4" ht="18.75" x14ac:dyDescent="0.3">
      <c r="A2" s="107"/>
      <c r="B2" s="107"/>
      <c r="C2" s="108"/>
      <c r="D2" s="108"/>
    </row>
    <row r="3" spans="1:4" ht="18.75" x14ac:dyDescent="0.3">
      <c r="A3" s="3" t="s">
        <v>1</v>
      </c>
      <c r="B3" s="3"/>
      <c r="C3" s="5"/>
      <c r="D3" s="5"/>
    </row>
    <row r="4" spans="1:4" ht="18.75" x14ac:dyDescent="0.3">
      <c r="A4" s="5"/>
      <c r="B4" s="47" t="s">
        <v>25</v>
      </c>
      <c r="C4" s="47" t="s">
        <v>27</v>
      </c>
      <c r="D4" s="47" t="s">
        <v>26</v>
      </c>
    </row>
    <row r="5" spans="1:4" ht="9" customHeight="1" x14ac:dyDescent="0.25">
      <c r="A5" s="6"/>
      <c r="B5" s="6"/>
      <c r="C5" s="7"/>
      <c r="D5" s="7"/>
    </row>
    <row r="6" spans="1:4" x14ac:dyDescent="0.25">
      <c r="A6" s="6"/>
      <c r="B6" s="6">
        <v>2500</v>
      </c>
      <c r="C6" s="7" t="s">
        <v>166</v>
      </c>
      <c r="D6" s="7" t="s">
        <v>165</v>
      </c>
    </row>
    <row r="7" spans="1:4" x14ac:dyDescent="0.25">
      <c r="A7" s="6"/>
      <c r="B7" s="6">
        <v>1000</v>
      </c>
      <c r="C7" s="7" t="s">
        <v>167</v>
      </c>
      <c r="D7" s="7" t="s">
        <v>155</v>
      </c>
    </row>
    <row r="8" spans="1:4" x14ac:dyDescent="0.25">
      <c r="A8" s="6"/>
      <c r="B8" s="6">
        <v>500</v>
      </c>
      <c r="C8" s="7" t="s">
        <v>168</v>
      </c>
      <c r="D8" s="7" t="s">
        <v>104</v>
      </c>
    </row>
    <row r="9" spans="1:4" x14ac:dyDescent="0.25">
      <c r="A9" s="6"/>
      <c r="B9" s="6">
        <v>500</v>
      </c>
      <c r="C9" s="7" t="s">
        <v>169</v>
      </c>
      <c r="D9" s="7" t="s">
        <v>105</v>
      </c>
    </row>
    <row r="10" spans="1:4" x14ac:dyDescent="0.25">
      <c r="A10" s="6"/>
      <c r="B10" s="6">
        <v>500</v>
      </c>
      <c r="C10" s="7" t="s">
        <v>170</v>
      </c>
      <c r="D10" s="7" t="s">
        <v>106</v>
      </c>
    </row>
    <row r="11" spans="1:4" ht="8.25" customHeight="1" x14ac:dyDescent="0.25">
      <c r="A11" s="6"/>
      <c r="B11" s="6"/>
      <c r="C11" s="7"/>
      <c r="D11" s="7"/>
    </row>
    <row r="12" spans="1:4" x14ac:dyDescent="0.25">
      <c r="A12" s="6"/>
      <c r="B12" s="6">
        <v>3500</v>
      </c>
      <c r="C12" s="7" t="s">
        <v>171</v>
      </c>
      <c r="D12" s="7" t="s">
        <v>108</v>
      </c>
    </row>
    <row r="13" spans="1:4" x14ac:dyDescent="0.25">
      <c r="A13" s="6"/>
      <c r="B13" s="6">
        <v>4200</v>
      </c>
      <c r="C13" s="7" t="s">
        <v>172</v>
      </c>
      <c r="D13" s="7" t="s">
        <v>109</v>
      </c>
    </row>
    <row r="14" spans="1:4" x14ac:dyDescent="0.25">
      <c r="A14" s="6"/>
      <c r="B14" s="6">
        <v>2800</v>
      </c>
      <c r="C14" s="7" t="s">
        <v>173</v>
      </c>
      <c r="D14" s="7" t="s">
        <v>107</v>
      </c>
    </row>
    <row r="15" spans="1:4" x14ac:dyDescent="0.25">
      <c r="A15" s="6"/>
      <c r="B15" s="6">
        <v>3800</v>
      </c>
      <c r="C15" s="7" t="s">
        <v>174</v>
      </c>
      <c r="D15" s="7" t="s">
        <v>110</v>
      </c>
    </row>
    <row r="16" spans="1:4" x14ac:dyDescent="0.25">
      <c r="A16" s="6"/>
      <c r="B16" s="6">
        <v>2800</v>
      </c>
      <c r="C16" s="7" t="s">
        <v>175</v>
      </c>
      <c r="D16" s="7" t="s">
        <v>111</v>
      </c>
    </row>
    <row r="17" spans="1:4" ht="9" customHeight="1" x14ac:dyDescent="0.25">
      <c r="A17" s="6"/>
      <c r="B17" s="6"/>
      <c r="C17" s="7"/>
      <c r="D17" s="7"/>
    </row>
    <row r="18" spans="1:4" x14ac:dyDescent="0.25">
      <c r="A18" s="6"/>
      <c r="B18" s="6">
        <v>0.15</v>
      </c>
      <c r="C18" s="7" t="s">
        <v>176</v>
      </c>
      <c r="D18" s="7" t="s">
        <v>112</v>
      </c>
    </row>
    <row r="19" spans="1:4" x14ac:dyDescent="0.25">
      <c r="A19" s="6"/>
      <c r="B19" s="6">
        <v>0.25</v>
      </c>
      <c r="C19" s="7" t="s">
        <v>177</v>
      </c>
      <c r="D19" s="7" t="s">
        <v>73</v>
      </c>
    </row>
    <row r="20" spans="1:4" x14ac:dyDescent="0.25">
      <c r="A20" s="6"/>
      <c r="B20" s="58">
        <v>0.1</v>
      </c>
      <c r="C20" s="7" t="s">
        <v>178</v>
      </c>
      <c r="D20" s="7" t="s">
        <v>113</v>
      </c>
    </row>
    <row r="21" spans="1:4" x14ac:dyDescent="0.25">
      <c r="A21" s="6"/>
      <c r="B21" s="6">
        <v>0.01</v>
      </c>
      <c r="C21" s="7" t="s">
        <v>179</v>
      </c>
      <c r="D21" s="7" t="s">
        <v>114</v>
      </c>
    </row>
    <row r="22" spans="1:4" x14ac:dyDescent="0.25">
      <c r="A22" s="6"/>
      <c r="B22" s="6">
        <v>0.01</v>
      </c>
      <c r="C22" s="7" t="s">
        <v>180</v>
      </c>
      <c r="D22" s="7" t="s">
        <v>115</v>
      </c>
    </row>
    <row r="23" spans="1:4" ht="9.75" customHeight="1" x14ac:dyDescent="0.25">
      <c r="A23" s="6"/>
      <c r="B23" s="6"/>
      <c r="C23" s="7"/>
      <c r="D23" s="7"/>
    </row>
    <row r="24" spans="1:4" x14ac:dyDescent="0.25">
      <c r="A24" s="6"/>
      <c r="B24" s="57">
        <v>1500</v>
      </c>
      <c r="C24" s="7" t="s">
        <v>181</v>
      </c>
      <c r="D24" s="7" t="s">
        <v>116</v>
      </c>
    </row>
    <row r="25" spans="1:4" x14ac:dyDescent="0.25">
      <c r="A25" s="6"/>
      <c r="B25" s="57">
        <v>1750</v>
      </c>
      <c r="C25" s="7" t="s">
        <v>182</v>
      </c>
      <c r="D25" s="7" t="s">
        <v>74</v>
      </c>
    </row>
    <row r="26" spans="1:4" x14ac:dyDescent="0.25">
      <c r="A26" s="6"/>
      <c r="B26" s="57">
        <v>1200</v>
      </c>
      <c r="C26" s="7" t="s">
        <v>183</v>
      </c>
      <c r="D26" s="7" t="s">
        <v>117</v>
      </c>
    </row>
    <row r="27" spans="1:4" x14ac:dyDescent="0.25">
      <c r="A27" s="6"/>
      <c r="B27" s="57">
        <v>1250</v>
      </c>
      <c r="C27" s="7" t="s">
        <v>184</v>
      </c>
      <c r="D27" s="7" t="s">
        <v>118</v>
      </c>
    </row>
    <row r="28" spans="1:4" x14ac:dyDescent="0.25">
      <c r="A28" s="6"/>
      <c r="B28" s="57">
        <v>950</v>
      </c>
      <c r="C28" s="7" t="s">
        <v>218</v>
      </c>
      <c r="D28" s="7" t="s">
        <v>119</v>
      </c>
    </row>
    <row r="29" spans="1:4" ht="9.75" customHeight="1" x14ac:dyDescent="0.25">
      <c r="A29" s="6"/>
      <c r="B29" s="6"/>
      <c r="C29" s="7"/>
      <c r="D29" s="7"/>
    </row>
    <row r="30" spans="1:4" x14ac:dyDescent="0.25">
      <c r="A30" s="6"/>
      <c r="B30" s="57">
        <v>5500</v>
      </c>
      <c r="C30" s="7" t="s">
        <v>201</v>
      </c>
      <c r="D30" s="7" t="s">
        <v>30</v>
      </c>
    </row>
    <row r="31" spans="1:4" x14ac:dyDescent="0.25">
      <c r="A31" s="6"/>
      <c r="B31" s="57">
        <v>7500</v>
      </c>
      <c r="C31" s="7" t="s">
        <v>202</v>
      </c>
      <c r="D31" s="7" t="s">
        <v>32</v>
      </c>
    </row>
    <row r="32" spans="1:4" x14ac:dyDescent="0.25">
      <c r="A32" s="6"/>
      <c r="B32" s="57">
        <v>10000</v>
      </c>
      <c r="C32" s="7" t="s">
        <v>203</v>
      </c>
      <c r="D32" s="7" t="s">
        <v>31</v>
      </c>
    </row>
    <row r="33" spans="1:4" ht="10.5" customHeight="1" x14ac:dyDescent="0.25">
      <c r="A33" s="4"/>
      <c r="B33" s="4"/>
      <c r="C33" s="7"/>
      <c r="D33" s="7"/>
    </row>
    <row r="34" spans="1:4" ht="10.5" customHeight="1" x14ac:dyDescent="0.25">
      <c r="A34" s="4"/>
      <c r="B34" s="4"/>
      <c r="C34" s="7"/>
      <c r="D34" s="7"/>
    </row>
    <row r="35" spans="1:4" ht="18.75" x14ac:dyDescent="0.3">
      <c r="A35" s="48" t="s">
        <v>3</v>
      </c>
      <c r="B35" s="5"/>
      <c r="C35" s="5"/>
      <c r="D35" s="5"/>
    </row>
    <row r="36" spans="1:4" ht="18.75" x14ac:dyDescent="0.3">
      <c r="A36" s="48"/>
      <c r="B36" s="47" t="s">
        <v>25</v>
      </c>
      <c r="C36" s="47" t="s">
        <v>27</v>
      </c>
      <c r="D36" s="47" t="s">
        <v>26</v>
      </c>
    </row>
    <row r="37" spans="1:4" x14ac:dyDescent="0.25">
      <c r="A37" s="4"/>
      <c r="B37" s="4">
        <v>1.02</v>
      </c>
      <c r="C37" s="4" t="s">
        <v>204</v>
      </c>
      <c r="D37" s="4" t="s">
        <v>41</v>
      </c>
    </row>
    <row r="38" spans="1:4" x14ac:dyDescent="0.25">
      <c r="A38" s="4"/>
      <c r="B38" s="4">
        <v>3</v>
      </c>
      <c r="C38" s="4" t="s">
        <v>185</v>
      </c>
      <c r="D38" s="4" t="s">
        <v>120</v>
      </c>
    </row>
    <row r="39" spans="1:4" x14ac:dyDescent="0.25">
      <c r="A39" s="4"/>
      <c r="B39" s="4">
        <v>3.5</v>
      </c>
      <c r="C39" s="4" t="s">
        <v>186</v>
      </c>
      <c r="D39" s="4" t="s">
        <v>188</v>
      </c>
    </row>
    <row r="40" spans="1:4" x14ac:dyDescent="0.25">
      <c r="A40" s="4"/>
      <c r="B40" s="4">
        <v>2</v>
      </c>
      <c r="C40" s="4" t="s">
        <v>187</v>
      </c>
      <c r="D40" s="4" t="s">
        <v>121</v>
      </c>
    </row>
    <row r="41" spans="1:4" x14ac:dyDescent="0.25">
      <c r="A41" s="4"/>
      <c r="B41" s="4">
        <v>2.5</v>
      </c>
      <c r="C41" s="4" t="s">
        <v>189</v>
      </c>
      <c r="D41" s="4" t="s">
        <v>122</v>
      </c>
    </row>
    <row r="42" spans="1:4" x14ac:dyDescent="0.25">
      <c r="A42" s="4"/>
      <c r="B42" s="4">
        <v>1</v>
      </c>
      <c r="C42" s="4" t="s">
        <v>190</v>
      </c>
      <c r="D42" s="4" t="s">
        <v>123</v>
      </c>
    </row>
    <row r="43" spans="1:4" x14ac:dyDescent="0.25">
      <c r="A43" s="4"/>
      <c r="B43" s="4"/>
      <c r="C43" s="4"/>
      <c r="D43" s="4"/>
    </row>
    <row r="44" spans="1:4" x14ac:dyDescent="0.25">
      <c r="A44" s="4"/>
      <c r="B44" s="4">
        <v>0.75</v>
      </c>
      <c r="C44" s="4" t="s">
        <v>191</v>
      </c>
      <c r="D44" s="4" t="s">
        <v>124</v>
      </c>
    </row>
    <row r="45" spans="1:4" x14ac:dyDescent="0.25">
      <c r="A45" s="4"/>
      <c r="B45" s="4">
        <v>1</v>
      </c>
      <c r="C45" s="4" t="s">
        <v>192</v>
      </c>
      <c r="D45" s="4" t="s">
        <v>45</v>
      </c>
    </row>
    <row r="46" spans="1:4" x14ac:dyDescent="0.25">
      <c r="A46" s="4"/>
      <c r="B46" s="4">
        <v>1.25</v>
      </c>
      <c r="C46" s="4" t="s">
        <v>193</v>
      </c>
      <c r="D46" s="4" t="s">
        <v>125</v>
      </c>
    </row>
    <row r="47" spans="1:4" x14ac:dyDescent="0.25">
      <c r="A47" s="4"/>
      <c r="B47" s="4">
        <v>1.5</v>
      </c>
      <c r="C47" s="4" t="s">
        <v>194</v>
      </c>
      <c r="D47" s="4" t="s">
        <v>126</v>
      </c>
    </row>
    <row r="48" spans="1:4" x14ac:dyDescent="0.25">
      <c r="A48" s="4"/>
      <c r="B48" s="4">
        <v>2</v>
      </c>
      <c r="C48" s="4" t="s">
        <v>195</v>
      </c>
      <c r="D48" s="4" t="s">
        <v>127</v>
      </c>
    </row>
    <row r="49" spans="1:4" x14ac:dyDescent="0.25">
      <c r="A49" s="4"/>
      <c r="B49" s="4"/>
      <c r="C49" s="4"/>
      <c r="D49" s="4"/>
    </row>
    <row r="50" spans="1:4" x14ac:dyDescent="0.25">
      <c r="A50" s="4"/>
      <c r="B50" s="4">
        <v>365</v>
      </c>
      <c r="C50" s="4" t="s">
        <v>196</v>
      </c>
      <c r="D50" s="4" t="s">
        <v>128</v>
      </c>
    </row>
    <row r="51" spans="1:4" x14ac:dyDescent="0.25">
      <c r="A51" s="4"/>
      <c r="B51" s="4">
        <v>365</v>
      </c>
      <c r="C51" s="4" t="s">
        <v>197</v>
      </c>
      <c r="D51" s="4" t="s">
        <v>46</v>
      </c>
    </row>
    <row r="52" spans="1:4" x14ac:dyDescent="0.25">
      <c r="A52" s="4"/>
      <c r="B52" s="4">
        <v>52</v>
      </c>
      <c r="C52" s="4" t="s">
        <v>198</v>
      </c>
      <c r="D52" s="4" t="s">
        <v>129</v>
      </c>
    </row>
    <row r="53" spans="1:4" x14ac:dyDescent="0.25">
      <c r="A53" s="4"/>
      <c r="B53" s="4">
        <v>52</v>
      </c>
      <c r="C53" s="4" t="s">
        <v>199</v>
      </c>
      <c r="D53" s="4" t="s">
        <v>130</v>
      </c>
    </row>
    <row r="54" spans="1:4" x14ac:dyDescent="0.25">
      <c r="A54" s="4"/>
      <c r="B54" s="4">
        <v>27</v>
      </c>
      <c r="C54" s="4" t="s">
        <v>200</v>
      </c>
      <c r="D54" s="4" t="s">
        <v>131</v>
      </c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</sheetData>
  <mergeCells count="1">
    <mergeCell ref="A2:D2"/>
  </mergeCells>
  <printOptions gridLines="1"/>
  <pageMargins left="0.35" right="0.27" top="0.75" bottom="0.75" header="0.4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9"/>
  <sheetViews>
    <sheetView topLeftCell="A21" zoomScale="80" zoomScaleNormal="80" workbookViewId="0">
      <selection activeCell="B13" sqref="B13"/>
    </sheetView>
  </sheetViews>
  <sheetFormatPr defaultColWidth="8.85546875" defaultRowHeight="15" x14ac:dyDescent="0.25"/>
  <cols>
    <col min="1" max="1" width="36.5703125" bestFit="1" customWidth="1"/>
    <col min="2" max="2" width="19.140625" bestFit="1" customWidth="1"/>
    <col min="3" max="6" width="17.28515625" bestFit="1" customWidth="1"/>
    <col min="7" max="7" width="19.140625" bestFit="1" customWidth="1"/>
    <col min="8" max="9" width="13.85546875" bestFit="1" customWidth="1"/>
  </cols>
  <sheetData>
    <row r="1" spans="1:8" ht="21" customHeight="1" x14ac:dyDescent="0.25">
      <c r="A1" s="121" t="s">
        <v>162</v>
      </c>
      <c r="B1" s="121"/>
      <c r="C1" s="121"/>
      <c r="D1" s="121"/>
      <c r="E1" s="121"/>
      <c r="F1" s="121"/>
      <c r="G1" s="121"/>
    </row>
    <row r="2" spans="1:8" ht="21" customHeight="1" x14ac:dyDescent="0.25">
      <c r="A2" s="122"/>
      <c r="B2" s="122"/>
      <c r="C2" s="122"/>
      <c r="D2" s="122"/>
      <c r="E2" s="122"/>
      <c r="F2" s="122"/>
      <c r="G2" s="122"/>
    </row>
    <row r="3" spans="1:8" x14ac:dyDescent="0.25">
      <c r="A3" s="60" t="s">
        <v>0</v>
      </c>
      <c r="B3" s="118" t="s">
        <v>5</v>
      </c>
      <c r="C3" s="119"/>
      <c r="D3" s="119"/>
      <c r="E3" s="119"/>
      <c r="F3" s="120"/>
      <c r="G3" s="123" t="s">
        <v>89</v>
      </c>
    </row>
    <row r="4" spans="1:8" x14ac:dyDescent="0.25">
      <c r="A4" s="61"/>
      <c r="B4" s="60" t="s">
        <v>6</v>
      </c>
      <c r="C4" s="60" t="s">
        <v>7</v>
      </c>
      <c r="D4" s="60" t="s">
        <v>8</v>
      </c>
      <c r="E4" s="60" t="s">
        <v>9</v>
      </c>
      <c r="F4" s="60" t="s">
        <v>10</v>
      </c>
      <c r="G4" s="124"/>
    </row>
    <row r="5" spans="1:8" ht="18.75" x14ac:dyDescent="0.3">
      <c r="A5" s="62" t="s">
        <v>1</v>
      </c>
      <c r="B5" s="63"/>
      <c r="C5" s="63"/>
      <c r="D5" s="63"/>
      <c r="E5" s="63"/>
      <c r="F5" s="63"/>
      <c r="G5" s="63"/>
    </row>
    <row r="6" spans="1:8" x14ac:dyDescent="0.25">
      <c r="A6" s="64" t="s">
        <v>100</v>
      </c>
      <c r="B6" s="89">
        <f>(group1_power*group1_avgLoad/no_of_WattsPerKilowatt*HoursServerDay*group1_no_of_servers*costPerKwH*no_of_DaysYear)</f>
        <v>1494675.0000000002</v>
      </c>
      <c r="C6" s="89">
        <f t="shared" ref="C6:F10" si="0">B6*powerIncreasePerYear</f>
        <v>1524568.5000000002</v>
      </c>
      <c r="D6" s="89">
        <f t="shared" si="0"/>
        <v>1555059.8700000003</v>
      </c>
      <c r="E6" s="89">
        <f t="shared" si="0"/>
        <v>1586161.0674000003</v>
      </c>
      <c r="F6" s="89">
        <f t="shared" si="0"/>
        <v>1617884.2887480003</v>
      </c>
      <c r="G6" s="92">
        <f t="shared" ref="G6:G11" si="1">SUM(B6:F6)</f>
        <v>7778348.7261480018</v>
      </c>
      <c r="H6" s="22"/>
    </row>
    <row r="7" spans="1:8" x14ac:dyDescent="0.25">
      <c r="A7" s="64" t="s">
        <v>35</v>
      </c>
      <c r="B7" s="89">
        <f>(group2_power*group2_avgLoad/no_of_WattsPerKilowatt*HoursServerDay*group2_no_of_servers*costPerKwH*no_of_DaysYear)</f>
        <v>1195740.0000000002</v>
      </c>
      <c r="C7" s="89">
        <f t="shared" si="0"/>
        <v>1219654.8000000003</v>
      </c>
      <c r="D7" s="89">
        <f t="shared" si="0"/>
        <v>1244047.8960000004</v>
      </c>
      <c r="E7" s="89">
        <f t="shared" si="0"/>
        <v>1268928.8539200004</v>
      </c>
      <c r="F7" s="89">
        <f t="shared" si="0"/>
        <v>1294307.4309984003</v>
      </c>
      <c r="G7" s="92">
        <f t="shared" si="1"/>
        <v>6222678.9809184019</v>
      </c>
    </row>
    <row r="8" spans="1:8" x14ac:dyDescent="0.25">
      <c r="A8" s="64" t="s">
        <v>101</v>
      </c>
      <c r="B8" s="89">
        <f>(group3_power*group3_avgLoad/no_of_WattsPerKilowatt*HoursServerDay*group3_no_of_servers*costPerKwH*no_of_DaysYear)</f>
        <v>159432.00000000003</v>
      </c>
      <c r="C8" s="89">
        <f t="shared" si="0"/>
        <v>162620.64000000004</v>
      </c>
      <c r="D8" s="89">
        <f t="shared" si="0"/>
        <v>165873.05280000003</v>
      </c>
      <c r="E8" s="89">
        <f t="shared" si="0"/>
        <v>169190.51385600003</v>
      </c>
      <c r="F8" s="89">
        <f t="shared" si="0"/>
        <v>172574.32413312004</v>
      </c>
      <c r="G8" s="92">
        <f t="shared" si="1"/>
        <v>829690.53078912012</v>
      </c>
    </row>
    <row r="9" spans="1:8" x14ac:dyDescent="0.25">
      <c r="A9" s="64" t="s">
        <v>132</v>
      </c>
      <c r="B9" s="89">
        <f>(group4A_power*group4A_avgLoad/no_of_WattsPerKilowatt*HoursServerDay*group4A_no_of_servers*costPerKwH*no_of_DaysYear)</f>
        <v>21637.199999999997</v>
      </c>
      <c r="C9" s="89">
        <f t="shared" si="0"/>
        <v>22069.943999999996</v>
      </c>
      <c r="D9" s="89">
        <f t="shared" si="0"/>
        <v>22511.342879999997</v>
      </c>
      <c r="E9" s="89">
        <f t="shared" si="0"/>
        <v>22961.569737599995</v>
      </c>
      <c r="F9" s="89">
        <f t="shared" si="0"/>
        <v>23420.801132351997</v>
      </c>
      <c r="G9" s="92">
        <f t="shared" si="1"/>
        <v>112600.85774995197</v>
      </c>
      <c r="H9" s="40"/>
    </row>
    <row r="10" spans="1:8" x14ac:dyDescent="0.25">
      <c r="A10" s="64" t="s">
        <v>133</v>
      </c>
      <c r="B10" s="89">
        <f>(group4B_power*group4B_avgLoad/no_of_WattsPerKilowatt*HoursServerDay*group4B_no_of_servers*costPerKwH*no_of_DaysYear)</f>
        <v>15943.2</v>
      </c>
      <c r="C10" s="89">
        <f t="shared" si="0"/>
        <v>16262.064</v>
      </c>
      <c r="D10" s="89">
        <f t="shared" si="0"/>
        <v>16587.30528</v>
      </c>
      <c r="E10" s="89">
        <f t="shared" si="0"/>
        <v>16919.0513856</v>
      </c>
      <c r="F10" s="89">
        <f t="shared" si="0"/>
        <v>17257.432413311999</v>
      </c>
      <c r="G10" s="92">
        <f t="shared" si="1"/>
        <v>82969.053078911995</v>
      </c>
      <c r="H10" s="40"/>
    </row>
    <row r="11" spans="1:8" x14ac:dyDescent="0.25">
      <c r="A11" s="66" t="s">
        <v>87</v>
      </c>
      <c r="B11" s="90">
        <f>SUM(B6:B10)</f>
        <v>2887427.4000000008</v>
      </c>
      <c r="C11" s="90">
        <f t="shared" ref="C11:F11" si="2">SUM(C6:C10)</f>
        <v>2945175.9480000008</v>
      </c>
      <c r="D11" s="90">
        <f t="shared" si="2"/>
        <v>3004079.4669600008</v>
      </c>
      <c r="E11" s="90">
        <f t="shared" si="2"/>
        <v>3064161.0562992012</v>
      </c>
      <c r="F11" s="90">
        <f t="shared" si="2"/>
        <v>3125444.2774251848</v>
      </c>
      <c r="G11" s="92">
        <f t="shared" si="1"/>
        <v>15026288.14868439</v>
      </c>
      <c r="H11" s="41"/>
    </row>
    <row r="12" spans="1:8" ht="14.25" customHeight="1" x14ac:dyDescent="0.25">
      <c r="A12" s="115"/>
      <c r="B12" s="116"/>
      <c r="C12" s="116"/>
      <c r="D12" s="116"/>
      <c r="E12" s="116"/>
      <c r="F12" s="117"/>
      <c r="G12" s="67"/>
      <c r="H12" s="40"/>
    </row>
    <row r="13" spans="1:8" x14ac:dyDescent="0.25">
      <c r="A13" s="64" t="s">
        <v>102</v>
      </c>
      <c r="B13" s="89">
        <f>(group1_maintenance*group1_no_of_servers)</f>
        <v>3750000</v>
      </c>
      <c r="C13" s="89">
        <f t="shared" ref="C13:F17" si="3">B13*ServerMaintenanceRateIncrease</f>
        <v>3862500</v>
      </c>
      <c r="D13" s="89">
        <f t="shared" si="3"/>
        <v>3978375</v>
      </c>
      <c r="E13" s="89">
        <f t="shared" si="3"/>
        <v>4097726.25</v>
      </c>
      <c r="F13" s="89">
        <f t="shared" si="3"/>
        <v>4220658.0375000006</v>
      </c>
      <c r="G13" s="92">
        <f>SUM(B13:F13)</f>
        <v>19909259.287500001</v>
      </c>
      <c r="H13" s="40"/>
    </row>
    <row r="14" spans="1:8" x14ac:dyDescent="0.25">
      <c r="A14" s="64" t="s">
        <v>37</v>
      </c>
      <c r="B14" s="89">
        <f>(group2_maintenance*group2_no_of_servers)</f>
        <v>1750000</v>
      </c>
      <c r="C14" s="89">
        <f t="shared" si="3"/>
        <v>1802500</v>
      </c>
      <c r="D14" s="89">
        <f t="shared" si="3"/>
        <v>1856575</v>
      </c>
      <c r="E14" s="89">
        <f t="shared" si="3"/>
        <v>1912272.25</v>
      </c>
      <c r="F14" s="89">
        <f t="shared" si="3"/>
        <v>1969640.4175</v>
      </c>
      <c r="G14" s="92">
        <f t="shared" ref="G14:G18" si="4">SUM(B14:F14)</f>
        <v>9290987.6675000004</v>
      </c>
      <c r="H14" s="22"/>
    </row>
    <row r="15" spans="1:8" x14ac:dyDescent="0.25">
      <c r="A15" s="64" t="s">
        <v>103</v>
      </c>
      <c r="B15" s="89">
        <f>(group3_maintenance*group3_no_of_servers)</f>
        <v>600000</v>
      </c>
      <c r="C15" s="89">
        <f t="shared" si="3"/>
        <v>618000</v>
      </c>
      <c r="D15" s="89">
        <f t="shared" si="3"/>
        <v>636540</v>
      </c>
      <c r="E15" s="89">
        <f t="shared" si="3"/>
        <v>655636.20000000007</v>
      </c>
      <c r="F15" s="89">
        <f t="shared" si="3"/>
        <v>675305.28600000008</v>
      </c>
      <c r="G15" s="92">
        <f t="shared" si="4"/>
        <v>3185481.4860000005</v>
      </c>
    </row>
    <row r="16" spans="1:8" x14ac:dyDescent="0.25">
      <c r="A16" s="64" t="s">
        <v>134</v>
      </c>
      <c r="B16" s="89">
        <f>(group4A_maintenance*group4A_no_of_servers)</f>
        <v>625000</v>
      </c>
      <c r="C16" s="89">
        <f t="shared" si="3"/>
        <v>643750</v>
      </c>
      <c r="D16" s="89">
        <f t="shared" si="3"/>
        <v>663062.5</v>
      </c>
      <c r="E16" s="89">
        <f t="shared" si="3"/>
        <v>682954.375</v>
      </c>
      <c r="F16" s="89">
        <f t="shared" si="3"/>
        <v>703443.00624999998</v>
      </c>
      <c r="G16" s="92">
        <f t="shared" si="4"/>
        <v>3318209.8812500001</v>
      </c>
    </row>
    <row r="17" spans="1:9" x14ac:dyDescent="0.25">
      <c r="A17" s="64" t="s">
        <v>135</v>
      </c>
      <c r="B17" s="89" cm="1">
        <f t="array" ref="B17">(group4B_maintenance*group4B_no_of_servers)</f>
        <v>475000</v>
      </c>
      <c r="C17" s="89">
        <f t="shared" si="3"/>
        <v>489250</v>
      </c>
      <c r="D17" s="89">
        <f t="shared" si="3"/>
        <v>503927.5</v>
      </c>
      <c r="E17" s="89">
        <f t="shared" si="3"/>
        <v>519045.32500000001</v>
      </c>
      <c r="F17" s="89">
        <f t="shared" si="3"/>
        <v>534616.68475000001</v>
      </c>
      <c r="G17" s="92">
        <f t="shared" si="4"/>
        <v>2521839.5097500002</v>
      </c>
    </row>
    <row r="18" spans="1:9" x14ac:dyDescent="0.25">
      <c r="A18" s="66" t="s">
        <v>88</v>
      </c>
      <c r="B18" s="90">
        <f>SUM(B13:B17)</f>
        <v>7200000</v>
      </c>
      <c r="C18" s="90">
        <f t="shared" ref="C18:F18" si="5">SUM(C13:C17)</f>
        <v>7416000</v>
      </c>
      <c r="D18" s="90">
        <f t="shared" si="5"/>
        <v>7638480</v>
      </c>
      <c r="E18" s="90">
        <f t="shared" si="5"/>
        <v>7867634.4000000004</v>
      </c>
      <c r="F18" s="90">
        <f t="shared" si="5"/>
        <v>8103663.432</v>
      </c>
      <c r="G18" s="92">
        <f t="shared" si="4"/>
        <v>38225777.832000002</v>
      </c>
    </row>
    <row r="19" spans="1:9" ht="15.75" customHeight="1" x14ac:dyDescent="0.25">
      <c r="A19" s="115"/>
      <c r="B19" s="116"/>
      <c r="C19" s="116"/>
      <c r="D19" s="116"/>
      <c r="E19" s="116"/>
      <c r="F19" s="117"/>
      <c r="G19" s="67"/>
    </row>
    <row r="20" spans="1:9" x14ac:dyDescent="0.25">
      <c r="A20" s="64" t="s">
        <v>38</v>
      </c>
      <c r="B20" s="89">
        <f>securityAuditing*no_of_MonthsYear</f>
        <v>66000</v>
      </c>
      <c r="C20" s="89">
        <f>securityAuditing*no_of_MonthsYear</f>
        <v>66000</v>
      </c>
      <c r="D20" s="89">
        <f>securityAuditing*no_of_MonthsYear</f>
        <v>66000</v>
      </c>
      <c r="E20" s="89">
        <f>securityAuditing*no_of_MonthsYear</f>
        <v>66000</v>
      </c>
      <c r="F20" s="89">
        <f>securityAuditing*no_of_MonthsYear</f>
        <v>66000</v>
      </c>
      <c r="G20" s="92">
        <f>SUM(B20:F20)</f>
        <v>330000</v>
      </c>
    </row>
    <row r="21" spans="1:9" x14ac:dyDescent="0.25">
      <c r="A21" s="64" t="s">
        <v>39</v>
      </c>
      <c r="B21" s="89">
        <f>year12_archivalBackups*no_of_MonthsYear</f>
        <v>90000</v>
      </c>
      <c r="C21" s="89">
        <f>year12_archivalBackups*no_of_MonthsYear</f>
        <v>90000</v>
      </c>
      <c r="D21" s="89">
        <f>year345_archivalBackups*no_of_MonthsYear</f>
        <v>120000</v>
      </c>
      <c r="E21" s="89">
        <f>year345_archivalBackups*no_of_MonthsYear</f>
        <v>120000</v>
      </c>
      <c r="F21" s="89">
        <f>year345_archivalBackups*no_of_MonthsYear</f>
        <v>120000</v>
      </c>
      <c r="G21" s="92">
        <f>SUM(B21:F21)</f>
        <v>540000</v>
      </c>
    </row>
    <row r="22" spans="1:9" ht="15.75" customHeight="1" x14ac:dyDescent="0.25">
      <c r="A22" s="115"/>
      <c r="B22" s="116"/>
      <c r="C22" s="116"/>
      <c r="D22" s="116"/>
      <c r="E22" s="116"/>
      <c r="F22" s="117"/>
      <c r="G22" s="68"/>
    </row>
    <row r="23" spans="1:9" x14ac:dyDescent="0.25">
      <c r="A23" s="69" t="s">
        <v>2</v>
      </c>
      <c r="B23" s="90">
        <f>SUM(B11,B18,B20,B21)</f>
        <v>10243427.4</v>
      </c>
      <c r="C23" s="90">
        <f>SUM(C11,C18,C20,C21)</f>
        <v>10517175.948000001</v>
      </c>
      <c r="D23" s="90">
        <f>SUM(D11,D18,D20,D21)</f>
        <v>10828559.466960002</v>
      </c>
      <c r="E23" s="90">
        <f t="shared" ref="E23:F23" si="6">SUM(E11,E18,E20,E21)</f>
        <v>11117795.456299201</v>
      </c>
      <c r="F23" s="90">
        <f t="shared" si="6"/>
        <v>11415107.709425185</v>
      </c>
      <c r="G23" s="93">
        <f>SUM(B23:F23)</f>
        <v>54122065.980684385</v>
      </c>
      <c r="I23" s="22"/>
    </row>
    <row r="24" spans="1:9" ht="14.25" customHeight="1" x14ac:dyDescent="0.25">
      <c r="A24" s="70"/>
      <c r="B24" s="71"/>
      <c r="C24" s="71"/>
      <c r="D24" s="71"/>
      <c r="E24" s="71"/>
      <c r="F24" s="71"/>
      <c r="G24" s="72"/>
    </row>
    <row r="25" spans="1:9" x14ac:dyDescent="0.25">
      <c r="A25" s="73" t="s">
        <v>11</v>
      </c>
      <c r="B25" s="93">
        <f>Total5YearCurrentHardCosts</f>
        <v>54122065.980684385</v>
      </c>
      <c r="C25" s="74"/>
      <c r="D25" s="75"/>
      <c r="E25" s="75"/>
      <c r="F25" s="76"/>
      <c r="G25" s="67"/>
    </row>
    <row r="26" spans="1:9" x14ac:dyDescent="0.25">
      <c r="A26" s="115"/>
      <c r="B26" s="116"/>
      <c r="C26" s="116"/>
      <c r="D26" s="116"/>
      <c r="E26" s="116"/>
      <c r="F26" s="117"/>
      <c r="G26" s="67"/>
    </row>
    <row r="27" spans="1:9" ht="18.75" x14ac:dyDescent="0.3">
      <c r="A27" s="62" t="s">
        <v>3</v>
      </c>
      <c r="B27" s="77"/>
      <c r="C27" s="77"/>
      <c r="D27" s="77"/>
      <c r="E27" s="77"/>
      <c r="F27" s="77"/>
      <c r="G27" s="77"/>
    </row>
    <row r="28" spans="1:9" x14ac:dyDescent="0.25">
      <c r="A28" s="64" t="s">
        <v>136</v>
      </c>
      <c r="B28" s="91">
        <f>(no_of_HoursAdminWeek*group1_adminWeeks)*AdminCostPerHour*group1_no_of_servers</f>
        <v>52500000</v>
      </c>
      <c r="C28" s="91">
        <f t="shared" ref="C28:F32" si="7">B28*admin_payIncrease</f>
        <v>53550000</v>
      </c>
      <c r="D28" s="91">
        <f t="shared" si="7"/>
        <v>54621000</v>
      </c>
      <c r="E28" s="91">
        <f t="shared" si="7"/>
        <v>55713420</v>
      </c>
      <c r="F28" s="91">
        <f t="shared" si="7"/>
        <v>56827688.399999999</v>
      </c>
      <c r="G28" s="92">
        <f>SUM(B28:F28)</f>
        <v>273212108.39999998</v>
      </c>
    </row>
    <row r="29" spans="1:9" x14ac:dyDescent="0.25">
      <c r="A29" s="64" t="s">
        <v>40</v>
      </c>
      <c r="B29" s="91">
        <f>(no_of_HoursAdminWeek*group2_adminWeeks)*AdminCostPerHour*group2_no_of_servers</f>
        <v>24500000</v>
      </c>
      <c r="C29" s="91">
        <f t="shared" si="7"/>
        <v>24990000</v>
      </c>
      <c r="D29" s="91">
        <f t="shared" si="7"/>
        <v>25489800</v>
      </c>
      <c r="E29" s="91">
        <f t="shared" si="7"/>
        <v>25999596</v>
      </c>
      <c r="F29" s="91">
        <f t="shared" si="7"/>
        <v>26519587.920000002</v>
      </c>
      <c r="G29" s="92">
        <f t="shared" ref="G29:G33" si="8">SUM(B29:F29)</f>
        <v>127498983.92</v>
      </c>
    </row>
    <row r="30" spans="1:9" x14ac:dyDescent="0.25">
      <c r="A30" s="64" t="s">
        <v>137</v>
      </c>
      <c r="B30" s="91">
        <f>(no_of_HoursAdminWeek*group3_adminWeeks)*AdminCostPerHour*group3_no_of_servers</f>
        <v>7000000</v>
      </c>
      <c r="C30" s="91">
        <f t="shared" si="7"/>
        <v>7140000</v>
      </c>
      <c r="D30" s="91">
        <f t="shared" si="7"/>
        <v>7282800</v>
      </c>
      <c r="E30" s="91">
        <f t="shared" si="7"/>
        <v>7428456</v>
      </c>
      <c r="F30" s="91">
        <f t="shared" si="7"/>
        <v>7577025.1200000001</v>
      </c>
      <c r="G30" s="92">
        <f t="shared" si="8"/>
        <v>36428281.119999997</v>
      </c>
    </row>
    <row r="31" spans="1:9" x14ac:dyDescent="0.25">
      <c r="A31" s="64" t="s">
        <v>138</v>
      </c>
      <c r="B31" s="91">
        <f>(no_of_HoursAdminWeek*group4A_adminWeeks)*AdminCostPerHour*group4A_no_of_servers</f>
        <v>8750000</v>
      </c>
      <c r="C31" s="91">
        <f t="shared" si="7"/>
        <v>8925000</v>
      </c>
      <c r="D31" s="91">
        <f t="shared" si="7"/>
        <v>9103500</v>
      </c>
      <c r="E31" s="91">
        <f t="shared" si="7"/>
        <v>9285570</v>
      </c>
      <c r="F31" s="91">
        <f t="shared" si="7"/>
        <v>9471281.4000000004</v>
      </c>
      <c r="G31" s="92">
        <f t="shared" si="8"/>
        <v>45535351.399999999</v>
      </c>
    </row>
    <row r="32" spans="1:9" x14ac:dyDescent="0.25">
      <c r="A32" s="64" t="s">
        <v>139</v>
      </c>
      <c r="B32" s="91">
        <f>(no_of_HoursAdminWeek*group4B_adminWeeks)*AdminCostPerHour*group4B_no_of_servers</f>
        <v>3500000</v>
      </c>
      <c r="C32" s="91">
        <f t="shared" si="7"/>
        <v>3570000</v>
      </c>
      <c r="D32" s="91">
        <f t="shared" si="7"/>
        <v>3641400</v>
      </c>
      <c r="E32" s="91">
        <f t="shared" si="7"/>
        <v>3714228</v>
      </c>
      <c r="F32" s="91">
        <f t="shared" si="7"/>
        <v>3788512.56</v>
      </c>
      <c r="G32" s="92">
        <f t="shared" si="8"/>
        <v>18214140.559999999</v>
      </c>
    </row>
    <row r="33" spans="1:9" x14ac:dyDescent="0.25">
      <c r="A33" s="79" t="s">
        <v>90</v>
      </c>
      <c r="B33" s="96">
        <f>SUM(B28:B32)</f>
        <v>96250000</v>
      </c>
      <c r="C33" s="96">
        <f t="shared" ref="C33:F33" si="9">SUM(C28:C32)</f>
        <v>98175000</v>
      </c>
      <c r="D33" s="96">
        <f t="shared" si="9"/>
        <v>100138500</v>
      </c>
      <c r="E33" s="96">
        <f t="shared" si="9"/>
        <v>102141270</v>
      </c>
      <c r="F33" s="96">
        <f t="shared" si="9"/>
        <v>104184095.40000001</v>
      </c>
      <c r="G33" s="92">
        <f t="shared" si="8"/>
        <v>500888865.39999998</v>
      </c>
      <c r="H33" s="22"/>
      <c r="I33" s="22"/>
    </row>
    <row r="34" spans="1:9" ht="9.75" customHeight="1" x14ac:dyDescent="0.25">
      <c r="A34" s="125"/>
      <c r="B34" s="126"/>
      <c r="C34" s="126"/>
      <c r="D34" s="126"/>
      <c r="E34" s="126"/>
      <c r="F34" s="126"/>
      <c r="G34" s="127"/>
    </row>
    <row r="35" spans="1:9" ht="0.75" customHeight="1" x14ac:dyDescent="0.25">
      <c r="A35" s="128"/>
      <c r="B35" s="129"/>
      <c r="C35" s="129"/>
      <c r="D35" s="129"/>
      <c r="E35" s="129"/>
      <c r="F35" s="129"/>
      <c r="G35" s="130"/>
    </row>
    <row r="36" spans="1:9" x14ac:dyDescent="0.25">
      <c r="A36" s="64" t="s">
        <v>140</v>
      </c>
      <c r="B36" s="91">
        <f>(group1_no_of_backups*group1_hoursPerBackup*group1_no_of_servers*AdminCostPerHour)</f>
        <v>68437500</v>
      </c>
      <c r="C36" s="91">
        <f t="shared" ref="C36:F40" si="10">B36*admin_payIncrease</f>
        <v>69806250</v>
      </c>
      <c r="D36" s="91">
        <f t="shared" si="10"/>
        <v>71202375</v>
      </c>
      <c r="E36" s="91">
        <f t="shared" si="10"/>
        <v>72626422.5</v>
      </c>
      <c r="F36" s="91">
        <f t="shared" si="10"/>
        <v>74078950.950000003</v>
      </c>
      <c r="G36" s="92">
        <f>SUM(B36:F36)</f>
        <v>356151498.44999999</v>
      </c>
    </row>
    <row r="37" spans="1:9" x14ac:dyDescent="0.25">
      <c r="A37" s="64" t="s">
        <v>141</v>
      </c>
      <c r="B37" s="91">
        <f>(group2_no_of_backups*group2_hoursPerBackup*group2_no_of_servers*AdminCostPerHour)</f>
        <v>36500000</v>
      </c>
      <c r="C37" s="91">
        <f t="shared" si="10"/>
        <v>37230000</v>
      </c>
      <c r="D37" s="91">
        <f t="shared" si="10"/>
        <v>37974600</v>
      </c>
      <c r="E37" s="91">
        <f t="shared" si="10"/>
        <v>38734092</v>
      </c>
      <c r="F37" s="91">
        <f t="shared" si="10"/>
        <v>39508773.840000004</v>
      </c>
      <c r="G37" s="92">
        <f t="shared" ref="G37:G41" si="11">SUM(B37:F37)</f>
        <v>189947465.84</v>
      </c>
    </row>
    <row r="38" spans="1:9" x14ac:dyDescent="0.25">
      <c r="A38" s="64" t="s">
        <v>141</v>
      </c>
      <c r="B38" s="91">
        <f>(group3_no_of_backups*group3_hoursPerBackup*group3_no_of_servers*AdminCostPerHour)</f>
        <v>3250000</v>
      </c>
      <c r="C38" s="91">
        <f t="shared" si="10"/>
        <v>3315000</v>
      </c>
      <c r="D38" s="91">
        <f t="shared" si="10"/>
        <v>3381300</v>
      </c>
      <c r="E38" s="91">
        <f t="shared" si="10"/>
        <v>3448926</v>
      </c>
      <c r="F38" s="91">
        <f t="shared" si="10"/>
        <v>3517904.52</v>
      </c>
      <c r="G38" s="92">
        <f t="shared" si="11"/>
        <v>16913130.52</v>
      </c>
    </row>
    <row r="39" spans="1:9" x14ac:dyDescent="0.25">
      <c r="A39" s="64" t="s">
        <v>142</v>
      </c>
      <c r="B39" s="91">
        <f>(group4A_no_of_backups*group4A_hoursPerBackup*group4A_no_of_servers*AdminCostPerHour)</f>
        <v>3900000</v>
      </c>
      <c r="C39" s="91">
        <f t="shared" si="10"/>
        <v>3978000</v>
      </c>
      <c r="D39" s="91">
        <f t="shared" si="10"/>
        <v>4057560</v>
      </c>
      <c r="E39" s="91">
        <f t="shared" si="10"/>
        <v>4138711.2</v>
      </c>
      <c r="F39" s="91">
        <f t="shared" si="10"/>
        <v>4221485.4240000006</v>
      </c>
      <c r="G39" s="92">
        <f t="shared" si="11"/>
        <v>20295756.623999998</v>
      </c>
    </row>
    <row r="40" spans="1:9" x14ac:dyDescent="0.25">
      <c r="A40" s="64" t="s">
        <v>143</v>
      </c>
      <c r="B40" s="91">
        <f>(group4B_no_of_backups*group4B_hoursPerBackup*group4B_no_of_servers*AdminCostPerHour)</f>
        <v>2700000</v>
      </c>
      <c r="C40" s="91">
        <f t="shared" si="10"/>
        <v>2754000</v>
      </c>
      <c r="D40" s="91">
        <f t="shared" si="10"/>
        <v>2809080</v>
      </c>
      <c r="E40" s="91">
        <f t="shared" si="10"/>
        <v>2865261.6</v>
      </c>
      <c r="F40" s="91">
        <f t="shared" si="10"/>
        <v>2922566.8319999999</v>
      </c>
      <c r="G40" s="92">
        <f t="shared" si="11"/>
        <v>14050908.432</v>
      </c>
    </row>
    <row r="41" spans="1:9" x14ac:dyDescent="0.25">
      <c r="A41" s="79" t="s">
        <v>91</v>
      </c>
      <c r="B41" s="96">
        <f>SUM(B36:B40)</f>
        <v>114787500</v>
      </c>
      <c r="C41" s="96">
        <f t="shared" ref="C41:F41" si="12">SUM(C36:C40)</f>
        <v>117083250</v>
      </c>
      <c r="D41" s="96">
        <f t="shared" si="12"/>
        <v>119424915</v>
      </c>
      <c r="E41" s="96">
        <f t="shared" si="12"/>
        <v>121813413.3</v>
      </c>
      <c r="F41" s="96">
        <f t="shared" si="12"/>
        <v>124249681.566</v>
      </c>
      <c r="G41" s="92">
        <f t="shared" si="11"/>
        <v>597358759.86600006</v>
      </c>
      <c r="H41" s="22"/>
    </row>
    <row r="42" spans="1:9" x14ac:dyDescent="0.25">
      <c r="A42" s="115"/>
      <c r="B42" s="116"/>
      <c r="C42" s="116"/>
      <c r="D42" s="116"/>
      <c r="E42" s="116"/>
      <c r="F42" s="117"/>
      <c r="G42" s="68"/>
    </row>
    <row r="43" spans="1:9" x14ac:dyDescent="0.25">
      <c r="A43" s="69" t="s">
        <v>4</v>
      </c>
      <c r="B43" s="94">
        <f>B33+B41</f>
        <v>211037500</v>
      </c>
      <c r="C43" s="94">
        <f t="shared" ref="C43:F43" si="13">C33+C41</f>
        <v>215258250</v>
      </c>
      <c r="D43" s="94">
        <f>D33+D41</f>
        <v>219563415</v>
      </c>
      <c r="E43" s="94">
        <f t="shared" si="13"/>
        <v>223954683.30000001</v>
      </c>
      <c r="F43" s="94">
        <f t="shared" si="13"/>
        <v>228433776.96600002</v>
      </c>
      <c r="G43" s="93">
        <f>SUM(B43:F43)</f>
        <v>1098247625.266</v>
      </c>
      <c r="I43" s="22"/>
    </row>
    <row r="44" spans="1:9" x14ac:dyDescent="0.25">
      <c r="A44" s="80"/>
      <c r="B44" s="81"/>
      <c r="C44" s="81"/>
      <c r="D44" s="81"/>
      <c r="E44" s="81"/>
      <c r="F44" s="82"/>
      <c r="G44" s="65"/>
    </row>
    <row r="45" spans="1:9" x14ac:dyDescent="0.25">
      <c r="A45" s="83" t="s">
        <v>12</v>
      </c>
      <c r="B45" s="93">
        <f>Total5YearCurrentSoftCosts</f>
        <v>1098247625.266</v>
      </c>
      <c r="C45" s="81"/>
      <c r="D45" s="81"/>
      <c r="E45" s="81"/>
      <c r="F45" s="82"/>
      <c r="G45" s="65"/>
    </row>
    <row r="46" spans="1:9" x14ac:dyDescent="0.25">
      <c r="A46" s="115"/>
      <c r="B46" s="116"/>
      <c r="C46" s="116"/>
      <c r="D46" s="116"/>
      <c r="E46" s="116"/>
      <c r="F46" s="117"/>
      <c r="G46" s="68"/>
    </row>
    <row r="47" spans="1:9" x14ac:dyDescent="0.25">
      <c r="A47" s="66" t="s">
        <v>92</v>
      </c>
      <c r="B47" s="94">
        <f>B23+B43</f>
        <v>221280927.40000001</v>
      </c>
      <c r="C47" s="94">
        <f>C23+C43</f>
        <v>225775425.94800001</v>
      </c>
      <c r="D47" s="94">
        <f t="shared" ref="D47:F47" si="14">D23+D43</f>
        <v>230391974.46696001</v>
      </c>
      <c r="E47" s="94">
        <f t="shared" si="14"/>
        <v>235072478.7562992</v>
      </c>
      <c r="F47" s="94">
        <f t="shared" si="14"/>
        <v>239848884.6754252</v>
      </c>
      <c r="G47" s="95">
        <f>SUM(B47:F47)</f>
        <v>1152369691.2466846</v>
      </c>
    </row>
    <row r="48" spans="1:9" x14ac:dyDescent="0.25">
      <c r="A48" s="84"/>
      <c r="B48" s="78"/>
      <c r="C48" s="109"/>
      <c r="D48" s="110"/>
      <c r="E48" s="110"/>
      <c r="F48" s="110"/>
      <c r="G48" s="111"/>
    </row>
    <row r="49" spans="1:7" x14ac:dyDescent="0.25">
      <c r="A49" s="85" t="s">
        <v>99</v>
      </c>
      <c r="B49" s="95">
        <f>TotalCurrentCost</f>
        <v>1152369691.2466846</v>
      </c>
      <c r="C49" s="112"/>
      <c r="D49" s="113"/>
      <c r="E49" s="113"/>
      <c r="F49" s="113"/>
      <c r="G49" s="114"/>
    </row>
  </sheetData>
  <mergeCells count="11">
    <mergeCell ref="A1:G2"/>
    <mergeCell ref="A42:F42"/>
    <mergeCell ref="A46:F46"/>
    <mergeCell ref="G3:G4"/>
    <mergeCell ref="A34:G35"/>
    <mergeCell ref="C48:G49"/>
    <mergeCell ref="A19:F19"/>
    <mergeCell ref="B3:F3"/>
    <mergeCell ref="A22:F22"/>
    <mergeCell ref="A12:F12"/>
    <mergeCell ref="A26:F26"/>
  </mergeCells>
  <printOptions gridLines="1"/>
  <pageMargins left="0.38" right="0.28000000000000003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"/>
  <sheetViews>
    <sheetView topLeftCell="A27" zoomScale="80" zoomScaleNormal="80" workbookViewId="0">
      <selection activeCell="B44" sqref="B44"/>
    </sheetView>
  </sheetViews>
  <sheetFormatPr defaultColWidth="8.85546875" defaultRowHeight="15" x14ac:dyDescent="0.25"/>
  <cols>
    <col min="1" max="2" width="14.42578125" customWidth="1"/>
    <col min="3" max="3" width="26.42578125" bestFit="1" customWidth="1"/>
    <col min="4" max="4" width="81.28515625" customWidth="1"/>
  </cols>
  <sheetData>
    <row r="1" spans="1:4" ht="23.25" x14ac:dyDescent="0.35">
      <c r="A1" s="54" t="s">
        <v>163</v>
      </c>
      <c r="B1" s="54"/>
      <c r="C1" s="54"/>
      <c r="D1" s="53"/>
    </row>
    <row r="2" spans="1:4" ht="18.75" x14ac:dyDescent="0.3">
      <c r="A2" s="107"/>
      <c r="B2" s="107"/>
      <c r="C2" s="107"/>
      <c r="D2" s="108"/>
    </row>
    <row r="3" spans="1:4" ht="18.75" x14ac:dyDescent="0.3">
      <c r="A3" s="3" t="s">
        <v>1</v>
      </c>
      <c r="B3" s="3"/>
      <c r="C3" s="3"/>
      <c r="D3" s="5"/>
    </row>
    <row r="4" spans="1:4" ht="21.95" customHeight="1" x14ac:dyDescent="0.25">
      <c r="A4" s="5"/>
      <c r="B4" s="56" t="s">
        <v>25</v>
      </c>
      <c r="C4" s="56" t="s">
        <v>27</v>
      </c>
      <c r="D4" s="56" t="s">
        <v>26</v>
      </c>
    </row>
    <row r="5" spans="1:4" x14ac:dyDescent="0.25">
      <c r="A5" s="4"/>
      <c r="B5" s="59">
        <v>237731</v>
      </c>
      <c r="C5" s="4" t="s">
        <v>220</v>
      </c>
      <c r="D5" s="4" t="s">
        <v>50</v>
      </c>
    </row>
    <row r="6" spans="1:4" x14ac:dyDescent="0.25">
      <c r="A6" s="4"/>
      <c r="B6" s="59">
        <v>28527.72</v>
      </c>
      <c r="C6" s="4" t="s">
        <v>221</v>
      </c>
      <c r="D6" s="4" t="s">
        <v>51</v>
      </c>
    </row>
    <row r="7" spans="1:4" x14ac:dyDescent="0.25">
      <c r="A7" s="4"/>
      <c r="B7" s="4"/>
      <c r="C7" s="4"/>
      <c r="D7" s="4"/>
    </row>
    <row r="8" spans="1:4" x14ac:dyDescent="0.25">
      <c r="A8" s="4"/>
      <c r="B8" s="59">
        <v>237731</v>
      </c>
      <c r="C8" s="4" t="s">
        <v>222</v>
      </c>
      <c r="D8" s="4" t="s">
        <v>164</v>
      </c>
    </row>
    <row r="9" spans="1:4" x14ac:dyDescent="0.25">
      <c r="A9" s="4"/>
      <c r="B9" s="59">
        <v>28527.72</v>
      </c>
      <c r="C9" s="4" t="s">
        <v>223</v>
      </c>
      <c r="D9" s="4" t="s">
        <v>47</v>
      </c>
    </row>
    <row r="10" spans="1:4" x14ac:dyDescent="0.25">
      <c r="A10" s="4"/>
      <c r="B10" s="4"/>
      <c r="C10" s="4"/>
      <c r="D10" s="4"/>
    </row>
    <row r="11" spans="1:4" x14ac:dyDescent="0.25">
      <c r="A11" s="4"/>
      <c r="B11" s="59">
        <v>56611</v>
      </c>
      <c r="C11" s="4" t="s">
        <v>226</v>
      </c>
      <c r="D11" s="4" t="s">
        <v>52</v>
      </c>
    </row>
    <row r="12" spans="1:4" x14ac:dyDescent="0.25">
      <c r="A12" s="4"/>
      <c r="B12" s="59">
        <v>6793.32</v>
      </c>
      <c r="C12" s="4" t="s">
        <v>227</v>
      </c>
      <c r="D12" s="4" t="s">
        <v>53</v>
      </c>
    </row>
    <row r="13" spans="1:4" x14ac:dyDescent="0.25">
      <c r="A13" s="4"/>
      <c r="B13" s="4"/>
      <c r="C13" s="4"/>
      <c r="D13" s="4"/>
    </row>
    <row r="14" spans="1:4" x14ac:dyDescent="0.25">
      <c r="A14" s="4"/>
      <c r="B14" s="59">
        <v>56611</v>
      </c>
      <c r="C14" s="4" t="s">
        <v>224</v>
      </c>
      <c r="D14" s="4" t="s">
        <v>144</v>
      </c>
    </row>
    <row r="15" spans="1:4" x14ac:dyDescent="0.25">
      <c r="A15" s="4"/>
      <c r="B15" s="59">
        <v>6793.32</v>
      </c>
      <c r="C15" s="4" t="s">
        <v>225</v>
      </c>
      <c r="D15" s="4" t="s">
        <v>145</v>
      </c>
    </row>
    <row r="16" spans="1:4" x14ac:dyDescent="0.25">
      <c r="A16" s="4"/>
      <c r="B16" s="4"/>
      <c r="C16" s="4"/>
      <c r="D16" s="4"/>
    </row>
    <row r="17" spans="1:4" x14ac:dyDescent="0.25">
      <c r="A17" s="4"/>
      <c r="B17" s="4">
        <v>250</v>
      </c>
      <c r="C17" s="4" t="s">
        <v>228</v>
      </c>
      <c r="D17" s="4" t="s">
        <v>48</v>
      </c>
    </row>
    <row r="18" spans="1:4" x14ac:dyDescent="0.25">
      <c r="A18" s="4"/>
      <c r="B18" s="4">
        <v>2000</v>
      </c>
      <c r="C18" s="4" t="s">
        <v>229</v>
      </c>
      <c r="D18" s="4" t="s">
        <v>81</v>
      </c>
    </row>
    <row r="19" spans="1:4" x14ac:dyDescent="0.25">
      <c r="A19" s="4"/>
      <c r="B19" s="4">
        <v>200</v>
      </c>
      <c r="C19" s="4" t="s">
        <v>230</v>
      </c>
      <c r="D19" s="4" t="s">
        <v>49</v>
      </c>
    </row>
    <row r="20" spans="1:4" x14ac:dyDescent="0.25">
      <c r="A20" s="4"/>
      <c r="B20" s="4">
        <v>700</v>
      </c>
      <c r="C20" s="4" t="s">
        <v>231</v>
      </c>
      <c r="D20" s="4" t="s">
        <v>82</v>
      </c>
    </row>
    <row r="21" spans="1:4" x14ac:dyDescent="0.25">
      <c r="A21" s="4"/>
      <c r="B21" s="4">
        <v>20</v>
      </c>
      <c r="C21" s="4" t="s">
        <v>232</v>
      </c>
      <c r="D21" s="4" t="s">
        <v>54</v>
      </c>
    </row>
    <row r="22" spans="1:4" x14ac:dyDescent="0.25">
      <c r="A22" s="4"/>
      <c r="B22" s="4">
        <v>150</v>
      </c>
      <c r="C22" s="4" t="s">
        <v>233</v>
      </c>
      <c r="D22" s="4" t="s">
        <v>83</v>
      </c>
    </row>
    <row r="23" spans="1:4" x14ac:dyDescent="0.25">
      <c r="A23" s="4"/>
      <c r="B23" s="4">
        <v>30</v>
      </c>
      <c r="C23" s="4" t="s">
        <v>234</v>
      </c>
      <c r="D23" s="4" t="s">
        <v>147</v>
      </c>
    </row>
    <row r="24" spans="1:4" x14ac:dyDescent="0.25">
      <c r="A24" s="4"/>
      <c r="B24" s="4">
        <v>300</v>
      </c>
      <c r="C24" s="4" t="s">
        <v>235</v>
      </c>
      <c r="D24" s="4" t="s">
        <v>146</v>
      </c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>
        <v>3299</v>
      </c>
      <c r="C27" s="4" t="s">
        <v>236</v>
      </c>
      <c r="D27" s="4" t="s">
        <v>84</v>
      </c>
    </row>
    <row r="28" spans="1:4" x14ac:dyDescent="0.25">
      <c r="A28" s="4"/>
      <c r="B28" s="4">
        <v>2708</v>
      </c>
      <c r="C28" s="4" t="s">
        <v>237</v>
      </c>
      <c r="D28" s="4" t="s">
        <v>85</v>
      </c>
    </row>
    <row r="29" spans="1:4" x14ac:dyDescent="0.25">
      <c r="A29" s="4"/>
      <c r="B29" s="4">
        <v>974</v>
      </c>
      <c r="C29" s="4" t="s">
        <v>238</v>
      </c>
      <c r="D29" s="4" t="s">
        <v>86</v>
      </c>
    </row>
    <row r="30" spans="1:4" x14ac:dyDescent="0.25">
      <c r="A30" s="4"/>
      <c r="B30" s="4">
        <v>779</v>
      </c>
      <c r="C30" s="4" t="s">
        <v>239</v>
      </c>
      <c r="D30" s="4" t="s">
        <v>148</v>
      </c>
    </row>
    <row r="31" spans="1:4" x14ac:dyDescent="0.25">
      <c r="A31" s="4"/>
      <c r="B31" s="4"/>
      <c r="C31" s="4"/>
      <c r="D31" s="4"/>
    </row>
    <row r="32" spans="1:4" x14ac:dyDescent="0.25">
      <c r="A32" s="4"/>
      <c r="B32" s="59">
        <v>6500</v>
      </c>
      <c r="C32" s="4" t="s">
        <v>240</v>
      </c>
      <c r="D32" s="4" t="s">
        <v>55</v>
      </c>
    </row>
    <row r="33" spans="1:4" x14ac:dyDescent="0.25">
      <c r="A33" s="4"/>
      <c r="B33" s="4">
        <v>0.15</v>
      </c>
      <c r="C33" s="4" t="s">
        <v>241</v>
      </c>
      <c r="D33" s="4" t="s">
        <v>56</v>
      </c>
    </row>
    <row r="34" spans="1:4" x14ac:dyDescent="0.25">
      <c r="A34" s="4"/>
      <c r="B34" s="4"/>
      <c r="C34" s="4"/>
      <c r="D34" s="4"/>
    </row>
    <row r="35" spans="1:4" x14ac:dyDescent="0.25">
      <c r="A35" s="4"/>
      <c r="B35" s="59">
        <v>2500</v>
      </c>
      <c r="C35" s="4" t="s">
        <v>242</v>
      </c>
      <c r="D35" s="4" t="s">
        <v>57</v>
      </c>
    </row>
    <row r="36" spans="1:4" x14ac:dyDescent="0.25">
      <c r="A36" s="4"/>
      <c r="B36" s="4">
        <v>4</v>
      </c>
      <c r="C36" s="4" t="s">
        <v>243</v>
      </c>
      <c r="D36" s="4" t="s">
        <v>58</v>
      </c>
    </row>
    <row r="37" spans="1:4" x14ac:dyDescent="0.25">
      <c r="A37" s="4"/>
      <c r="B37" s="4">
        <v>2</v>
      </c>
      <c r="C37" s="4" t="s">
        <v>244</v>
      </c>
      <c r="D37" s="4" t="s">
        <v>59</v>
      </c>
    </row>
    <row r="38" spans="1:4" x14ac:dyDescent="0.25">
      <c r="A38" s="4"/>
      <c r="B38" s="4"/>
      <c r="C38" s="4"/>
    </row>
    <row r="39" spans="1:4" ht="18.75" x14ac:dyDescent="0.3">
      <c r="A39" s="48" t="s">
        <v>3</v>
      </c>
      <c r="B39" s="5"/>
      <c r="C39" s="5"/>
      <c r="D39" s="5"/>
    </row>
    <row r="40" spans="1:4" ht="18.75" x14ac:dyDescent="0.3">
      <c r="A40" s="48"/>
      <c r="B40" s="47" t="s">
        <v>25</v>
      </c>
      <c r="C40" s="47" t="s">
        <v>27</v>
      </c>
      <c r="D40" s="47" t="s">
        <v>26</v>
      </c>
    </row>
    <row r="41" spans="1:4" x14ac:dyDescent="0.25">
      <c r="A41" s="4"/>
      <c r="B41" s="4"/>
      <c r="C41" s="4"/>
      <c r="D41" s="4"/>
    </row>
    <row r="42" spans="1:4" x14ac:dyDescent="0.25">
      <c r="A42" s="4"/>
      <c r="B42" s="4">
        <v>10</v>
      </c>
      <c r="C42" s="4" t="s">
        <v>254</v>
      </c>
      <c r="D42" s="4" t="s">
        <v>60</v>
      </c>
    </row>
    <row r="43" spans="1:4" x14ac:dyDescent="0.25">
      <c r="A43" s="4"/>
      <c r="B43" s="4">
        <v>0.5</v>
      </c>
      <c r="C43" s="4" t="s">
        <v>245</v>
      </c>
      <c r="D43" s="4" t="s">
        <v>67</v>
      </c>
    </row>
    <row r="44" spans="1:4" x14ac:dyDescent="0.25">
      <c r="A44" s="4"/>
      <c r="B44" s="4"/>
      <c r="C44" s="4"/>
      <c r="D44" s="4"/>
    </row>
    <row r="45" spans="1:4" x14ac:dyDescent="0.25">
      <c r="A45" s="4"/>
      <c r="B45" s="4">
        <v>1.5</v>
      </c>
      <c r="C45" s="4" t="s">
        <v>246</v>
      </c>
      <c r="D45" s="4" t="s">
        <v>75</v>
      </c>
    </row>
    <row r="46" spans="1:4" x14ac:dyDescent="0.25">
      <c r="A46" s="4"/>
      <c r="B46" s="4">
        <v>1.5</v>
      </c>
      <c r="C46" s="4" t="s">
        <v>247</v>
      </c>
      <c r="D46" s="4" t="s">
        <v>76</v>
      </c>
    </row>
    <row r="47" spans="1:4" x14ac:dyDescent="0.25">
      <c r="A47" s="4"/>
      <c r="B47" s="4">
        <v>1.5</v>
      </c>
      <c r="C47" s="4" t="s">
        <v>248</v>
      </c>
      <c r="D47" s="4" t="s">
        <v>77</v>
      </c>
    </row>
    <row r="48" spans="1:4" x14ac:dyDescent="0.25">
      <c r="A48" s="4"/>
      <c r="B48" s="4">
        <v>2</v>
      </c>
      <c r="C48" s="4" t="s">
        <v>249</v>
      </c>
      <c r="D48" s="4" t="s">
        <v>150</v>
      </c>
    </row>
    <row r="49" spans="1:4" x14ac:dyDescent="0.25">
      <c r="A49" s="4"/>
      <c r="B49" s="4"/>
      <c r="C49" s="4"/>
      <c r="D49" s="4"/>
    </row>
    <row r="50" spans="1:4" x14ac:dyDescent="0.25">
      <c r="A50" s="4"/>
      <c r="B50" s="4">
        <v>365</v>
      </c>
      <c r="C50" s="4" t="s">
        <v>250</v>
      </c>
      <c r="D50" s="4" t="s">
        <v>78</v>
      </c>
    </row>
    <row r="51" spans="1:4" x14ac:dyDescent="0.25">
      <c r="A51" s="4"/>
      <c r="B51" s="4">
        <v>365</v>
      </c>
      <c r="C51" s="4" t="s">
        <v>251</v>
      </c>
      <c r="D51" s="4" t="s">
        <v>79</v>
      </c>
    </row>
    <row r="52" spans="1:4" x14ac:dyDescent="0.25">
      <c r="A52" s="4"/>
      <c r="B52" s="4">
        <v>365</v>
      </c>
      <c r="C52" s="4" t="s">
        <v>252</v>
      </c>
      <c r="D52" s="4" t="s">
        <v>80</v>
      </c>
    </row>
    <row r="53" spans="1:4" x14ac:dyDescent="0.25">
      <c r="A53" s="4"/>
      <c r="B53" s="4">
        <v>52</v>
      </c>
      <c r="C53" s="4" t="s">
        <v>253</v>
      </c>
      <c r="D53" s="4" t="s">
        <v>149</v>
      </c>
    </row>
    <row r="54" spans="1:4" x14ac:dyDescent="0.25">
      <c r="A54" s="4"/>
      <c r="B54" s="4"/>
      <c r="C54" s="4"/>
      <c r="D54" s="4"/>
    </row>
    <row r="63" spans="1:4" x14ac:dyDescent="0.25">
      <c r="D63" s="1"/>
    </row>
  </sheetData>
  <mergeCells count="1">
    <mergeCell ref="A2:D2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7"/>
  <sheetViews>
    <sheetView zoomScale="80" zoomScaleNormal="80" workbookViewId="0">
      <selection activeCell="C35" sqref="C35"/>
    </sheetView>
  </sheetViews>
  <sheetFormatPr defaultColWidth="8.85546875" defaultRowHeight="15" x14ac:dyDescent="0.25"/>
  <cols>
    <col min="1" max="1" width="41.28515625" bestFit="1" customWidth="1"/>
    <col min="2" max="2" width="19.140625" bestFit="1" customWidth="1"/>
    <col min="3" max="6" width="17.28515625" bestFit="1" customWidth="1"/>
    <col min="7" max="7" width="19.140625" bestFit="1" customWidth="1"/>
    <col min="8" max="9" width="13.85546875" bestFit="1" customWidth="1"/>
  </cols>
  <sheetData>
    <row r="1" spans="1:7" s="2" customFormat="1" ht="21" x14ac:dyDescent="0.35">
      <c r="A1" s="134" t="s">
        <v>94</v>
      </c>
      <c r="B1" s="135"/>
      <c r="C1" s="135"/>
      <c r="D1" s="135"/>
      <c r="E1" s="135"/>
      <c r="F1" s="136"/>
    </row>
    <row r="2" spans="1:7" x14ac:dyDescent="0.25">
      <c r="A2" s="19" t="s">
        <v>0</v>
      </c>
      <c r="B2" s="137" t="s">
        <v>5</v>
      </c>
      <c r="C2" s="137"/>
      <c r="D2" s="137"/>
      <c r="E2" s="137"/>
      <c r="F2" s="137"/>
      <c r="G2" s="141" t="s">
        <v>89</v>
      </c>
    </row>
    <row r="3" spans="1:7" x14ac:dyDescent="0.25">
      <c r="A3" s="16"/>
      <c r="B3" s="19" t="s">
        <v>6</v>
      </c>
      <c r="C3" s="19" t="s">
        <v>7</v>
      </c>
      <c r="D3" s="19" t="s">
        <v>8</v>
      </c>
      <c r="E3" s="19" t="s">
        <v>9</v>
      </c>
      <c r="F3" s="19" t="s">
        <v>10</v>
      </c>
      <c r="G3" s="141"/>
    </row>
    <row r="4" spans="1:7" ht="18.75" x14ac:dyDescent="0.3">
      <c r="A4" s="29" t="s">
        <v>1</v>
      </c>
      <c r="B4" s="11"/>
      <c r="C4" s="11"/>
      <c r="D4" s="11"/>
      <c r="E4" s="11"/>
      <c r="F4" s="12"/>
      <c r="G4" s="8"/>
    </row>
    <row r="5" spans="1:7" x14ac:dyDescent="0.25">
      <c r="A5" s="20" t="s">
        <v>13</v>
      </c>
      <c r="B5" s="91">
        <f>(group1Cost*group1PhysicalServers)+(group2Cost*group2PhysicalServers)+(group3Cost*group3PhysicalServers)+(group4Cost*group4PhysicalServers)</f>
        <v>109809500</v>
      </c>
      <c r="C5" s="91"/>
      <c r="D5" s="91"/>
      <c r="E5" s="91"/>
      <c r="F5" s="91"/>
      <c r="G5" s="92">
        <f>SUM(B5)</f>
        <v>109809500</v>
      </c>
    </row>
    <row r="6" spans="1:7" x14ac:dyDescent="0.25">
      <c r="A6" s="20" t="s">
        <v>14</v>
      </c>
      <c r="B6" s="91">
        <f>(group1PhysicalServers+group2PhysicalServers+group3PhysicalServers+group4PhysicalServers)*VirtualSoftwareCost</f>
        <v>3250000</v>
      </c>
      <c r="C6" s="91"/>
      <c r="D6" s="91"/>
      <c r="E6" s="91"/>
      <c r="F6" s="91"/>
      <c r="G6" s="92">
        <f>SUM(B6)</f>
        <v>3250000</v>
      </c>
    </row>
    <row r="7" spans="1:7" x14ac:dyDescent="0.25">
      <c r="A7" s="20" t="s">
        <v>15</v>
      </c>
      <c r="B7" s="91">
        <f>VirtualSoftwareCost*VirtualMainCost*(group1PhysicalServers+group2PhysicalServers+group3PhysicalServers+group4PhysicalServers)</f>
        <v>487500</v>
      </c>
      <c r="C7" s="91">
        <f>B7*ServerMaintenanceRateIncrease</f>
        <v>502125</v>
      </c>
      <c r="D7" s="91">
        <f>C7*ServerMaintenanceRateIncrease</f>
        <v>517188.75</v>
      </c>
      <c r="E7" s="91">
        <f>D7*ServerMaintenanceRateIncrease</f>
        <v>532704.41249999998</v>
      </c>
      <c r="F7" s="91">
        <f>E7*ServerMaintenanceRateIncrease</f>
        <v>548685.54487500002</v>
      </c>
      <c r="G7" s="92">
        <f>SUM(B7:F7)</f>
        <v>2588203.7073750002</v>
      </c>
    </row>
    <row r="8" spans="1:7" x14ac:dyDescent="0.25">
      <c r="A8" s="20" t="s">
        <v>100</v>
      </c>
      <c r="B8" s="89">
        <f>powerGroup1/no_of_WattsPerKilowatt*HoursServerDay*group1PhysicalServers*costPerKwH*no_of_DaysYear</f>
        <v>939225.3</v>
      </c>
      <c r="C8" s="89">
        <f t="shared" ref="C8:F11" si="0">B8*powerIncreasePerYear</f>
        <v>958009.8060000001</v>
      </c>
      <c r="D8" s="89">
        <f t="shared" si="0"/>
        <v>977170.00212000008</v>
      </c>
      <c r="E8" s="89">
        <f t="shared" si="0"/>
        <v>996713.40216240007</v>
      </c>
      <c r="F8" s="89">
        <f t="shared" si="0"/>
        <v>1016647.6702056481</v>
      </c>
      <c r="G8" s="92">
        <f t="shared" ref="G8:G18" si="1">SUM(B8:F8)</f>
        <v>4887766.1804880481</v>
      </c>
    </row>
    <row r="9" spans="1:7" x14ac:dyDescent="0.25">
      <c r="A9" s="20" t="s">
        <v>35</v>
      </c>
      <c r="B9" s="89">
        <f>powerGroup2/no_of_WattsPerKilowatt*HoursServerDay*group2PhysicalServers*costPerKwH*no_of_DaysYear</f>
        <v>616774.08000000007</v>
      </c>
      <c r="C9" s="89">
        <f t="shared" si="0"/>
        <v>629109.56160000013</v>
      </c>
      <c r="D9" s="89">
        <f t="shared" si="0"/>
        <v>641691.75283200014</v>
      </c>
      <c r="E9" s="89">
        <f t="shared" si="0"/>
        <v>654525.58788864012</v>
      </c>
      <c r="F9" s="89">
        <f t="shared" si="0"/>
        <v>667616.09964641288</v>
      </c>
      <c r="G9" s="92">
        <f t="shared" si="1"/>
        <v>3209717.081967053</v>
      </c>
    </row>
    <row r="10" spans="1:7" x14ac:dyDescent="0.25">
      <c r="A10" s="20" t="s">
        <v>101</v>
      </c>
      <c r="B10" s="89">
        <f>powerGroup3/no_of_WattsPerKilowatt*HoursServerDay*group3PhysicalServers*costPerKwH*no_of_DaysYear</f>
        <v>22183.824000000001</v>
      </c>
      <c r="C10" s="89">
        <f t="shared" si="0"/>
        <v>22627.500480000002</v>
      </c>
      <c r="D10" s="89">
        <f t="shared" si="0"/>
        <v>23080.050489600002</v>
      </c>
      <c r="E10" s="89">
        <f t="shared" si="0"/>
        <v>23541.651499392003</v>
      </c>
      <c r="F10" s="89">
        <f t="shared" si="0"/>
        <v>24012.484529379843</v>
      </c>
      <c r="G10" s="92">
        <f t="shared" si="1"/>
        <v>115445.51099837184</v>
      </c>
    </row>
    <row r="11" spans="1:7" x14ac:dyDescent="0.25">
      <c r="A11" s="20" t="s">
        <v>255</v>
      </c>
      <c r="B11" s="89">
        <f>powerGroup4/no_of_WattsPerKilowatt*HoursServerDay*group4PhysicalServers*costPerKwH*no_of_DaysYear</f>
        <v>26613.756000000001</v>
      </c>
      <c r="C11" s="89">
        <f t="shared" si="0"/>
        <v>27146.031120000003</v>
      </c>
      <c r="D11" s="89">
        <f t="shared" si="0"/>
        <v>27688.951742400004</v>
      </c>
      <c r="E11" s="89">
        <f t="shared" si="0"/>
        <v>28242.730777248005</v>
      </c>
      <c r="F11" s="89">
        <f t="shared" si="0"/>
        <v>28807.585392792967</v>
      </c>
      <c r="G11" s="92">
        <f t="shared" si="1"/>
        <v>138499.05503244099</v>
      </c>
    </row>
    <row r="12" spans="1:7" x14ac:dyDescent="0.25">
      <c r="A12" s="20" t="s">
        <v>102</v>
      </c>
      <c r="B12" s="89">
        <f>group1Maintenance*group1PhysicalServers</f>
        <v>7131930</v>
      </c>
      <c r="C12" s="89">
        <f t="shared" ref="C12:F15" si="2">B12*ServerMaintenanceRateIncrease</f>
        <v>7345887.9000000004</v>
      </c>
      <c r="D12" s="89">
        <f t="shared" si="2"/>
        <v>7566264.5370000005</v>
      </c>
      <c r="E12" s="89">
        <f t="shared" si="2"/>
        <v>7793252.4731100006</v>
      </c>
      <c r="F12" s="89">
        <f t="shared" si="2"/>
        <v>8027050.0473033013</v>
      </c>
      <c r="G12" s="92">
        <f t="shared" si="1"/>
        <v>37864384.957413301</v>
      </c>
    </row>
    <row r="13" spans="1:7" x14ac:dyDescent="0.25">
      <c r="A13" s="20" t="s">
        <v>37</v>
      </c>
      <c r="B13" s="89">
        <f>group2Maintenance*group2PhysicalServers</f>
        <v>5705544</v>
      </c>
      <c r="C13" s="89">
        <f t="shared" si="2"/>
        <v>5876710.3200000003</v>
      </c>
      <c r="D13" s="89">
        <f t="shared" si="2"/>
        <v>6053011.6296000006</v>
      </c>
      <c r="E13" s="89">
        <f t="shared" si="2"/>
        <v>6234601.978488001</v>
      </c>
      <c r="F13" s="89">
        <f t="shared" si="2"/>
        <v>6421640.0378426416</v>
      </c>
      <c r="G13" s="92">
        <f t="shared" si="1"/>
        <v>30291507.965930644</v>
      </c>
    </row>
    <row r="14" spans="1:7" x14ac:dyDescent="0.25">
      <c r="A14" s="20" t="s">
        <v>103</v>
      </c>
      <c r="B14" s="89">
        <f>group3Maintenance*group3PhysicalServers</f>
        <v>135866.4</v>
      </c>
      <c r="C14" s="89">
        <f t="shared" si="2"/>
        <v>139942.39199999999</v>
      </c>
      <c r="D14" s="89">
        <f t="shared" si="2"/>
        <v>144140.66376</v>
      </c>
      <c r="E14" s="89">
        <f t="shared" si="2"/>
        <v>148464.8836728</v>
      </c>
      <c r="F14" s="89">
        <f t="shared" si="2"/>
        <v>152918.83018298401</v>
      </c>
      <c r="G14" s="92">
        <f t="shared" si="1"/>
        <v>721333.16961578408</v>
      </c>
    </row>
    <row r="15" spans="1:7" x14ac:dyDescent="0.25">
      <c r="A15" s="20" t="s">
        <v>151</v>
      </c>
      <c r="B15" s="89">
        <f>group4Maintenance*group4PhysicalServers</f>
        <v>203799.59999999998</v>
      </c>
      <c r="C15" s="89">
        <f t="shared" si="2"/>
        <v>209913.58799999999</v>
      </c>
      <c r="D15" s="89">
        <f t="shared" si="2"/>
        <v>216210.99564000001</v>
      </c>
      <c r="E15" s="89">
        <f t="shared" si="2"/>
        <v>222697.32550920002</v>
      </c>
      <c r="F15" s="89">
        <f t="shared" si="2"/>
        <v>229378.24527447604</v>
      </c>
      <c r="G15" s="92">
        <f t="shared" si="1"/>
        <v>1081999.7544236761</v>
      </c>
    </row>
    <row r="16" spans="1:7" x14ac:dyDescent="0.25">
      <c r="A16" s="20" t="s">
        <v>16</v>
      </c>
      <c r="B16" s="89">
        <f>TrainingCost*EmployeesTrained12</f>
        <v>10000</v>
      </c>
      <c r="C16" s="89">
        <f>TrainingCost*EmployeesTrained12</f>
        <v>10000</v>
      </c>
      <c r="D16" s="89">
        <f>TrainingCost*EmployeesTrained345</f>
        <v>5000</v>
      </c>
      <c r="E16" s="89">
        <f>TrainingCost*EmployeesTrained345</f>
        <v>5000</v>
      </c>
      <c r="F16" s="89">
        <f>TrainingCost*EmployeesTrained345</f>
        <v>5000</v>
      </c>
      <c r="G16" s="92">
        <f t="shared" si="1"/>
        <v>35000</v>
      </c>
    </row>
    <row r="17" spans="1:8" x14ac:dyDescent="0.25">
      <c r="A17" s="20" t="s">
        <v>38</v>
      </c>
      <c r="B17" s="89">
        <f>securityAuditing*no_of_MonthsYear</f>
        <v>66000</v>
      </c>
      <c r="C17" s="89">
        <f>securityAuditing*no_of_MonthsYear</f>
        <v>66000</v>
      </c>
      <c r="D17" s="89">
        <f>securityAuditing*no_of_MonthsYear</f>
        <v>66000</v>
      </c>
      <c r="E17" s="89">
        <f>securityAuditing*no_of_MonthsYear</f>
        <v>66000</v>
      </c>
      <c r="F17" s="89">
        <f>securityAuditing*no_of_MonthsYear</f>
        <v>66000</v>
      </c>
      <c r="G17" s="92">
        <f t="shared" si="1"/>
        <v>330000</v>
      </c>
    </row>
    <row r="18" spans="1:8" x14ac:dyDescent="0.25">
      <c r="A18" s="20" t="s">
        <v>39</v>
      </c>
      <c r="B18" s="89">
        <f>year12_archivalBackups*no_of_MonthsYear</f>
        <v>90000</v>
      </c>
      <c r="C18" s="89">
        <f>year12_archivalBackups*no_of_MonthsYear</f>
        <v>90000</v>
      </c>
      <c r="D18" s="89">
        <f>year345_archivalBackups*no_of_MonthsYear</f>
        <v>120000</v>
      </c>
      <c r="E18" s="89">
        <f>year345_archivalBackups*no_of_MonthsYear</f>
        <v>120000</v>
      </c>
      <c r="F18" s="89">
        <f>year345_archivalBackups*no_of_MonthsYear</f>
        <v>120000</v>
      </c>
      <c r="G18" s="92">
        <f t="shared" si="1"/>
        <v>540000</v>
      </c>
    </row>
    <row r="19" spans="1:8" ht="15" customHeight="1" x14ac:dyDescent="0.25">
      <c r="A19" s="131"/>
      <c r="B19" s="132"/>
      <c r="C19" s="132"/>
      <c r="D19" s="132"/>
      <c r="E19" s="132"/>
      <c r="F19" s="133"/>
      <c r="G19" s="16"/>
    </row>
    <row r="20" spans="1:8" ht="17.25" customHeight="1" x14ac:dyDescent="0.25">
      <c r="A20" s="27" t="s">
        <v>2</v>
      </c>
      <c r="B20" s="90">
        <f>SUM(B5:B18)</f>
        <v>128494936.95999999</v>
      </c>
      <c r="C20" s="90">
        <f>SUM(C7:C18)</f>
        <v>15877472.099199999</v>
      </c>
      <c r="D20" s="90">
        <f t="shared" ref="D20:F20" si="3">SUM(D7:D18)</f>
        <v>16357447.333184004</v>
      </c>
      <c r="E20" s="90">
        <f t="shared" si="3"/>
        <v>16825744.445607685</v>
      </c>
      <c r="F20" s="90">
        <f t="shared" si="3"/>
        <v>17307756.54525264</v>
      </c>
      <c r="G20" s="93">
        <f>SUM(B20:F20)</f>
        <v>194863357.38324434</v>
      </c>
    </row>
    <row r="21" spans="1:8" ht="14.25" customHeight="1" x14ac:dyDescent="0.25">
      <c r="A21" s="131"/>
      <c r="B21" s="132"/>
      <c r="C21" s="132"/>
      <c r="D21" s="132"/>
      <c r="E21" s="132"/>
      <c r="F21" s="133"/>
      <c r="G21" s="16"/>
    </row>
    <row r="22" spans="1:8" x14ac:dyDescent="0.25">
      <c r="A22" s="24" t="s">
        <v>20</v>
      </c>
      <c r="B22" s="93">
        <f>Total5YearProposedHardCosts</f>
        <v>194863357.38324434</v>
      </c>
      <c r="C22" s="138"/>
      <c r="D22" s="139"/>
      <c r="E22" s="139"/>
      <c r="F22" s="140"/>
      <c r="G22" s="16"/>
    </row>
    <row r="23" spans="1:8" x14ac:dyDescent="0.25">
      <c r="A23" s="131"/>
      <c r="B23" s="132"/>
      <c r="C23" s="132"/>
      <c r="D23" s="132"/>
      <c r="E23" s="132"/>
      <c r="F23" s="133"/>
      <c r="G23" s="16"/>
    </row>
    <row r="24" spans="1:8" ht="18.75" x14ac:dyDescent="0.3">
      <c r="A24" s="30" t="s">
        <v>3</v>
      </c>
      <c r="B24" s="9"/>
      <c r="C24" s="9"/>
      <c r="D24" s="9"/>
      <c r="E24" s="9"/>
      <c r="F24" s="10"/>
      <c r="G24" s="8"/>
    </row>
    <row r="25" spans="1:8" x14ac:dyDescent="0.25">
      <c r="A25" s="20" t="s">
        <v>61</v>
      </c>
      <c r="B25" s="91">
        <f>numWeeksPhysical*no_of_HoursAdminWeek*AdminCostPerHour*group1PhysicalServers</f>
        <v>17500000</v>
      </c>
      <c r="C25" s="91">
        <f>B25*admin_payIncrease</f>
        <v>17850000</v>
      </c>
      <c r="D25" s="91">
        <f>C25*admin_payIncrease</f>
        <v>18207000</v>
      </c>
      <c r="E25" s="91">
        <f>D25*admin_payIncrease</f>
        <v>18571140</v>
      </c>
      <c r="F25" s="91">
        <f>E25*admin_payIncrease</f>
        <v>18942562.800000001</v>
      </c>
      <c r="G25" s="92">
        <f>SUM(B25:F25)</f>
        <v>91070702.799999997</v>
      </c>
    </row>
    <row r="26" spans="1:8" x14ac:dyDescent="0.25">
      <c r="A26" s="20" t="s">
        <v>64</v>
      </c>
      <c r="B26" s="91">
        <f>numWeeksPhysical*no_of_HoursAdminWeek*AdminCostPerHour*group1VirtualizedServers*percentCostVirtual</f>
        <v>70000000</v>
      </c>
      <c r="C26" s="91">
        <f t="shared" ref="C26:F32" si="4">B26*AdminPayIncrease</f>
        <v>71400000</v>
      </c>
      <c r="D26" s="91">
        <f t="shared" si="4"/>
        <v>72828000</v>
      </c>
      <c r="E26" s="91">
        <f t="shared" si="4"/>
        <v>74284560</v>
      </c>
      <c r="F26" s="91">
        <f t="shared" si="4"/>
        <v>75770251.200000003</v>
      </c>
      <c r="G26" s="92">
        <f t="shared" ref="G26:G32" si="5">SUM(B26:F26)</f>
        <v>364282811.19999999</v>
      </c>
      <c r="H26" s="22"/>
    </row>
    <row r="27" spans="1:8" x14ac:dyDescent="0.25">
      <c r="A27" s="20" t="s">
        <v>62</v>
      </c>
      <c r="B27" s="91">
        <f>numWeeksPhysical*no_of_HoursAdminWeek*AdminCostPerHour*group2PhysicalServers</f>
        <v>14000000</v>
      </c>
      <c r="C27" s="91">
        <f t="shared" si="4"/>
        <v>14280000</v>
      </c>
      <c r="D27" s="91">
        <f t="shared" si="4"/>
        <v>14565600</v>
      </c>
      <c r="E27" s="91">
        <f t="shared" si="4"/>
        <v>14856912</v>
      </c>
      <c r="F27" s="91">
        <f t="shared" si="4"/>
        <v>15154050.24</v>
      </c>
      <c r="G27" s="92">
        <f t="shared" si="5"/>
        <v>72856562.239999995</v>
      </c>
    </row>
    <row r="28" spans="1:8" x14ac:dyDescent="0.25">
      <c r="A28" s="20" t="s">
        <v>65</v>
      </c>
      <c r="B28" s="91">
        <f>numWeeksPhysical*no_of_HoursAdminWeek*AdminCostPerHour*group2VirtualizedServers*percentCostVirtual</f>
        <v>24500000</v>
      </c>
      <c r="C28" s="91">
        <f t="shared" si="4"/>
        <v>24990000</v>
      </c>
      <c r="D28" s="91">
        <f t="shared" si="4"/>
        <v>25489800</v>
      </c>
      <c r="E28" s="91">
        <f t="shared" si="4"/>
        <v>25999596</v>
      </c>
      <c r="F28" s="91">
        <f t="shared" si="4"/>
        <v>26519587.920000002</v>
      </c>
      <c r="G28" s="92">
        <f t="shared" si="5"/>
        <v>127498983.92</v>
      </c>
    </row>
    <row r="29" spans="1:8" x14ac:dyDescent="0.25">
      <c r="A29" s="20" t="s">
        <v>63</v>
      </c>
      <c r="B29" s="91">
        <f>numWeeksPhysical*no_of_HoursAdminWeek*AdminCostPerHour*group3PhysicalServers</f>
        <v>1400000</v>
      </c>
      <c r="C29" s="91">
        <f t="shared" si="4"/>
        <v>1428000</v>
      </c>
      <c r="D29" s="91">
        <f t="shared" si="4"/>
        <v>1456560</v>
      </c>
      <c r="E29" s="91">
        <f t="shared" si="4"/>
        <v>1485691.2</v>
      </c>
      <c r="F29" s="91">
        <f t="shared" si="4"/>
        <v>1515405.024</v>
      </c>
      <c r="G29" s="92">
        <f t="shared" si="5"/>
        <v>7285656.2240000004</v>
      </c>
    </row>
    <row r="30" spans="1:8" x14ac:dyDescent="0.25">
      <c r="A30" s="20" t="s">
        <v>66</v>
      </c>
      <c r="B30" s="91">
        <f>numWeeksPhysical*no_of_HoursAdminWeek*AdminCostPerHour*group3VirtualizedServers*percentCostVirtual</f>
        <v>5250000</v>
      </c>
      <c r="C30" s="91">
        <f t="shared" si="4"/>
        <v>5355000</v>
      </c>
      <c r="D30" s="91">
        <f t="shared" si="4"/>
        <v>5462100</v>
      </c>
      <c r="E30" s="91">
        <f t="shared" si="4"/>
        <v>5571342</v>
      </c>
      <c r="F30" s="91">
        <f t="shared" si="4"/>
        <v>5682768.8399999999</v>
      </c>
      <c r="G30" s="92">
        <f t="shared" si="5"/>
        <v>27321210.84</v>
      </c>
    </row>
    <row r="31" spans="1:8" x14ac:dyDescent="0.25">
      <c r="A31" s="20" t="s">
        <v>152</v>
      </c>
      <c r="B31" s="91">
        <f>numWeeksPhysical*no_of_HoursAdminWeek*AdminCostPerHour*group4PhysicalServers</f>
        <v>2100000</v>
      </c>
      <c r="C31" s="91">
        <f t="shared" si="4"/>
        <v>2142000</v>
      </c>
      <c r="D31" s="91">
        <f t="shared" si="4"/>
        <v>2184840</v>
      </c>
      <c r="E31" s="91">
        <f t="shared" si="4"/>
        <v>2228536.7999999998</v>
      </c>
      <c r="F31" s="91">
        <f t="shared" si="4"/>
        <v>2273107.5359999998</v>
      </c>
      <c r="G31" s="92">
        <f t="shared" si="5"/>
        <v>10928484.336000001</v>
      </c>
    </row>
    <row r="32" spans="1:8" x14ac:dyDescent="0.25">
      <c r="A32" s="44" t="s">
        <v>153</v>
      </c>
      <c r="B32" s="91">
        <f>numWeeksPhysical*no_of_HoursAdminWeek*AdminCostPerHour*group4VirtualizedServers*percentCostVirtual</f>
        <v>10500000</v>
      </c>
      <c r="C32" s="91">
        <f t="shared" si="4"/>
        <v>10710000</v>
      </c>
      <c r="D32" s="91">
        <f t="shared" si="4"/>
        <v>10924200</v>
      </c>
      <c r="E32" s="91">
        <f t="shared" si="4"/>
        <v>11142684</v>
      </c>
      <c r="F32" s="91">
        <f t="shared" si="4"/>
        <v>11365537.68</v>
      </c>
      <c r="G32" s="92">
        <f t="shared" si="5"/>
        <v>54642421.68</v>
      </c>
    </row>
    <row r="33" spans="1:9" x14ac:dyDescent="0.25">
      <c r="A33" s="31" t="s">
        <v>95</v>
      </c>
      <c r="B33" s="94">
        <f>SUM(B25:B32)</f>
        <v>145250000</v>
      </c>
      <c r="C33" s="94">
        <f>SUM(C25:C32)</f>
        <v>148155000</v>
      </c>
      <c r="D33" s="94">
        <f t="shared" ref="D33:F33" si="6">SUM(D25:D32)</f>
        <v>151118100</v>
      </c>
      <c r="E33" s="94">
        <f t="shared" si="6"/>
        <v>154140462</v>
      </c>
      <c r="F33" s="94">
        <f t="shared" si="6"/>
        <v>157223271.24000001</v>
      </c>
      <c r="G33" s="92">
        <f>SUM(B33:F33)</f>
        <v>755886833.24000001</v>
      </c>
      <c r="H33" s="22"/>
    </row>
    <row r="34" spans="1:9" ht="15" customHeight="1" x14ac:dyDescent="0.25">
      <c r="A34" s="131"/>
      <c r="B34" s="132"/>
      <c r="C34" s="132"/>
      <c r="D34" s="132"/>
      <c r="E34" s="132"/>
      <c r="F34" s="133"/>
      <c r="G34" s="16"/>
    </row>
    <row r="35" spans="1:9" x14ac:dyDescent="0.25">
      <c r="A35" s="20" t="s">
        <v>68</v>
      </c>
      <c r="B35" s="91">
        <f>group1_numBackups*group1_numHoursBackup*group1PhysicalServers*AdminCostPerHour</f>
        <v>13687500</v>
      </c>
      <c r="C35" s="91">
        <f t="shared" ref="C35:F38" si="7">B35*AdminPayIncrease</f>
        <v>13961250</v>
      </c>
      <c r="D35" s="91">
        <f t="shared" si="7"/>
        <v>14240475</v>
      </c>
      <c r="E35" s="91">
        <f t="shared" si="7"/>
        <v>14525284.5</v>
      </c>
      <c r="F35" s="91">
        <f t="shared" si="7"/>
        <v>14815790.189999999</v>
      </c>
      <c r="G35" s="92">
        <f>SUM(B35:F35)</f>
        <v>71230299.689999998</v>
      </c>
    </row>
    <row r="36" spans="1:9" x14ac:dyDescent="0.25">
      <c r="A36" s="20" t="s">
        <v>69</v>
      </c>
      <c r="B36" s="91">
        <f>group2_numBackups*group2_numHoursBackup*group2PhysicalServers*AdminCostPerHour</f>
        <v>10950000</v>
      </c>
      <c r="C36" s="91">
        <f t="shared" si="7"/>
        <v>11169000</v>
      </c>
      <c r="D36" s="91">
        <f t="shared" si="7"/>
        <v>11392380</v>
      </c>
      <c r="E36" s="91">
        <f t="shared" si="7"/>
        <v>11620227.6</v>
      </c>
      <c r="F36" s="91">
        <f t="shared" si="7"/>
        <v>11852632.152000001</v>
      </c>
      <c r="G36" s="92">
        <f t="shared" ref="G36:G39" si="8">SUM(B36:F36)</f>
        <v>56984239.752000004</v>
      </c>
    </row>
    <row r="37" spans="1:9" x14ac:dyDescent="0.25">
      <c r="A37" s="20" t="s">
        <v>70</v>
      </c>
      <c r="B37" s="91">
        <f>group3_numBackups*group3_numHoursBackup*group3PhysicalServers*AdminCostPerHour</f>
        <v>1095000</v>
      </c>
      <c r="C37" s="91">
        <f t="shared" si="7"/>
        <v>1116900</v>
      </c>
      <c r="D37" s="91">
        <f t="shared" si="7"/>
        <v>1139238</v>
      </c>
      <c r="E37" s="91">
        <f t="shared" si="7"/>
        <v>1162022.76</v>
      </c>
      <c r="F37" s="91">
        <f t="shared" si="7"/>
        <v>1185263.2152</v>
      </c>
      <c r="G37" s="92">
        <f t="shared" si="8"/>
        <v>5698423.9751999993</v>
      </c>
    </row>
    <row r="38" spans="1:9" x14ac:dyDescent="0.25">
      <c r="A38" s="20" t="s">
        <v>154</v>
      </c>
      <c r="B38" s="91">
        <f>group4_numBackups*group4_numHoursBackup*group4PhysicalServers*AdminCostPerHour</f>
        <v>312000</v>
      </c>
      <c r="C38" s="91">
        <f t="shared" si="7"/>
        <v>318240</v>
      </c>
      <c r="D38" s="91">
        <f t="shared" si="7"/>
        <v>324604.79999999999</v>
      </c>
      <c r="E38" s="91">
        <f t="shared" si="7"/>
        <v>331096.89600000001</v>
      </c>
      <c r="F38" s="91">
        <f t="shared" si="7"/>
        <v>337718.83392</v>
      </c>
      <c r="G38" s="92">
        <f t="shared" si="8"/>
        <v>1623660.5299200001</v>
      </c>
    </row>
    <row r="39" spans="1:9" x14ac:dyDescent="0.25">
      <c r="A39" s="31" t="s">
        <v>96</v>
      </c>
      <c r="B39" s="94">
        <f>SUM(B35:B38)</f>
        <v>26044500</v>
      </c>
      <c r="C39" s="94">
        <f t="shared" ref="C39:F39" si="9">SUM(C35:C38)</f>
        <v>26565390</v>
      </c>
      <c r="D39" s="94">
        <f t="shared" si="9"/>
        <v>27096697.800000001</v>
      </c>
      <c r="E39" s="94">
        <f t="shared" si="9"/>
        <v>27638631.756000005</v>
      </c>
      <c r="F39" s="94">
        <f t="shared" si="9"/>
        <v>28191404.391119998</v>
      </c>
      <c r="G39" s="92">
        <f t="shared" si="8"/>
        <v>135536623.94711998</v>
      </c>
      <c r="I39" s="22"/>
    </row>
    <row r="40" spans="1:9" ht="15.75" customHeight="1" x14ac:dyDescent="0.25">
      <c r="A40" s="131"/>
      <c r="B40" s="132"/>
      <c r="C40" s="132"/>
      <c r="D40" s="132"/>
      <c r="E40" s="132"/>
      <c r="F40" s="133"/>
      <c r="G40" s="16"/>
    </row>
    <row r="41" spans="1:9" x14ac:dyDescent="0.25">
      <c r="A41" s="27" t="s">
        <v>4</v>
      </c>
      <c r="B41" s="94">
        <f>SUM(B33,B39)</f>
        <v>171294500</v>
      </c>
      <c r="C41" s="94">
        <f t="shared" ref="C41:F41" si="10">SUM(C33,C39)</f>
        <v>174720390</v>
      </c>
      <c r="D41" s="94">
        <f t="shared" si="10"/>
        <v>178214797.80000001</v>
      </c>
      <c r="E41" s="94">
        <f t="shared" si="10"/>
        <v>181779093.75600001</v>
      </c>
      <c r="F41" s="94">
        <f t="shared" si="10"/>
        <v>185414675.63112</v>
      </c>
      <c r="G41" s="93">
        <f>SUM(B41:F41)</f>
        <v>891423457.18711996</v>
      </c>
      <c r="H41" s="22"/>
      <c r="I41" s="22"/>
    </row>
    <row r="42" spans="1:9" ht="13.5" customHeight="1" x14ac:dyDescent="0.25">
      <c r="A42" s="131"/>
      <c r="B42" s="132"/>
      <c r="C42" s="132"/>
      <c r="D42" s="132"/>
      <c r="E42" s="132"/>
      <c r="F42" s="133"/>
      <c r="G42" s="16"/>
    </row>
    <row r="43" spans="1:9" x14ac:dyDescent="0.25">
      <c r="A43" s="23" t="s">
        <v>12</v>
      </c>
      <c r="B43" s="93">
        <f>Total5YearProposedSoftCosts</f>
        <v>891423457.18711996</v>
      </c>
      <c r="C43" s="138"/>
      <c r="D43" s="139"/>
      <c r="E43" s="139"/>
      <c r="F43" s="140"/>
      <c r="G43" s="16"/>
    </row>
    <row r="44" spans="1:9" x14ac:dyDescent="0.25">
      <c r="A44" s="28"/>
      <c r="B44" s="25"/>
      <c r="C44" s="25"/>
      <c r="D44" s="25"/>
      <c r="E44" s="25"/>
      <c r="F44" s="26"/>
      <c r="G44" s="16"/>
    </row>
    <row r="45" spans="1:9" x14ac:dyDescent="0.25">
      <c r="A45" s="31" t="s">
        <v>97</v>
      </c>
      <c r="B45" s="94">
        <f>B20+B41</f>
        <v>299789436.95999998</v>
      </c>
      <c r="C45" s="94">
        <f t="shared" ref="C45:F45" si="11">C20+C41</f>
        <v>190597862.09920001</v>
      </c>
      <c r="D45" s="94">
        <f>D20+D41</f>
        <v>194572245.13318402</v>
      </c>
      <c r="E45" s="94">
        <f t="shared" si="11"/>
        <v>198604838.2016077</v>
      </c>
      <c r="F45" s="94">
        <f t="shared" si="11"/>
        <v>202722432.17637265</v>
      </c>
      <c r="G45" s="95">
        <f>SUM(B45:F45)</f>
        <v>1086286814.5703645</v>
      </c>
    </row>
    <row r="46" spans="1:9" x14ac:dyDescent="0.25">
      <c r="A46" s="131"/>
      <c r="B46" s="132"/>
      <c r="C46" s="132"/>
      <c r="D46" s="132"/>
      <c r="E46" s="132"/>
      <c r="F46" s="133"/>
      <c r="G46" s="16"/>
    </row>
    <row r="47" spans="1:9" x14ac:dyDescent="0.25">
      <c r="A47" s="32" t="s">
        <v>98</v>
      </c>
      <c r="B47" s="95">
        <f>TotalProposedCost</f>
        <v>1086286814.5703645</v>
      </c>
      <c r="C47" s="21"/>
      <c r="D47" s="21"/>
      <c r="E47" s="21"/>
      <c r="F47" s="21"/>
      <c r="G47" s="16"/>
    </row>
  </sheetData>
  <mergeCells count="12">
    <mergeCell ref="G2:G3"/>
    <mergeCell ref="C43:F43"/>
    <mergeCell ref="A34:F34"/>
    <mergeCell ref="A40:F40"/>
    <mergeCell ref="A42:F42"/>
    <mergeCell ref="A46:F46"/>
    <mergeCell ref="A1:F1"/>
    <mergeCell ref="B2:F2"/>
    <mergeCell ref="A21:F21"/>
    <mergeCell ref="A23:F23"/>
    <mergeCell ref="C22:F22"/>
    <mergeCell ref="A19:F19"/>
  </mergeCells>
  <printOptions gridLines="1"/>
  <pageMargins left="0.27" right="0.19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4"/>
  <sheetViews>
    <sheetView tabSelected="1" zoomScale="80" zoomScaleNormal="80" workbookViewId="0">
      <selection activeCell="I16" sqref="I16"/>
    </sheetView>
  </sheetViews>
  <sheetFormatPr defaultColWidth="8.85546875" defaultRowHeight="15" x14ac:dyDescent="0.25"/>
  <cols>
    <col min="1" max="1" width="28.28515625" customWidth="1"/>
    <col min="2" max="2" width="41" customWidth="1"/>
    <col min="3" max="3" width="22.7109375" bestFit="1" customWidth="1"/>
    <col min="4" max="6" width="17.28515625" bestFit="1" customWidth="1"/>
    <col min="7" max="7" width="19.140625" bestFit="1" customWidth="1"/>
    <col min="9" max="9" width="24.42578125" bestFit="1" customWidth="1"/>
    <col min="10" max="10" width="30.28515625" bestFit="1" customWidth="1"/>
  </cols>
  <sheetData>
    <row r="1" spans="1:10" ht="21" x14ac:dyDescent="0.35">
      <c r="A1" s="146" t="s">
        <v>17</v>
      </c>
      <c r="B1" s="147"/>
      <c r="C1" s="147"/>
      <c r="D1" s="147"/>
      <c r="E1" s="147"/>
      <c r="F1" s="147"/>
      <c r="G1" s="148"/>
    </row>
    <row r="2" spans="1:10" ht="9" customHeight="1" x14ac:dyDescent="0.25">
      <c r="A2" s="131"/>
      <c r="B2" s="132"/>
      <c r="C2" s="132"/>
      <c r="D2" s="132"/>
      <c r="E2" s="132"/>
      <c r="F2" s="132"/>
      <c r="G2" s="133"/>
    </row>
    <row r="3" spans="1:10" x14ac:dyDescent="0.25">
      <c r="A3" s="16"/>
      <c r="B3" s="87" t="s">
        <v>0</v>
      </c>
      <c r="C3" s="131" t="s">
        <v>5</v>
      </c>
      <c r="D3" s="132"/>
      <c r="E3" s="132"/>
      <c r="F3" s="132"/>
      <c r="G3" s="133"/>
    </row>
    <row r="4" spans="1:10" x14ac:dyDescent="0.25">
      <c r="A4" s="16"/>
      <c r="B4" s="16"/>
      <c r="C4" s="87" t="s">
        <v>6</v>
      </c>
      <c r="D4" s="87" t="s">
        <v>7</v>
      </c>
      <c r="E4" s="87" t="s">
        <v>8</v>
      </c>
      <c r="F4" s="87" t="s">
        <v>9</v>
      </c>
      <c r="G4" s="86" t="s">
        <v>10</v>
      </c>
      <c r="H4" s="33"/>
    </row>
    <row r="5" spans="1:10" ht="18.75" x14ac:dyDescent="0.3">
      <c r="A5" s="30" t="s">
        <v>18</v>
      </c>
      <c r="B5" s="9"/>
      <c r="C5" s="9"/>
      <c r="D5" s="9"/>
      <c r="E5" s="9"/>
      <c r="F5" s="9"/>
      <c r="G5" s="9"/>
      <c r="H5" s="33"/>
    </row>
    <row r="6" spans="1:10" ht="20.100000000000001" customHeight="1" x14ac:dyDescent="0.25">
      <c r="A6" s="16"/>
      <c r="B6" s="35" t="s">
        <v>2</v>
      </c>
      <c r="C6" s="89">
        <f>CurrentYear1HardCosts</f>
        <v>10243427.4</v>
      </c>
      <c r="D6" s="89">
        <f>CurrentYear2HardCosts</f>
        <v>10517175.948000001</v>
      </c>
      <c r="E6" s="89">
        <f>CurrentYear3HardCosts</f>
        <v>10828559.466960002</v>
      </c>
      <c r="F6" s="89">
        <f>CurrentYear4HardCosts</f>
        <v>11117795.456299201</v>
      </c>
      <c r="G6" s="89">
        <f>CurrentYear5HardCosts</f>
        <v>11415107.709425185</v>
      </c>
      <c r="H6" s="34"/>
    </row>
    <row r="7" spans="1:10" ht="20.100000000000001" customHeight="1" x14ac:dyDescent="0.25">
      <c r="A7" s="16"/>
      <c r="B7" s="42" t="s">
        <v>20</v>
      </c>
      <c r="C7" s="90"/>
      <c r="D7" s="88"/>
      <c r="E7" s="88"/>
      <c r="F7" s="88"/>
      <c r="G7" s="88">
        <f>Total5YearCurrentHardCosts</f>
        <v>54122065.980684385</v>
      </c>
      <c r="H7" s="33"/>
    </row>
    <row r="8" spans="1:10" ht="20.100000000000001" customHeight="1" x14ac:dyDescent="0.25">
      <c r="A8" s="16"/>
      <c r="B8" s="35" t="s">
        <v>4</v>
      </c>
      <c r="C8" s="89">
        <f>CurrentYear1SoftCosts</f>
        <v>211037500</v>
      </c>
      <c r="D8" s="89">
        <f>CurrentYear2SoftCosts</f>
        <v>215258250</v>
      </c>
      <c r="E8" s="89">
        <f>CurrentYear3SoftCosts</f>
        <v>219563415</v>
      </c>
      <c r="F8" s="89">
        <f>CurrentYear4SoftCosts</f>
        <v>223954683.30000001</v>
      </c>
      <c r="G8" s="89">
        <f>CurrentYear5SoftCosts</f>
        <v>228433776.96600002</v>
      </c>
    </row>
    <row r="9" spans="1:10" ht="20.100000000000001" customHeight="1" x14ac:dyDescent="0.25">
      <c r="A9" s="16"/>
      <c r="B9" s="42" t="s">
        <v>21</v>
      </c>
      <c r="C9" s="90"/>
      <c r="D9" s="88"/>
      <c r="E9" s="88"/>
      <c r="F9" s="88"/>
      <c r="G9" s="88">
        <f>Total5YearCurrentSoftCosts</f>
        <v>1098247625.266</v>
      </c>
    </row>
    <row r="10" spans="1:10" ht="20.100000000000001" customHeight="1" x14ac:dyDescent="0.25">
      <c r="A10" s="36" t="s">
        <v>93</v>
      </c>
      <c r="B10" s="97">
        <f>TotalCurrentCost</f>
        <v>1152369691.2466846</v>
      </c>
      <c r="C10" s="138"/>
      <c r="D10" s="139"/>
      <c r="E10" s="139"/>
      <c r="F10" s="139"/>
      <c r="G10" s="140"/>
    </row>
    <row r="11" spans="1:10" ht="18.75" customHeight="1" x14ac:dyDescent="0.25">
      <c r="A11" s="131"/>
      <c r="B11" s="132"/>
      <c r="C11" s="132"/>
      <c r="D11" s="132"/>
      <c r="E11" s="132"/>
      <c r="F11" s="132"/>
      <c r="G11" s="133"/>
    </row>
    <row r="12" spans="1:10" ht="18.75" x14ac:dyDescent="0.3">
      <c r="A12" s="30" t="s">
        <v>19</v>
      </c>
      <c r="B12" s="9"/>
      <c r="C12" s="9"/>
      <c r="D12" s="9"/>
      <c r="E12" s="9"/>
      <c r="F12" s="9"/>
      <c r="G12" s="10"/>
    </row>
    <row r="13" spans="1:10" ht="20.100000000000001" customHeight="1" x14ac:dyDescent="0.25">
      <c r="A13" s="16"/>
      <c r="B13" s="16" t="s">
        <v>2</v>
      </c>
      <c r="C13" s="89">
        <f>ProposedYear1HardCosts</f>
        <v>128494936.95999999</v>
      </c>
      <c r="D13" s="89">
        <f>ProposedYear2HardCosts</f>
        <v>15877472.099199999</v>
      </c>
      <c r="E13" s="89">
        <f>ProposedYear3HardCosts</f>
        <v>16357447.333184004</v>
      </c>
      <c r="F13" s="89">
        <f>ProposedYear4HardCosts</f>
        <v>16825744.445607685</v>
      </c>
      <c r="G13" s="89">
        <f>ProposedYear5HardCosts</f>
        <v>17307756.54525264</v>
      </c>
    </row>
    <row r="14" spans="1:10" ht="20.100000000000001" customHeight="1" x14ac:dyDescent="0.25">
      <c r="A14" s="16"/>
      <c r="B14" s="43" t="s">
        <v>20</v>
      </c>
      <c r="C14" s="90"/>
      <c r="D14" s="88"/>
      <c r="E14" s="88"/>
      <c r="F14" s="88"/>
      <c r="G14" s="88">
        <f>Total5YearProposedHardCosts</f>
        <v>194863357.38324434</v>
      </c>
    </row>
    <row r="15" spans="1:10" ht="20.100000000000001" customHeight="1" x14ac:dyDescent="0.25">
      <c r="A15" s="16"/>
      <c r="B15" s="16" t="s">
        <v>4</v>
      </c>
      <c r="C15" s="89">
        <f>ProposedYear1SoftCosts</f>
        <v>171294500</v>
      </c>
      <c r="D15" s="89">
        <f>ProposedYear2SoftCosts</f>
        <v>174720390</v>
      </c>
      <c r="E15" s="89">
        <f>ProposedYear3SoftCosts</f>
        <v>178214797.80000001</v>
      </c>
      <c r="F15" s="89">
        <f>ProposedYear4SoftCosts</f>
        <v>181779093.75600001</v>
      </c>
      <c r="G15" s="89">
        <f>ProposedYear5SoftCosts</f>
        <v>185414675.63112</v>
      </c>
    </row>
    <row r="16" spans="1:10" ht="20.100000000000001" customHeight="1" x14ac:dyDescent="0.25">
      <c r="A16" s="16"/>
      <c r="B16" s="43" t="s">
        <v>21</v>
      </c>
      <c r="C16" s="90"/>
      <c r="D16" s="88"/>
      <c r="E16" s="88"/>
      <c r="F16" s="88"/>
      <c r="G16" s="88">
        <f>Total5YearProposedSoftCosts</f>
        <v>891423457.18711996</v>
      </c>
      <c r="J16" s="153"/>
    </row>
    <row r="17" spans="1:10" ht="20.100000000000001" customHeight="1" x14ac:dyDescent="0.25">
      <c r="A17" s="37" t="s">
        <v>93</v>
      </c>
      <c r="B17" s="98">
        <f>TotalProposedCost</f>
        <v>1086286814.5703645</v>
      </c>
      <c r="C17" s="149"/>
      <c r="D17" s="150"/>
      <c r="E17" s="150"/>
      <c r="F17" s="150"/>
      <c r="G17" s="151"/>
    </row>
    <row r="18" spans="1:10" ht="18" customHeight="1" x14ac:dyDescent="0.25">
      <c r="A18" s="13"/>
      <c r="B18" s="14"/>
      <c r="C18" s="14"/>
      <c r="D18" s="14"/>
      <c r="E18" s="14"/>
      <c r="F18" s="14"/>
      <c r="G18" s="15"/>
      <c r="I18" t="s">
        <v>256</v>
      </c>
      <c r="J18" t="s">
        <v>258</v>
      </c>
    </row>
    <row r="19" spans="1:10" ht="15.75" x14ac:dyDescent="0.25">
      <c r="A19" s="142" t="s">
        <v>22</v>
      </c>
      <c r="B19" s="143"/>
      <c r="C19" s="154">
        <f>G7-G14</f>
        <v>-140741291.40255994</v>
      </c>
      <c r="D19" s="14"/>
      <c r="E19" s="14"/>
      <c r="F19" s="14"/>
      <c r="G19" s="15"/>
      <c r="I19" s="152">
        <f>C21/B10</f>
        <v>5.7345205430410696E-2</v>
      </c>
      <c r="J19" s="152">
        <f>C20/G9</f>
        <v>0.1883219806906356</v>
      </c>
    </row>
    <row r="20" spans="1:10" ht="15.75" x14ac:dyDescent="0.25">
      <c r="A20" s="144" t="s">
        <v>23</v>
      </c>
      <c r="B20" s="145"/>
      <c r="C20" s="99">
        <f>G9-G16</f>
        <v>206824168.07888007</v>
      </c>
      <c r="D20" s="14"/>
      <c r="E20" s="14"/>
      <c r="F20" s="14"/>
      <c r="G20" s="15"/>
    </row>
    <row r="21" spans="1:10" ht="18.75" x14ac:dyDescent="0.3">
      <c r="A21" s="38"/>
      <c r="B21" s="39" t="s">
        <v>24</v>
      </c>
      <c r="C21" s="100">
        <f>B10-B17</f>
        <v>66082876.676320076</v>
      </c>
      <c r="D21" s="17"/>
      <c r="E21" s="17"/>
      <c r="F21" s="17"/>
      <c r="G21" s="18"/>
      <c r="J21" t="s">
        <v>257</v>
      </c>
    </row>
    <row r="22" spans="1:10" x14ac:dyDescent="0.25">
      <c r="J22" s="152">
        <f>C19/B10</f>
        <v>-0.12213206618641607</v>
      </c>
    </row>
    <row r="24" spans="1:10" x14ac:dyDescent="0.25">
      <c r="B24" s="22"/>
    </row>
  </sheetData>
  <mergeCells count="8">
    <mergeCell ref="A19:B19"/>
    <mergeCell ref="A20:B20"/>
    <mergeCell ref="A1:G1"/>
    <mergeCell ref="A11:G11"/>
    <mergeCell ref="A2:G2"/>
    <mergeCell ref="C3:G3"/>
    <mergeCell ref="C10:G10"/>
    <mergeCell ref="C17:G17"/>
  </mergeCells>
  <printOptions gridLines="1"/>
  <pageMargins left="0.7" right="0.48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115</vt:i4>
      </vt:variant>
    </vt:vector>
  </HeadingPairs>
  <TitlesOfParts>
    <vt:vector size="121" baseType="lpstr">
      <vt:lpstr>Constants</vt:lpstr>
      <vt:lpstr>Current - Variables</vt:lpstr>
      <vt:lpstr>Current Cost Structure</vt:lpstr>
      <vt:lpstr>Proposed - Variables</vt:lpstr>
      <vt:lpstr>Virtualized Cost Structure</vt:lpstr>
      <vt:lpstr>Project Cost Summary</vt:lpstr>
      <vt:lpstr>admin_payIncrease</vt:lpstr>
      <vt:lpstr>AdminCostPerHour</vt:lpstr>
      <vt:lpstr>AdminPayIncrease</vt:lpstr>
      <vt:lpstr>costPerKwH</vt:lpstr>
      <vt:lpstr>CurrentYear1HardCosts</vt:lpstr>
      <vt:lpstr>CurrentYear1SoftCosts</vt:lpstr>
      <vt:lpstr>CurrentYear2HardCosts</vt:lpstr>
      <vt:lpstr>CurrentYear2SoftCosts</vt:lpstr>
      <vt:lpstr>CurrentYear3HardCosts</vt:lpstr>
      <vt:lpstr>CurrentYear3SoftCosts</vt:lpstr>
      <vt:lpstr>CurrentYear4HardCosts</vt:lpstr>
      <vt:lpstr>CurrentYear4SoftCosts</vt:lpstr>
      <vt:lpstr>CurrentYear5HardCosts</vt:lpstr>
      <vt:lpstr>CurrentYear5SoftCosts</vt:lpstr>
      <vt:lpstr>EmployeesTrained12</vt:lpstr>
      <vt:lpstr>EmployeesTrained345</vt:lpstr>
      <vt:lpstr>group1_adminWeeks</vt:lpstr>
      <vt:lpstr>group1_avgLoad</vt:lpstr>
      <vt:lpstr>group1_hoursPerBackup</vt:lpstr>
      <vt:lpstr>group1_maintenance</vt:lpstr>
      <vt:lpstr>group1_no_of_backups</vt:lpstr>
      <vt:lpstr>group1_no_of_servers</vt:lpstr>
      <vt:lpstr>group1_numBackups</vt:lpstr>
      <vt:lpstr>group1_numHoursBackup</vt:lpstr>
      <vt:lpstr>group1_power</vt:lpstr>
      <vt:lpstr>group1Cost</vt:lpstr>
      <vt:lpstr>group1Maintenance</vt:lpstr>
      <vt:lpstr>group1PhysicalServers</vt:lpstr>
      <vt:lpstr>group1VirtualizedServers</vt:lpstr>
      <vt:lpstr>group2_adminWeeks</vt:lpstr>
      <vt:lpstr>group2_avgLoad</vt:lpstr>
      <vt:lpstr>group2_hoursPerBackup</vt:lpstr>
      <vt:lpstr>group2_maintenance</vt:lpstr>
      <vt:lpstr>group2_no_of_backups</vt:lpstr>
      <vt:lpstr>group2_no_of_servers</vt:lpstr>
      <vt:lpstr>group2_numBackups</vt:lpstr>
      <vt:lpstr>group2_numHoursBackup</vt:lpstr>
      <vt:lpstr>group2_power</vt:lpstr>
      <vt:lpstr>group2Cost</vt:lpstr>
      <vt:lpstr>group2Maintenance</vt:lpstr>
      <vt:lpstr>group2PhysicalServers</vt:lpstr>
      <vt:lpstr>group2VirtualizedServers</vt:lpstr>
      <vt:lpstr>group3_adminWeeks</vt:lpstr>
      <vt:lpstr>group3_avgLoad</vt:lpstr>
      <vt:lpstr>group3_hoursPerBackup</vt:lpstr>
      <vt:lpstr>group3_maintenance</vt:lpstr>
      <vt:lpstr>group3_no_of_backups</vt:lpstr>
      <vt:lpstr>group3_no_of_servers</vt:lpstr>
      <vt:lpstr>group3_numBackups</vt:lpstr>
      <vt:lpstr>group3_numHoursBackup</vt:lpstr>
      <vt:lpstr>group3_power</vt:lpstr>
      <vt:lpstr>group3Cost</vt:lpstr>
      <vt:lpstr>group3Maintenance</vt:lpstr>
      <vt:lpstr>group3PhysicalServers</vt:lpstr>
      <vt:lpstr>group3VirtualizedServers</vt:lpstr>
      <vt:lpstr>group4_numBackups</vt:lpstr>
      <vt:lpstr>group4_numHoursBackup</vt:lpstr>
      <vt:lpstr>group4A_adminWeeks</vt:lpstr>
      <vt:lpstr>group4A_avgLoad</vt:lpstr>
      <vt:lpstr>group4A_hoursPerBackup</vt:lpstr>
      <vt:lpstr>group4A_maintenance</vt:lpstr>
      <vt:lpstr>group4A_no_of_backups</vt:lpstr>
      <vt:lpstr>group4A_no_of_servers</vt:lpstr>
      <vt:lpstr>group4A_power</vt:lpstr>
      <vt:lpstr>group4B_adminWeeks</vt:lpstr>
      <vt:lpstr>group4B_avgLoad</vt:lpstr>
      <vt:lpstr>group4B_hoursPerBackup</vt:lpstr>
      <vt:lpstr>group4B_maintenance</vt:lpstr>
      <vt:lpstr>group4B_no_of_backups</vt:lpstr>
      <vt:lpstr>group4B_no_of_servers</vt:lpstr>
      <vt:lpstr>group4B_power</vt:lpstr>
      <vt:lpstr>group4Cost</vt:lpstr>
      <vt:lpstr>group4Maintenance</vt:lpstr>
      <vt:lpstr>group4PhysicalServers</vt:lpstr>
      <vt:lpstr>group4VirtualizedServers</vt:lpstr>
      <vt:lpstr>groupAB_maintenance</vt:lpstr>
      <vt:lpstr>HoursServerDay</vt:lpstr>
      <vt:lpstr>no_of_DaysYear</vt:lpstr>
      <vt:lpstr>no_of_HoursAdminDay</vt:lpstr>
      <vt:lpstr>no_of_HoursAdminWeek</vt:lpstr>
      <vt:lpstr>no_of_HoursYear</vt:lpstr>
      <vt:lpstr>no_of_MonthsYear</vt:lpstr>
      <vt:lpstr>no_of_WattsPerKilowatt</vt:lpstr>
      <vt:lpstr>no_of_WeeksYear</vt:lpstr>
      <vt:lpstr>numWeeksPhysical</vt:lpstr>
      <vt:lpstr>percentCostVirtual</vt:lpstr>
      <vt:lpstr>powerGroup1</vt:lpstr>
      <vt:lpstr>powerGroup2</vt:lpstr>
      <vt:lpstr>powerGroup3</vt:lpstr>
      <vt:lpstr>powerGroup4</vt:lpstr>
      <vt:lpstr>powerIncreasePerYear</vt:lpstr>
      <vt:lpstr>ProposedYear1HardCosts</vt:lpstr>
      <vt:lpstr>ProposedYear1SoftCosts</vt:lpstr>
      <vt:lpstr>ProposedYear2HardCosts</vt:lpstr>
      <vt:lpstr>ProposedYear2SoftCosts</vt:lpstr>
      <vt:lpstr>ProposedYear3HardCosts</vt:lpstr>
      <vt:lpstr>ProposedYear3SoftCosts</vt:lpstr>
      <vt:lpstr>ProposedYear4HardCosts</vt:lpstr>
      <vt:lpstr>ProposedYear4SoftCosts</vt:lpstr>
      <vt:lpstr>ProposedYear5HardCosts</vt:lpstr>
      <vt:lpstr>ProposedYear5SoftCosts</vt:lpstr>
      <vt:lpstr>securityAuditing</vt:lpstr>
      <vt:lpstr>ServerMaintenanceRateIncrease</vt:lpstr>
      <vt:lpstr>Total5YearCurrentHardCosts</vt:lpstr>
      <vt:lpstr>Total5YearCurrentSoftCosts</vt:lpstr>
      <vt:lpstr>Total5YearProposedHardCosts</vt:lpstr>
      <vt:lpstr>Total5YearProposedSoftCosts</vt:lpstr>
      <vt:lpstr>Total5YearSoftCosts</vt:lpstr>
      <vt:lpstr>TotalCurrentCost</vt:lpstr>
      <vt:lpstr>TotalProposedCost</vt:lpstr>
      <vt:lpstr>TrainingCost</vt:lpstr>
      <vt:lpstr>VirtualMainCost</vt:lpstr>
      <vt:lpstr>VirtualSoftwareCost</vt:lpstr>
      <vt:lpstr>year12_archivalBackups</vt:lpstr>
      <vt:lpstr>year345_archivalBackups</vt:lpstr>
    </vt:vector>
  </TitlesOfParts>
  <Company>UCF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Llewellyn</dc:creator>
  <cp:lastModifiedBy>Carlos Fuentes</cp:lastModifiedBy>
  <cp:lastPrinted>2011-02-16T20:17:28Z</cp:lastPrinted>
  <dcterms:created xsi:type="dcterms:W3CDTF">2011-02-02T19:28:52Z</dcterms:created>
  <dcterms:modified xsi:type="dcterms:W3CDTF">2021-02-28T19:32:44Z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34a74cea-304a-4334-977e-d4b8a99cf599</vt:lpwstr>
  </property>
</Properties>
</file>