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nds" sheetId="1" r:id="rId4"/>
    <sheet state="visible" name="Datasets" sheetId="2" r:id="rId5"/>
    <sheet state="visible" name="Excluded" sheetId="3" r:id="rId6"/>
  </sheets>
  <definedNames/>
  <calcPr/>
</workbook>
</file>

<file path=xl/sharedStrings.xml><?xml version="1.0" encoding="utf-8"?>
<sst xmlns="http://schemas.openxmlformats.org/spreadsheetml/2006/main" count="3243" uniqueCount="843">
  <si>
    <t>Dataset Statistics</t>
  </si>
  <si>
    <t>Publication by year</t>
  </si>
  <si>
    <t>Datasets Focus</t>
  </si>
  <si>
    <t>-&gt; Sorted</t>
  </si>
  <si>
    <t>Traffic Normal</t>
  </si>
  <si>
    <t>Traffic Attack</t>
  </si>
  <si>
    <t>Year</t>
  </si>
  <si>
    <t>General</t>
  </si>
  <si>
    <t>Special</t>
  </si>
  <si>
    <t>Sum</t>
  </si>
  <si>
    <t>Focus type</t>
  </si>
  <si>
    <t>Count</t>
  </si>
  <si>
    <t>Traffic type</t>
  </si>
  <si>
    <t>Normal</t>
  </si>
  <si>
    <t>Attack</t>
  </si>
  <si>
    <t>Ratio</t>
  </si>
  <si>
    <t>Emul-v all</t>
  </si>
  <si>
    <t>General NIDS (LANs)</t>
  </si>
  <si>
    <t>Since</t>
  </si>
  <si>
    <t>General IDS (LANs)</t>
  </si>
  <si>
    <t>Before</t>
  </si>
  <si>
    <t>Botnet traffic</t>
  </si>
  <si>
    <t>IoT NIDS</t>
  </si>
  <si>
    <t>Emul-v pure</t>
  </si>
  <si>
    <t>NetFlow General NIDS</t>
  </si>
  <si>
    <t>IoT botnet activity</t>
  </si>
  <si>
    <t>General NIDS</t>
  </si>
  <si>
    <t>APT simulation</t>
  </si>
  <si>
    <t>Network anomalies</t>
  </si>
  <si>
    <t>DDoS attacks</t>
  </si>
  <si>
    <t>Buffer overflow</t>
  </si>
  <si>
    <t>Wireless NIDS</t>
  </si>
  <si>
    <t>General IDS</t>
  </si>
  <si>
    <t>Anomaly-based IDS</t>
  </si>
  <si>
    <t>IoT and IIoT IDS</t>
  </si>
  <si>
    <t>SDN NIDS</t>
  </si>
  <si>
    <t>ICS NIDS</t>
  </si>
  <si>
    <t>Payload analysis IDS</t>
  </si>
  <si>
    <t>Infiltration + DDoS attacks</t>
  </si>
  <si>
    <t>Cutoff point</t>
  </si>
  <si>
    <t>UDP amplification DDoS</t>
  </si>
  <si>
    <t>Datasets Before</t>
  </si>
  <si>
    <t>SSH brute-force</t>
  </si>
  <si>
    <t>Datasets After</t>
  </si>
  <si>
    <t>Attacks for salting</t>
  </si>
  <si>
    <t>Datasets total</t>
  </si>
  <si>
    <t>Cyclostationary NetFlow NIDS</t>
  </si>
  <si>
    <t>HTTP(S) Slow DoS</t>
  </si>
  <si>
    <t>NetFlow Port scans</t>
  </si>
  <si>
    <t>Attack Types Analysis</t>
  </si>
  <si>
    <t>Since 2020</t>
  </si>
  <si>
    <t>Special since</t>
  </si>
  <si>
    <t>Cloud IDS</t>
  </si>
  <si>
    <t>Attack Type</t>
  </si>
  <si>
    <t>Flooding DDoS</t>
  </si>
  <si>
    <t>total</t>
  </si>
  <si>
    <t>2020+</t>
  </si>
  <si>
    <t>2020-</t>
  </si>
  <si>
    <t>Brute-force</t>
  </si>
  <si>
    <t>IIoT NIDS</t>
  </si>
  <si>
    <t>emulation</t>
  </si>
  <si>
    <t>C&amp;C</t>
  </si>
  <si>
    <t>CPS IDS for OPC UA</t>
  </si>
  <si>
    <t>pure emul</t>
  </si>
  <si>
    <t>DoS</t>
  </si>
  <si>
    <t>HTTP(S) web attacks</t>
  </si>
  <si>
    <t>real + emul</t>
  </si>
  <si>
    <t>Reconaissance</t>
  </si>
  <si>
    <t>VoIP NIDS</t>
  </si>
  <si>
    <t>pure real</t>
  </si>
  <si>
    <t>Vulnerability</t>
  </si>
  <si>
    <t>Smart home IoT IDS</t>
  </si>
  <si>
    <t>Other</t>
  </si>
  <si>
    <t>IoT and IIoT NIDS</t>
  </si>
  <si>
    <t>Attacks</t>
  </si>
  <si>
    <t>Unspec</t>
  </si>
  <si>
    <t>Encrypted traffic NIDS</t>
  </si>
  <si>
    <t>Layer 7 web DoS</t>
  </si>
  <si>
    <t>Data Format Analysis</t>
  </si>
  <si>
    <t>Home IoT monitoring</t>
  </si>
  <si>
    <t>Unique combinations</t>
  </si>
  <si>
    <t>SDN NIDS via ports</t>
  </si>
  <si>
    <t>Name</t>
  </si>
  <si>
    <t>NetFlow anomalies</t>
  </si>
  <si>
    <t>Federated learning NIDS</t>
  </si>
  <si>
    <t>Robotic arm ICS NIDS</t>
  </si>
  <si>
    <t>emul-v X all emul</t>
  </si>
  <si>
    <t>Net Size Type Combinations Analysis</t>
  </si>
  <si>
    <t>large military</t>
  </si>
  <si>
    <t>large internet backbone</t>
  </si>
  <si>
    <t>n/a n/a</t>
  </si>
  <si>
    <t>honeypot honeypot</t>
  </si>
  <si>
    <t>small n/a</t>
  </si>
  <si>
    <t>large academic</t>
  </si>
  <si>
    <t>mixed mixed</t>
  </si>
  <si>
    <t>Data Formats Merged</t>
  </si>
  <si>
    <t>Format</t>
  </si>
  <si>
    <t>packet</t>
  </si>
  <si>
    <t>packet (bin)</t>
  </si>
  <si>
    <t>large academic honeypot</t>
  </si>
  <si>
    <t>packet (txt)</t>
  </si>
  <si>
    <t>small academic</t>
  </si>
  <si>
    <t>flows</t>
  </si>
  <si>
    <t>small wireless</t>
  </si>
  <si>
    <t>flows (bi)</t>
  </si>
  <si>
    <t>flows (uni)</t>
  </si>
  <si>
    <t>logs</t>
  </si>
  <si>
    <t>logs (host)</t>
  </si>
  <si>
    <t>large enterprise</t>
  </si>
  <si>
    <t>logs (net)</t>
  </si>
  <si>
    <t>packet,flows</t>
  </si>
  <si>
    <t>packet,logs</t>
  </si>
  <si>
    <t>large ISP</t>
  </si>
  <si>
    <t>flows,logs</t>
  </si>
  <si>
    <t>Feature Count Analysis</t>
  </si>
  <si>
    <t>small enterprise</t>
  </si>
  <si>
    <t>Category</t>
  </si>
  <si>
    <t>Under 16</t>
  </si>
  <si>
    <t>16-30</t>
  </si>
  <si>
    <t>31-50</t>
  </si>
  <si>
    <t>50+</t>
  </si>
  <si>
    <t>78 - 90</t>
  </si>
  <si>
    <t>medium n/a</t>
  </si>
  <si>
    <t>medium enterprise cloud</t>
  </si>
  <si>
    <t>Anonymization Analysis</t>
  </si>
  <si>
    <t>small IoT</t>
  </si>
  <si>
    <t>large n/a</t>
  </si>
  <si>
    <t>Size/Duration Analysis w.r.t. Time</t>
  </si>
  <si>
    <t>small IIoT</t>
  </si>
  <si>
    <t>small SDN</t>
  </si>
  <si>
    <t>small SDN IoT</t>
  </si>
  <si>
    <t>small VoIP</t>
  </si>
  <si>
    <t>small P2P</t>
  </si>
  <si>
    <t>We could technically clean this from outliers and analyze afterwards,</t>
  </si>
  <si>
    <t>but does not matter anyways - there is no apparent pattern visible.</t>
  </si>
  <si>
    <t>Correlation between duration and the number of entries</t>
  </si>
  <si>
    <t>small industrial</t>
  </si>
  <si>
    <t>medium IoT</t>
  </si>
  <si>
    <t>Duration Types Analysis</t>
  </si>
  <si>
    <t>Since given cut</t>
  </si>
  <si>
    <t xml:space="preserve"> </t>
  </si>
  <si>
    <t>Duration Type</t>
  </si>
  <si>
    <t>Net Size Type Unique Combinations Analysis</t>
  </si>
  <si>
    <t>Combination</t>
  </si>
  <si>
    <t>Coun</t>
  </si>
  <si>
    <t>Net Size Analysis</t>
  </si>
  <si>
    <t>Net size</t>
  </si>
  <si>
    <t>Net Type Analysis</t>
  </si>
  <si>
    <t>real captures</t>
  </si>
  <si>
    <t>What is the network type relationship to real captures?</t>
  </si>
  <si>
    <t>net type</t>
  </si>
  <si>
    <t>ratio</t>
  </si>
  <si>
    <t>academic</t>
  </si>
  <si>
    <t>enterprise</t>
  </si>
  <si>
    <t>Complete capture Analysis</t>
  </si>
  <si>
    <t>Since cutoff point</t>
  </si>
  <si>
    <t>Capture type</t>
  </si>
  <si>
    <t>Data Split  Analysis</t>
  </si>
  <si>
    <t>Labels Analysis</t>
  </si>
  <si>
    <t>Labeling type</t>
  </si>
  <si>
    <t>Data set</t>
  </si>
  <si>
    <t>Year Publ.</t>
  </si>
  <si>
    <t>Year Data Start</t>
  </si>
  <si>
    <t>Year Data End</t>
  </si>
  <si>
    <t>Focus</t>
  </si>
  <si>
    <t>Attacks Cnt</t>
  </si>
  <si>
    <t>Attacks Types</t>
  </si>
  <si>
    <t># Ftrs.</t>
  </si>
  <si>
    <t>Anon.</t>
  </si>
  <si>
    <t>Size packet</t>
  </si>
  <si>
    <t>Size flow/nethost recs</t>
  </si>
  <si>
    <t>Duration (h)</t>
  </si>
  <si>
    <t>Duration type</t>
  </si>
  <si>
    <t>Net type</t>
  </si>
  <si>
    <t>Compl.</t>
  </si>
  <si>
    <t>Split</t>
  </si>
  <si>
    <t>Labels</t>
  </si>
  <si>
    <t>Size orig</t>
  </si>
  <si>
    <t>Duration orig</t>
  </si>
  <si>
    <t>DARPA 1998</t>
  </si>
  <si>
    <t>emul-pv</t>
  </si>
  <si>
    <t>BDRVO</t>
  </si>
  <si>
    <t>packet (bin),logs (host)</t>
  </si>
  <si>
    <t>n/a</t>
  </si>
  <si>
    <t>no</t>
  </si>
  <si>
    <t>periodic</t>
  </si>
  <si>
    <t>large</t>
  </si>
  <si>
    <t>military</t>
  </si>
  <si>
    <t>yes</t>
  </si>
  <si>
    <t>33.8M + 2.2M pkts</t>
  </si>
  <si>
    <t>7x5 + 2x5d periodic</t>
  </si>
  <si>
    <t>GureKDDcup</t>
  </si>
  <si>
    <t>BRVO</t>
  </si>
  <si>
    <t>nethost</t>
  </si>
  <si>
    <t>178.8k recs</t>
  </si>
  <si>
    <t>KDD'99</t>
  </si>
  <si>
    <t>4.9M + 311k recs</t>
  </si>
  <si>
    <t>NSL-KDD</t>
  </si>
  <si>
    <t>126k + 22.5k recs</t>
  </si>
  <si>
    <t>DARPA 1999</t>
  </si>
  <si>
    <t>57.5M + 14.6M pkts</t>
  </si>
  <si>
    <t>3x5 + 2x5d periodic</t>
  </si>
  <si>
    <t>LLDOS</t>
  </si>
  <si>
    <t>DRV</t>
  </si>
  <si>
    <t>contiguous</t>
  </si>
  <si>
    <t>indir.</t>
  </si>
  <si>
    <t>1.044M + 585k pkts</t>
  </si>
  <si>
    <t>3.3h + 1.7h</t>
  </si>
  <si>
    <t>MAWILab</t>
  </si>
  <si>
    <t>real</t>
  </si>
  <si>
    <t>DR?</t>
  </si>
  <si>
    <t>IPs,payload</t>
  </si>
  <si>
    <t>dozens of M/day</t>
  </si>
  <si>
    <t>15m/day</t>
  </si>
  <si>
    <t>internet backbone</t>
  </si>
  <si>
    <t>Dozens of millions pkts/day</t>
  </si>
  <si>
    <t>CAIDA DDoS Attack 2007</t>
  </si>
  <si>
    <t>D</t>
  </si>
  <si>
    <t>46M pkts</t>
  </si>
  <si>
    <t>1h 6m</t>
  </si>
  <si>
    <t>Twente</t>
  </si>
  <si>
    <t>BR?</t>
  </si>
  <si>
    <t>IPs</t>
  </si>
  <si>
    <t>honeypot</t>
  </si>
  <si>
    <t>14.2M flows</t>
  </si>
  <si>
    <t>6d 10h</t>
  </si>
  <si>
    <t>ASNM-CDX</t>
  </si>
  <si>
    <t>emul-p</t>
  </si>
  <si>
    <t>V</t>
  </si>
  <si>
    <t>n.s.</t>
  </si>
  <si>
    <t>small</t>
  </si>
  <si>
    <t>5.7k flows</t>
  </si>
  <si>
    <t>CDX</t>
  </si>
  <si>
    <t>DRO?</t>
  </si>
  <si>
    <t>packet (bin),logs (both)</t>
  </si>
  <si>
    <t>24.4M pkts</t>
  </si>
  <si>
    <t>4 x 8h</t>
  </si>
  <si>
    <t>ISOT Botnet</t>
  </si>
  <si>
    <t>CO</t>
  </si>
  <si>
    <t>162M pkts</t>
  </si>
  <si>
    <t>CTU-13</t>
  </si>
  <si>
    <t>CDRO?</t>
  </si>
  <si>
    <t>packet (bin),flows (uni),flows (bi)</t>
  </si>
  <si>
    <t>12 (uni) 15 (bi)</t>
  </si>
  <si>
    <t>payload</t>
  </si>
  <si>
    <t>discontiguous</t>
  </si>
  <si>
    <t>856M pkts81.4M uni-f 20.6M bi-f</t>
  </si>
  <si>
    <t>5d 23h</t>
  </si>
  <si>
    <t>HogZilla</t>
  </si>
  <si>
    <t>CDRO</t>
  </si>
  <si>
    <t>mixed</t>
  </si>
  <si>
    <t>990k flows</t>
  </si>
  <si>
    <t>ISCX-IDS-2012</t>
  </si>
  <si>
    <t>BCDV</t>
  </si>
  <si>
    <t>packet (bin),flows (bi)</t>
  </si>
  <si>
    <t>120M pkts 2.5M flows</t>
  </si>
  <si>
    <t>7d</t>
  </si>
  <si>
    <t>Booters</t>
  </si>
  <si>
    <t>119.6M pkts</t>
  </si>
  <si>
    <t>2d</t>
  </si>
  <si>
    <t>Botnet</t>
  </si>
  <si>
    <t>real,emul-p</t>
  </si>
  <si>
    <t>9.4M + 5.1M pkts</t>
  </si>
  <si>
    <t>SSHCure</t>
  </si>
  <si>
    <t>B</t>
  </si>
  <si>
    <t>flows (uni),logs (host)</t>
  </si>
  <si>
    <t>academic honeypot</t>
  </si>
  <si>
    <t>360.87M flows</t>
  </si>
  <si>
    <t>2 x 1mo</t>
  </si>
  <si>
    <t>ASNM-TUN</t>
  </si>
  <si>
    <t>real,emul-v</t>
  </si>
  <si>
    <t>emul-v</t>
  </si>
  <si>
    <t>VO</t>
  </si>
  <si>
    <t>394 flows</t>
  </si>
  <si>
    <t>AWID2</t>
  </si>
  <si>
    <t>DRO</t>
  </si>
  <si>
    <t>wireless</t>
  </si>
  <si>
    <t>37.8M + 4.57M recs</t>
  </si>
  <si>
    <t>96h + 12h</t>
  </si>
  <si>
    <t>Kyoto 2006+</t>
  </si>
  <si>
    <t>DRV?</t>
  </si>
  <si>
    <t>other</t>
  </si>
  <si>
    <t>806.1M flows</t>
  </si>
  <si>
    <t>9y 2mo</t>
  </si>
  <si>
    <t>UNSW-NB15</t>
  </si>
  <si>
    <t>DRVO</t>
  </si>
  <si>
    <t>packet (bin),flows (bi),logs (net)</t>
  </si>
  <si>
    <t>187M pkts 2.54M flows</t>
  </si>
  <si>
    <t>16h + 15h</t>
  </si>
  <si>
    <t>DDoS 2016</t>
  </si>
  <si>
    <t>synth</t>
  </si>
  <si>
    <t>2.16M pkts</t>
  </si>
  <si>
    <t>Kent 2016</t>
  </si>
  <si>
    <t>?</t>
  </si>
  <si>
    <t>flows (uni),logs (both)</t>
  </si>
  <si>
    <t>IPs,time,names</t>
  </si>
  <si>
    <t>130M flows40.8M net logs</t>
  </si>
  <si>
    <t>29d (net),57d (all)</t>
  </si>
  <si>
    <t>NDSec-1</t>
  </si>
  <si>
    <t>BCDPVO</t>
  </si>
  <si>
    <t>3.77M pkts</t>
  </si>
  <si>
    <t>4h 11m</t>
  </si>
  <si>
    <t>NGIDS-DS</t>
  </si>
  <si>
    <t>1.09M pkts</t>
  </si>
  <si>
    <t>5d 21h</t>
  </si>
  <si>
    <t>UGR'16</t>
  </si>
  <si>
    <t>ISP</t>
  </si>
  <si>
    <t>13,000M + 3,900M flows</t>
  </si>
  <si>
    <t>3mo 9d + 1mo 3d</t>
  </si>
  <si>
    <t>Unified Host and Network</t>
  </si>
  <si>
    <t>flows (bi),logs (host)</t>
  </si>
  <si>
    <t>17,883M flows</t>
  </si>
  <si>
    <t>3mo</t>
  </si>
  <si>
    <t>2017-SUEE8</t>
  </si>
  <si>
    <t>D?</t>
  </si>
  <si>
    <t>IPs,MACs</t>
  </si>
  <si>
    <t>19.3M pkts</t>
  </si>
  <si>
    <t>8d 7h</t>
  </si>
  <si>
    <t>CIC-IDS2017</t>
  </si>
  <si>
    <t>BCDRV</t>
  </si>
  <si>
    <t>56.4M pkts 3.1M flows</t>
  </si>
  <si>
    <t>5 x 8h</t>
  </si>
  <si>
    <t>CIDDS-001</t>
  </si>
  <si>
    <t>BDR?</t>
  </si>
  <si>
    <t>32M flows</t>
  </si>
  <si>
    <t>28d</t>
  </si>
  <si>
    <t>CIDDS-002</t>
  </si>
  <si>
    <t>R</t>
  </si>
  <si>
    <t>16.2M flows</t>
  </si>
  <si>
    <t>14d</t>
  </si>
  <si>
    <t>Imp. CIC-IDS2017</t>
  </si>
  <si>
    <t>2.1M flows</t>
  </si>
  <si>
    <t>ISOT HTTP Botnet</t>
  </si>
  <si>
    <t>C</t>
  </si>
  <si>
    <t>10.6M pkts</t>
  </si>
  <si>
    <t>54d 17h</t>
  </si>
  <si>
    <t>IoT host-based ID dataset</t>
  </si>
  <si>
    <t>CDV</t>
  </si>
  <si>
    <t>packet (bin),flows (bi),logs (host)</t>
  </si>
  <si>
    <t>9.34M pkts 1.72M flows</t>
  </si>
  <si>
    <t>11h 55m</t>
  </si>
  <si>
    <t>LYCOS-IDS2017</t>
  </si>
  <si>
    <t>1.8M flows (661k+220k)</t>
  </si>
  <si>
    <t>TrabID</t>
  </si>
  <si>
    <t>DR</t>
  </si>
  <si>
    <t>packet (bin),packet (txt)</t>
  </si>
  <si>
    <t>medium</t>
  </si>
  <si>
    <t>469.4M pkts</t>
  </si>
  <si>
    <t>8h</t>
  </si>
  <si>
    <t>ISOT-CID</t>
  </si>
  <si>
    <t>real,emul-pv</t>
  </si>
  <si>
    <t>enterprise cloud</t>
  </si>
  <si>
    <t>24.5M + 12.4M pkts</t>
  </si>
  <si>
    <t>5d + 6d</t>
  </si>
  <si>
    <t>Kitsune Network Attack Dataset</t>
  </si>
  <si>
    <t>BCDRO</t>
  </si>
  <si>
    <t>packet (bin),other</t>
  </si>
  <si>
    <t>IoT</t>
  </si>
  <si>
    <t>NetML</t>
  </si>
  <si>
    <t>CDO?</t>
  </si>
  <si>
    <t>484k flows</t>
  </si>
  <si>
    <t>NF-UQ-NIDS/ NF-UQ-NIDS-v2</t>
  </si>
  <si>
    <t>BCDRVO</t>
  </si>
  <si>
    <t>15/45</t>
  </si>
  <si>
    <t>11.99M/ 79.99M flows</t>
  </si>
  <si>
    <t>58d 12h</t>
  </si>
  <si>
    <t>ASNM-NPBO</t>
  </si>
  <si>
    <t>VO?</t>
  </si>
  <si>
    <t>11.4k flows</t>
  </si>
  <si>
    <t>Bot-IoT</t>
  </si>
  <si>
    <t>549.8M pkts73.4M flows footnotesize(2.9M+0.7M)</t>
  </si>
  <si>
    <t>20d</t>
  </si>
  <si>
    <t>CSE-CIC-IDS2018</t>
  </si>
  <si>
    <t>1,18M pkts 16.2M flows</t>
  </si>
  <si>
    <t>10d</t>
  </si>
  <si>
    <t>Imp. CSE-CIC -IDS2018</t>
  </si>
  <si>
    <t>63.2M flows</t>
  </si>
  <si>
    <t>N-BaIoT</t>
  </si>
  <si>
    <t>7.06M pkts</t>
  </si>
  <si>
    <t>IoT-23</t>
  </si>
  <si>
    <t>CDRVO?</t>
  </si>
  <si>
    <t>814M pkts 325M flows</t>
  </si>
  <si>
    <t>21d</t>
  </si>
  <si>
    <t>CIC-DDoS2019</t>
  </si>
  <si>
    <t>251M + 61M 50M + 20.3M flows</t>
  </si>
  <si>
    <t>7h + 8h</t>
  </si>
  <si>
    <t>CUPID</t>
  </si>
  <si>
    <t>50M pkts1.5M ,flows</t>
  </si>
  <si>
    <t>12d</t>
  </si>
  <si>
    <t>GTCS</t>
  </si>
  <si>
    <t>517k flows</t>
  </si>
  <si>
    <t>9d</t>
  </si>
  <si>
    <t>IoT network intrusion</t>
  </si>
  <si>
    <t>BDRO</t>
  </si>
  <si>
    <t>2.99M pkts</t>
  </si>
  <si>
    <t>2h 1m</t>
  </si>
  <si>
    <t>IoTID20</t>
  </si>
  <si>
    <t>625.7k flows</t>
  </si>
  <si>
    <t>2h 13m</t>
  </si>
  <si>
    <t>TON_IoT</t>
  </si>
  <si>
    <t>212M pkts 21.2M flows</t>
  </si>
  <si>
    <t>27d 5h</t>
  </si>
  <si>
    <t>MedBIoT</t>
  </si>
  <si>
    <t>CRV</t>
  </si>
  <si>
    <t>37.4M pkts</t>
  </si>
  <si>
    <t>10d 11h</t>
  </si>
  <si>
    <t>WUSTL-IIoT-2021</t>
  </si>
  <si>
    <t>IIoT</t>
  </si>
  <si>
    <t>1.19M flows</t>
  </si>
  <si>
    <t>7h 2m</t>
  </si>
  <si>
    <t>LITNET-2020</t>
  </si>
  <si>
    <t>DRVO?</t>
  </si>
  <si>
    <t>39.6M flows</t>
  </si>
  <si>
    <t>10mo</t>
  </si>
  <si>
    <t>X-IIoTID</t>
  </si>
  <si>
    <t>820.8k recs</t>
  </si>
  <si>
    <t>6d 7h 8m</t>
  </si>
  <si>
    <t>BOUN DDoS</t>
  </si>
  <si>
    <t>IPs,time</t>
  </si>
  <si>
    <t>17.38M pkts</t>
  </si>
  <si>
    <t>2 x 8m</t>
  </si>
  <si>
    <t>DAPT 2020</t>
  </si>
  <si>
    <t>77.1M pkts 86.7k flows</t>
  </si>
  <si>
    <t>InSDN</t>
  </si>
  <si>
    <t>SDN</t>
  </si>
  <si>
    <t>15.3M pkts 344k flows</t>
  </si>
  <si>
    <t>1mo 7d</t>
  </si>
  <si>
    <t>OPC UA</t>
  </si>
  <si>
    <t>DO</t>
  </si>
  <si>
    <t>108k flows</t>
  </si>
  <si>
    <t>2h 3m</t>
  </si>
  <si>
    <t>SDN Dataset</t>
  </si>
  <si>
    <t>SDN IoT</t>
  </si>
  <si>
    <t>27.92M + 30.2M flows</t>
  </si>
  <si>
    <t>44h + 42h</t>
  </si>
  <si>
    <t>SR-BH 2020</t>
  </si>
  <si>
    <t>BRVO?</t>
  </si>
  <si>
    <t>907.8k flows</t>
  </si>
  <si>
    <t>12d 6h</t>
  </si>
  <si>
    <t>VOIP Enterprise -- Attack</t>
  </si>
  <si>
    <t>VoIP</t>
  </si>
  <si>
    <t>4.48M pkts</t>
  </si>
  <si>
    <t>3h 38m</t>
  </si>
  <si>
    <t>UKM-IDS20</t>
  </si>
  <si>
    <t>10.3k + 2.6k flows</t>
  </si>
  <si>
    <t>7d + 7d</t>
  </si>
  <si>
    <t>AWID3</t>
  </si>
  <si>
    <t>BCDVO</t>
  </si>
  <si>
    <t>37M pkts</t>
  </si>
  <si>
    <t>2h 20m</t>
  </si>
  <si>
    <t>CCD-INID-V1</t>
  </si>
  <si>
    <t>BDO</t>
  </si>
  <si>
    <t>91.6k flows</t>
  </si>
  <si>
    <t>CyberFORCE Scenario</t>
  </si>
  <si>
    <t>CRVO</t>
  </si>
  <si>
    <t>184k pkts</t>
  </si>
  <si>
    <t>2h 30m</t>
  </si>
  <si>
    <t>Edge-IIoTset</t>
  </si>
  <si>
    <t>20.9M pkts</t>
  </si>
  <si>
    <t>1d 23h</t>
  </si>
  <si>
    <t>HIKARI-2021</t>
  </si>
  <si>
    <t>BRO?</t>
  </si>
  <si>
    <t>17.8M pkts 555k flows</t>
  </si>
  <si>
    <t>1d 14.5h</t>
  </si>
  <si>
    <t>I-Sec</t>
  </si>
  <si>
    <t>P2P</t>
  </si>
  <si>
    <t>532k flows</t>
  </si>
  <si>
    <t>PWNJUTSU</t>
  </si>
  <si>
    <t>178.4M pkts 45.1M recs</t>
  </si>
  <si>
    <t>22 x 1-15d, 116d total</t>
  </si>
  <si>
    <t>Unraveled</t>
  </si>
  <si>
    <t>BCVO</t>
  </si>
  <si>
    <t>packet (bin),flows (bi),logs (both)</t>
  </si>
  <si>
    <t>252M pkts 6.86M flows</t>
  </si>
  <si>
    <t>40d 13h</t>
  </si>
  <si>
    <t>USB-IDS-1</t>
  </si>
  <si>
    <t>4.5M flows</t>
  </si>
  <si>
    <t>16 x 10m</t>
  </si>
  <si>
    <t>CIC IoT dataset 2022</t>
  </si>
  <si>
    <t>BD</t>
  </si>
  <si>
    <t>120M pkts 466k recs</t>
  </si>
  <si>
    <t>22d 13h</t>
  </si>
  <si>
    <t>LUFlow</t>
  </si>
  <si>
    <t>206.56M flows</t>
  </si>
  <si>
    <t>8mo</t>
  </si>
  <si>
    <t>VHS-22</t>
  </si>
  <si>
    <t>BCDRVO?</t>
  </si>
  <si>
    <t>27.7M flows</t>
  </si>
  <si>
    <t>23d</t>
  </si>
  <si>
    <t>UWF-Zeek Data22</t>
  </si>
  <si>
    <t>18.56M flows</t>
  </si>
  <si>
    <t>31d 5h</t>
  </si>
  <si>
    <t>AIT Log Dataset 2.0</t>
  </si>
  <si>
    <t>flows (bi),logs (both)</t>
  </si>
  <si>
    <t>224M pkts 3.5M flows</t>
  </si>
  <si>
    <t>8 x 4-6d,40d total</t>
  </si>
  <si>
    <t>ICS-Flow</t>
  </si>
  <si>
    <t>industrial</t>
  </si>
  <si>
    <t>25.2M pkts 45.7k flows</t>
  </si>
  <si>
    <t>OD-IDS2022</t>
  </si>
  <si>
    <t>BDVO</t>
  </si>
  <si>
    <t>103.2k flows</t>
  </si>
  <si>
    <t>1mo</t>
  </si>
  <si>
    <t>Simargl2022</t>
  </si>
  <si>
    <t>CDR?</t>
  </si>
  <si>
    <t>30.1M flows</t>
  </si>
  <si>
    <t>9d 11.5h</t>
  </si>
  <si>
    <t>UNR-IDD</t>
  </si>
  <si>
    <t>37k recs</t>
  </si>
  <si>
    <t>CICIoT2023</t>
  </si>
  <si>
    <t>4,49M pkts 46.7M recs</t>
  </si>
  <si>
    <t>6mo 15d</t>
  </si>
  <si>
    <t>TII-SSRC-23</t>
  </si>
  <si>
    <t>BCDR</t>
  </si>
  <si>
    <t>43.6M pkts 8.7M flows</t>
  </si>
  <si>
    <t>1mo 1.5d</t>
  </si>
  <si>
    <t>Appraise H2020</t>
  </si>
  <si>
    <t>15.12M flows</t>
  </si>
  <si>
    <t>2mo 12.5d</t>
  </si>
  <si>
    <t>FLNET2023</t>
  </si>
  <si>
    <t>DVO</t>
  </si>
  <si>
    <t>370M + 79M || 5.42M+ ,747k flows</t>
  </si>
  <si>
    <t>6d 2h + 11d 4h</t>
  </si>
  <si>
    <t>ROSIDS23</t>
  </si>
  <si>
    <t>176.3M pkts 136.6k flows</t>
  </si>
  <si>
    <t>10h 6m</t>
  </si>
  <si>
    <t>Westermo</t>
  </si>
  <si>
    <t>BRO</t>
  </si>
  <si>
    <t>4.7M pkts 68.7k flows</t>
  </si>
  <si>
    <t>1h 30m</t>
  </si>
  <si>
    <t>Dataset name</t>
  </si>
  <si>
    <t>Paper</t>
  </si>
  <si>
    <t>Data</t>
  </si>
  <si>
    <t>Dump Reason</t>
  </si>
  <si>
    <t>Comment</t>
  </si>
  <si>
    <t>FIFA World Cup 1998</t>
  </si>
  <si>
    <t>-</t>
  </si>
  <si>
    <r>
      <rPr>
        <rFont val="Calibri, sans-serif"/>
        <color rgb="FF1155CC"/>
        <sz val="11.0"/>
        <u/>
      </rPr>
      <t>Data</t>
    </r>
  </si>
  <si>
    <t>No</t>
  </si>
  <si>
    <t>Out-of-scope</t>
  </si>
  <si>
    <t>Records connection requests on FIFA servers during 1998 
Not relevant for cybersec, but used for VM consolidation research</t>
  </si>
  <si>
    <t>PU-IDS</t>
  </si>
  <si>
    <r>
      <rPr>
        <rFont val="Calibri, sans-serif"/>
        <color rgb="FF1155CC"/>
        <sz val="11.0"/>
        <u/>
      </rPr>
      <t>Paper</t>
    </r>
  </si>
  <si>
    <t>csv - other</t>
  </si>
  <si>
    <t>Yes</t>
  </si>
  <si>
    <t>Unavailable</t>
  </si>
  <si>
    <t>Fully synthetic dataset from 2016 based on NSL-KDD data 
Publicly unavailable and very obscure</t>
  </si>
  <si>
    <t>CIDD</t>
  </si>
  <si>
    <r>
      <rPr>
        <rFont val="Calibri, sans-serif"/>
        <color rgb="FF1155CC"/>
        <sz val="11.0"/>
        <u/>
      </rPr>
      <t>Paper</t>
    </r>
  </si>
  <si>
    <r>
      <rPr>
        <rFont val="Calibri, sans-serif"/>
        <color rgb="FF1155CC"/>
        <sz val="11.0"/>
        <u/>
      </rPr>
      <t>Data</t>
    </r>
  </si>
  <si>
    <t>xlsx</t>
  </si>
  <si>
    <t>Indir?</t>
  </si>
  <si>
    <t>Out-of-scope 
Unavailable</t>
  </si>
  <si>
    <t>Extract logs from DARPA1999 and provide it as Excel file + links to the full datasets are missing, there are only snapshots</t>
  </si>
  <si>
    <t>DEFCON</t>
  </si>
  <si>
    <r>
      <rPr>
        <rFont val="Calibri, sans-serif"/>
        <color rgb="FF1155CC"/>
        <sz val="11.0"/>
        <u/>
      </rPr>
      <t>Data</t>
    </r>
  </si>
  <si>
    <t>Capture from DEFCON CTF, no docs, skewed attack distribution 
DEFCON-8 (2000), DEFCON-10 (2002) datasets often mentioned 
Tried to download in 2024 – no download source found</t>
  </si>
  <si>
    <t>UCLA DDoS Dataset</t>
  </si>
  <si>
    <t>The web containing traces is unreachable (Sep 17, Oct 17, 2023)</t>
  </si>
  <si>
    <t>Witty Worm</t>
  </si>
  <si>
    <r>
      <rPr>
        <rFont val="Calibri, sans-serif"/>
        <color rgb="FF1155CC"/>
        <sz val="11.0"/>
        <u/>
      </rPr>
      <t>Data</t>
    </r>
  </si>
  <si>
    <t>CAIDA capture of 1 specific worm activity as RAW data</t>
  </si>
  <si>
    <t>LBNL</t>
  </si>
  <si>
    <r>
      <rPr>
        <rFont val="Calibri, sans-serif"/>
        <color rgb="FF1155CC"/>
        <sz val="11.0"/>
        <u/>
      </rPr>
      <t>Paper</t>
    </r>
  </si>
  <si>
    <r>
      <rPr>
        <rFont val="Calibri, sans-serif"/>
        <color rgb="FF1155CC"/>
        <sz val="11.0"/>
        <u/>
      </rPr>
      <t>Data</t>
    </r>
  </si>
  <si>
    <t>General data analysis focus, not IDS 
Can be used as background traffic as it contains almost exclusively normal behavior, but it is rather old now 
Stripped payload and suffers from heavy anonymization 
Ring et al. 2019 suggests it may contain port scans</t>
  </si>
  <si>
    <t>Moore's 2005</t>
  </si>
  <si>
    <r>
      <rPr>
        <rFont val="Calibri, sans-serif"/>
        <color rgb="FF1155CC"/>
        <sz val="11.0"/>
        <u/>
      </rPr>
      <t>Paper</t>
    </r>
  </si>
  <si>
    <r>
      <rPr>
        <rFont val="Calibri, sans-serif"/>
        <color rgb="FF1155CC"/>
        <sz val="11.0"/>
        <u/>
      </rPr>
      <t>Data</t>
    </r>
  </si>
  <si>
    <t>Only a few traces as already extracted statistics for traffic classif</t>
  </si>
  <si>
    <t>CCRC 2006</t>
  </si>
  <si>
    <r>
      <rPr>
        <rFont val="Calibri, sans-serif"/>
        <color rgb="FF1155CC"/>
        <sz val="11.0"/>
        <u/>
      </rPr>
      <t>Paper</t>
    </r>
  </si>
  <si>
    <t>Provides only attack traffic, rather old 
Data on-demand only, but the provided e-mail does not exist</t>
  </si>
  <si>
    <t>UNIBS-2009</t>
  </si>
  <si>
    <r>
      <rPr>
        <rFont val="Calibri, sans-serif"/>
        <color rgb="FF1155CC"/>
        <sz val="11.0"/>
        <u/>
      </rPr>
      <t>Paper</t>
    </r>
    <r>
      <rPr/>
      <t xml:space="preserve">, </t>
    </r>
    <r>
      <rPr>
        <rFont val="Calibri, sans-serif"/>
        <color rgb="FF1155CC"/>
        <sz val="11.0"/>
        <u/>
      </rPr>
      <t>Paper</t>
    </r>
  </si>
  <si>
    <r>
      <rPr>
        <rFont val="Calibri, sans-serif"/>
        <color rgb="FF1155CC"/>
        <sz val="11.0"/>
        <u/>
      </rPr>
      <t>Data</t>
    </r>
  </si>
  <si>
    <t>Traffic</t>
  </si>
  <si>
    <t>Real anonymized (IPs, payl) data collected from university network 
Focuses on traffic classification (proto, application), not ID</t>
  </si>
  <si>
    <t>UNIBS-2009 SSH tunnel</t>
  </si>
  <si>
    <r>
      <rPr>
        <rFont val="Calibri, sans-serif"/>
        <color rgb="FF1155CC"/>
        <sz val="11.0"/>
        <u/>
      </rPr>
      <t>Paper</t>
    </r>
  </si>
  <si>
    <r>
      <rPr>
        <rFont val="Calibri, sans-serif"/>
        <color rgb="FF1155CC"/>
        <sz val="11.0"/>
        <u/>
      </rPr>
      <t>Data</t>
    </r>
  </si>
  <si>
    <t>Focuses on SSH tunnel detection 
Similarly to UNIBS-2009, flow-labeling with DPI proto and process</t>
  </si>
  <si>
    <t>ICML-09</t>
  </si>
  <si>
    <r>
      <rPr>
        <rFont val="Calibri, sans-serif"/>
        <color rgb="FF1155CC"/>
        <sz val="11.0"/>
        <u/>
      </rPr>
      <t>Paper</t>
    </r>
  </si>
  <si>
    <r>
      <rPr>
        <rFont val="Calibri, sans-serif"/>
        <color rgb="FF1155CC"/>
        <sz val="11.0"/>
        <u/>
      </rPr>
      <t>Data</t>
    </r>
  </si>
  <si>
    <t>text</t>
  </si>
  <si>
    <t>Malicious URLs analysis focus</t>
  </si>
  <si>
    <t>LDID</t>
  </si>
  <si>
    <t>CSIC HTTP 2010</t>
  </si>
  <si>
    <r>
      <rPr>
        <rFont val="Calibri, sans-serif"/>
        <color rgb="FF1155CC"/>
        <sz val="11.0"/>
        <u/>
      </rPr>
      <t>Data</t>
    </r>
  </si>
  <si>
    <t>csv</t>
  </si>
  <si>
    <t>Packet-based HTTP/1.1 traffic created with web pentesting</t>
  </si>
  <si>
    <t>Suthaharan et al. 2010</t>
  </si>
  <si>
    <r>
      <rPr>
        <rFont val="Calibri, sans-serif"/>
        <color rgb="FF1155CC"/>
        <sz val="11.0"/>
        <u/>
      </rPr>
      <t>Paper</t>
    </r>
  </si>
  <si>
    <t>Unavailable 
Out-of-scope 
Side-effect</t>
  </si>
  <si>
    <t>Data collected as a reseach side effect for Wireless Sensor Networks (WSNs), which are out-of-scope and unavailable for download anyways</t>
  </si>
  <si>
    <t>SSENet-2011</t>
  </si>
  <si>
    <r>
      <rPr>
        <rFont val="Calibri, sans-serif"/>
        <color rgb="FF1155CC"/>
        <sz val="11.0"/>
        <u/>
      </rPr>
      <t>Paper</t>
    </r>
  </si>
  <si>
    <t>VAST Challenge 2011</t>
  </si>
  <si>
    <r>
      <rPr>
        <rFont val="Calibri, sans-serif"/>
        <color rgb="FF1155CC"/>
        <sz val="11.0"/>
        <u/>
      </rPr>
      <t>Data</t>
    </r>
  </si>
  <si>
    <t>Json - logs</t>
  </si>
  <si>
    <t>Indir.</t>
  </si>
  <si>
    <t>Unavailable 
Out-of-scope</t>
  </si>
  <si>
    <t>Logs from 4 events: scan, DoS, persistence, social engineering 
Unavailable + out of scope, as focuses on logs analysis instead</t>
  </si>
  <si>
    <t>VAST Challenge 2012</t>
  </si>
  <si>
    <r>
      <rPr>
        <rFont val="Calibri, sans-serif"/>
        <color rgb="FF1155CC"/>
        <sz val="11.0"/>
        <u/>
      </rPr>
      <t>Paper</t>
    </r>
  </si>
  <si>
    <r>
      <rPr>
        <rFont val="Calibri, sans-serif"/>
        <color rgb="FF1155CC"/>
        <sz val="11.0"/>
        <u/>
      </rPr>
      <t>Data</t>
    </r>
  </si>
  <si>
    <t>Json – logs</t>
  </si>
  <si>
    <t>Idir.</t>
  </si>
  <si>
    <t>Same problem as VAST 2011 – unrelated topic of logs analysis + the links for the data are dead</t>
  </si>
  <si>
    <t>ADFA</t>
  </si>
  <si>
    <r>
      <rPr>
        <rFont val="Calibri, sans-serif"/>
        <color rgb="FF1155CC"/>
        <sz val="11.0"/>
        <u/>
      </rPr>
      <t>Paper</t>
    </r>
  </si>
  <si>
    <r>
      <rPr>
        <rFont val="Calibri, sans-serif"/>
        <color rgb="FF1155CC"/>
        <sz val="11.0"/>
        <u/>
      </rPr>
      <t>Data</t>
    </r>
  </si>
  <si>
    <t>Several datasets for Windows and Linux HIDS via system calls</t>
  </si>
  <si>
    <t>BATADAL</t>
  </si>
  <si>
    <t>2014, 2016, 2017</t>
  </si>
  <si>
    <r>
      <rPr>
        <rFont val="Calibri, sans-serif"/>
        <color rgb="FF1155CC"/>
        <sz val="11.0"/>
        <u/>
      </rPr>
      <t>Paper</t>
    </r>
  </si>
  <si>
    <r>
      <rPr>
        <rFont val="Calibri, sans-serif"/>
        <color rgb="FF1155CC"/>
        <sz val="11.0"/>
        <u/>
      </rPr>
      <t>Data</t>
    </r>
  </si>
  <si>
    <t>Focuses on Industrial Control Systems Anomaly detection via sensor features – water pipes, etc. - not interesting for NIDS research</t>
  </si>
  <si>
    <t>Salem et al.</t>
  </si>
  <si>
    <r>
      <rPr>
        <rFont val="Calibri, sans-serif"/>
        <color rgb="FF1155CC"/>
        <sz val="11.0"/>
        <u/>
      </rPr>
      <t>Paper</t>
    </r>
  </si>
  <si>
    <t>CSV – other</t>
  </si>
  <si>
    <t>Presents OptiFilter as real-time feature extraction, but no data link</t>
  </si>
  <si>
    <t>SANTA</t>
  </si>
  <si>
    <r>
      <rPr>
        <rFont val="Calibri, sans-serif"/>
        <color rgb="FF1155CC"/>
        <sz val="11.0"/>
        <u/>
      </rPr>
      <t>Paper</t>
    </r>
  </si>
  <si>
    <t>CSV - other</t>
  </si>
  <si>
    <t>SSENet-2014</t>
  </si>
  <si>
    <r>
      <rPr>
        <rFont val="Calibri, sans-serif"/>
        <color rgb="FF1155CC"/>
        <sz val="11.0"/>
        <u/>
      </rPr>
      <t>Paper</t>
    </r>
  </si>
  <si>
    <t>ICS Cyber Attack Dataset (Morris et a)</t>
  </si>
  <si>
    <t>2014 
2015</t>
  </si>
  <si>
    <r>
      <rPr>
        <color rgb="FF1155CC"/>
        <sz val="11.0"/>
        <u/>
      </rPr>
      <t xml:space="preserve">Paper1 </t>
    </r>
    <r>
      <rPr/>
      <t xml:space="preserve">
</t>
    </r>
    <r>
      <rPr>
        <color rgb="FF1155CC"/>
        <sz val="11.0"/>
        <u/>
      </rPr>
      <t>Paper2</t>
    </r>
  </si>
  <si>
    <r>
      <rPr>
        <rFont val="Calibri, sans-serif"/>
        <color rgb="FF1155CC"/>
        <sz val="11.0"/>
        <u/>
      </rPr>
      <t>Data</t>
    </r>
  </si>
  <si>
    <t>Industrial Control Systems (ICS) datase with specific feature sets</t>
  </si>
  <si>
    <t>IRSC</t>
  </si>
  <si>
    <r>
      <rPr>
        <rFont val="Calibri, sans-serif"/>
        <color rgb="FF1155CC"/>
        <sz val="11.0"/>
        <u/>
      </rPr>
      <t>Paper</t>
    </r>
  </si>
  <si>
    <t>packet, flow</t>
  </si>
  <si>
    <t>ISTS-12</t>
  </si>
  <si>
    <r>
      <rPr>
        <rFont val="Calibri, sans-serif"/>
        <color rgb="FF1155CC"/>
        <sz val="11.0"/>
        <u/>
      </rPr>
      <t>Data</t>
    </r>
  </si>
  <si>
    <t>PCAP</t>
  </si>
  <si>
    <t>Raw capture, no docs - student's cybersec competition, unavailable</t>
  </si>
  <si>
    <t>TUIDS</t>
  </si>
  <si>
    <t>(Bhuyan 2015)</t>
  </si>
  <si>
    <t>The paper seems nice though</t>
  </si>
  <si>
    <t>WSN-DS</t>
  </si>
  <si>
    <r>
      <rPr>
        <rFont val="Calibri, sans-serif"/>
        <color rgb="FF1155CC"/>
        <sz val="11.0"/>
        <u/>
      </rPr>
      <t>Paper</t>
    </r>
  </si>
  <si>
    <r>
      <rPr>
        <rFont val="Calibri, sans-serif"/>
        <color rgb="FF1155CC"/>
        <sz val="11.0"/>
        <u/>
      </rPr>
      <t>Data</t>
    </r>
  </si>
  <si>
    <t>Focus on WSN with WSN-specific features (no network ones)</t>
  </si>
  <si>
    <t>SWaT</t>
  </si>
  <si>
    <t>2015 – 2020</t>
  </si>
  <si>
    <r>
      <rPr>
        <rFont val="Calibri, sans-serif"/>
        <color rgb="FF1155CC"/>
        <sz val="11.0"/>
        <u/>
      </rPr>
      <t>Paper</t>
    </r>
  </si>
  <si>
    <r>
      <rPr>
        <rFont val="Calibri, sans-serif"/>
        <color rgb="FF1155CC"/>
        <sz val="11.0"/>
        <u/>
      </rPr>
      <t>Data</t>
    </r>
  </si>
  <si>
    <t>???</t>
  </si>
  <si>
    <t>Data for water-treatment facilities, on request</t>
  </si>
  <si>
    <t>Heritrix</t>
  </si>
  <si>
    <r>
      <rPr>
        <rFont val="Calibri, sans-serif"/>
        <color rgb="FF1155CC"/>
        <sz val="11.0"/>
        <u/>
      </rPr>
      <t>Paper</t>
    </r>
  </si>
  <si>
    <t>Unavailable, out-of-scope</t>
  </si>
  <si>
    <t>Dataset with malicious and legitimate JavaScript websites collected via Heritrix web crawler – data not public and OOS</t>
  </si>
  <si>
    <t>MILCOM-2016</t>
  </si>
  <si>
    <t>(Bowen 2016)</t>
  </si>
  <si>
    <r>
      <rPr>
        <rFont val="Calibri, sans-serif"/>
        <color rgb="FF1155CC"/>
        <sz val="11.0"/>
        <u/>
      </rPr>
      <t>Data</t>
    </r>
  </si>
  <si>
    <t>packet, ?</t>
  </si>
  <si>
    <t>Prob Y</t>
  </si>
  <si>
    <t>Simulates various intrusive scenarios for botnet initial activity</t>
  </si>
  <si>
    <t>Modbus Dataset</t>
  </si>
  <si>
    <r>
      <rPr>
        <rFont val="Calibri, sans-serif"/>
        <color rgb="FF1155CC"/>
        <sz val="11.0"/>
        <u/>
      </rPr>
      <t>Paper</t>
    </r>
  </si>
  <si>
    <r>
      <rPr>
        <rFont val="Calibri, sans-serif"/>
        <color rgb="FF1155CC"/>
        <sz val="11.0"/>
        <u/>
      </rPr>
      <t>Data</t>
    </r>
  </si>
  <si>
    <t>Focus on ICS via Modbus protocol, provides raw PCAPs</t>
  </si>
  <si>
    <t>Kharon</t>
  </si>
  <si>
    <r>
      <rPr>
        <rFont val="Calibri, sans-serif"/>
        <color rgb="FF1155CC"/>
        <sz val="11.0"/>
        <u/>
      </rPr>
      <t>Paper</t>
    </r>
  </si>
  <si>
    <r>
      <rPr>
        <rFont val="Calibri, sans-serif"/>
        <color rgb="FF1155CC"/>
        <sz val="11.0"/>
        <u/>
      </rPr>
      <t>Data</t>
    </r>
  </si>
  <si>
    <t>Binary</t>
  </si>
  <si>
    <t>Malware focus</t>
  </si>
  <si>
    <t>SNMP-MIB</t>
  </si>
  <si>
    <r>
      <rPr>
        <rFont val="Calibri, sans-serif"/>
        <color rgb="FF1155CC"/>
        <sz val="11.0"/>
        <u/>
      </rPr>
      <t>Paper</t>
    </r>
  </si>
  <si>
    <t>On-request dataset – e-mail sent, 14 days without answer</t>
  </si>
  <si>
    <t>ISOT Ransomware</t>
  </si>
  <si>
    <t>20??</t>
  </si>
  <si>
    <r>
      <rPr>
        <rFont val="Calibri, sans-serif"/>
        <color rgb="FF1155CC"/>
        <sz val="11.0"/>
        <u/>
      </rPr>
      <t>Data</t>
    </r>
  </si>
  <si>
    <t>PCAP, logs</t>
  </si>
  <si>
    <t>Focused on ransomware detection 
Has benign and ransomware program execution traces (OOO) 
On Request: I did not requested personally</t>
  </si>
  <si>
    <t>BKIDset</t>
  </si>
  <si>
    <r>
      <rPr>
        <rFont val="Calibri, sans-serif"/>
        <color rgb="FF1155CC"/>
        <sz val="11.0"/>
        <u/>
      </rPr>
      <t>Paper</t>
    </r>
  </si>
  <si>
    <t>Based on CIC-IDS2017, balanced and new attacks added 
Seems like never released for the public</t>
  </si>
  <si>
    <t>UGRansomware</t>
  </si>
  <si>
    <t>2016 2018</t>
  </si>
  <si>
    <r>
      <rPr>
        <rFont val="Calibri, sans-serif"/>
        <color rgb="FF1155CC"/>
        <sz val="11.0"/>
        <u/>
      </rPr>
      <t>Paper</t>
    </r>
  </si>
  <si>
    <r>
      <rPr>
        <rFont val="Calibri, sans-serif"/>
        <color rgb="FF1155CC"/>
        <sz val="11.0"/>
        <u/>
      </rPr>
      <t>Data</t>
    </r>
  </si>
  <si>
    <t>Weird merge of UGR'16 with no-net-features Ransomware data 
The final dataset does not contain any relevant network features</t>
  </si>
  <si>
    <t>All Eyes on You</t>
  </si>
  <si>
    <r>
      <rPr>
        <rFont val="Calibri, sans-serif"/>
        <color rgb="FF1155CC"/>
        <sz val="11.0"/>
        <u/>
      </rPr>
      <t>Paper</t>
    </r>
  </si>
  <si>
    <t>Specific intrusion detection for IoT microservices 
Additionally, collected as a research side-effect</t>
  </si>
  <si>
    <t>Brahanyaa et al. 2018 SNMP dataset</t>
  </si>
  <si>
    <r>
      <rPr>
        <rFont val="Calibri, sans-serif"/>
        <color rgb="FF1155CC"/>
        <sz val="11.0"/>
        <u/>
      </rPr>
      <t>Paper</t>
    </r>
  </si>
  <si>
    <t>Focused on SNMP attacks via SNMP statistics and network data 
Awful paper quality, data never released</t>
  </si>
  <si>
    <t>MUD IoT Attack Dataset</t>
  </si>
  <si>
    <r>
      <rPr>
        <rFont val="Calibri, sans-serif"/>
        <color rgb="FF1155CC"/>
        <sz val="11.0"/>
        <u/>
      </rPr>
      <t>Paper</t>
    </r>
  </si>
  <si>
    <r>
      <rPr>
        <rFont val="Calibri, sans-serif"/>
        <color rgb="FF1155CC"/>
        <sz val="11.0"/>
        <u/>
      </rPr>
      <t>Data</t>
    </r>
  </si>
  <si>
    <t>PCAP, flows</t>
  </si>
  <si>
    <t>Detection of volumetric attack on IoT via SDN-based monitoring of MUD activity</t>
  </si>
  <si>
    <t>PUF</t>
  </si>
  <si>
    <r>
      <rPr>
        <rFont val="Calibri, sans-serif"/>
        <color rgb="FF1155CC"/>
        <sz val="11.0"/>
        <u/>
      </rPr>
      <t>Paper</t>
    </r>
  </si>
  <si>
    <t>flow</t>
  </si>
  <si>
    <t>Dataset for DNS-based IDS. Does not seem to be public</t>
  </si>
  <si>
    <t>WUSTL-IIOT-2018</t>
  </si>
  <si>
    <r>
      <rPr>
        <rFont val="Calibri, sans-serif"/>
        <color rgb="FF1155CC"/>
        <sz val="11.0"/>
        <u/>
      </rPr>
      <t>Paper</t>
    </r>
  </si>
  <si>
    <r>
      <rPr>
        <rFont val="Calibri, sans-serif"/>
        <color rgb="FF1155CC"/>
        <sz val="11.0"/>
        <u/>
      </rPr>
      <t>Data</t>
    </r>
  </si>
  <si>
    <t>Focus on ICS (SCADA) systems via Industrial IoT (IIoT) setup</t>
  </si>
  <si>
    <t>MTA-KDD</t>
  </si>
  <si>
    <t>2013 - 2019</t>
  </si>
  <si>
    <r>
      <rPr>
        <rFont val="Calibri, sans-serif"/>
        <color rgb="FF1155CC"/>
        <sz val="11.0"/>
        <u/>
      </rPr>
      <t>Paper</t>
    </r>
  </si>
  <si>
    <r>
      <rPr>
        <rFont val="Calibri, sans-serif"/>
        <color rgb="FF1155CC"/>
        <sz val="11.0"/>
        <u/>
      </rPr>
      <t>Data</t>
    </r>
  </si>
  <si>
    <t>Data quality</t>
  </si>
  <si>
    <t>Create flows from Malware Traffic Capture (MTA) project 
Interesting description of feature engineering process 
However, features are already pre-normalized – being little use</t>
  </si>
  <si>
    <t>Anthi et al. 2019 
IoT-SH</t>
  </si>
  <si>
    <r>
      <rPr>
        <rFont val="Calibri, sans-serif"/>
        <color rgb="FF1155CC"/>
        <sz val="11.0"/>
        <u/>
      </rPr>
      <t>Paper</t>
    </r>
  </si>
  <si>
    <t>On-request</t>
  </si>
  <si>
    <t>packet (csv)</t>
  </si>
  <si>
    <t>Attacks: MITM, DoS, reconnaissance, replay 
Interesting work, but a) sideffect, b) out of scope a bit</t>
  </si>
  <si>
    <t>CYSAS-S3</t>
  </si>
  <si>
    <r>
      <rPr>
        <color rgb="FF1155CC"/>
        <sz val="11.0"/>
        <u/>
      </rPr>
      <t>PaperNew</t>
    </r>
    <r>
      <rPr/>
      <t xml:space="preserve"> 
</t>
    </r>
    <r>
      <rPr>
        <color rgb="FF1155CC"/>
        <sz val="11.0"/>
        <u/>
      </rPr>
      <t>PaperOrig</t>
    </r>
  </si>
  <si>
    <t>APT dataset with two papers published, but no public release</t>
  </si>
  <si>
    <t>DARPA OpTC</t>
  </si>
  <si>
    <r>
      <rPr>
        <rFont val="Calibri, sans-serif"/>
        <color rgb="FF1155CC"/>
        <sz val="11.0"/>
        <u/>
      </rPr>
      <t>Data1</t>
    </r>
    <r>
      <rPr/>
      <t xml:space="preserve"> 
</t>
    </r>
    <r>
      <rPr>
        <rFont val="Calibri, sans-serif"/>
        <color rgb="FF1155CC"/>
        <sz val="11.0"/>
        <u/>
      </rPr>
      <t>Data2</t>
    </r>
  </si>
  <si>
    <t>Other (logs, jsons)</t>
  </si>
  <si>
    <t>Indirect</t>
  </si>
  <si>
    <t>Hundreds of GBs of Bro logs and eCAR JSON-based logs 
Logs provide little network data, Bro connections very limited 
Should contain APT attacks, but labeled only via red-team activ. 
Hardly to process, lot of data, little usability, focused more on host-based/logs correlation IDS systems</t>
  </si>
  <si>
    <t>Electra</t>
  </si>
  <si>
    <r>
      <rPr>
        <rFont val="Calibri, sans-serif"/>
        <color rgb="FF1155CC"/>
        <sz val="11.0"/>
        <u/>
      </rPr>
      <t>Paper</t>
    </r>
  </si>
  <si>
    <r>
      <rPr>
        <rFont val="Calibri, sans-serif"/>
        <color rgb="FF1155CC"/>
        <sz val="11.0"/>
        <u/>
      </rPr>
      <t>Data</t>
    </r>
  </si>
  <si>
    <t>Focus on industrial control systems (ICS) with custom feature sets</t>
  </si>
  <si>
    <t>RPL-NIDS17</t>
  </si>
  <si>
    <r>
      <rPr>
        <rFont val="Calibri, sans-serif"/>
        <color rgb="FF1155CC"/>
        <sz val="11.0"/>
        <u/>
      </rPr>
      <t>Paper</t>
    </r>
  </si>
  <si>
    <r>
      <rPr>
        <rFont val="Calibri, sans-serif"/>
        <sz val="11.0"/>
      </rPr>
      <t>RPL-based 6LoWPAN dataset for intrusion detection 
Removed in 2019 from Zenodo (</t>
    </r>
    <r>
      <rPr>
        <rFont val="Arial"/>
        <color rgb="FF1155CC"/>
        <sz val="11.0"/>
        <u/>
      </rPr>
      <t>http://dx.doi.org/10.5281/zenodo.1406034</t>
    </r>
    <r>
      <rPr>
        <rFont val="Calibri, sans-serif"/>
        <sz val="11.0"/>
      </rPr>
      <t>), so no reference to the data, very obscure</t>
    </r>
  </si>
  <si>
    <t>CIRA-CIC-DoHBrw-2020</t>
  </si>
  <si>
    <r>
      <rPr>
        <rFont val="Calibri, sans-serif"/>
        <color rgb="FF1155CC"/>
        <sz val="11.0"/>
        <u/>
      </rPr>
      <t>Paper</t>
    </r>
  </si>
  <si>
    <r>
      <rPr>
        <rFont val="Calibri, sans-serif"/>
        <color rgb="FF1155CC"/>
        <sz val="11.0"/>
        <u/>
      </rPr>
      <t>Data</t>
    </r>
  </si>
  <si>
    <t>PCAP, CSV</t>
  </si>
  <si>
    <t>Very specific – detecting DoH tunnels</t>
  </si>
  <si>
    <t>DAD</t>
  </si>
  <si>
    <r>
      <rPr>
        <rFont val="Calibri, sans-serif"/>
        <color rgb="FF1155CC"/>
        <sz val="11.0"/>
        <u/>
      </rPr>
      <t>Paper</t>
    </r>
  </si>
  <si>
    <r>
      <rPr>
        <rFont val="Calibri, sans-serif"/>
        <color rgb="FF1155CC"/>
        <sz val="11.0"/>
        <u/>
      </rPr>
      <t>Data</t>
    </r>
  </si>
  <si>
    <t>Focus on IoT NIDS utilizing MQTT protocol</t>
  </si>
  <si>
    <t>Goncalves et al. 2020 - Synthesizing VANETs datasets</t>
  </si>
  <si>
    <r>
      <rPr>
        <rFont val="Calibri, sans-serif"/>
        <color rgb="FF1155CC"/>
        <sz val="11.0"/>
        <u/>
      </rPr>
      <t>Paper</t>
    </r>
  </si>
  <si>
    <r>
      <rPr>
        <rFont val="Calibri, sans-serif"/>
        <color rgb="FF1155CC"/>
        <sz val="11.0"/>
        <u/>
      </rPr>
      <t>Data</t>
    </r>
  </si>
  <si>
    <t>Raw</t>
  </si>
  <si>
    <t>VANETs datasets with specific format unsuitable for classical network intrusion detection, but rather too specific</t>
  </si>
  <si>
    <t>MQTT-IoT-IDS2020</t>
  </si>
  <si>
    <r>
      <rPr>
        <rFont val="Calibri, sans-serif"/>
        <color rgb="FF1155CC"/>
        <sz val="11.0"/>
        <u/>
      </rPr>
      <t>Paper</t>
    </r>
  </si>
  <si>
    <r>
      <rPr>
        <rFont val="Calibri, sans-serif"/>
        <color rgb="FF1155CC"/>
        <sz val="11.0"/>
        <u/>
      </rPr>
      <t>Data</t>
    </r>
  </si>
  <si>
    <t>pcap/csv</t>
  </si>
  <si>
    <t>NIDS for IoT networks utilizing MQTT protocol</t>
  </si>
  <si>
    <t>MQTTset</t>
  </si>
  <si>
    <r>
      <rPr>
        <rFont val="Calibri, sans-serif"/>
        <color rgb="FF1155CC"/>
        <sz val="11.0"/>
        <u/>
      </rPr>
      <t>Paper</t>
    </r>
  </si>
  <si>
    <r>
      <rPr>
        <rFont val="Calibri, sans-serif"/>
        <color rgb="FF1155CC"/>
        <sz val="11.0"/>
        <u/>
      </rPr>
      <t>Data</t>
    </r>
  </si>
  <si>
    <t>WUSTL-EHMS</t>
  </si>
  <si>
    <r>
      <rPr>
        <rFont val="Calibri, sans-serif"/>
        <color rgb="FF1155CC"/>
        <sz val="11.0"/>
        <u/>
      </rPr>
      <t>Data</t>
    </r>
  </si>
  <si>
    <t>Focus on Internet of Medical Things (IoMT)</t>
  </si>
  <si>
    <t>CoAP-DoS</t>
  </si>
  <si>
    <r>
      <rPr>
        <rFont val="Calibri, sans-serif"/>
        <color rgb="FF1155CC"/>
        <sz val="11.0"/>
        <u/>
      </rPr>
      <t>Paper</t>
    </r>
  </si>
  <si>
    <r>
      <rPr>
        <rFont val="Calibri, sans-serif"/>
        <color rgb="FF1155CC"/>
        <sz val="11.0"/>
        <u/>
      </rPr>
      <t>Data</t>
    </r>
  </si>
  <si>
    <t>Unavailable + Out-of-scope</t>
  </si>
  <si>
    <t>Very specific type of DoS onto CoAP IoT devices 
Kaggle repository was recently deleted, so data is unavailable</t>
  </si>
  <si>
    <t>DoS/DDoS-MQTT-IoT</t>
  </si>
  <si>
    <r>
      <rPr>
        <rFont val="Calibri, sans-serif"/>
        <color rgb="FF1155CC"/>
        <sz val="11.0"/>
        <u/>
      </rPr>
      <t>Paper</t>
    </r>
  </si>
  <si>
    <r>
      <rPr>
        <rFont val="Calibri, sans-serif"/>
        <color rgb="FF1155CC"/>
        <sz val="11.0"/>
        <u/>
      </rPr>
      <t>Data</t>
    </r>
  </si>
  <si>
    <t>packet (bin,csv)</t>
  </si>
  <si>
    <t>Packet-wise for various DoS and DDoS attacks upon MQTT 
Maybe use the raw data for DDoS detect? Otherwise too specific</t>
  </si>
  <si>
    <t>IoT and IIoT attack dataset (Essop et al.)</t>
  </si>
  <si>
    <r>
      <rPr>
        <rFont val="Calibri, sans-serif"/>
        <color rgb="FF1155CC"/>
        <sz val="11.0"/>
        <u/>
      </rPr>
      <t>Paper</t>
    </r>
  </si>
  <si>
    <t>The dataset was never released for the public</t>
  </si>
  <si>
    <t>IoT-RPL</t>
  </si>
  <si>
    <r>
      <rPr>
        <rFont val="Calibri, sans-serif"/>
        <color rgb="FF1155CC"/>
        <sz val="11.0"/>
        <u/>
      </rPr>
      <t>Paper</t>
    </r>
  </si>
  <si>
    <t>No link provided in the paper</t>
  </si>
  <si>
    <t>SOCBED Example</t>
  </si>
  <si>
    <r>
      <rPr>
        <rFont val="Calibri, sans-serif"/>
        <color rgb="FF1155CC"/>
        <sz val="11.0"/>
        <u/>
      </rPr>
      <t>Paper</t>
    </r>
  </si>
  <si>
    <r>
      <rPr>
        <rFont val="Calibri, sans-serif"/>
        <color rgb="FF1155CC"/>
        <sz val="11.0"/>
        <u/>
      </rPr>
      <t>Data</t>
    </r>
  </si>
  <si>
    <t>json</t>
  </si>
  <si>
    <t>Paper primarily focused on replicable testbed environment 
Provides example data, but without any networking traffic</t>
  </si>
  <si>
    <t>TCP FIN Flood and Zbassocflood</t>
  </si>
  <si>
    <r>
      <rPr>
        <rFont val="Calibri, sans-serif"/>
        <color rgb="FF1155CC"/>
        <sz val="11.0"/>
        <u/>
      </rPr>
      <t>Paper</t>
    </r>
  </si>
  <si>
    <r>
      <rPr>
        <rFont val="Calibri, sans-serif"/>
        <color rgb="FF1155CC"/>
        <sz val="11.0"/>
        <u/>
      </rPr>
      <t>Data</t>
    </r>
  </si>
  <si>
    <t>Unavailable 
Out-of-scope</t>
  </si>
  <si>
    <t>Very specific dataset for IoT, ZigBee and some DoS attack types 
IEEE Dataport with subscription required, essentially a paywall</t>
  </si>
  <si>
    <t>VDDD</t>
  </si>
  <si>
    <r>
      <rPr>
        <rFont val="Calibri, sans-serif"/>
        <color rgb="FF1155CC"/>
        <sz val="11.0"/>
        <u/>
      </rPr>
      <t>Paper</t>
    </r>
  </si>
  <si>
    <t>Never released for the public, sketchy publication journal</t>
  </si>
  <si>
    <t>WDT</t>
  </si>
  <si>
    <r>
      <rPr>
        <rFont val="Calibri, sans-serif"/>
        <color rgb="FF1155CC"/>
        <sz val="11.0"/>
        <u/>
      </rPr>
      <t>Paper</t>
    </r>
  </si>
  <si>
    <r>
      <rPr>
        <rFont val="Calibri, sans-serif"/>
        <color rgb="FF1155CC"/>
        <sz val="11.0"/>
        <u/>
      </rPr>
      <t>Data</t>
    </r>
  </si>
  <si>
    <t>Industrial control HW dataset with some network features, but rather specific for MODBUS environment</t>
  </si>
  <si>
    <t>ZYELL-NCTU NetTraffic-1.0</t>
  </si>
  <si>
    <r>
      <rPr>
        <rFont val="Calibri, sans-serif"/>
        <color rgb="FF1155CC"/>
        <sz val="11.0"/>
        <u/>
      </rPr>
      <t>Paper</t>
    </r>
  </si>
  <si>
    <t>Large capture, labeled anomalies via firewall appliances 
Seems like never released for the public</t>
  </si>
  <si>
    <t>5G-NIDD</t>
  </si>
  <si>
    <r>
      <rPr>
        <rFont val="Calibri, sans-serif"/>
        <color rgb="FF1155CC"/>
        <sz val="11.0"/>
        <u/>
      </rPr>
      <t>Paper</t>
    </r>
  </si>
  <si>
    <r>
      <rPr>
        <rFont val="Calibri, sans-serif"/>
        <color rgb="FF1155CC"/>
        <sz val="11.0"/>
        <u/>
      </rPr>
      <t>Data</t>
    </r>
  </si>
  <si>
    <t>5G network with interesting scope of attacks 
Flow-based features by Argus, also PCAP available 
Most data behind paywall (IEEE Dataport), subset on Kaggle</t>
  </si>
  <si>
    <t>CoAP-IoT Dataset for Anomaly Detection</t>
  </si>
  <si>
    <r>
      <rPr>
        <rFont val="Calibri, sans-serif"/>
        <color rgb="FF1155CC"/>
        <sz val="11.0"/>
        <u/>
      </rPr>
      <t>Paper</t>
    </r>
  </si>
  <si>
    <r>
      <rPr>
        <rFont val="Calibri, sans-serif"/>
        <color rgb="FF1155CC"/>
        <sz val="11.0"/>
        <u/>
      </rPr>
      <t>Data</t>
    </r>
  </si>
  <si>
    <t>Published as part of the GitHub repository, but original PCAP data and labels deleted with the note "Wrong IPs"</t>
  </si>
  <si>
    <t>DDoS attacks dataset in VANETs</t>
  </si>
  <si>
    <r>
      <rPr>
        <rFont val="Calibri, sans-serif"/>
        <color rgb="FF1155CC"/>
        <sz val="11.0"/>
        <u/>
      </rPr>
      <t>Paper</t>
    </r>
  </si>
  <si>
    <r>
      <rPr>
        <rFont val="Calibri, sans-serif"/>
        <color rgb="FF1155CC"/>
        <sz val="11.0"/>
        <u/>
      </rPr>
      <t>Data</t>
    </r>
  </si>
  <si>
    <t>Focus on DDoS in VANETs for ad-hoc networks 
Does contain some network traffic features, but most specific</t>
  </si>
  <si>
    <t>Hybid IoT/OT honeypots</t>
  </si>
  <si>
    <r>
      <rPr>
        <rFont val="Calibri, sans-serif"/>
        <color rgb="FF1155CC"/>
        <sz val="11.0"/>
        <u/>
      </rPr>
      <t>Paper</t>
    </r>
  </si>
  <si>
    <r>
      <rPr>
        <rFont val="Calibri, sans-serif"/>
        <color rgb="FF1155CC"/>
        <sz val="11.0"/>
        <u/>
      </rPr>
      <t>Data</t>
    </r>
  </si>
  <si>
    <t>Data on request, but noone responds to it (Send Oct 2024)</t>
  </si>
  <si>
    <t>Koga2022</t>
  </si>
  <si>
    <r>
      <rPr>
        <rFont val="Calibri, sans-serif"/>
        <color rgb="FF1155CC"/>
        <sz val="11.0"/>
        <u/>
      </rPr>
      <t>Paper</t>
    </r>
  </si>
  <si>
    <t>Seems like never given to the public</t>
  </si>
  <si>
    <t>LATAM-DDoS-IoT</t>
  </si>
  <si>
    <r>
      <rPr>
        <rFont val="Calibri, sans-serif"/>
        <color rgb="FF1155CC"/>
        <sz val="11.0"/>
        <u/>
      </rPr>
      <t>Paper</t>
    </r>
  </si>
  <si>
    <r>
      <rPr>
        <rFont val="Calibri, sans-serif"/>
        <color rgb="FF1155CC"/>
        <sz val="11.0"/>
        <u/>
      </rPr>
      <t>Data</t>
    </r>
  </si>
  <si>
    <r>
      <rPr>
        <rFont val="Calibri, sans-serif"/>
        <sz val="11.0"/>
      </rPr>
      <t xml:space="preserve">Datta hidden behind IEEEDataport paywall 
Laurens D'Hooge offers a dataset </t>
    </r>
    <r>
      <rPr>
        <rFont val="Arial"/>
        <color rgb="FF1155CC"/>
        <sz val="11.0"/>
        <u/>
      </rPr>
      <t>version</t>
    </r>
    <r>
      <rPr>
        <rFont val="Calibri, sans-serif"/>
        <sz val="11.0"/>
      </rPr>
      <t>, but not an official src</t>
    </r>
  </si>
  <si>
    <t>SUNBURST2022</t>
  </si>
  <si>
    <r>
      <rPr>
        <rFont val="Calibri, sans-serif"/>
        <color rgb="FF1155CC"/>
        <sz val="11.0"/>
        <u/>
      </rPr>
      <t>Paper</t>
    </r>
  </si>
  <si>
    <t>SUNBURST Solarwinds attack, features via CICFlowMeter 
Was never made public</t>
  </si>
  <si>
    <t>UAN-12</t>
  </si>
  <si>
    <t>???? - 2022</t>
  </si>
  <si>
    <r>
      <rPr>
        <rFont val="Calibri, sans-serif"/>
        <color rgb="FF1155CC"/>
        <sz val="11.0"/>
        <u/>
      </rPr>
      <t>Paper</t>
    </r>
  </si>
  <si>
    <r>
      <rPr>
        <rFont val="Calibri, sans-serif"/>
        <color rgb="FF1155CC"/>
        <sz val="11.0"/>
        <u/>
      </rPr>
      <t>Data</t>
    </r>
  </si>
  <si>
    <t>pcap, csv</t>
  </si>
  <si>
    <t>Merges data from several projects, extracts own features 
Download links are not working (Nov 2024)</t>
  </si>
  <si>
    <t>5GC PFCP IDS</t>
  </si>
  <si>
    <r>
      <rPr>
        <rFont val="Calibri, sans-serif"/>
        <color rgb="FF1155CC"/>
        <sz val="11.0"/>
        <u/>
      </rPr>
      <t>Paper</t>
    </r>
  </si>
  <si>
    <r>
      <rPr>
        <rFont val="Calibri, sans-serif"/>
        <color rgb="FF1155CC"/>
        <sz val="11.0"/>
        <u/>
      </rPr>
      <t>Data</t>
    </r>
  </si>
  <si>
    <t>5G PFCP-based DoS attacks only, features via CICFlowMeter</t>
  </si>
  <si>
    <t>can-train-and-test</t>
  </si>
  <si>
    <r>
      <rPr>
        <rFont val="Calibri, sans-serif"/>
        <color rgb="FF1155CC"/>
        <sz val="11.0"/>
        <u/>
      </rPr>
      <t>Paper</t>
    </r>
  </si>
  <si>
    <r>
      <rPr>
        <rFont val="Calibri, sans-serif"/>
        <color rgb="FF1155CC"/>
        <sz val="11.0"/>
        <u/>
      </rPr>
      <t>Data</t>
    </r>
  </si>
  <si>
    <t>Focused on CAN data, no network data at all</t>
  </si>
  <si>
    <t>CICEV2023 DDoS</t>
  </si>
  <si>
    <r>
      <rPr>
        <rFont val="Calibri, sans-serif"/>
        <color rgb="FF1155CC"/>
        <sz val="11.0"/>
        <u/>
      </rPr>
      <t>Paper</t>
    </r>
  </si>
  <si>
    <r>
      <rPr>
        <rFont val="Calibri, sans-serif"/>
        <color rgb="FF1155CC"/>
        <sz val="11.0"/>
        <u/>
      </rPr>
      <t>Data</t>
    </r>
  </si>
  <si>
    <t>JSON</t>
  </si>
  <si>
    <t>DDoS attack on Electric Vehicle infrastructure with custom features</t>
  </si>
  <si>
    <t>WCN Anomaly Dataset (Cerda-Alabern et al. 2023)</t>
  </si>
  <si>
    <r>
      <rPr>
        <rFont val="Calibri, sans-serif"/>
        <color rgb="FF1155CC"/>
        <sz val="11.0"/>
        <u/>
      </rPr>
      <t>Paper</t>
    </r>
  </si>
  <si>
    <t>CSV</t>
  </si>
  <si>
    <t>Focused on general anomaly detection for Wireless Community Networks (WCN), not directly for cybersecurity 
Collect various end-host features like processes, Eth ifaces, etc.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</si>
</sst>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
  </numFmts>
  <fonts count="16">
    <font>
      <sz val="10.0"/>
      <color rgb="FF000000"/>
      <name val="Arial"/>
      <scheme val="minor"/>
    </font>
    <font>
      <b/>
      <sz val="20.0"/>
      <color theme="1"/>
      <name val="Arial"/>
      <scheme val="minor"/>
    </font>
    <font>
      <b/>
      <sz val="12.0"/>
      <color theme="1"/>
      <name val="Arial"/>
      <scheme val="minor"/>
    </font>
    <font>
      <color theme="1"/>
      <name val="Arial"/>
      <scheme val="minor"/>
    </font>
    <font>
      <b/>
      <color theme="1"/>
      <name val="Arial"/>
      <scheme val="minor"/>
    </font>
    <font>
      <sz val="9.0"/>
      <color rgb="FF000000"/>
      <name val="Arial"/>
      <scheme val="minor"/>
    </font>
    <font>
      <b/>
      <color rgb="FF980000"/>
      <name val="Arial"/>
      <scheme val="minor"/>
    </font>
    <font>
      <color theme="0"/>
      <name val="Arial"/>
      <scheme val="minor"/>
    </font>
    <font>
      <b/>
      <sz val="11.0"/>
      <color rgb="FF000000"/>
      <name val="Arial"/>
      <scheme val="minor"/>
    </font>
    <font>
      <b/>
      <sz val="11.0"/>
      <color theme="1"/>
      <name val="Calibri"/>
    </font>
    <font>
      <sz val="11.0"/>
      <color theme="1"/>
      <name val="Calibri"/>
    </font>
    <font>
      <u/>
      <color rgb="FF0000FF"/>
    </font>
    <font>
      <u/>
      <sz val="11.0"/>
      <color theme="1"/>
      <name val="Calibri"/>
    </font>
    <font>
      <u/>
      <color rgb="FF0000FF"/>
    </font>
    <font>
      <i/>
      <sz val="11.0"/>
      <color theme="1"/>
      <name val="Calibri"/>
    </font>
    <font>
      <u/>
      <sz val="11.0"/>
      <color rgb="FF0000FF"/>
      <name val="Calibri"/>
    </font>
  </fonts>
  <fills count="2">
    <fill>
      <patternFill patternType="none"/>
    </fill>
    <fill>
      <patternFill patternType="lightGray"/>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0" xfId="0" applyFont="1"/>
    <xf borderId="0" fillId="0" fontId="5" numFmtId="0" xfId="0" applyFont="1"/>
    <xf borderId="0" fillId="0" fontId="6" numFmtId="0" xfId="0" applyAlignment="1" applyFont="1">
      <alignment readingOrder="0"/>
    </xf>
    <xf borderId="0" fillId="0" fontId="3" numFmtId="164" xfId="0" applyFont="1" applyNumberFormat="1"/>
    <xf borderId="0" fillId="0" fontId="0" numFmtId="0" xfId="0" applyFont="1"/>
    <xf borderId="0" fillId="0" fontId="7" numFmtId="0" xfId="0" applyFont="1"/>
    <xf borderId="0" fillId="0" fontId="3" numFmtId="1" xfId="0" applyFont="1" applyNumberFormat="1"/>
    <xf borderId="0" fillId="0" fontId="8" numFmtId="0" xfId="0" applyAlignment="1" applyFont="1">
      <alignment readingOrder="0"/>
    </xf>
    <xf borderId="0" fillId="0" fontId="3" numFmtId="0" xfId="0" applyAlignment="1" applyFont="1">
      <alignment horizontal="right" readingOrder="0"/>
    </xf>
    <xf borderId="0" fillId="0" fontId="3" numFmtId="1" xfId="0" applyAlignment="1" applyFont="1" applyNumberFormat="1">
      <alignment horizontal="right" readingOrder="0"/>
    </xf>
    <xf borderId="0" fillId="0" fontId="3" numFmtId="0" xfId="0" applyAlignment="1" applyFont="1">
      <alignment horizontal="left" readingOrder="0"/>
    </xf>
    <xf borderId="0" fillId="0" fontId="3" numFmtId="1" xfId="0" applyAlignment="1" applyFont="1" applyNumberFormat="1">
      <alignment horizontal="left" readingOrder="0"/>
    </xf>
    <xf borderId="0" fillId="0" fontId="9" numFmtId="0" xfId="0" applyAlignment="1" applyFont="1">
      <alignment horizontal="left" readingOrder="0"/>
    </xf>
    <xf borderId="0" fillId="0" fontId="10" numFmtId="0" xfId="0" applyAlignment="1" applyFont="1">
      <alignment horizontal="lef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readingOrder="0"/>
    </xf>
    <xf borderId="0" fillId="0" fontId="14" numFmtId="0" xfId="0" applyAlignment="1" applyFont="1">
      <alignment horizontal="left" readingOrder="0"/>
    </xf>
    <xf borderId="0" fillId="0" fontId="1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Number of published datasets by years</a:t>
            </a:r>
          </a:p>
        </c:rich>
      </c:tx>
      <c:overlay val="0"/>
    </c:title>
    <c:plotArea>
      <c:layout/>
      <c:barChart>
        <c:barDir val="col"/>
        <c:grouping val="stacked"/>
        <c:ser>
          <c:idx val="0"/>
          <c:order val="0"/>
          <c:tx>
            <c:strRef>
              <c:f>Trends!$B$3</c:f>
            </c:strRef>
          </c:tx>
          <c:spPr>
            <a:solidFill>
              <a:schemeClr val="accent1"/>
            </a:solidFill>
            <a:ln cmpd="sng">
              <a:solidFill>
                <a:srgbClr val="000000"/>
              </a:solidFill>
            </a:ln>
          </c:spPr>
          <c:dPt>
            <c:idx val="15"/>
          </c:dPt>
          <c:cat>
            <c:strRef>
              <c:f>Trends!$A$4:$A$25</c:f>
            </c:strRef>
          </c:cat>
          <c:val>
            <c:numRef>
              <c:f>Trends!$B$4:$B$25</c:f>
              <c:numCache/>
            </c:numRef>
          </c:val>
        </c:ser>
        <c:ser>
          <c:idx val="1"/>
          <c:order val="1"/>
          <c:tx>
            <c:strRef>
              <c:f>Trends!$C$3</c:f>
            </c:strRef>
          </c:tx>
          <c:spPr>
            <a:solidFill>
              <a:srgbClr val="C27BA0"/>
            </a:solidFill>
            <a:ln cmpd="sng">
              <a:solidFill>
                <a:srgbClr val="000000"/>
              </a:solidFill>
            </a:ln>
          </c:spPr>
          <c:dPt>
            <c:idx val="6"/>
          </c:dPt>
          <c:dPt>
            <c:idx val="15"/>
          </c:dPt>
          <c:cat>
            <c:strRef>
              <c:f>Trends!$A$4:$A$25</c:f>
            </c:strRef>
          </c:cat>
          <c:val>
            <c:numRef>
              <c:f>Trends!$C$4:$C$25</c:f>
              <c:numCache/>
            </c:numRef>
          </c:val>
        </c:ser>
        <c:overlap val="100"/>
        <c:axId val="1543454269"/>
        <c:axId val="715575277"/>
      </c:barChart>
      <c:catAx>
        <c:axId val="15434542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15575277"/>
      </c:catAx>
      <c:valAx>
        <c:axId val="715575277"/>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43454269"/>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number of packets in datasets by years</a:t>
            </a:r>
          </a:p>
        </c:rich>
      </c:tx>
      <c:overlay val="0"/>
    </c:title>
    <c:plotArea>
      <c:layout/>
      <c:lineChart>
        <c:varyColors val="0"/>
        <c:ser>
          <c:idx val="0"/>
          <c:order val="0"/>
          <c:spPr>
            <a:ln cmpd="sng">
              <a:solidFill>
                <a:schemeClr val="accent1"/>
              </a:solidFill>
              <a:prstDash val="solid"/>
            </a:ln>
          </c:spPr>
          <c:marker>
            <c:symbol val="circle"/>
            <c:size val="10"/>
            <c:spPr>
              <a:solidFill>
                <a:schemeClr val="accent1"/>
              </a:solidFill>
              <a:ln cmpd="sng">
                <a:solidFill>
                  <a:schemeClr val="accent1"/>
                </a:solidFill>
              </a:ln>
            </c:spPr>
          </c:marker>
          <c:cat>
            <c:strRef>
              <c:f>Trends!$A$102:$A$121</c:f>
            </c:strRef>
          </c:cat>
          <c:val>
            <c:numRef>
              <c:f>Trends!$B$102:$B$121</c:f>
              <c:numCache/>
            </c:numRef>
          </c:val>
          <c:smooth val="0"/>
        </c:ser>
        <c:axId val="1156799342"/>
        <c:axId val="1921469346"/>
      </c:lineChart>
      <c:catAx>
        <c:axId val="115679934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21469346"/>
      </c:catAx>
      <c:valAx>
        <c:axId val="19214693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56799342"/>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number of flows/records in datasets by years</a:t>
            </a:r>
          </a:p>
        </c:rich>
      </c:tx>
      <c:overlay val="0"/>
    </c:title>
    <c:plotArea>
      <c:layout/>
      <c:lineChart>
        <c:varyColors val="0"/>
        <c:ser>
          <c:idx val="0"/>
          <c:order val="0"/>
          <c:spPr>
            <a:ln cmpd="sng">
              <a:solidFill>
                <a:schemeClr val="accent1"/>
              </a:solidFill>
              <a:prstDash val="solid"/>
            </a:ln>
          </c:spPr>
          <c:marker>
            <c:symbol val="circle"/>
            <c:size val="10"/>
            <c:spPr>
              <a:solidFill>
                <a:schemeClr val="accent1"/>
              </a:solidFill>
              <a:ln cmpd="sng">
                <a:solidFill>
                  <a:schemeClr val="accent1"/>
                </a:solidFill>
              </a:ln>
            </c:spPr>
          </c:marker>
          <c:cat>
            <c:strRef>
              <c:f>Trends!$A$102:$A$121</c:f>
            </c:strRef>
          </c:cat>
          <c:val>
            <c:numRef>
              <c:f>Trends!$C$102:$C$121</c:f>
              <c:numCache/>
            </c:numRef>
          </c:val>
          <c:smooth val="0"/>
        </c:ser>
        <c:axId val="1959345848"/>
        <c:axId val="1420229749"/>
      </c:lineChart>
      <c:catAx>
        <c:axId val="195934584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20229749"/>
      </c:catAx>
      <c:valAx>
        <c:axId val="142022974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59345848"/>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Average duration of captured datasets by years</a:t>
            </a:r>
          </a:p>
        </c:rich>
      </c:tx>
      <c:overlay val="0"/>
    </c:title>
    <c:plotArea>
      <c:layout/>
      <c:lineChart>
        <c:varyColors val="0"/>
        <c:ser>
          <c:idx val="0"/>
          <c:order val="0"/>
          <c:spPr>
            <a:ln cmpd="sng">
              <a:solidFill>
                <a:schemeClr val="accent1"/>
              </a:solidFill>
              <a:prstDash val="solid"/>
            </a:ln>
          </c:spPr>
          <c:marker>
            <c:symbol val="circle"/>
            <c:size val="10"/>
            <c:spPr>
              <a:solidFill>
                <a:schemeClr val="accent1"/>
              </a:solidFill>
              <a:ln cmpd="sng">
                <a:solidFill>
                  <a:schemeClr val="accent1"/>
                </a:solidFill>
              </a:ln>
            </c:spPr>
          </c:marker>
          <c:dPt>
            <c:idx val="6"/>
            <c:marker>
              <c:symbol val="none"/>
            </c:marker>
          </c:dPt>
          <c:cat>
            <c:strRef>
              <c:f>Trends!$A$102:$A$121</c:f>
            </c:strRef>
          </c:cat>
          <c:val>
            <c:numRef>
              <c:f>Trends!$D$102:$D$121</c:f>
              <c:numCache/>
            </c:numRef>
          </c:val>
          <c:smooth val="0"/>
        </c:ser>
        <c:axId val="378578831"/>
        <c:axId val="1588962990"/>
      </c:lineChart>
      <c:catAx>
        <c:axId val="3785788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88962990"/>
      </c:catAx>
      <c:valAx>
        <c:axId val="15889629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78578831"/>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504825</xdr:colOff>
      <xdr:row>4</xdr:row>
      <xdr:rowOff>28575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942975</xdr:colOff>
      <xdr:row>100</xdr:row>
      <xdr:rowOff>200025</xdr:rowOff>
    </xdr:from>
    <xdr:ext cx="5724525"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11</xdr:col>
      <xdr:colOff>1200150</xdr:colOff>
      <xdr:row>100</xdr:row>
      <xdr:rowOff>152400</xdr:rowOff>
    </xdr:from>
    <xdr:ext cx="5724525"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4</xdr:col>
      <xdr:colOff>942975</xdr:colOff>
      <xdr:row>120</xdr:row>
      <xdr:rowOff>9525</xdr:rowOff>
    </xdr:from>
    <xdr:ext cx="5724525"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cybervan.peratonlabs.com:9000/milcom-2016-data-sets" TargetMode="External"/><Relationship Id="rId42" Type="http://schemas.openxmlformats.org/officeDocument/2006/relationships/hyperlink" Target="https://github.com/antoine-lemay/Modbus_dataset" TargetMode="External"/><Relationship Id="rId41" Type="http://schemas.openxmlformats.org/officeDocument/2006/relationships/hyperlink" Target="https://www.usenix.org/conference/cset16/workshop-program/presentation/lemay" TargetMode="External"/><Relationship Id="rId44" Type="http://schemas.openxmlformats.org/officeDocument/2006/relationships/hyperlink" Target="https://cidre.gitlabpages.inria.fr/malware/malware-website/" TargetMode="External"/><Relationship Id="rId43" Type="http://schemas.openxmlformats.org/officeDocument/2006/relationships/hyperlink" Target="https://www.usenix.org/conference/laser2016/program/presentation/kiss" TargetMode="External"/><Relationship Id="rId46" Type="http://schemas.openxmlformats.org/officeDocument/2006/relationships/hyperlink" Target="https://onlineacademiccommunity.uvic.ca/isot/2022/11/27/botnet-and-ransomware-detection-datasets/" TargetMode="External"/><Relationship Id="rId45" Type="http://schemas.openxmlformats.org/officeDocument/2006/relationships/hyperlink" Target="https://scholar.google.com/scholar?cluster=6997320114336392313&amp;hl=en&amp;as_sdt=0,5" TargetMode="External"/><Relationship Id="rId107" Type="http://schemas.openxmlformats.org/officeDocument/2006/relationships/hyperlink" Target="https://zenodo.org/records/7888347" TargetMode="External"/><Relationship Id="rId106" Type="http://schemas.openxmlformats.org/officeDocument/2006/relationships/hyperlink" Target="https://ieeexplore.ieee.org/document/10176693" TargetMode="External"/><Relationship Id="rId105" Type="http://schemas.openxmlformats.org/officeDocument/2006/relationships/hyperlink" Target="https://securitylab.uan.mx/dataset-uan12.htm" TargetMode="External"/><Relationship Id="rId104" Type="http://schemas.openxmlformats.org/officeDocument/2006/relationships/hyperlink" Target="https://www.mdpi.com/1424-8220/22/5/1847" TargetMode="External"/><Relationship Id="rId109" Type="http://schemas.openxmlformats.org/officeDocument/2006/relationships/hyperlink" Target="https://bitbucket.org/brooke-lampe/can-train-and-test/src/master/" TargetMode="External"/><Relationship Id="rId108" Type="http://schemas.openxmlformats.org/officeDocument/2006/relationships/hyperlink" Target="https://ieeexplore.ieee.org/document/10333756" TargetMode="External"/><Relationship Id="rId48" Type="http://schemas.openxmlformats.org/officeDocument/2006/relationships/hyperlink" Target="https://www.mdpi.com/2078-2489/12/10/405" TargetMode="External"/><Relationship Id="rId47" Type="http://schemas.openxmlformats.org/officeDocument/2006/relationships/hyperlink" Target="https://ieeexplore.ieee.org/document/9668224" TargetMode="External"/><Relationship Id="rId49" Type="http://schemas.openxmlformats.org/officeDocument/2006/relationships/hyperlink" Target="https://www.researchgate.net/publication/342200905_An_Ensemble_Learning_Framework_for_Anomaly_Detection_in_the_Existing_Network_Intrusion_Detection_Landscape" TargetMode="External"/><Relationship Id="rId103" Type="http://schemas.openxmlformats.org/officeDocument/2006/relationships/hyperlink" Target="https://www.techscience.com/csse/v47n2/53670" TargetMode="External"/><Relationship Id="rId102" Type="http://schemas.openxmlformats.org/officeDocument/2006/relationships/hyperlink" Target="https://www.kaggle.com/datasets/dhoogla/latam-iot-ddos" TargetMode="External"/><Relationship Id="rId101" Type="http://schemas.openxmlformats.org/officeDocument/2006/relationships/hyperlink" Target="https://ieee-dataport.org/documents/latam-ddos-iot-dataset" TargetMode="External"/><Relationship Id="rId100" Type="http://schemas.openxmlformats.org/officeDocument/2006/relationships/hyperlink" Target="https://ieeexplore.ieee.org/abstract/document/9908531" TargetMode="External"/><Relationship Id="rId31" Type="http://schemas.openxmlformats.org/officeDocument/2006/relationships/hyperlink" Target="https://ieeexplore.ieee.org/abstract/document/7063234" TargetMode="External"/><Relationship Id="rId30" Type="http://schemas.openxmlformats.org/officeDocument/2006/relationships/hyperlink" Target="https://ieeexplore.ieee.org/document/7208978" TargetMode="External"/><Relationship Id="rId33" Type="http://schemas.openxmlformats.org/officeDocument/2006/relationships/hyperlink" Target="https://aaai.org/papers/252-flairs-2015-10368/" TargetMode="External"/><Relationship Id="rId32" Type="http://schemas.openxmlformats.org/officeDocument/2006/relationships/hyperlink" Target="https://sites.google.com/a/uah.edu/tommy-morris-uah/ics-data-sets" TargetMode="External"/><Relationship Id="rId35" Type="http://schemas.openxmlformats.org/officeDocument/2006/relationships/hyperlink" Target="https://www.hindawi.com/journals/js/2016/4731953/" TargetMode="External"/><Relationship Id="rId34" Type="http://schemas.openxmlformats.org/officeDocument/2006/relationships/hyperlink" Target="https://www.netresec.com/?page=ISTS" TargetMode="External"/><Relationship Id="rId37" Type="http://schemas.openxmlformats.org/officeDocument/2006/relationships/hyperlink" Target="https://link.springer.com/chapter/10.1007/978-3-319-71368-7_8" TargetMode="External"/><Relationship Id="rId36" Type="http://schemas.openxmlformats.org/officeDocument/2006/relationships/hyperlink" Target="https://www.kaggle.com/datasets/bassamkasasbeh1/wsnds" TargetMode="External"/><Relationship Id="rId39" Type="http://schemas.openxmlformats.org/officeDocument/2006/relationships/hyperlink" Target="https://onlinelibrary.wiley.com/doi/abs/10.1002/sec.1441" TargetMode="External"/><Relationship Id="rId38" Type="http://schemas.openxmlformats.org/officeDocument/2006/relationships/hyperlink" Target="https://itrust.sutd.edu.sg/itrust-labs_datasets/dataset_info/" TargetMode="External"/><Relationship Id="rId20" Type="http://schemas.openxmlformats.org/officeDocument/2006/relationships/hyperlink" Target="https://ieeexplore.ieee.org/document/6113948" TargetMode="External"/><Relationship Id="rId22" Type="http://schemas.openxmlformats.org/officeDocument/2006/relationships/hyperlink" Target="https://ieeexplore.ieee.org/document/6400529" TargetMode="External"/><Relationship Id="rId21" Type="http://schemas.openxmlformats.org/officeDocument/2006/relationships/hyperlink" Target="https://fkie-cad.github.io/COMIDDS/content/datasets/vast_2011/" TargetMode="External"/><Relationship Id="rId24" Type="http://schemas.openxmlformats.org/officeDocument/2006/relationships/hyperlink" Target="https://ieeexplore.ieee.org/abstract/document/6555301" TargetMode="External"/><Relationship Id="rId23" Type="http://schemas.openxmlformats.org/officeDocument/2006/relationships/hyperlink" Target="https://www.cs.umd.edu/hcil/vastchallenge/" TargetMode="External"/><Relationship Id="rId26" Type="http://schemas.openxmlformats.org/officeDocument/2006/relationships/hyperlink" Target="https://ascelibrary.org/doi/abs/10.1061/(ASCE)WR.1943-5452.0000969" TargetMode="External"/><Relationship Id="rId25" Type="http://schemas.openxmlformats.org/officeDocument/2006/relationships/hyperlink" Target="https://research.unsw.edu.au/projects/adfa-ids-datasets" TargetMode="External"/><Relationship Id="rId28" Type="http://schemas.openxmlformats.org/officeDocument/2006/relationships/hyperlink" Target="https://ieeexplore.ieee.org/stamp/stamp.jsp?tp=&amp;arnumber=6785478" TargetMode="External"/><Relationship Id="rId27" Type="http://schemas.openxmlformats.org/officeDocument/2006/relationships/hyperlink" Target="http://www.batadal.net/data.html" TargetMode="External"/><Relationship Id="rId29" Type="http://schemas.openxmlformats.org/officeDocument/2006/relationships/hyperlink" Target="https://ieeexplore.ieee.org/document/7033608" TargetMode="External"/><Relationship Id="rId95" Type="http://schemas.openxmlformats.org/officeDocument/2006/relationships/hyperlink" Target="https://link.springer.com/chapter/10.1007/978-3-031-19211-1_21" TargetMode="External"/><Relationship Id="rId94" Type="http://schemas.openxmlformats.org/officeDocument/2006/relationships/hyperlink" Target="https://github.com/dad-repository/cidad" TargetMode="External"/><Relationship Id="rId97" Type="http://schemas.openxmlformats.org/officeDocument/2006/relationships/hyperlink" Target="https://dl.acm.org/doi/10.1145/3564625.3564645" TargetMode="External"/><Relationship Id="rId96" Type="http://schemas.openxmlformats.org/officeDocument/2006/relationships/hyperlink" Target="https://github.com/YangFanAHU/DDoS-attacks-dataset-in-VANETs" TargetMode="External"/><Relationship Id="rId11" Type="http://schemas.openxmlformats.org/officeDocument/2006/relationships/hyperlink" Target="https://ieeexplore.ieee.org/abstract/document/4041181" TargetMode="External"/><Relationship Id="rId99" Type="http://schemas.openxmlformats.org/officeDocument/2006/relationships/hyperlink" Target="https://ieeexplore.ieee.org/document/10062777" TargetMode="External"/><Relationship Id="rId10" Type="http://schemas.openxmlformats.org/officeDocument/2006/relationships/hyperlink" Target="https://www.cl.cam.ac.uk/research/srg/netos/projects/archive/nprobe/" TargetMode="External"/><Relationship Id="rId98" Type="http://schemas.openxmlformats.org/officeDocument/2006/relationships/hyperlink" Target="https://data.dtu.dk/articles/dataset/A_dataset_of_hybrid_IoT_OT_honeypots/21088651" TargetMode="External"/><Relationship Id="rId13" Type="http://schemas.openxmlformats.org/officeDocument/2006/relationships/hyperlink" Target="http://netweb.ing.unibs.it/~ntw/tools/traces/" TargetMode="External"/><Relationship Id="rId12" Type="http://schemas.openxmlformats.org/officeDocument/2006/relationships/hyperlink" Target="http://ccr.sigcomm.org/online/files/p13-v39n5b4-salgarelliA.pdf" TargetMode="External"/><Relationship Id="rId91" Type="http://schemas.openxmlformats.org/officeDocument/2006/relationships/hyperlink" Target="https://arxiv.org/abs/2212.01298" TargetMode="External"/><Relationship Id="rId90" Type="http://schemas.openxmlformats.org/officeDocument/2006/relationships/hyperlink" Target="https://ieeexplore.ieee.org/document/9602909" TargetMode="External"/><Relationship Id="rId93" Type="http://schemas.openxmlformats.org/officeDocument/2006/relationships/hyperlink" Target="https://www.mdpi.com/2076-3417/13/7/4482" TargetMode="External"/><Relationship Id="rId92" Type="http://schemas.openxmlformats.org/officeDocument/2006/relationships/hyperlink" Target="https://ieee-dataport.org/documents/5g-nidd-comprehensive-network-intrusion-detection-dataset-generated-over-5g-wireless" TargetMode="External"/><Relationship Id="rId15" Type="http://schemas.openxmlformats.org/officeDocument/2006/relationships/hyperlink" Target="http://netweb.ing.unibs.it/~ntw/tools/traces/" TargetMode="External"/><Relationship Id="rId110" Type="http://schemas.openxmlformats.org/officeDocument/2006/relationships/hyperlink" Target="https://www.computer.org/csdl/proceedings-article/pst/2023/10320202/1SjejFg2aKA" TargetMode="External"/><Relationship Id="rId14" Type="http://schemas.openxmlformats.org/officeDocument/2006/relationships/hyperlink" Target="https://ieeexplore.ieee.org/document/5199557" TargetMode="External"/><Relationship Id="rId17" Type="http://schemas.openxmlformats.org/officeDocument/2006/relationships/hyperlink" Target="http://www.sysnet.ucsd.edu/projects/url/" TargetMode="External"/><Relationship Id="rId16" Type="http://schemas.openxmlformats.org/officeDocument/2006/relationships/hyperlink" Target="http://www.cs.ucsd.edu/~jtma/papers/url-icml2009.pdf" TargetMode="External"/><Relationship Id="rId19" Type="http://schemas.openxmlformats.org/officeDocument/2006/relationships/hyperlink" Target="https://ieeexplore.ieee.org/abstract/document/5706782" TargetMode="External"/><Relationship Id="rId18" Type="http://schemas.openxmlformats.org/officeDocument/2006/relationships/hyperlink" Target="https://petescully.co.uk/research/csic-2010-http-dataset-in-csv-format-for-weka-analysis/" TargetMode="External"/><Relationship Id="rId113" Type="http://schemas.openxmlformats.org/officeDocument/2006/relationships/drawing" Target="../drawings/drawing3.xml"/><Relationship Id="rId112" Type="http://schemas.openxmlformats.org/officeDocument/2006/relationships/hyperlink" Target="https://www.sciencedirect.com/science/article/pii/S2352340923004602" TargetMode="External"/><Relationship Id="rId111" Type="http://schemas.openxmlformats.org/officeDocument/2006/relationships/hyperlink" Target="https://www.unb.ca/cic/datasets/cicev2023.html" TargetMode="External"/><Relationship Id="rId84" Type="http://schemas.openxmlformats.org/officeDocument/2006/relationships/hyperlink" Target="https://github.com/fkie-cad/socbed-eval-acsac-2021" TargetMode="External"/><Relationship Id="rId83" Type="http://schemas.openxmlformats.org/officeDocument/2006/relationships/hyperlink" Target="https://dl.acm.org/doi/10.1145/3485832.3488020" TargetMode="External"/><Relationship Id="rId86" Type="http://schemas.openxmlformats.org/officeDocument/2006/relationships/hyperlink" Target="https://ieee-dataport.org/documents/tcp-fin-flood-and-zbassocflood-dataset" TargetMode="External"/><Relationship Id="rId85" Type="http://schemas.openxmlformats.org/officeDocument/2006/relationships/hyperlink" Target="https://jit.ndhu.edu.tw/article/view/2874" TargetMode="External"/><Relationship Id="rId88" Type="http://schemas.openxmlformats.org/officeDocument/2006/relationships/hyperlink" Target="https://ieeexplore.ieee.org/abstract/document/9526562/" TargetMode="External"/><Relationship Id="rId87" Type="http://schemas.openxmlformats.org/officeDocument/2006/relationships/hyperlink" Target="https://journals.sagepub.com/doi/10.1177/15501477211000287" TargetMode="External"/><Relationship Id="rId89" Type="http://schemas.openxmlformats.org/officeDocument/2006/relationships/hyperlink" Target="https://ieee-dataport.org/open-access/hardware-loop-water-distribution-testbed-wdt-dataset-cyber-physical-security-testing" TargetMode="External"/><Relationship Id="rId80" Type="http://schemas.openxmlformats.org/officeDocument/2006/relationships/hyperlink" Target="https://www.kaggle.com/datasets/alaaalatram/dosddos-mqtt-iot" TargetMode="External"/><Relationship Id="rId82" Type="http://schemas.openxmlformats.org/officeDocument/2006/relationships/hyperlink" Target="https://ieeexplore.ieee.org/abstract/document/9615841" TargetMode="External"/><Relationship Id="rId81" Type="http://schemas.openxmlformats.org/officeDocument/2006/relationships/hyperlink" Target="https://www.mdpi.com/1424-8220/21/4/1528" TargetMode="External"/><Relationship Id="rId1" Type="http://schemas.openxmlformats.org/officeDocument/2006/relationships/hyperlink" Target="https://ita.ee.lbl.gov/html/contrib/WorldCup.html" TargetMode="External"/><Relationship Id="rId2" Type="http://schemas.openxmlformats.org/officeDocument/2006/relationships/hyperlink" Target="https://core.ac.uk/download/pdf/236053371.pdf" TargetMode="External"/><Relationship Id="rId3" Type="http://schemas.openxmlformats.org/officeDocument/2006/relationships/hyperlink" Target="https://ieeexplore.ieee.org/document/6209206" TargetMode="External"/><Relationship Id="rId4" Type="http://schemas.openxmlformats.org/officeDocument/2006/relationships/hyperlink" Target="http://groups.di.unipi.it/~hkholidy/projects/cidd/index.html" TargetMode="External"/><Relationship Id="rId9" Type="http://schemas.openxmlformats.org/officeDocument/2006/relationships/hyperlink" Target="https://qmro.qmul.ac.uk/xmlui/bitstream/handle/123456789/5050/RR-05-13.pdf" TargetMode="External"/><Relationship Id="rId5" Type="http://schemas.openxmlformats.org/officeDocument/2006/relationships/hyperlink" Target="https://defcon.org/html/links/dc-ctf.html" TargetMode="External"/><Relationship Id="rId6" Type="http://schemas.openxmlformats.org/officeDocument/2006/relationships/hyperlink" Target="https://catalog.caida.org/dataset/telescope_witty_worm" TargetMode="External"/><Relationship Id="rId7" Type="http://schemas.openxmlformats.org/officeDocument/2006/relationships/hyperlink" Target="https://www.usenix.org/legacy/event/imc05/tech/full_papers/pang/pang_html/" TargetMode="External"/><Relationship Id="rId8" Type="http://schemas.openxmlformats.org/officeDocument/2006/relationships/hyperlink" Target="http://www.icir.org/enterprise-tracing/" TargetMode="External"/><Relationship Id="rId73" Type="http://schemas.openxmlformats.org/officeDocument/2006/relationships/hyperlink" Target="https://ieee-dataport.org/open-access/mqtt-iot-ids2020-mqtt-internet-things-intrusion-detection-dataset" TargetMode="External"/><Relationship Id="rId72" Type="http://schemas.openxmlformats.org/officeDocument/2006/relationships/hyperlink" Target="https://link.springer.com/chapter/10.1007/978-3-030-64758-2_6" TargetMode="External"/><Relationship Id="rId75" Type="http://schemas.openxmlformats.org/officeDocument/2006/relationships/hyperlink" Target="https://www.kaggle.com/datasets/cnrieiit/mqttset/versions/1" TargetMode="External"/><Relationship Id="rId74" Type="http://schemas.openxmlformats.org/officeDocument/2006/relationships/hyperlink" Target="https://www.mdpi.com/1424-8220/20/22/6578" TargetMode="External"/><Relationship Id="rId77" Type="http://schemas.openxmlformats.org/officeDocument/2006/relationships/hyperlink" Target="https://ieeexplore.ieee.org/document/9845285" TargetMode="External"/><Relationship Id="rId76" Type="http://schemas.openxmlformats.org/officeDocument/2006/relationships/hyperlink" Target="https://www.cse.wustl.edu/~jain/ehms/index.html" TargetMode="External"/><Relationship Id="rId79" Type="http://schemas.openxmlformats.org/officeDocument/2006/relationships/hyperlink" Target="https://www.sciencedirect.com/science/article/pii/S1389128623002542" TargetMode="External"/><Relationship Id="rId78" Type="http://schemas.openxmlformats.org/officeDocument/2006/relationships/hyperlink" Target="https://www.kaggle.com/datasets/jaredalanmathews/coapddos" TargetMode="External"/><Relationship Id="rId71" Type="http://schemas.openxmlformats.org/officeDocument/2006/relationships/hyperlink" Target="https://github.com/fabio-r-goncalves/dataset-collection" TargetMode="External"/><Relationship Id="rId70" Type="http://schemas.openxmlformats.org/officeDocument/2006/relationships/hyperlink" Target="https://ieeexplore.ieee.org/document/9348149" TargetMode="External"/><Relationship Id="rId62" Type="http://schemas.openxmlformats.org/officeDocument/2006/relationships/hyperlink" Target="https://ieeexplore.ieee.org/abstract/document/8926471" TargetMode="External"/><Relationship Id="rId61" Type="http://schemas.openxmlformats.org/officeDocument/2006/relationships/hyperlink" Target="https://github.com/FiveDirections/OpTC-data/tree/master" TargetMode="External"/><Relationship Id="rId64" Type="http://schemas.openxmlformats.org/officeDocument/2006/relationships/hyperlink" Target="https://link.springer.com/article/10.1007/s11277-019-06485-w" TargetMode="External"/><Relationship Id="rId63" Type="http://schemas.openxmlformats.org/officeDocument/2006/relationships/hyperlink" Target="http://perception.inf.um.es/ICS-datasets/" TargetMode="External"/><Relationship Id="rId66" Type="http://schemas.openxmlformats.org/officeDocument/2006/relationships/hyperlink" Target="https://ieeexplore.ieee.org/abstract/document/9251211" TargetMode="External"/><Relationship Id="rId65" Type="http://schemas.openxmlformats.org/officeDocument/2006/relationships/hyperlink" Target="http://dx.doi.org/10.5281/zenodo.1406034" TargetMode="External"/><Relationship Id="rId68" Type="http://schemas.openxmlformats.org/officeDocument/2006/relationships/hyperlink" Target="https://www.mdpi.com/1424-8220/20/13/3745" TargetMode="External"/><Relationship Id="rId67" Type="http://schemas.openxmlformats.org/officeDocument/2006/relationships/hyperlink" Target="https://www.unb.ca/cic/datasets/dohbrw-2020.html" TargetMode="External"/><Relationship Id="rId60" Type="http://schemas.openxmlformats.org/officeDocument/2006/relationships/hyperlink" Target="https://www.mdpi.com/1424-8220/22/14/5104" TargetMode="External"/><Relationship Id="rId69" Type="http://schemas.openxmlformats.org/officeDocument/2006/relationships/hyperlink" Target="https://github.com/dad-repository/dad" TargetMode="External"/><Relationship Id="rId51" Type="http://schemas.openxmlformats.org/officeDocument/2006/relationships/hyperlink" Target="https://ieeexplore.ieee.org/document/8782319" TargetMode="External"/><Relationship Id="rId50" Type="http://schemas.openxmlformats.org/officeDocument/2006/relationships/hyperlink" Target="https://ieeexplore.ieee.org/abstract/document/8584985" TargetMode="External"/><Relationship Id="rId53" Type="http://schemas.openxmlformats.org/officeDocument/2006/relationships/hyperlink" Target="https://iotanalytics.unsw.edu.au/attack-data.html" TargetMode="External"/><Relationship Id="rId52" Type="http://schemas.openxmlformats.org/officeDocument/2006/relationships/hyperlink" Target="https://dl.acm.org/doi/abs/10.1145/3314148.3314352" TargetMode="External"/><Relationship Id="rId55" Type="http://schemas.openxmlformats.org/officeDocument/2006/relationships/hyperlink" Target="https://www.mdpi.com/1999-5903/10/8/76" TargetMode="External"/><Relationship Id="rId54" Type="http://schemas.openxmlformats.org/officeDocument/2006/relationships/hyperlink" Target="https://www.sciencedirect.com/science/article/pii/S1877050918308111" TargetMode="External"/><Relationship Id="rId57" Type="http://schemas.openxmlformats.org/officeDocument/2006/relationships/hyperlink" Target="https://ricerca.univaq.it/bitstream/11697/145526/1/ITASEC20.pdf" TargetMode="External"/><Relationship Id="rId56" Type="http://schemas.openxmlformats.org/officeDocument/2006/relationships/hyperlink" Target="https://www.cse.wustl.edu/~jain/iiot/index.html" TargetMode="External"/><Relationship Id="rId59" Type="http://schemas.openxmlformats.org/officeDocument/2006/relationships/hyperlink" Target="https://ieeexplore.ieee.org/abstract/document/8753563" TargetMode="External"/><Relationship Id="rId58" Type="http://schemas.openxmlformats.org/officeDocument/2006/relationships/hyperlink" Target="https://github.com/IvanLetteri/MTA-KDD-19/tree/mast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2" max="12" width="16.13"/>
  </cols>
  <sheetData>
    <row r="1">
      <c r="A1" s="1" t="s">
        <v>0</v>
      </c>
    </row>
    <row r="2">
      <c r="A2" s="2" t="s">
        <v>1</v>
      </c>
      <c r="L2" s="2" t="s">
        <v>2</v>
      </c>
      <c r="N2" s="3" t="s">
        <v>3</v>
      </c>
      <c r="R2" s="2" t="s">
        <v>4</v>
      </c>
      <c r="U2" s="2" t="s">
        <v>5</v>
      </c>
    </row>
    <row r="3">
      <c r="A3" s="4" t="s">
        <v>6</v>
      </c>
      <c r="B3" s="4" t="s">
        <v>7</v>
      </c>
      <c r="C3" s="4" t="s">
        <v>8</v>
      </c>
      <c r="D3" s="4" t="s">
        <v>9</v>
      </c>
      <c r="L3" s="3" t="s">
        <v>10</v>
      </c>
      <c r="M3" s="3" t="s">
        <v>11</v>
      </c>
      <c r="O3" s="3" t="s">
        <v>10</v>
      </c>
      <c r="P3" s="3" t="s">
        <v>11</v>
      </c>
      <c r="R3" s="3" t="s">
        <v>12</v>
      </c>
      <c r="S3" s="3" t="s">
        <v>11</v>
      </c>
      <c r="U3" s="3" t="s">
        <v>12</v>
      </c>
      <c r="V3" s="3" t="s">
        <v>11</v>
      </c>
      <c r="X3" s="3" t="s">
        <v>13</v>
      </c>
      <c r="AA3" s="3" t="s">
        <v>14</v>
      </c>
    </row>
    <row r="4">
      <c r="A4" s="5">
        <f>IFERROR(__xludf.DUMMYFUNCTION("SORT(UNIQUE(ARRAYFORMULA({Datasets!B2:B1652; 2013}), False, False), 1, True)"),1999.0)</f>
        <v>1999</v>
      </c>
      <c r="B4" s="5">
        <f>COUNTIFS(Datasets!$B$2:$B1652, A4, Datasets!$E$2:$E1652, "*General*)")</f>
        <v>1</v>
      </c>
      <c r="C4" s="5">
        <f>COUNTIF(Datasets!$B$2:$B1652, A4) - B4</f>
        <v>0</v>
      </c>
      <c r="D4" s="5">
        <f t="shared" ref="D4:D22" si="1">B4+C4</f>
        <v>1</v>
      </c>
      <c r="E4" s="6"/>
      <c r="L4" s="5" t="str">
        <f>IFERROR(__xludf.DUMMYFUNCTION("UNIQUE(Datasets!E2:E1652, False)"),"General IDS (LANs)")</f>
        <v>General IDS (LANs)</v>
      </c>
      <c r="M4" s="5">
        <f>COUNTIF(Datasets!$E$2:$E1652, L4)</f>
        <v>7</v>
      </c>
      <c r="O4" s="5" t="str">
        <f t="array" ref="O4:P1652">SORT(L4:M1652, 2, False)</f>
        <v>Coun</v>
      </c>
      <c r="P4" s="5" t="s">
        <v>15</v>
      </c>
      <c r="R4" s="5" t="str">
        <f>IFERROR(__xludf.DUMMYFUNCTION("SORT(UNIQUE(Datasets!F2:F1652), 1, True)"),"emul-p")</f>
        <v>emul-p</v>
      </c>
      <c r="S4" s="5">
        <f>COUNTIF(Datasets!$F$2:$F1652, R4)</f>
        <v>28</v>
      </c>
      <c r="U4" s="5" t="str">
        <f>IFERROR(__xludf.DUMMYFUNCTION("SORT(UNIQUE(Datasets!G2:G1652, False, False), 1, True)"),"emul-p")</f>
        <v>emul-p</v>
      </c>
      <c r="V4" s="5">
        <f>COUNTIF(Datasets!$G$2:$G1652,U4)</f>
        <v>29</v>
      </c>
      <c r="X4" s="3" t="s">
        <v>16</v>
      </c>
      <c r="AA4" s="5">
        <f>(V8+V9+V10)/$H$27</f>
        <v>0.191011236</v>
      </c>
    </row>
    <row r="5">
      <c r="A5" s="5">
        <f>IFERROR(__xludf.DUMMYFUNCTION("""COMPUTED_VALUE"""),2000.0)</f>
        <v>2000</v>
      </c>
      <c r="B5" s="5">
        <f>COUNTIFS(Datasets!$B$2:$B1652, A5, Datasets!$E$2:$E1652, "*General*)")</f>
        <v>2</v>
      </c>
      <c r="C5" s="5">
        <f>COUNTIF(Datasets!$B$2:$B1652, A5) - B5</f>
        <v>0</v>
      </c>
      <c r="D5" s="5">
        <f t="shared" si="1"/>
        <v>2</v>
      </c>
      <c r="E5" s="6"/>
      <c r="L5" s="5" t="str">
        <f>IFERROR(__xludf.DUMMYFUNCTION("""COMPUTED_VALUE"""),"Payload analysis IDS")</f>
        <v>Payload analysis IDS</v>
      </c>
      <c r="M5" s="5">
        <f>COUNTIF(Datasets!$E$2:$E1652, L5)</f>
        <v>1</v>
      </c>
      <c r="O5" s="5" t="s">
        <v>17</v>
      </c>
      <c r="P5" s="5">
        <v>12.0</v>
      </c>
      <c r="R5" s="5" t="str">
        <f>IFERROR(__xludf.DUMMYFUNCTION("""COMPUTED_VALUE"""),"emul-pv")</f>
        <v>emul-pv</v>
      </c>
      <c r="S5" s="5">
        <f>COUNTIF(Datasets!$F$2:$F1652, R5)</f>
        <v>16</v>
      </c>
      <c r="U5" s="5" t="str">
        <f>IFERROR(__xludf.DUMMYFUNCTION("""COMPUTED_VALUE"""),"emul-pv")</f>
        <v>emul-pv</v>
      </c>
      <c r="V5" s="5">
        <f>COUNTIF(Datasets!$G$2:$G1652,U5)</f>
        <v>20</v>
      </c>
      <c r="X5" s="3" t="s">
        <v>18</v>
      </c>
      <c r="Y5" s="5">
        <f>(S19+S20+S24+S25)/U32</f>
        <v>0.6046511628</v>
      </c>
    </row>
    <row r="6">
      <c r="A6" s="5">
        <f>IFERROR(__xludf.DUMMYFUNCTION("""COMPUTED_VALUE"""),2001.0)</f>
        <v>2001</v>
      </c>
      <c r="B6" s="5">
        <f>COUNTIFS(Datasets!$B$2:$B1652, A6, Datasets!$E$2:$E1652, "*General*)")</f>
        <v>0</v>
      </c>
      <c r="C6" s="5">
        <f>COUNTIF(Datasets!$B$2:$B1652, A6) - B6</f>
        <v>1</v>
      </c>
      <c r="D6" s="5">
        <f t="shared" si="1"/>
        <v>1</v>
      </c>
      <c r="E6" s="6"/>
      <c r="L6" s="5" t="str">
        <f>IFERROR(__xludf.DUMMYFUNCTION("""COMPUTED_VALUE"""),"Infiltration + DDoS attacks")</f>
        <v>Infiltration + DDoS attacks</v>
      </c>
      <c r="M6" s="5">
        <f>COUNTIF(Datasets!$E$2:$E1652, L6)</f>
        <v>1</v>
      </c>
      <c r="O6" s="5" t="s">
        <v>19</v>
      </c>
      <c r="P6" s="5">
        <v>7.0</v>
      </c>
      <c r="R6" s="5" t="str">
        <f>IFERROR(__xludf.DUMMYFUNCTION("""COMPUTED_VALUE"""),"emul-v")</f>
        <v>emul-v</v>
      </c>
      <c r="S6" s="5">
        <f>COUNTIF(Datasets!$F$2:$F1652, R6)</f>
        <v>18</v>
      </c>
      <c r="U6" s="5" t="str">
        <f>IFERROR(__xludf.DUMMYFUNCTION("""COMPUTED_VALUE"""),"emul-v")</f>
        <v>emul-v</v>
      </c>
      <c r="V6" s="5">
        <f>COUNTIF(Datasets!$G$2:$G1652,U6)</f>
        <v>21</v>
      </c>
      <c r="X6" s="3" t="s">
        <v>20</v>
      </c>
      <c r="Y6" s="5">
        <f>(Y19+Y20+Y24+Y25)/W32</f>
        <v>0.5384615385</v>
      </c>
    </row>
    <row r="7">
      <c r="A7" s="5">
        <f>IFERROR(__xludf.DUMMYFUNCTION("""COMPUTED_VALUE"""),2008.0)</f>
        <v>2008</v>
      </c>
      <c r="B7" s="5">
        <f>COUNTIFS(Datasets!$B$2:$B1652, A7, Datasets!$E$2:$E1652, "*General*)")</f>
        <v>0</v>
      </c>
      <c r="C7" s="5">
        <f>COUNTIF(Datasets!$B$2:$B1652, A7) - B7</f>
        <v>1</v>
      </c>
      <c r="D7" s="5">
        <f t="shared" si="1"/>
        <v>1</v>
      </c>
      <c r="E7" s="6"/>
      <c r="L7" s="5" t="str">
        <f>IFERROR(__xludf.DUMMYFUNCTION("""COMPUTED_VALUE"""),"Network anomalies")</f>
        <v>Network anomalies</v>
      </c>
      <c r="M7" s="5">
        <f>COUNTIF(Datasets!$E$2:$E1652, L7)</f>
        <v>3</v>
      </c>
      <c r="O7" s="5" t="s">
        <v>21</v>
      </c>
      <c r="P7" s="5">
        <v>5.0</v>
      </c>
      <c r="R7" s="5" t="str">
        <f>IFERROR(__xludf.DUMMYFUNCTION("""COMPUTED_VALUE"""),"no")</f>
        <v>no</v>
      </c>
      <c r="S7" s="5">
        <f>COUNTIF(Datasets!$F$2:$F1652, R7)</f>
        <v>4</v>
      </c>
      <c r="U7" s="5" t="str">
        <f>IFERROR(__xludf.DUMMYFUNCTION("""COMPUTED_VALUE"""),"n.s.")</f>
        <v>n.s.</v>
      </c>
      <c r="V7" s="5">
        <f>COUNTIF(Datasets!$G$2:$G1652,U7)</f>
        <v>1</v>
      </c>
    </row>
    <row r="8">
      <c r="A8" s="5">
        <f>IFERROR(__xludf.DUMMYFUNCTION("""COMPUTED_VALUE"""),2009.0)</f>
        <v>2009</v>
      </c>
      <c r="B8" s="5">
        <f>COUNTIFS(Datasets!$B$2:$B1652, A8, Datasets!$E$2:$E1652, "*General*)")</f>
        <v>2</v>
      </c>
      <c r="C8" s="5">
        <f>COUNTIF(Datasets!$B$2:$B1652, A8) - B8</f>
        <v>1</v>
      </c>
      <c r="D8" s="5">
        <f t="shared" si="1"/>
        <v>3</v>
      </c>
      <c r="E8" s="6"/>
      <c r="L8" s="5" t="str">
        <f>IFERROR(__xludf.DUMMYFUNCTION("""COMPUTED_VALUE"""),"DDoS attacks")</f>
        <v>DDoS attacks</v>
      </c>
      <c r="M8" s="5">
        <f>COUNTIF(Datasets!$E$2:$E1652, L8)</f>
        <v>3</v>
      </c>
      <c r="O8" s="5" t="s">
        <v>22</v>
      </c>
      <c r="P8" s="5">
        <v>5.0</v>
      </c>
      <c r="R8" s="5" t="str">
        <f>IFERROR(__xludf.DUMMYFUNCTION("""COMPUTED_VALUE"""),"real")</f>
        <v>real</v>
      </c>
      <c r="S8" s="5">
        <f>COUNTIF(Datasets!$F$2:$F1652, R8)</f>
        <v>15</v>
      </c>
      <c r="U8" s="5" t="str">
        <f>IFERROR(__xludf.DUMMYFUNCTION("""COMPUTED_VALUE"""),"real")</f>
        <v>real</v>
      </c>
      <c r="V8" s="5">
        <f>COUNTIF(Datasets!$G$2:$G1652,U8)</f>
        <v>12</v>
      </c>
      <c r="X8" s="3" t="s">
        <v>23</v>
      </c>
    </row>
    <row r="9">
      <c r="A9" s="5">
        <f>IFERROR(__xludf.DUMMYFUNCTION("""COMPUTED_VALUE"""),2010.0)</f>
        <v>2010</v>
      </c>
      <c r="B9" s="5">
        <f>COUNTIFS(Datasets!$B$2:$B1652, A9, Datasets!$E$2:$E1652, "*General*)")</f>
        <v>0</v>
      </c>
      <c r="C9" s="5">
        <f>COUNTIF(Datasets!$B$2:$B1652, A9) - B9</f>
        <v>2</v>
      </c>
      <c r="D9" s="5">
        <f t="shared" si="1"/>
        <v>2</v>
      </c>
      <c r="E9" s="6"/>
      <c r="L9" s="5" t="str">
        <f>IFERROR(__xludf.DUMMYFUNCTION("""COMPUTED_VALUE"""),"NetFlow General NIDS")</f>
        <v>NetFlow General NIDS</v>
      </c>
      <c r="M9" s="5">
        <f>COUNTIF(Datasets!$E$2:$E1652, L9)</f>
        <v>4</v>
      </c>
      <c r="O9" s="5" t="s">
        <v>24</v>
      </c>
      <c r="P9" s="5">
        <v>4.0</v>
      </c>
      <c r="R9" s="5" t="str">
        <f>IFERROR(__xludf.DUMMYFUNCTION("""COMPUTED_VALUE"""),"real,emul-p")</f>
        <v>real,emul-p</v>
      </c>
      <c r="S9" s="5">
        <f>COUNTIF(Datasets!$F$2:$F1652, R9)</f>
        <v>1</v>
      </c>
      <c r="U9" s="5" t="str">
        <f>IFERROR(__xludf.DUMMYFUNCTION("""COMPUTED_VALUE"""),"real,emul-p")</f>
        <v>real,emul-p</v>
      </c>
      <c r="V9" s="5">
        <f>COUNTIF(Datasets!$G$2:$G1652,U9)</f>
        <v>3</v>
      </c>
      <c r="X9" s="3" t="s">
        <v>18</v>
      </c>
      <c r="Y9" s="5">
        <f>S20/U32</f>
        <v>0.3023255814</v>
      </c>
    </row>
    <row r="10">
      <c r="A10" s="5">
        <f>IFERROR(__xludf.DUMMYFUNCTION("""COMPUTED_VALUE"""),2011.0)</f>
        <v>2011</v>
      </c>
      <c r="B10" s="5">
        <f>COUNTIFS(Datasets!$B$2:$B1652, A10, Datasets!$E$2:$E1652, "*General*)")</f>
        <v>0</v>
      </c>
      <c r="C10" s="5">
        <f>COUNTIF(Datasets!$B$2:$B1652, A10) - B10</f>
        <v>3</v>
      </c>
      <c r="D10" s="5">
        <f t="shared" si="1"/>
        <v>3</v>
      </c>
      <c r="E10" s="6"/>
      <c r="L10" s="5" t="str">
        <f>IFERROR(__xludf.DUMMYFUNCTION("""COMPUTED_VALUE"""),"Buffer overflow")</f>
        <v>Buffer overflow</v>
      </c>
      <c r="M10" s="5">
        <f>COUNTIF(Datasets!$E$2:$E1652, L10)</f>
        <v>3</v>
      </c>
      <c r="O10" s="5" t="s">
        <v>25</v>
      </c>
      <c r="P10" s="5">
        <v>4.0</v>
      </c>
      <c r="R10" s="5" t="str">
        <f>IFERROR(__xludf.DUMMYFUNCTION("""COMPUTED_VALUE"""),"real,emul-pv")</f>
        <v>real,emul-pv</v>
      </c>
      <c r="S10" s="5">
        <f>COUNTIF(Datasets!$F$2:$F1652, R10)</f>
        <v>3</v>
      </c>
      <c r="U10" s="5" t="str">
        <f>IFERROR(__xludf.DUMMYFUNCTION("""COMPUTED_VALUE"""),"real,emul-pv")</f>
        <v>real,emul-pv</v>
      </c>
      <c r="V10" s="5">
        <f>COUNTIF(Datasets!$G$2:$G1652,U10)</f>
        <v>2</v>
      </c>
      <c r="X10" s="3" t="s">
        <v>20</v>
      </c>
      <c r="Y10" s="5">
        <f>Y20/W32</f>
        <v>0.1923076923</v>
      </c>
    </row>
    <row r="11">
      <c r="A11" s="5">
        <f>IFERROR(__xludf.DUMMYFUNCTION("""COMPUTED_VALUE"""),2012.0)</f>
        <v>2012</v>
      </c>
      <c r="B11" s="5">
        <f>COUNTIFS(Datasets!$B$2:$B1652, A11, Datasets!$E$2:$E1652, "*General*)")</f>
        <v>1</v>
      </c>
      <c r="C11" s="5">
        <f>COUNTIF(Datasets!$B$2:$B1652, A11) - B11</f>
        <v>0</v>
      </c>
      <c r="D11" s="5">
        <f t="shared" si="1"/>
        <v>1</v>
      </c>
      <c r="E11" s="6"/>
      <c r="L11" s="5" t="str">
        <f>IFERROR(__xludf.DUMMYFUNCTION("""COMPUTED_VALUE"""),"General NIDS (LANs)")</f>
        <v>General NIDS (LANs)</v>
      </c>
      <c r="M11" s="5">
        <f>COUNTIF(Datasets!$E$2:$E1652, L11)</f>
        <v>12</v>
      </c>
      <c r="O11" s="5" t="s">
        <v>26</v>
      </c>
      <c r="P11" s="5">
        <v>4.0</v>
      </c>
      <c r="R11" s="5" t="str">
        <f>IFERROR(__xludf.DUMMYFUNCTION("""COMPUTED_VALUE"""),"real,emul-v")</f>
        <v>real,emul-v</v>
      </c>
      <c r="S11" s="5">
        <f>COUNTIF(Datasets!$F$2:$F1652, R11)</f>
        <v>3</v>
      </c>
      <c r="U11" s="5" t="str">
        <f>IFERROR(__xludf.DUMMYFUNCTION("""COMPUTED_VALUE"""),"synth")</f>
        <v>synth</v>
      </c>
      <c r="V11" s="5">
        <f>COUNTIF(Datasets!$G$2:$G1652,U11)</f>
        <v>1</v>
      </c>
    </row>
    <row r="12">
      <c r="A12" s="5">
        <f>IFERROR(__xludf.DUMMYFUNCTION("""COMPUTED_VALUE"""),2013.0)</f>
        <v>2013</v>
      </c>
      <c r="B12" s="5">
        <f>COUNTIFS(Datasets!$B$2:$B1652, A12, Datasets!$E$2:$E1652, "*General*)")</f>
        <v>0</v>
      </c>
      <c r="C12" s="5">
        <f>COUNTIF(Datasets!$B$2:$B1652, A12) - B12</f>
        <v>0</v>
      </c>
      <c r="D12" s="5">
        <f t="shared" si="1"/>
        <v>0</v>
      </c>
      <c r="E12" s="6"/>
      <c r="L12" s="5" t="str">
        <f>IFERROR(__xludf.DUMMYFUNCTION("""COMPUTED_VALUE"""),"Botnet traffic")</f>
        <v>Botnet traffic</v>
      </c>
      <c r="M12" s="5">
        <f>COUNTIF(Datasets!$E$2:$E1652, L12)</f>
        <v>5</v>
      </c>
      <c r="O12" s="5" t="s">
        <v>27</v>
      </c>
      <c r="P12" s="5">
        <v>4.0</v>
      </c>
      <c r="R12" s="5" t="str">
        <f>IFERROR(__xludf.DUMMYFUNCTION("""COMPUTED_VALUE"""),"synth")</f>
        <v>synth</v>
      </c>
      <c r="S12" s="5">
        <f>COUNTIF(Datasets!$F$2:$F1652, R12)</f>
        <v>1</v>
      </c>
      <c r="U12" s="5"/>
      <c r="V12" s="5">
        <f>COUNTIF(Datasets!$G$2:$G1652,U12)</f>
        <v>0</v>
      </c>
    </row>
    <row r="13">
      <c r="A13" s="5">
        <f>IFERROR(__xludf.DUMMYFUNCTION("""COMPUTED_VALUE"""),2014.0)</f>
        <v>2014</v>
      </c>
      <c r="B13" s="5">
        <f>COUNTIFS(Datasets!$B$2:$B1652, A13, Datasets!$E$2:$E1652, "*General*)")</f>
        <v>0</v>
      </c>
      <c r="C13" s="5">
        <f>COUNTIF(Datasets!$B$2:$B1652, A13) - B13</f>
        <v>2</v>
      </c>
      <c r="D13" s="5">
        <f t="shared" si="1"/>
        <v>2</v>
      </c>
      <c r="E13" s="6"/>
      <c r="L13" s="5" t="str">
        <f>IFERROR(__xludf.DUMMYFUNCTION("""COMPUTED_VALUE"""),"UDP amplification DDoS")</f>
        <v>UDP amplification DDoS</v>
      </c>
      <c r="M13" s="5">
        <f>COUNTIF(Datasets!$E$2:$E1652, L13)</f>
        <v>1</v>
      </c>
      <c r="O13" s="5" t="s">
        <v>28</v>
      </c>
      <c r="P13" s="5">
        <v>3.0</v>
      </c>
      <c r="R13" s="5"/>
    </row>
    <row r="14">
      <c r="A14" s="5">
        <f>IFERROR(__xludf.DUMMYFUNCTION("""COMPUTED_VALUE"""),2015.0)</f>
        <v>2015</v>
      </c>
      <c r="B14" s="5">
        <f>COUNTIFS(Datasets!$B$2:$B1652, A14, Datasets!$E$2:$E1652, "*General*)")</f>
        <v>1</v>
      </c>
      <c r="C14" s="5">
        <f>COUNTIF(Datasets!$B$2:$B1652, A14) - B14</f>
        <v>1</v>
      </c>
      <c r="D14" s="5">
        <f t="shared" si="1"/>
        <v>2</v>
      </c>
      <c r="E14" s="6"/>
      <c r="L14" s="5" t="str">
        <f>IFERROR(__xludf.DUMMYFUNCTION("""COMPUTED_VALUE"""),"SSH brute-force")</f>
        <v>SSH brute-force</v>
      </c>
      <c r="M14" s="5">
        <f>COUNTIF(Datasets!$E$2:$E1652, L14)</f>
        <v>1</v>
      </c>
      <c r="O14" s="5" t="s">
        <v>29</v>
      </c>
      <c r="P14" s="5">
        <v>3.0</v>
      </c>
    </row>
    <row r="15">
      <c r="A15" s="5">
        <f>IFERROR(__xludf.DUMMYFUNCTION("""COMPUTED_VALUE"""),2016.0)</f>
        <v>2016</v>
      </c>
      <c r="B15" s="5">
        <f>COUNTIFS(Datasets!$B$2:$B1652, A15, Datasets!$E$2:$E1652, "*General*)")</f>
        <v>0</v>
      </c>
      <c r="C15" s="5">
        <f>COUNTIF(Datasets!$B$2:$B1652, A15) - B15</f>
        <v>3</v>
      </c>
      <c r="D15" s="5">
        <f t="shared" si="1"/>
        <v>3</v>
      </c>
      <c r="E15" s="6"/>
      <c r="L15" s="5" t="str">
        <f>IFERROR(__xludf.DUMMYFUNCTION("""COMPUTED_VALUE"""),"Wireless NIDS")</f>
        <v>Wireless NIDS</v>
      </c>
      <c r="M15" s="5">
        <f>COUNTIF(Datasets!$E$2:$E1652, L15)</f>
        <v>2</v>
      </c>
      <c r="O15" s="5" t="s">
        <v>30</v>
      </c>
      <c r="P15" s="5">
        <v>3.0</v>
      </c>
    </row>
    <row r="16">
      <c r="A16" s="5">
        <f>IFERROR(__xludf.DUMMYFUNCTION("""COMPUTED_VALUE"""),2017.0)</f>
        <v>2017</v>
      </c>
      <c r="B16" s="5">
        <f>COUNTIFS(Datasets!$B$2:$B1652, A16, Datasets!$E$2:$E1652, "*General*)")</f>
        <v>1</v>
      </c>
      <c r="C16" s="5">
        <f>COUNTIF(Datasets!$B$2:$B1652, A16) - B16</f>
        <v>5</v>
      </c>
      <c r="D16" s="5">
        <f t="shared" si="1"/>
        <v>6</v>
      </c>
      <c r="E16" s="6"/>
      <c r="L16" s="5" t="str">
        <f>IFERROR(__xludf.DUMMYFUNCTION("""COMPUTED_VALUE"""),"General IDS")</f>
        <v>General IDS</v>
      </c>
      <c r="M16" s="5">
        <f>COUNTIF(Datasets!$E$2:$E1652, L16)</f>
        <v>2</v>
      </c>
      <c r="O16" s="5" t="s">
        <v>31</v>
      </c>
      <c r="P16" s="5">
        <v>2.0</v>
      </c>
      <c r="R16" s="2" t="s">
        <v>18</v>
      </c>
      <c r="S16" s="2">
        <v>2020.0</v>
      </c>
      <c r="U16" s="2"/>
      <c r="V16" s="2"/>
      <c r="X16" s="2" t="s">
        <v>20</v>
      </c>
      <c r="Y16" s="2">
        <v>2020.0</v>
      </c>
    </row>
    <row r="17">
      <c r="A17" s="5">
        <f>IFERROR(__xludf.DUMMYFUNCTION("""COMPUTED_VALUE"""),2018.0)</f>
        <v>2018</v>
      </c>
      <c r="B17" s="5">
        <f>COUNTIFS(Datasets!$B$2:$B1652, A17, Datasets!$E$2:$E1652, "*General*)")</f>
        <v>1</v>
      </c>
      <c r="C17" s="5">
        <f>COUNTIF(Datasets!$B$2:$B1652, A17) - B17</f>
        <v>7</v>
      </c>
      <c r="D17" s="5">
        <f t="shared" si="1"/>
        <v>8</v>
      </c>
      <c r="E17" s="6"/>
      <c r="L17" s="5" t="str">
        <f>IFERROR(__xludf.DUMMYFUNCTION("""COMPUTED_VALUE"""),"Anomaly-based IDS")</f>
        <v>Anomaly-based IDS</v>
      </c>
      <c r="M17" s="5">
        <f>COUNTIF(Datasets!$E$2:$E1652, L17)</f>
        <v>2</v>
      </c>
      <c r="O17" s="5" t="s">
        <v>32</v>
      </c>
      <c r="P17" s="5">
        <v>2.0</v>
      </c>
      <c r="R17" s="4" t="s">
        <v>13</v>
      </c>
      <c r="U17" s="4" t="s">
        <v>14</v>
      </c>
      <c r="X17" s="4" t="s">
        <v>13</v>
      </c>
      <c r="AA17" s="3" t="s">
        <v>14</v>
      </c>
    </row>
    <row r="18">
      <c r="A18" s="5">
        <f>IFERROR(__xludf.DUMMYFUNCTION("""COMPUTED_VALUE"""),2019.0)</f>
        <v>2019</v>
      </c>
      <c r="B18" s="5">
        <f>COUNTIFS(Datasets!$B$2:$B1652, A18, Datasets!$E$2:$E1652, "*General*)")</f>
        <v>0</v>
      </c>
      <c r="C18" s="5">
        <f>COUNTIF(Datasets!$B$2:$B1652, A18) - B18</f>
        <v>3</v>
      </c>
      <c r="D18" s="5">
        <f t="shared" si="1"/>
        <v>3</v>
      </c>
      <c r="E18" s="6"/>
      <c r="L18" s="5" t="str">
        <f>IFERROR(__xludf.DUMMYFUNCTION("""COMPUTED_VALUE"""),"Attacks for salting")</f>
        <v>Attacks for salting</v>
      </c>
      <c r="M18" s="5">
        <f>COUNTIF(Datasets!$E$2:$E1652, L18)</f>
        <v>1</v>
      </c>
      <c r="O18" s="5" t="s">
        <v>33</v>
      </c>
      <c r="P18" s="5">
        <v>2.0</v>
      </c>
      <c r="R18" s="5" t="str">
        <f>IFERROR(__xludf.DUMMYFUNCTION("SORT(UNIQUE(Datasets!F2:F1652), 1, True)"),"emul-p")</f>
        <v>emul-p</v>
      </c>
      <c r="S18" s="5">
        <f>COUNTIFS(Datasets!$F$2:$F1652, R18, Datasets!$B$2:$B1652, "&gt;=" &amp; $S$16)</f>
        <v>16</v>
      </c>
      <c r="U18" s="5" t="str">
        <f>IFERROR(__xludf.DUMMYFUNCTION("SORT(UNIQUE(Datasets!G2:G1652, False, False), 1, True)"),"emul-p")</f>
        <v>emul-p</v>
      </c>
      <c r="V18" s="5">
        <f>COUNTIFS(Datasets!$G$2:$G1652, U18, Datasets!$B$2:$B1652, "&gt;=" &amp; $S$16)</f>
        <v>18</v>
      </c>
      <c r="X18" s="5" t="str">
        <f>IFERROR(__xludf.DUMMYFUNCTION("SORT(UNIQUE(Datasets!F2:F1652), 1, True)"),"emul-p")</f>
        <v>emul-p</v>
      </c>
      <c r="Y18" s="5">
        <f>COUNTIFS(Datasets!$F$2:$F1652, X18, Datasets!$B$2:$B1652, "&lt;" &amp; $Y$16)</f>
        <v>12</v>
      </c>
      <c r="AA18" s="5">
        <f>(V22+V24)/$H$26</f>
        <v>0.137254902</v>
      </c>
    </row>
    <row r="19">
      <c r="A19" s="5">
        <f>IFERROR(__xludf.DUMMYFUNCTION("""COMPUTED_VALUE"""),2020.0)</f>
        <v>2020</v>
      </c>
      <c r="B19" s="5">
        <f>COUNTIFS(Datasets!$B$2:$B1652, A19, Datasets!$E$2:$E1652, "*General*)")</f>
        <v>1</v>
      </c>
      <c r="C19" s="5">
        <f>COUNTIF(Datasets!$B$2:$B1652, A19) - B19</f>
        <v>17</v>
      </c>
      <c r="D19" s="5">
        <f t="shared" si="1"/>
        <v>18</v>
      </c>
      <c r="E19" s="6"/>
      <c r="L19" s="5" t="str">
        <f>IFERROR(__xludf.DUMMYFUNCTION("""COMPUTED_VALUE"""),"Cyclostationary NetFlow NIDS")</f>
        <v>Cyclostationary NetFlow NIDS</v>
      </c>
      <c r="M19" s="5">
        <f>COUNTIF(Datasets!$E$2:$E1652, L19)</f>
        <v>1</v>
      </c>
      <c r="O19" s="5" t="s">
        <v>34</v>
      </c>
      <c r="P19" s="5">
        <v>2.0</v>
      </c>
      <c r="R19" s="5" t="str">
        <f>IFERROR(__xludf.DUMMYFUNCTION("""COMPUTED_VALUE"""),"emul-pv")</f>
        <v>emul-pv</v>
      </c>
      <c r="S19" s="5">
        <f>COUNTIFS(Datasets!$F$2:$F1652, R19, Datasets!$B$2:$B1652, "&gt;=" &amp; $S$16)</f>
        <v>8</v>
      </c>
      <c r="U19" s="5" t="str">
        <f>IFERROR(__xludf.DUMMYFUNCTION("""COMPUTED_VALUE"""),"emul-pv")</f>
        <v>emul-pv</v>
      </c>
      <c r="V19" s="5">
        <f>COUNTIFS(Datasets!$G$2:$G1652, U19, Datasets!$B$2:$B1652, "&gt;=" &amp; $S$16)</f>
        <v>10</v>
      </c>
      <c r="X19" s="5" t="str">
        <f>IFERROR(__xludf.DUMMYFUNCTION("""COMPUTED_VALUE"""),"emul-pv")</f>
        <v>emul-pv</v>
      </c>
      <c r="Y19" s="5">
        <f>COUNTIFS(Datasets!$F$2:$F1652, X19, Datasets!$B$2:$B1652, "&lt;" &amp; $Y$16)</f>
        <v>8</v>
      </c>
    </row>
    <row r="20">
      <c r="A20" s="5">
        <f>IFERROR(__xludf.DUMMYFUNCTION("""COMPUTED_VALUE"""),2021.0)</f>
        <v>2021</v>
      </c>
      <c r="B20" s="5">
        <f>COUNTIFS(Datasets!$B$2:$B1652, A20, Datasets!$E$2:$E1652, "*General*)")</f>
        <v>3</v>
      </c>
      <c r="C20" s="5">
        <f>COUNTIF(Datasets!$B$2:$B1652, A20) - B20</f>
        <v>9</v>
      </c>
      <c r="D20" s="5">
        <f t="shared" si="1"/>
        <v>12</v>
      </c>
      <c r="E20" s="6"/>
      <c r="L20" s="5" t="str">
        <f>IFERROR(__xludf.DUMMYFUNCTION("""COMPUTED_VALUE"""),"HTTP(S) Slow DoS")</f>
        <v>HTTP(S) Slow DoS</v>
      </c>
      <c r="M20" s="5">
        <f>COUNTIF(Datasets!$E$2:$E1652, L20)</f>
        <v>1</v>
      </c>
      <c r="O20" s="5" t="s">
        <v>35</v>
      </c>
      <c r="P20" s="5">
        <v>2.0</v>
      </c>
      <c r="R20" s="5" t="str">
        <f>IFERROR(__xludf.DUMMYFUNCTION("""COMPUTED_VALUE"""),"emul-v")</f>
        <v>emul-v</v>
      </c>
      <c r="S20" s="5">
        <f>COUNTIFS(Datasets!$F$2:$F1652, R20, Datasets!$B$2:$B1652, "&gt;=" &amp; $S$16)</f>
        <v>13</v>
      </c>
      <c r="U20" s="5" t="str">
        <f>IFERROR(__xludf.DUMMYFUNCTION("""COMPUTED_VALUE"""),"emul-v")</f>
        <v>emul-v</v>
      </c>
      <c r="V20" s="5">
        <f>COUNTIFS(Datasets!$G$2:$G1652, U20, Datasets!$B$2:$B1652, "&gt;=" &amp; $S$16)</f>
        <v>16</v>
      </c>
      <c r="X20" s="5" t="str">
        <f>IFERROR(__xludf.DUMMYFUNCTION("""COMPUTED_VALUE"""),"emul-v")</f>
        <v>emul-v</v>
      </c>
      <c r="Y20" s="5">
        <f>COUNTIFS(Datasets!$F$2:$F1652, X20, Datasets!$B$2:$B1652, "&lt;" &amp; $Y$16)</f>
        <v>5</v>
      </c>
    </row>
    <row r="21">
      <c r="A21" s="5">
        <f>IFERROR(__xludf.DUMMYFUNCTION("""COMPUTED_VALUE"""),2022.0)</f>
        <v>2022</v>
      </c>
      <c r="B21" s="5">
        <f>COUNTIFS(Datasets!$B$2:$B1652, A21, Datasets!$E$2:$E1652, "*General*)")</f>
        <v>1</v>
      </c>
      <c r="C21" s="5">
        <f>COUNTIF(Datasets!$B$2:$B1652, A21) - B21</f>
        <v>6</v>
      </c>
      <c r="D21" s="5">
        <f t="shared" si="1"/>
        <v>7</v>
      </c>
      <c r="E21" s="6"/>
      <c r="L21" s="5" t="str">
        <f>IFERROR(__xludf.DUMMYFUNCTION("""COMPUTED_VALUE"""),"NetFlow Port scans")</f>
        <v>NetFlow Port scans</v>
      </c>
      <c r="M21" s="5">
        <f>COUNTIF(Datasets!$E$2:$E1652, L21)</f>
        <v>1</v>
      </c>
      <c r="O21" s="5" t="s">
        <v>36</v>
      </c>
      <c r="P21" s="5">
        <v>2.0</v>
      </c>
      <c r="R21" s="5" t="str">
        <f>IFERROR(__xludf.DUMMYFUNCTION("""COMPUTED_VALUE"""),"no")</f>
        <v>no</v>
      </c>
      <c r="S21" s="5">
        <f>COUNTIFS(Datasets!$F$2:$F1652, R21, Datasets!$B$2:$B1652, "&gt;=" &amp; $S$16)</f>
        <v>1</v>
      </c>
      <c r="U21" s="5" t="str">
        <f>IFERROR(__xludf.DUMMYFUNCTION("""COMPUTED_VALUE"""),"n.s.")</f>
        <v>n.s.</v>
      </c>
      <c r="V21" s="5">
        <f>COUNTIFS(Datasets!$G$2:$G1652, U21, Datasets!$B$2:$B1652, "&gt;=" &amp; $S$16)</f>
        <v>0</v>
      </c>
      <c r="X21" s="5" t="str">
        <f>IFERROR(__xludf.DUMMYFUNCTION("""COMPUTED_VALUE"""),"no")</f>
        <v>no</v>
      </c>
      <c r="Y21" s="5">
        <f>COUNTIFS(Datasets!$F$2:$F1652, X21, Datasets!$B$2:$B1652, "&lt;" &amp; $Y$16)</f>
        <v>3</v>
      </c>
    </row>
    <row r="22">
      <c r="A22" s="5">
        <f>IFERROR(__xludf.DUMMYFUNCTION("""COMPUTED_VALUE"""),2023.0)</f>
        <v>2023</v>
      </c>
      <c r="B22" s="5">
        <f>COUNTIFS(Datasets!$B$2:$B1652, A22, Datasets!$E$2:$E1652, "*General*)")</f>
        <v>5</v>
      </c>
      <c r="C22" s="5">
        <f>COUNTIF(Datasets!$B$2:$B1652, A22) - B22</f>
        <v>9</v>
      </c>
      <c r="D22" s="5">
        <f t="shared" si="1"/>
        <v>14</v>
      </c>
      <c r="E22" s="6"/>
      <c r="L22" s="5" t="str">
        <f>IFERROR(__xludf.DUMMYFUNCTION("""COMPUTED_VALUE"""),"IoT botnet activity")</f>
        <v>IoT botnet activity</v>
      </c>
      <c r="M22" s="5">
        <f>COUNTIF(Datasets!$E$2:$E1652, L22)</f>
        <v>4</v>
      </c>
      <c r="O22" s="5" t="s">
        <v>37</v>
      </c>
      <c r="P22" s="5">
        <v>1.0</v>
      </c>
      <c r="R22" s="5" t="str">
        <f>IFERROR(__xludf.DUMMYFUNCTION("""COMPUTED_VALUE"""),"real")</f>
        <v>real</v>
      </c>
      <c r="S22" s="5">
        <f>COUNTIFS(Datasets!$F$2:$F1652, R22, Datasets!$B$2:$B1652, "&gt;=" &amp; $S$16)</f>
        <v>7</v>
      </c>
      <c r="U22" s="5" t="str">
        <f>IFERROR(__xludf.DUMMYFUNCTION("""COMPUTED_VALUE"""),"real")</f>
        <v>real</v>
      </c>
      <c r="V22" s="5">
        <f>COUNTIFS(Datasets!$G$2:$G1652, U22, Datasets!$B$2:$B1652, "&gt;=" &amp; $S$16)</f>
        <v>5</v>
      </c>
      <c r="X22" s="5" t="str">
        <f>IFERROR(__xludf.DUMMYFUNCTION("""COMPUTED_VALUE"""),"real")</f>
        <v>real</v>
      </c>
      <c r="Y22" s="5">
        <f>COUNTIFS(Datasets!$F$2:$F1652, X22, Datasets!$B$2:$B1652, "&lt;" &amp; $Y$16)</f>
        <v>8</v>
      </c>
    </row>
    <row r="23">
      <c r="A23" s="5"/>
      <c r="L23" s="5" t="str">
        <f>IFERROR(__xludf.DUMMYFUNCTION("""COMPUTED_VALUE"""),"Cloud IDS")</f>
        <v>Cloud IDS</v>
      </c>
      <c r="M23" s="5">
        <f>COUNTIF(Datasets!$E$2:$E1652, L23)</f>
        <v>1</v>
      </c>
      <c r="O23" s="5" t="s">
        <v>38</v>
      </c>
      <c r="P23" s="5">
        <v>1.0</v>
      </c>
      <c r="R23" s="5" t="str">
        <f>IFERROR(__xludf.DUMMYFUNCTION("""COMPUTED_VALUE"""),"real,emul-p")</f>
        <v>real,emul-p</v>
      </c>
      <c r="S23" s="5">
        <f>COUNTIFS(Datasets!$F$2:$F1652, R23, Datasets!$B$2:$B1652, "&gt;=" &amp; $S$16)</f>
        <v>1</v>
      </c>
      <c r="U23" s="5" t="str">
        <f>IFERROR(__xludf.DUMMYFUNCTION("""COMPUTED_VALUE"""),"real,emul-p")</f>
        <v>real,emul-p</v>
      </c>
      <c r="V23" s="5">
        <f>COUNTIFS(Datasets!$G$2:$G1652, U23, Datasets!$B$2:$B1652, "&gt;=" &amp; $S$16)</f>
        <v>0</v>
      </c>
      <c r="X23" s="5" t="str">
        <f>IFERROR(__xludf.DUMMYFUNCTION("""COMPUTED_VALUE"""),"real,emul-p")</f>
        <v>real,emul-p</v>
      </c>
      <c r="Y23" s="5">
        <f>COUNTIFS(Datasets!$F$2:$F1652, X23, Datasets!$B$2:$B1652, "&lt;" &amp; $Y$16)</f>
        <v>0</v>
      </c>
    </row>
    <row r="24">
      <c r="G24" s="7" t="s">
        <v>39</v>
      </c>
      <c r="H24" s="7">
        <v>2020.0</v>
      </c>
      <c r="L24" s="5" t="str">
        <f>IFERROR(__xludf.DUMMYFUNCTION("""COMPUTED_VALUE"""),"IoT NIDS")</f>
        <v>IoT NIDS</v>
      </c>
      <c r="M24" s="5">
        <f>COUNTIF(Datasets!$E$2:$E1652, L24)</f>
        <v>5</v>
      </c>
      <c r="O24" s="5" t="s">
        <v>40</v>
      </c>
      <c r="P24" s="5">
        <v>1.0</v>
      </c>
      <c r="R24" s="5" t="str">
        <f>IFERROR(__xludf.DUMMYFUNCTION("""COMPUTED_VALUE"""),"real,emul-pv")</f>
        <v>real,emul-pv</v>
      </c>
      <c r="S24" s="5">
        <f>COUNTIFS(Datasets!$F$2:$F1652, R24, Datasets!$B$2:$B1652, "&gt;=" &amp; $S$16)</f>
        <v>3</v>
      </c>
      <c r="U24" s="5" t="str">
        <f>IFERROR(__xludf.DUMMYFUNCTION("""COMPUTED_VALUE"""),"real,emul-pv")</f>
        <v>real,emul-pv</v>
      </c>
      <c r="V24" s="5">
        <f>COUNTIFS(Datasets!$G$2:$G1652, U24, Datasets!$B$2:$B1652, "&gt;=" &amp; $S$16)</f>
        <v>2</v>
      </c>
      <c r="X24" s="5" t="str">
        <f>IFERROR(__xludf.DUMMYFUNCTION("""COMPUTED_VALUE"""),"real,emul-pv")</f>
        <v>real,emul-pv</v>
      </c>
      <c r="Y24" s="5">
        <f>COUNTIFS(Datasets!$F$2:$F1652, X24, Datasets!$B$2:$B1652, "&lt;" &amp; $Y$16)</f>
        <v>0</v>
      </c>
    </row>
    <row r="25">
      <c r="G25" s="3" t="s">
        <v>41</v>
      </c>
      <c r="H25" s="5">
        <f>SUMIF($A$4:$A$26, "&lt;" &amp; $H$24, $D$4:$D$26)</f>
        <v>38</v>
      </c>
      <c r="L25" s="5" t="str">
        <f>IFERROR(__xludf.DUMMYFUNCTION("""COMPUTED_VALUE"""),"General NIDS")</f>
        <v>General NIDS</v>
      </c>
      <c r="M25" s="5">
        <f>COUNTIF(Datasets!$E$2:$E1652, L25)</f>
        <v>4</v>
      </c>
      <c r="O25" s="5" t="s">
        <v>42</v>
      </c>
      <c r="P25" s="5">
        <v>1.0</v>
      </c>
      <c r="R25" s="5" t="str">
        <f>IFERROR(__xludf.DUMMYFUNCTION("""COMPUTED_VALUE"""),"real,emul-v")</f>
        <v>real,emul-v</v>
      </c>
      <c r="S25" s="5">
        <f>COUNTIFS(Datasets!$F$2:$F1652, R25, Datasets!$B$2:$B1652, "&gt;=" &amp; $S$16)</f>
        <v>2</v>
      </c>
      <c r="U25" s="5" t="str">
        <f>IFERROR(__xludf.DUMMYFUNCTION("""COMPUTED_VALUE"""),"synth")</f>
        <v>synth</v>
      </c>
      <c r="V25" s="5">
        <f>COUNTIFS(Datasets!$G$2:$G1652, U25, Datasets!$B$2:$B1652, "&gt;=" &amp; $S$16)</f>
        <v>0</v>
      </c>
      <c r="X25" s="5" t="str">
        <f>IFERROR(__xludf.DUMMYFUNCTION("""COMPUTED_VALUE"""),"real,emul-v")</f>
        <v>real,emul-v</v>
      </c>
      <c r="Y25" s="5">
        <f>COUNTIFS(Datasets!$F$2:$F1652, X25, Datasets!$B$2:$B1652, "&lt;" &amp; $Y$16)</f>
        <v>1</v>
      </c>
    </row>
    <row r="26">
      <c r="G26" s="3" t="s">
        <v>43</v>
      </c>
      <c r="H26" s="5">
        <f>SUMIF($A$4:$A$26, "&gt;=" &amp; $H$24, $D$4:$D$26)</f>
        <v>51</v>
      </c>
      <c r="L26" s="5" t="str">
        <f>IFERROR(__xludf.DUMMYFUNCTION("""COMPUTED_VALUE"""),"Flooding DDoS")</f>
        <v>Flooding DDoS</v>
      </c>
      <c r="M26" s="5">
        <f>COUNTIF(Datasets!$E$2:$E1652, L26)</f>
        <v>1</v>
      </c>
      <c r="O26" s="5" t="s">
        <v>44</v>
      </c>
      <c r="P26" s="5">
        <v>1.0</v>
      </c>
      <c r="R26" s="5" t="str">
        <f>IFERROR(__xludf.DUMMYFUNCTION("""COMPUTED_VALUE"""),"synth")</f>
        <v>synth</v>
      </c>
      <c r="S26" s="5">
        <f>COUNTIFS(Datasets!$F$2:$F1652, R26, Datasets!$B$2:$B1652, "&gt;=" &amp; $S$16)</f>
        <v>0</v>
      </c>
      <c r="U26" s="5"/>
      <c r="X26" s="5" t="str">
        <f>IFERROR(__xludf.DUMMYFUNCTION("""COMPUTED_VALUE"""),"synth")</f>
        <v>synth</v>
      </c>
      <c r="Y26" s="5">
        <f>COUNTIFS(Datasets!$F$2:$F1652, X26, Datasets!$B$2:$B1652, "&lt;" &amp; $Y$16)</f>
        <v>1</v>
      </c>
    </row>
    <row r="27">
      <c r="G27" s="3" t="s">
        <v>45</v>
      </c>
      <c r="H27" s="5">
        <f>SUM(D4:D26)</f>
        <v>89</v>
      </c>
      <c r="L27" s="5" t="str">
        <f>IFERROR(__xludf.DUMMYFUNCTION("""COMPUTED_VALUE"""),"IoT and IIoT IDS")</f>
        <v>IoT and IIoT IDS</v>
      </c>
      <c r="M27" s="5">
        <f>COUNTIF(Datasets!$E$2:$E1652, L27)</f>
        <v>2</v>
      </c>
      <c r="O27" s="5" t="s">
        <v>46</v>
      </c>
      <c r="P27" s="5">
        <v>1.0</v>
      </c>
      <c r="R27" s="5"/>
      <c r="X27" s="5"/>
    </row>
    <row r="28">
      <c r="L28" s="5" t="str">
        <f>IFERROR(__xludf.DUMMYFUNCTION("""COMPUTED_VALUE"""),"IIoT NIDS")</f>
        <v>IIoT NIDS</v>
      </c>
      <c r="M28" s="5">
        <f>COUNTIF(Datasets!$E$2:$E1652, L28)</f>
        <v>1</v>
      </c>
      <c r="O28" s="5" t="s">
        <v>47</v>
      </c>
      <c r="P28" s="5">
        <v>1.0</v>
      </c>
    </row>
    <row r="29">
      <c r="L29" s="5" t="str">
        <f>IFERROR(__xludf.DUMMYFUNCTION("""COMPUTED_VALUE"""),"APT simulation")</f>
        <v>APT simulation</v>
      </c>
      <c r="M29" s="5">
        <f>COUNTIF(Datasets!$E$2:$E1652, L29)</f>
        <v>4</v>
      </c>
      <c r="O29" s="5" t="s">
        <v>48</v>
      </c>
      <c r="P29" s="5">
        <v>1.0</v>
      </c>
    </row>
    <row r="30">
      <c r="A30" s="2" t="s">
        <v>49</v>
      </c>
      <c r="E30" s="3" t="s">
        <v>50</v>
      </c>
      <c r="I30" s="3" t="s">
        <v>51</v>
      </c>
      <c r="J30" s="3">
        <v>2016.0</v>
      </c>
      <c r="L30" s="5" t="str">
        <f>IFERROR(__xludf.DUMMYFUNCTION("""COMPUTED_VALUE"""),"SDN NIDS")</f>
        <v>SDN NIDS</v>
      </c>
      <c r="M30" s="5">
        <f>COUNTIF(Datasets!$E$2:$E1652, L30)</f>
        <v>2</v>
      </c>
      <c r="O30" s="5" t="s">
        <v>52</v>
      </c>
      <c r="P30" s="5">
        <v>1.0</v>
      </c>
      <c r="R30" s="3" t="s">
        <v>13</v>
      </c>
    </row>
    <row r="31">
      <c r="A31" s="3" t="s">
        <v>53</v>
      </c>
      <c r="B31" s="3" t="s">
        <v>11</v>
      </c>
      <c r="C31" s="3" t="s">
        <v>15</v>
      </c>
      <c r="E31" s="3" t="s">
        <v>53</v>
      </c>
      <c r="F31" s="3" t="s">
        <v>11</v>
      </c>
      <c r="G31" s="3" t="s">
        <v>15</v>
      </c>
      <c r="I31" s="3" t="s">
        <v>11</v>
      </c>
      <c r="J31" s="3" t="s">
        <v>15</v>
      </c>
      <c r="L31" s="5" t="str">
        <f>IFERROR(__xludf.DUMMYFUNCTION("""COMPUTED_VALUE"""),"CPS IDS for OPC UA")</f>
        <v>CPS IDS for OPC UA</v>
      </c>
      <c r="M31" s="5">
        <f>COUNTIF(Datasets!$E$2:$E1652, L31)</f>
        <v>1</v>
      </c>
      <c r="O31" s="5" t="s">
        <v>54</v>
      </c>
      <c r="P31" s="5">
        <v>1.0</v>
      </c>
      <c r="S31" s="3" t="s">
        <v>55</v>
      </c>
      <c r="U31" s="3" t="s">
        <v>56</v>
      </c>
      <c r="W31" s="3" t="s">
        <v>57</v>
      </c>
    </row>
    <row r="32">
      <c r="A32" s="3" t="s">
        <v>58</v>
      </c>
      <c r="B32" s="5">
        <f>COUNTIF(Datasets!$I$2:$I1652, "*B*")</f>
        <v>42</v>
      </c>
      <c r="C32" s="8">
        <f t="shared" ref="C32:C38" si="2">B32/$H$27</f>
        <v>0.4719101124</v>
      </c>
      <c r="E32" s="3" t="s">
        <v>58</v>
      </c>
      <c r="F32" s="5">
        <f>COUNTIFS(Datasets!$I$2:$I1652, "*B*", Datasets!$B$2:$B1652, "&gt;=" &amp; $H$24)</f>
        <v>28</v>
      </c>
      <c r="G32" s="8">
        <f t="shared" ref="G32:G38" si="3">F32/$H$26</f>
        <v>0.5490196078</v>
      </c>
      <c r="I32" s="5">
        <f>SUMIF($A$4:$A$26, "&lt;" &amp; $J$30, $C$4:$C$26)</f>
        <v>11</v>
      </c>
      <c r="J32" s="5">
        <f>I32/SUMIF($A$4:$A$26, "&lt;" &amp; $J$30, $D$4:$D$26)</f>
        <v>0.6111111111</v>
      </c>
      <c r="L32" s="5" t="str">
        <f>IFERROR(__xludf.DUMMYFUNCTION("""COMPUTED_VALUE"""),"HTTP(S) web attacks")</f>
        <v>HTTP(S) web attacks</v>
      </c>
      <c r="M32" s="5">
        <f>COUNTIF(Datasets!$E$2:$E1652, L32)</f>
        <v>1</v>
      </c>
      <c r="O32" s="5" t="s">
        <v>59</v>
      </c>
      <c r="P32" s="5">
        <v>1.0</v>
      </c>
      <c r="R32" s="3" t="s">
        <v>60</v>
      </c>
      <c r="S32" s="5">
        <f>SUMIF(R4:S12, "*emul*", S4:S12)</f>
        <v>69</v>
      </c>
      <c r="T32" s="5">
        <f t="shared" ref="T32:T35" si="4">S32/$H$27</f>
        <v>0.7752808989</v>
      </c>
      <c r="U32" s="5">
        <f>SUMIF(R18:S26, "*emul*", S18:S26)</f>
        <v>43</v>
      </c>
      <c r="V32" s="5">
        <f t="shared" ref="V32:V35" si="5">U32/$H$26</f>
        <v>0.8431372549</v>
      </c>
      <c r="W32" s="5">
        <f>SUMIF($X$18:$Y$26, "*emul*", $Y$18:$Y$26)</f>
        <v>26</v>
      </c>
      <c r="X32" s="5">
        <f t="shared" ref="X32:X35" si="6">W32/($H$27-$H$26)</f>
        <v>0.6842105263</v>
      </c>
    </row>
    <row r="33">
      <c r="A33" s="3" t="s">
        <v>61</v>
      </c>
      <c r="B33" s="5">
        <f>COUNTIF(Datasets!$I$2:$I1652, "*C*")</f>
        <v>29</v>
      </c>
      <c r="C33" s="8">
        <f t="shared" si="2"/>
        <v>0.3258426966</v>
      </c>
      <c r="E33" s="3" t="s">
        <v>61</v>
      </c>
      <c r="F33" s="5">
        <f>COUNTIFS(Datasets!$I$2:$I1652, "*C*", Datasets!$B$2:$B1652, "&gt;=" &amp; $H$24)</f>
        <v>18</v>
      </c>
      <c r="G33" s="8">
        <f t="shared" si="3"/>
        <v>0.3529411765</v>
      </c>
      <c r="L33" s="5" t="str">
        <f>IFERROR(__xludf.DUMMYFUNCTION("""COMPUTED_VALUE"""),"VoIP NIDS")</f>
        <v>VoIP NIDS</v>
      </c>
      <c r="M33" s="5">
        <f>COUNTIF(Datasets!$E$2:$E1652, L33)</f>
        <v>1</v>
      </c>
      <c r="O33" s="5" t="s">
        <v>62</v>
      </c>
      <c r="P33" s="5">
        <v>1.0</v>
      </c>
      <c r="R33" s="3" t="s">
        <v>63</v>
      </c>
      <c r="S33" s="5">
        <f>SUMIF(R4:S12,"emul-*", S4:S12)</f>
        <v>62</v>
      </c>
      <c r="T33" s="5">
        <f t="shared" si="4"/>
        <v>0.6966292135</v>
      </c>
      <c r="U33" s="5">
        <f>SUMIF(R18:S26, "emul-*", S18:S26)</f>
        <v>37</v>
      </c>
      <c r="V33" s="5">
        <f t="shared" si="5"/>
        <v>0.7254901961</v>
      </c>
      <c r="W33" s="5">
        <f>SUMIF($X$18:$Y$26, "emul-*", $Y$18:$Y$26)</f>
        <v>25</v>
      </c>
      <c r="X33" s="5">
        <f t="shared" si="6"/>
        <v>0.6578947368</v>
      </c>
    </row>
    <row r="34">
      <c r="A34" s="3" t="s">
        <v>64</v>
      </c>
      <c r="B34" s="5">
        <f>COUNTIF(Datasets!$I$2:$I1652, "*D*")</f>
        <v>66</v>
      </c>
      <c r="C34" s="8">
        <f t="shared" si="2"/>
        <v>0.7415730337</v>
      </c>
      <c r="E34" s="3" t="s">
        <v>64</v>
      </c>
      <c r="F34" s="5">
        <f>COUNTIFS(Datasets!$I$2:$I1652, "*D*", Datasets!$B$2:$B1652, "&gt;=" &amp; $H$24)</f>
        <v>36</v>
      </c>
      <c r="G34" s="8">
        <f t="shared" si="3"/>
        <v>0.7058823529</v>
      </c>
      <c r="L34" s="5" t="str">
        <f>IFERROR(__xludf.DUMMYFUNCTION("""COMPUTED_VALUE"""),"Smart home IoT IDS")</f>
        <v>Smart home IoT IDS</v>
      </c>
      <c r="M34" s="5">
        <f>COUNTIF(Datasets!$E$2:$E1652, L34)</f>
        <v>1</v>
      </c>
      <c r="O34" s="5" t="s">
        <v>65</v>
      </c>
      <c r="P34" s="5">
        <v>1.0</v>
      </c>
      <c r="R34" s="3" t="s">
        <v>66</v>
      </c>
      <c r="S34" s="5">
        <f>SUMIF(R4:S12,"real,emul-*", S4:S12)</f>
        <v>7</v>
      </c>
      <c r="T34" s="5">
        <f t="shared" si="4"/>
        <v>0.07865168539</v>
      </c>
      <c r="U34" s="5">
        <f>SUMIF(R18:S26, "real,emul-*", S18:S26)</f>
        <v>6</v>
      </c>
      <c r="V34" s="5">
        <f t="shared" si="5"/>
        <v>0.1176470588</v>
      </c>
      <c r="W34" s="5">
        <f>SUMIF($X$18:$Y$26, "real,emul-*", $Y$18:$Y$26)</f>
        <v>1</v>
      </c>
      <c r="X34" s="5">
        <f t="shared" si="6"/>
        <v>0.02631578947</v>
      </c>
    </row>
    <row r="35">
      <c r="A35" s="3" t="s">
        <v>67</v>
      </c>
      <c r="B35" s="5">
        <f>COUNTIF(Datasets!$I$2:$I1652, "*R*")</f>
        <v>60</v>
      </c>
      <c r="C35" s="8">
        <f t="shared" si="2"/>
        <v>0.6741573034</v>
      </c>
      <c r="E35" s="3" t="s">
        <v>67</v>
      </c>
      <c r="F35" s="5">
        <f>COUNTIFS(Datasets!$I$2:$I1652, "*R*", Datasets!$B$2:$B1652, "&gt;=" &amp; $H$24)</f>
        <v>35</v>
      </c>
      <c r="G35" s="8">
        <f t="shared" si="3"/>
        <v>0.6862745098</v>
      </c>
      <c r="L35" s="5" t="str">
        <f>IFERROR(__xludf.DUMMYFUNCTION("""COMPUTED_VALUE"""),"IoT and IIoT NIDS")</f>
        <v>IoT and IIoT NIDS</v>
      </c>
      <c r="M35" s="5">
        <f>COUNTIF(Datasets!$E$2:$E1652, L35)</f>
        <v>1</v>
      </c>
      <c r="O35" s="5" t="s">
        <v>68</v>
      </c>
      <c r="P35" s="5">
        <v>1.0</v>
      </c>
      <c r="R35" s="3" t="s">
        <v>69</v>
      </c>
      <c r="S35" s="9">
        <f>SUMIF(R4:S12,"real", S4:S12)</f>
        <v>15</v>
      </c>
      <c r="T35" s="5">
        <f t="shared" si="4"/>
        <v>0.1685393258</v>
      </c>
      <c r="U35" s="5">
        <f>SUMIF(R18:S26, "real", S18:S26)</f>
        <v>7</v>
      </c>
      <c r="V35" s="5">
        <f t="shared" si="5"/>
        <v>0.137254902</v>
      </c>
      <c r="W35" s="5">
        <f>SUMIF($X$18:$Y$26, "real", $Y$18:$Y$26)</f>
        <v>8</v>
      </c>
      <c r="X35" s="5">
        <f t="shared" si="6"/>
        <v>0.2105263158</v>
      </c>
    </row>
    <row r="36">
      <c r="A36" s="3" t="s">
        <v>70</v>
      </c>
      <c r="B36" s="5">
        <f>COUNTIF(Datasets!$I$2:$I1652, "*V*")</f>
        <v>45</v>
      </c>
      <c r="C36" s="8">
        <f t="shared" si="2"/>
        <v>0.5056179775</v>
      </c>
      <c r="E36" s="3" t="s">
        <v>70</v>
      </c>
      <c r="F36" s="5">
        <f>COUNTIFS(Datasets!$I$2:$I1652, "*V*", Datasets!$B$2:$B1652, "&gt;=" &amp; $H$24)</f>
        <v>31</v>
      </c>
      <c r="G36" s="8">
        <f t="shared" si="3"/>
        <v>0.6078431373</v>
      </c>
      <c r="L36" s="5" t="str">
        <f>IFERROR(__xludf.DUMMYFUNCTION("""COMPUTED_VALUE"""),"Encrypted traffic NIDS")</f>
        <v>Encrypted traffic NIDS</v>
      </c>
      <c r="M36" s="5">
        <f>COUNTIF(Datasets!$E$2:$E1652, L36)</f>
        <v>1</v>
      </c>
      <c r="O36" s="5" t="s">
        <v>71</v>
      </c>
      <c r="P36" s="5">
        <v>1.0</v>
      </c>
    </row>
    <row r="37">
      <c r="A37" s="3" t="s">
        <v>72</v>
      </c>
      <c r="B37" s="5">
        <f>COUNTIF(Datasets!$I$2:$I1652, "*O*")</f>
        <v>51</v>
      </c>
      <c r="C37" s="8">
        <f t="shared" si="2"/>
        <v>0.5730337079</v>
      </c>
      <c r="E37" s="3" t="s">
        <v>72</v>
      </c>
      <c r="F37" s="5">
        <f>COUNTIFS(Datasets!$I$2:$I1652, "*O*", Datasets!$B$2:$B1652, "&gt;=" &amp; $H$24)</f>
        <v>33</v>
      </c>
      <c r="G37" s="8">
        <f t="shared" si="3"/>
        <v>0.6470588235</v>
      </c>
      <c r="L37" s="5" t="str">
        <f>IFERROR(__xludf.DUMMYFUNCTION("""COMPUTED_VALUE"""),"Layer 7 web DoS")</f>
        <v>Layer 7 web DoS</v>
      </c>
      <c r="M37" s="5">
        <f>COUNTIF(Datasets!$E$2:$E1652, L37)</f>
        <v>1</v>
      </c>
      <c r="O37" s="5" t="s">
        <v>73</v>
      </c>
      <c r="P37" s="5">
        <v>1.0</v>
      </c>
      <c r="R37" s="3" t="s">
        <v>74</v>
      </c>
    </row>
    <row r="38">
      <c r="A38" s="3" t="s">
        <v>75</v>
      </c>
      <c r="B38" s="5">
        <f>COUNTIF(Datasets!$I$2:$I1652, "*~?*")</f>
        <v>21</v>
      </c>
      <c r="C38" s="8">
        <f t="shared" si="2"/>
        <v>0.2359550562</v>
      </c>
      <c r="E38" s="3" t="s">
        <v>75</v>
      </c>
      <c r="F38" s="5">
        <f>COUNTIFS(Datasets!$I$2:$I1652, "*~?*", Datasets!$B$2:$B1652, "&gt;=" &amp; $H$24)</f>
        <v>11</v>
      </c>
      <c r="G38" s="8">
        <f t="shared" si="3"/>
        <v>0.2156862745</v>
      </c>
      <c r="L38" s="5" t="str">
        <f>IFERROR(__xludf.DUMMYFUNCTION("""COMPUTED_VALUE"""),"Home IoT monitoring")</f>
        <v>Home IoT monitoring</v>
      </c>
      <c r="M38" s="5">
        <f>COUNTIF(Datasets!$E$2:$E1652, L38)</f>
        <v>1</v>
      </c>
      <c r="O38" s="5" t="s">
        <v>76</v>
      </c>
      <c r="P38" s="5">
        <v>1.0</v>
      </c>
      <c r="S38" s="3" t="s">
        <v>55</v>
      </c>
      <c r="U38" s="3" t="s">
        <v>56</v>
      </c>
    </row>
    <row r="39">
      <c r="L39" s="5" t="str">
        <f>IFERROR(__xludf.DUMMYFUNCTION("""COMPUTED_VALUE"""),"ICS NIDS")</f>
        <v>ICS NIDS</v>
      </c>
      <c r="M39" s="5">
        <f>COUNTIF(Datasets!$E$2:$E1652, L39)</f>
        <v>2</v>
      </c>
      <c r="O39" s="5" t="s">
        <v>77</v>
      </c>
      <c r="P39" s="5">
        <v>1.0</v>
      </c>
      <c r="R39" s="3" t="s">
        <v>60</v>
      </c>
      <c r="S39" s="5">
        <f>SUMIF($U$4:$V$11, "*emul*", $V$4:$V$11)</f>
        <v>75</v>
      </c>
      <c r="T39" s="5">
        <f t="shared" ref="T39:T42" si="7">S39/$H$27</f>
        <v>0.8426966292</v>
      </c>
      <c r="U39" s="5">
        <f>SUMIF($U$18:$V$25, "*emul*", $V$18:$V$25)</f>
        <v>46</v>
      </c>
      <c r="V39" s="5">
        <f t="shared" ref="V39:V42" si="8">U39/$H$26</f>
        <v>0.9019607843</v>
      </c>
    </row>
    <row r="40">
      <c r="A40" s="2" t="s">
        <v>78</v>
      </c>
      <c r="L40" s="5" t="str">
        <f>IFERROR(__xludf.DUMMYFUNCTION("""COMPUTED_VALUE"""),"SDN NIDS via ports")</f>
        <v>SDN NIDS via ports</v>
      </c>
      <c r="M40" s="5">
        <f>COUNTIF(Datasets!$E$2:$E1652, L40)</f>
        <v>1</v>
      </c>
      <c r="O40" s="5" t="s">
        <v>79</v>
      </c>
      <c r="P40" s="5">
        <v>1.0</v>
      </c>
      <c r="R40" s="3" t="s">
        <v>63</v>
      </c>
      <c r="S40" s="5">
        <f>SUMIF($U$4:$V$11, "emul-*", $V$4:$V$11)</f>
        <v>70</v>
      </c>
      <c r="T40" s="5">
        <f t="shared" si="7"/>
        <v>0.7865168539</v>
      </c>
      <c r="U40" s="5">
        <f>SUMIF($U$18:$V$25, "emul-*", $V$18:$V$25)</f>
        <v>44</v>
      </c>
      <c r="V40" s="5">
        <f t="shared" si="8"/>
        <v>0.862745098</v>
      </c>
    </row>
    <row r="41">
      <c r="A41" s="4" t="s">
        <v>80</v>
      </c>
      <c r="L41" s="5" t="str">
        <f>IFERROR(__xludf.DUMMYFUNCTION("""COMPUTED_VALUE"""),"NetFlow anomalies")</f>
        <v>NetFlow anomalies</v>
      </c>
      <c r="M41" s="5">
        <f>COUNTIF(Datasets!$E$2:$E1652, L41)</f>
        <v>1</v>
      </c>
      <c r="O41" s="5" t="s">
        <v>81</v>
      </c>
      <c r="P41" s="5">
        <v>1.0</v>
      </c>
      <c r="R41" s="3" t="s">
        <v>66</v>
      </c>
      <c r="S41" s="5">
        <f>SUMIF($U$4:$V$11, "real,emul-*", $V$4:$V$11)</f>
        <v>5</v>
      </c>
      <c r="T41" s="5">
        <f t="shared" si="7"/>
        <v>0.05617977528</v>
      </c>
      <c r="U41" s="5">
        <f>SUMIF($U$18:$V$25, "real,emul-*", $V$18:$V$25)</f>
        <v>2</v>
      </c>
      <c r="V41" s="5">
        <f t="shared" si="8"/>
        <v>0.03921568627</v>
      </c>
    </row>
    <row r="42">
      <c r="A42" s="4" t="s">
        <v>82</v>
      </c>
      <c r="B42" s="4" t="s">
        <v>11</v>
      </c>
      <c r="C42" s="3" t="s">
        <v>15</v>
      </c>
      <c r="E42" s="3" t="s">
        <v>50</v>
      </c>
      <c r="F42" s="3" t="s">
        <v>11</v>
      </c>
      <c r="G42" s="3" t="s">
        <v>15</v>
      </c>
      <c r="L42" s="5" t="str">
        <f>IFERROR(__xludf.DUMMYFUNCTION("""COMPUTED_VALUE"""),"Federated learning NIDS")</f>
        <v>Federated learning NIDS</v>
      </c>
      <c r="M42" s="5">
        <f>COUNTIF(Datasets!$E$2:$E1652, L42)</f>
        <v>1</v>
      </c>
      <c r="O42" s="5" t="s">
        <v>83</v>
      </c>
      <c r="P42" s="5">
        <v>1.0</v>
      </c>
      <c r="R42" s="3" t="s">
        <v>69</v>
      </c>
      <c r="S42" s="9">
        <f>SUMIF($U$4:$V$11, "real", $V$4:$V$11)</f>
        <v>12</v>
      </c>
      <c r="T42" s="5">
        <f t="shared" si="7"/>
        <v>0.1348314607</v>
      </c>
      <c r="U42" s="5">
        <f>SUMIF($U$18:$V$25, "real", $V$18:$V$25)</f>
        <v>5</v>
      </c>
      <c r="V42" s="5">
        <f t="shared" si="8"/>
        <v>0.09803921569</v>
      </c>
    </row>
    <row r="43">
      <c r="A43" s="5" t="str">
        <f>IFERROR(__xludf.DUMMYFUNCTION("SORT(UNIQUE(Datasets!J2:J1652, False, False), 1, True)"),"flows (bi)")</f>
        <v>flows (bi)</v>
      </c>
      <c r="B43" s="5">
        <f>COUNTIF(Datasets!$J$2:$J1652, A43)</f>
        <v>25</v>
      </c>
      <c r="C43" s="8">
        <f t="shared" ref="C43:C61" si="9">B43/$H$27</f>
        <v>0.2808988764</v>
      </c>
      <c r="E43" s="5" t="str">
        <f>IFERROR(__xludf.DUMMYFUNCTION("SORT(UNIQUE(Datasets!J2:J1652, False, False), 1, True)"),"flows (bi)")</f>
        <v>flows (bi)</v>
      </c>
      <c r="F43" s="5">
        <f>COUNTIFS(Datasets!$J$2:$J1652, E43, Datasets!$B$2:$B1652, "&gt;=" &amp; $H$24)</f>
        <v>25</v>
      </c>
      <c r="G43" s="8">
        <f t="shared" ref="G43:G61" si="10">F43/$H$26</f>
        <v>0.4901960784</v>
      </c>
      <c r="L43" s="5" t="str">
        <f>IFERROR(__xludf.DUMMYFUNCTION("""COMPUTED_VALUE"""),"Robotic arm ICS NIDS")</f>
        <v>Robotic arm ICS NIDS</v>
      </c>
      <c r="M43" s="5">
        <f>COUNTIF(Datasets!$E$2:$E1652, L43)</f>
        <v>1</v>
      </c>
      <c r="O43" s="5" t="s">
        <v>84</v>
      </c>
      <c r="P43" s="5">
        <v>1.0</v>
      </c>
    </row>
    <row r="44">
      <c r="A44" s="5" t="str">
        <f>IFERROR(__xludf.DUMMYFUNCTION("""COMPUTED_VALUE"""),"flows (bi),logs (both)")</f>
        <v>flows (bi),logs (both)</v>
      </c>
      <c r="B44" s="5">
        <f>COUNTIF(Datasets!$J$2:$J1652, A44)</f>
        <v>1</v>
      </c>
      <c r="C44" s="8">
        <f t="shared" si="9"/>
        <v>0.01123595506</v>
      </c>
      <c r="E44" s="5" t="str">
        <f>IFERROR(__xludf.DUMMYFUNCTION("""COMPUTED_VALUE"""),"flows (bi),logs (both)")</f>
        <v>flows (bi),logs (both)</v>
      </c>
      <c r="F44" s="5">
        <f>COUNTIFS(Datasets!$J$2:$J1652, E44, Datasets!$B$2:$B1652, "&gt;=" &amp; $H$24)</f>
        <v>1</v>
      </c>
      <c r="G44" s="8">
        <f t="shared" si="10"/>
        <v>0.01960784314</v>
      </c>
      <c r="L44" s="5"/>
      <c r="O44" s="5" t="s">
        <v>85</v>
      </c>
      <c r="P44" s="5">
        <v>1.0</v>
      </c>
      <c r="R44" s="3" t="s">
        <v>56</v>
      </c>
      <c r="S44" s="3" t="s">
        <v>13</v>
      </c>
      <c r="T44" s="3" t="s">
        <v>74</v>
      </c>
    </row>
    <row r="45">
      <c r="A45" s="5" t="str">
        <f>IFERROR(__xludf.DUMMYFUNCTION("""COMPUTED_VALUE"""),"flows (bi),logs (host)")</f>
        <v>flows (bi),logs (host)</v>
      </c>
      <c r="B45" s="5">
        <f>COUNTIF(Datasets!$J$2:$J1652, A45)</f>
        <v>1</v>
      </c>
      <c r="C45" s="8">
        <f t="shared" si="9"/>
        <v>0.01123595506</v>
      </c>
      <c r="E45" s="5" t="str">
        <f>IFERROR(__xludf.DUMMYFUNCTION("""COMPUTED_VALUE"""),"flows (bi),logs (host)")</f>
        <v>flows (bi),logs (host)</v>
      </c>
      <c r="F45" s="5">
        <f>COUNTIFS(Datasets!$J$2:$J1652, E45, Datasets!$B$2:$B1652, "&gt;=" &amp; $H$24)</f>
        <v>0</v>
      </c>
      <c r="G45" s="8">
        <f t="shared" si="10"/>
        <v>0</v>
      </c>
      <c r="O45" s="5">
        <v>25.0</v>
      </c>
      <c r="P45" s="8">
        <v>0.2808988764044944</v>
      </c>
      <c r="R45" s="3" t="s">
        <v>86</v>
      </c>
      <c r="S45" s="5">
        <f>(S19+S20+S24+S25)/U32</f>
        <v>0.6046511628</v>
      </c>
      <c r="T45" s="5">
        <f>(V19+V20+V24)/U39</f>
        <v>0.6086956522</v>
      </c>
    </row>
    <row r="46">
      <c r="A46" s="5" t="str">
        <f>IFERROR(__xludf.DUMMYFUNCTION("""COMPUTED_VALUE"""),"flows (uni)")</f>
        <v>flows (uni)</v>
      </c>
      <c r="B46" s="5">
        <f>COUNTIF(Datasets!$J$2:$J1652, A46)</f>
        <v>5</v>
      </c>
      <c r="C46" s="8">
        <f t="shared" si="9"/>
        <v>0.05617977528</v>
      </c>
      <c r="E46" s="5" t="str">
        <f>IFERROR(__xludf.DUMMYFUNCTION("""COMPUTED_VALUE"""),"flows (uni)")</f>
        <v>flows (uni)</v>
      </c>
      <c r="F46" s="5">
        <f>COUNTIFS(Datasets!$J$2:$J1652, E46, Datasets!$B$2:$B1652, "&gt;=" &amp; $H$24)</f>
        <v>1</v>
      </c>
      <c r="G46" s="8">
        <f t="shared" si="10"/>
        <v>0.01960784314</v>
      </c>
      <c r="O46" s="5">
        <v>12.0</v>
      </c>
      <c r="P46" s="8">
        <v>0.1348314606741573</v>
      </c>
    </row>
    <row r="47">
      <c r="A47" s="5" t="str">
        <f>IFERROR(__xludf.DUMMYFUNCTION("""COMPUTED_VALUE"""),"flows (uni),logs (both)")</f>
        <v>flows (uni),logs (both)</v>
      </c>
      <c r="B47" s="5">
        <f>COUNTIF(Datasets!$J$2:$J1652, A47)</f>
        <v>1</v>
      </c>
      <c r="C47" s="8">
        <f t="shared" si="9"/>
        <v>0.01123595506</v>
      </c>
      <c r="E47" s="5" t="str">
        <f>IFERROR(__xludf.DUMMYFUNCTION("""COMPUTED_VALUE"""),"flows (uni),logs (both)")</f>
        <v>flows (uni),logs (both)</v>
      </c>
      <c r="F47" s="5">
        <f>COUNTIFS(Datasets!$J$2:$J1652, E47, Datasets!$B$2:$B1652, "&gt;=" &amp; $H$24)</f>
        <v>0</v>
      </c>
      <c r="G47" s="8">
        <f t="shared" si="10"/>
        <v>0</v>
      </c>
      <c r="O47" s="5">
        <v>7.0</v>
      </c>
      <c r="P47" s="8">
        <v>0.07865168539325842</v>
      </c>
    </row>
    <row r="48">
      <c r="A48" s="5" t="str">
        <f>IFERROR(__xludf.DUMMYFUNCTION("""COMPUTED_VALUE"""),"flows (uni),logs (host)")</f>
        <v>flows (uni),logs (host)</v>
      </c>
      <c r="B48" s="5">
        <f>COUNTIF(Datasets!$J$2:$J1652, A48)</f>
        <v>1</v>
      </c>
      <c r="C48" s="8">
        <f t="shared" si="9"/>
        <v>0.01123595506</v>
      </c>
      <c r="E48" s="5" t="str">
        <f>IFERROR(__xludf.DUMMYFUNCTION("""COMPUTED_VALUE"""),"flows (uni),logs (host)")</f>
        <v>flows (uni),logs (host)</v>
      </c>
      <c r="F48" s="5">
        <f>COUNTIFS(Datasets!$J$2:$J1652, E48, Datasets!$B$2:$B1652, "&gt;=" &amp; $H$24)</f>
        <v>0</v>
      </c>
      <c r="G48" s="8">
        <f t="shared" si="10"/>
        <v>0</v>
      </c>
      <c r="O48" s="5">
        <v>6.0</v>
      </c>
      <c r="P48" s="8">
        <v>0.06741573033707865</v>
      </c>
    </row>
    <row r="49">
      <c r="A49" s="5" t="str">
        <f>IFERROR(__xludf.DUMMYFUNCTION("""COMPUTED_VALUE"""),"nethost")</f>
        <v>nethost</v>
      </c>
      <c r="B49" s="5">
        <f>COUNTIF(Datasets!$J$2:$J1652, A49)</f>
        <v>4</v>
      </c>
      <c r="C49" s="8">
        <f t="shared" si="9"/>
        <v>0.04494382022</v>
      </c>
      <c r="E49" s="5" t="str">
        <f>IFERROR(__xludf.DUMMYFUNCTION("""COMPUTED_VALUE"""),"nethost")</f>
        <v>nethost</v>
      </c>
      <c r="F49" s="5">
        <f>COUNTIFS(Datasets!$J$2:$J1652, E49, Datasets!$B$2:$B1652, "&gt;=" &amp; $H$24)</f>
        <v>1</v>
      </c>
      <c r="G49" s="8">
        <f t="shared" si="10"/>
        <v>0.01960784314</v>
      </c>
      <c r="O49" s="5">
        <v>5.0</v>
      </c>
      <c r="P49" s="8">
        <v>0.056179775280898875</v>
      </c>
      <c r="T49" s="2" t="s">
        <v>87</v>
      </c>
    </row>
    <row r="50">
      <c r="A50" s="5" t="str">
        <f>IFERROR(__xludf.DUMMYFUNCTION("""COMPUTED_VALUE"""),"other")</f>
        <v>other</v>
      </c>
      <c r="B50" s="5">
        <f>COUNTIF(Datasets!$J$2:$J1652, A50)</f>
        <v>3</v>
      </c>
      <c r="C50" s="8">
        <f t="shared" si="9"/>
        <v>0.03370786517</v>
      </c>
      <c r="E50" s="5" t="str">
        <f>IFERROR(__xludf.DUMMYFUNCTION("""COMPUTED_VALUE"""),"other")</f>
        <v>other</v>
      </c>
      <c r="F50" s="5">
        <f>COUNTIFS(Datasets!$J$2:$J1652, E50, Datasets!$B$2:$B1652, "&gt;=" &amp; $H$24)</f>
        <v>1</v>
      </c>
      <c r="G50" s="8">
        <f t="shared" si="10"/>
        <v>0.01960784314</v>
      </c>
      <c r="O50" s="5">
        <v>3.0</v>
      </c>
      <c r="P50" s="8">
        <v>0.033707865168539325</v>
      </c>
    </row>
    <row r="51">
      <c r="A51" s="5" t="str">
        <f>IFERROR(__xludf.DUMMYFUNCTION("""COMPUTED_VALUE"""),"packet (bin)")</f>
        <v>packet (bin)</v>
      </c>
      <c r="B51" s="5">
        <f>COUNTIF(Datasets!$J$2:$J1652, A51)</f>
        <v>9</v>
      </c>
      <c r="C51" s="8">
        <f t="shared" si="9"/>
        <v>0.1011235955</v>
      </c>
      <c r="E51" s="5" t="str">
        <f>IFERROR(__xludf.DUMMYFUNCTION("""COMPUTED_VALUE"""),"packet (bin)")</f>
        <v>packet (bin)</v>
      </c>
      <c r="F51" s="5">
        <f>COUNTIFS(Datasets!$J$2:$J1652, E51, Datasets!$B$2:$B1652, "&gt;=" &amp; $H$24)</f>
        <v>1</v>
      </c>
      <c r="G51" s="8">
        <f t="shared" si="10"/>
        <v>0.01960784314</v>
      </c>
      <c r="O51" s="5">
        <v>3.0</v>
      </c>
      <c r="P51" s="8">
        <v>0.033707865168539325</v>
      </c>
      <c r="T51" s="5" t="str">
        <f t="array" ref="T51:T1050">Datasets!Q2:Q1652 &amp; " " &amp; Datasets!R2:R1652</f>
        <v>large military</v>
      </c>
    </row>
    <row r="52">
      <c r="A52" s="5" t="str">
        <f>IFERROR(__xludf.DUMMYFUNCTION("""COMPUTED_VALUE"""),"packet (bin),flows (bi)")</f>
        <v>packet (bin),flows (bi)</v>
      </c>
      <c r="B52" s="5">
        <f>COUNTIF(Datasets!$J$2:$J1652, A52)</f>
        <v>13</v>
      </c>
      <c r="C52" s="8">
        <f t="shared" si="9"/>
        <v>0.1460674157</v>
      </c>
      <c r="E52" s="5" t="str">
        <f>IFERROR(__xludf.DUMMYFUNCTION("""COMPUTED_VALUE"""),"packet (bin),flows (bi)")</f>
        <v>packet (bin),flows (bi)</v>
      </c>
      <c r="F52" s="5">
        <f>COUNTIFS(Datasets!$J$2:$J1652, E52, Datasets!$B$2:$B1652, "&gt;=" &amp; $H$24)</f>
        <v>9</v>
      </c>
      <c r="G52" s="8">
        <f t="shared" si="10"/>
        <v>0.1764705882</v>
      </c>
      <c r="O52" s="5">
        <v>3.0</v>
      </c>
      <c r="P52" s="8">
        <v>0.033707865168539325</v>
      </c>
      <c r="T52" s="5" t="s">
        <v>88</v>
      </c>
    </row>
    <row r="53">
      <c r="A53" s="5" t="str">
        <f>IFERROR(__xludf.DUMMYFUNCTION("""COMPUTED_VALUE"""),"packet (bin),flows (bi),logs (both)")</f>
        <v>packet (bin),flows (bi),logs (both)</v>
      </c>
      <c r="B53" s="5">
        <f>COUNTIF(Datasets!$J$2:$J1652, A53)</f>
        <v>1</v>
      </c>
      <c r="C53" s="8">
        <f t="shared" si="9"/>
        <v>0.01123595506</v>
      </c>
      <c r="E53" s="5" t="str">
        <f>IFERROR(__xludf.DUMMYFUNCTION("""COMPUTED_VALUE"""),"packet (bin),flows (bi),logs (both)")</f>
        <v>packet (bin),flows (bi),logs (both)</v>
      </c>
      <c r="F53" s="5">
        <f>COUNTIFS(Datasets!$J$2:$J1652, E53, Datasets!$B$2:$B1652, "&gt;=" &amp; $H$24)</f>
        <v>1</v>
      </c>
      <c r="G53" s="8">
        <f t="shared" si="10"/>
        <v>0.01960784314</v>
      </c>
      <c r="O53" s="5">
        <v>3.0</v>
      </c>
      <c r="P53" s="8">
        <v>0.033707865168539325</v>
      </c>
      <c r="T53" s="5" t="s">
        <v>88</v>
      </c>
    </row>
    <row r="54">
      <c r="A54" s="5" t="str">
        <f>IFERROR(__xludf.DUMMYFUNCTION("""COMPUTED_VALUE"""),"packet (bin),flows (bi),logs (host)")</f>
        <v>packet (bin),flows (bi),logs (host)</v>
      </c>
      <c r="B54" s="5">
        <f>COUNTIF(Datasets!$J$2:$J1652, A54)</f>
        <v>4</v>
      </c>
      <c r="C54" s="8">
        <f t="shared" si="9"/>
        <v>0.04494382022</v>
      </c>
      <c r="E54" s="5" t="str">
        <f>IFERROR(__xludf.DUMMYFUNCTION("""COMPUTED_VALUE"""),"packet (bin),flows (bi),logs (host)")</f>
        <v>packet (bin),flows (bi),logs (host)</v>
      </c>
      <c r="F54" s="5">
        <f>COUNTIFS(Datasets!$J$2:$J1652, E54, Datasets!$B$2:$B1652, "&gt;=" &amp; $H$24)</f>
        <v>2</v>
      </c>
      <c r="G54" s="8">
        <f t="shared" si="10"/>
        <v>0.03921568627</v>
      </c>
      <c r="O54" s="5">
        <v>2.0</v>
      </c>
      <c r="P54" s="8">
        <v>0.02247191011235955</v>
      </c>
      <c r="T54" s="5" t="s">
        <v>88</v>
      </c>
    </row>
    <row r="55">
      <c r="A55" s="5" t="str">
        <f>IFERROR(__xludf.DUMMYFUNCTION("""COMPUTED_VALUE"""),"packet (bin),flows (bi),logs (net)")</f>
        <v>packet (bin),flows (bi),logs (net)</v>
      </c>
      <c r="B55" s="5">
        <f>COUNTIF(Datasets!$J$2:$J1652, A55)</f>
        <v>1</v>
      </c>
      <c r="C55" s="8">
        <f t="shared" si="9"/>
        <v>0.01123595506</v>
      </c>
      <c r="E55" s="5" t="str">
        <f>IFERROR(__xludf.DUMMYFUNCTION("""COMPUTED_VALUE"""),"packet (bin),flows (bi),logs (net)")</f>
        <v>packet (bin),flows (bi),logs (net)</v>
      </c>
      <c r="F55" s="5">
        <f>COUNTIFS(Datasets!$J$2:$J1652, E55, Datasets!$B$2:$B1652, "&gt;=" &amp; $H$24)</f>
        <v>0</v>
      </c>
      <c r="G55" s="8">
        <f t="shared" si="10"/>
        <v>0</v>
      </c>
      <c r="O55" s="5">
        <v>2.0</v>
      </c>
      <c r="P55" s="8">
        <v>0.02247191011235955</v>
      </c>
      <c r="T55" s="5" t="s">
        <v>88</v>
      </c>
    </row>
    <row r="56">
      <c r="A56" s="5" t="str">
        <f>IFERROR(__xludf.DUMMYFUNCTION("""COMPUTED_VALUE"""),"packet (bin),flows (uni),flows (bi)")</f>
        <v>packet (bin),flows (uni),flows (bi)</v>
      </c>
      <c r="B56" s="5">
        <f>COUNTIF(Datasets!$J$2:$J1652, A56)</f>
        <v>1</v>
      </c>
      <c r="C56" s="8">
        <f t="shared" si="9"/>
        <v>0.01123595506</v>
      </c>
      <c r="E56" s="5" t="str">
        <f>IFERROR(__xludf.DUMMYFUNCTION("""COMPUTED_VALUE"""),"packet (bin),flows (uni),flows (bi)")</f>
        <v>packet (bin),flows (uni),flows (bi)</v>
      </c>
      <c r="F56" s="5">
        <f>COUNTIFS(Datasets!$J$2:$J1652, E56, Datasets!$B$2:$B1652, "&gt;=" &amp; $H$24)</f>
        <v>0</v>
      </c>
      <c r="G56" s="8">
        <f t="shared" si="10"/>
        <v>0</v>
      </c>
      <c r="O56" s="5">
        <v>2.0</v>
      </c>
      <c r="P56" s="8">
        <v>0.02247191011235955</v>
      </c>
      <c r="T56" s="5" t="s">
        <v>88</v>
      </c>
    </row>
    <row r="57">
      <c r="A57" s="5" t="str">
        <f>IFERROR(__xludf.DUMMYFUNCTION("""COMPUTED_VALUE"""),"packet (bin),logs (both)")</f>
        <v>packet (bin),logs (both)</v>
      </c>
      <c r="B57" s="5">
        <f>COUNTIF(Datasets!$J$2:$J1652, A57)</f>
        <v>2</v>
      </c>
      <c r="C57" s="8">
        <f t="shared" si="9"/>
        <v>0.02247191011</v>
      </c>
      <c r="E57" s="5" t="str">
        <f>IFERROR(__xludf.DUMMYFUNCTION("""COMPUTED_VALUE"""),"packet (bin),logs (both)")</f>
        <v>packet (bin),logs (both)</v>
      </c>
      <c r="F57" s="5">
        <f>COUNTIFS(Datasets!$J$2:$J1652, E57, Datasets!$B$2:$B1652, "&gt;=" &amp; $H$24)</f>
        <v>1</v>
      </c>
      <c r="G57" s="8">
        <f t="shared" si="10"/>
        <v>0.01960784314</v>
      </c>
      <c r="O57" s="5">
        <v>2.0</v>
      </c>
      <c r="P57" s="8">
        <v>0.02247191011235955</v>
      </c>
      <c r="T57" s="5" t="s">
        <v>89</v>
      </c>
    </row>
    <row r="58">
      <c r="A58" s="5" t="str">
        <f>IFERROR(__xludf.DUMMYFUNCTION("""COMPUTED_VALUE"""),"packet (bin),logs (host)")</f>
        <v>packet (bin),logs (host)</v>
      </c>
      <c r="B58" s="5">
        <f>COUNTIF(Datasets!$J$2:$J1652, A58)</f>
        <v>7</v>
      </c>
      <c r="C58" s="8">
        <f t="shared" si="9"/>
        <v>0.07865168539</v>
      </c>
      <c r="E58" s="5" t="str">
        <f>IFERROR(__xludf.DUMMYFUNCTION("""COMPUTED_VALUE"""),"packet (bin),logs (host)")</f>
        <v>packet (bin),logs (host)</v>
      </c>
      <c r="F58" s="5">
        <f>COUNTIFS(Datasets!$J$2:$J1652, E58, Datasets!$B$2:$B1652, "&gt;=" &amp; $H$24)</f>
        <v>2</v>
      </c>
      <c r="G58" s="8">
        <f t="shared" si="10"/>
        <v>0.03921568627</v>
      </c>
      <c r="O58" s="5">
        <v>2.0</v>
      </c>
      <c r="P58" s="8">
        <v>0.02247191011235955</v>
      </c>
      <c r="T58" s="5" t="s">
        <v>90</v>
      </c>
    </row>
    <row r="59">
      <c r="A59" s="5" t="str">
        <f>IFERROR(__xludf.DUMMYFUNCTION("""COMPUTED_VALUE"""),"packet (bin),other")</f>
        <v>packet (bin),other</v>
      </c>
      <c r="B59" s="5">
        <f>COUNTIF(Datasets!$J$2:$J1652, A59)</f>
        <v>3</v>
      </c>
      <c r="C59" s="8">
        <f t="shared" si="9"/>
        <v>0.03370786517</v>
      </c>
      <c r="E59" s="5" t="str">
        <f>IFERROR(__xludf.DUMMYFUNCTION("""COMPUTED_VALUE"""),"packet (bin),other")</f>
        <v>packet (bin),other</v>
      </c>
      <c r="F59" s="5">
        <f>COUNTIFS(Datasets!$J$2:$J1652, E59, Datasets!$B$2:$B1652, "&gt;=" &amp; $H$24)</f>
        <v>2</v>
      </c>
      <c r="G59" s="8">
        <f t="shared" si="10"/>
        <v>0.03921568627</v>
      </c>
      <c r="O59" s="5">
        <v>2.0</v>
      </c>
      <c r="P59" s="8">
        <v>0.02247191011235955</v>
      </c>
      <c r="T59" s="5" t="s">
        <v>91</v>
      </c>
    </row>
    <row r="60">
      <c r="A60" s="5" t="str">
        <f>IFERROR(__xludf.DUMMYFUNCTION("""COMPUTED_VALUE"""),"packet (bin),packet (txt)")</f>
        <v>packet (bin),packet (txt)</v>
      </c>
      <c r="B60" s="5">
        <f>COUNTIF(Datasets!$J$2:$J1652, A60)</f>
        <v>4</v>
      </c>
      <c r="C60" s="8">
        <f t="shared" si="9"/>
        <v>0.04494382022</v>
      </c>
      <c r="E60" s="5" t="str">
        <f>IFERROR(__xludf.DUMMYFUNCTION("""COMPUTED_VALUE"""),"packet (bin),packet (txt)")</f>
        <v>packet (bin),packet (txt)</v>
      </c>
      <c r="F60" s="5">
        <f>COUNTIFS(Datasets!$J$2:$J1652, E60, Datasets!$B$2:$B1652, "&gt;=" &amp; $H$24)</f>
        <v>3</v>
      </c>
      <c r="G60" s="8">
        <f t="shared" si="10"/>
        <v>0.05882352941</v>
      </c>
      <c r="O60" s="5">
        <v>2.0</v>
      </c>
      <c r="P60" s="8">
        <v>0.02247191011235955</v>
      </c>
      <c r="T60" s="5" t="s">
        <v>92</v>
      </c>
    </row>
    <row r="61">
      <c r="A61" s="5" t="str">
        <f>IFERROR(__xludf.DUMMYFUNCTION("""COMPUTED_VALUE"""),"packet (txt)")</f>
        <v>packet (txt)</v>
      </c>
      <c r="B61" s="5">
        <f>COUNTIF(Datasets!$J$2:$J1652, A61)</f>
        <v>3</v>
      </c>
      <c r="C61" s="8">
        <f t="shared" si="9"/>
        <v>0.03370786517</v>
      </c>
      <c r="E61" s="5" t="str">
        <f>IFERROR(__xludf.DUMMYFUNCTION("""COMPUTED_VALUE"""),"packet (txt)")</f>
        <v>packet (txt)</v>
      </c>
      <c r="F61" s="5">
        <f>COUNTIFS(Datasets!$J$2:$J1652, E61, Datasets!$B$2:$B1652, "&gt;=" &amp; $H$24)</f>
        <v>1</v>
      </c>
      <c r="G61" s="8">
        <f t="shared" si="10"/>
        <v>0.01960784314</v>
      </c>
      <c r="O61" s="5">
        <v>1.0</v>
      </c>
      <c r="P61" s="8">
        <v>0.011235955056179775</v>
      </c>
      <c r="T61" s="5" t="s">
        <v>92</v>
      </c>
    </row>
    <row r="62">
      <c r="A62" s="5"/>
      <c r="E62" s="5"/>
      <c r="O62" s="5">
        <v>1.0</v>
      </c>
      <c r="P62" s="8">
        <v>0.011235955056179775</v>
      </c>
      <c r="T62" s="5" t="s">
        <v>92</v>
      </c>
    </row>
    <row r="63">
      <c r="O63" s="5">
        <v>1.0</v>
      </c>
      <c r="P63" s="8">
        <v>0.011235955056179775</v>
      </c>
      <c r="T63" s="5" t="s">
        <v>93</v>
      </c>
    </row>
    <row r="64">
      <c r="A64" s="3"/>
      <c r="O64" s="5">
        <v>1.0</v>
      </c>
      <c r="P64" s="8">
        <v>0.011235955056179775</v>
      </c>
      <c r="T64" s="5" t="s">
        <v>94</v>
      </c>
    </row>
    <row r="65">
      <c r="A65" s="2" t="s">
        <v>95</v>
      </c>
      <c r="E65" s="3" t="s">
        <v>50</v>
      </c>
      <c r="O65" s="5">
        <v>1.0</v>
      </c>
      <c r="P65" s="8">
        <v>0.011235955056179775</v>
      </c>
      <c r="T65" s="5" t="s">
        <v>92</v>
      </c>
    </row>
    <row r="66">
      <c r="A66" s="3" t="s">
        <v>96</v>
      </c>
      <c r="B66" s="3" t="s">
        <v>11</v>
      </c>
      <c r="C66" s="3" t="s">
        <v>15</v>
      </c>
      <c r="E66" s="3" t="s">
        <v>96</v>
      </c>
      <c r="F66" s="3" t="s">
        <v>11</v>
      </c>
      <c r="G66" s="3" t="s">
        <v>15</v>
      </c>
      <c r="O66" s="5">
        <v>1.0</v>
      </c>
      <c r="P66" s="8">
        <v>0.011235955056179775</v>
      </c>
      <c r="T66" s="5" t="s">
        <v>94</v>
      </c>
    </row>
    <row r="67">
      <c r="A67" s="3" t="s">
        <v>97</v>
      </c>
      <c r="B67" s="5">
        <f>COUNTIF(Datasets!$J$2:$J1652, CONCATENATE("*",CONCATENATE(A67, "*")))</f>
        <v>48</v>
      </c>
      <c r="C67" s="8">
        <f t="shared" ref="C67:C78" si="11">B67/$H$27</f>
        <v>0.5393258427</v>
      </c>
      <c r="E67" s="3" t="s">
        <v>97</v>
      </c>
      <c r="F67" s="5">
        <f>COUNTIFS(Datasets!$J$2:$J1652, CONCATENATE("*",CONCATENATE(E67, "*")), Datasets!$B$2:$B1652, "&gt;=" &amp; $H$24)</f>
        <v>22</v>
      </c>
      <c r="G67" s="8">
        <f t="shared" ref="G67:G78" si="12">F67/$H$26</f>
        <v>0.431372549</v>
      </c>
      <c r="O67" s="5">
        <v>1.0</v>
      </c>
      <c r="P67" s="8">
        <v>0.011235955056179775</v>
      </c>
      <c r="T67" s="5" t="s">
        <v>94</v>
      </c>
    </row>
    <row r="68">
      <c r="A68" s="3" t="s">
        <v>98</v>
      </c>
      <c r="B68" s="5">
        <f>COUNTIF(Datasets!$J$2:$J1652, CONCATENATE("*",CONCATENATE(A68, "*")))</f>
        <v>45</v>
      </c>
      <c r="C68" s="8">
        <f t="shared" si="11"/>
        <v>0.5056179775</v>
      </c>
      <c r="E68" s="3" t="s">
        <v>98</v>
      </c>
      <c r="F68" s="5">
        <f>COUNTIFS(Datasets!$J$2:$J1652, CONCATENATE("*",CONCATENATE(E68, "*")), Datasets!$B$2:$B1652, "&gt;=" &amp; $H$24)</f>
        <v>21</v>
      </c>
      <c r="G68" s="8">
        <f t="shared" si="12"/>
        <v>0.4117647059</v>
      </c>
      <c r="O68" s="5">
        <v>1.0</v>
      </c>
      <c r="P68" s="8">
        <v>0.011235955056179775</v>
      </c>
      <c r="T68" s="5" t="s">
        <v>99</v>
      </c>
    </row>
    <row r="69">
      <c r="A69" s="3" t="s">
        <v>100</v>
      </c>
      <c r="B69" s="5">
        <f>COUNTIF(Datasets!$J$2:$J1652, CONCATENATE("*",CONCATENATE(A69, "*")))</f>
        <v>7</v>
      </c>
      <c r="C69" s="8">
        <f t="shared" si="11"/>
        <v>0.07865168539</v>
      </c>
      <c r="E69" s="3" t="s">
        <v>100</v>
      </c>
      <c r="F69" s="5">
        <f>COUNTIFS(Datasets!$J$2:$J1652, CONCATENATE("*",CONCATENATE(E69, "*")), Datasets!$B$2:$B1652, "&gt;=" &amp; $H$24)</f>
        <v>4</v>
      </c>
      <c r="G69" s="8">
        <f t="shared" si="12"/>
        <v>0.07843137255</v>
      </c>
      <c r="O69" s="5"/>
      <c r="P69" s="5"/>
      <c r="T69" s="5" t="s">
        <v>101</v>
      </c>
    </row>
    <row r="70">
      <c r="A70" s="3" t="s">
        <v>102</v>
      </c>
      <c r="B70" s="5">
        <f>COUNTIF(Datasets!$J$2:$J1652, CONCATENATE("*",CONCATENATE(A70, "*")))</f>
        <v>54</v>
      </c>
      <c r="C70" s="8">
        <f t="shared" si="11"/>
        <v>0.606741573</v>
      </c>
      <c r="E70" s="3" t="s">
        <v>102</v>
      </c>
      <c r="F70" s="5">
        <f>COUNTIFS(Datasets!$J$2:$J1652, CONCATENATE("*",CONCATENATE(E70, "*")), Datasets!$B$2:$B1652, "&gt;=" &amp; $H$24)</f>
        <v>39</v>
      </c>
      <c r="G70" s="8">
        <f t="shared" si="12"/>
        <v>0.7647058824</v>
      </c>
      <c r="O70" s="5"/>
      <c r="P70" s="5"/>
      <c r="T70" s="5" t="s">
        <v>103</v>
      </c>
    </row>
    <row r="71">
      <c r="A71" s="3" t="s">
        <v>104</v>
      </c>
      <c r="B71" s="5">
        <f>COUNTIF(Datasets!$J$2:$J1652, CONCATENATE("*",CONCATENATE(A71, "*")))</f>
        <v>47</v>
      </c>
      <c r="C71" s="8">
        <f t="shared" si="11"/>
        <v>0.5280898876</v>
      </c>
      <c r="E71" s="3" t="s">
        <v>104</v>
      </c>
      <c r="F71" s="5">
        <f>COUNTIFS(Datasets!$J$2:$J1652, CONCATENATE("*",CONCATENATE(E71, "*")), Datasets!$B$2:$B1652, "&gt;=" &amp; $H$24)</f>
        <v>38</v>
      </c>
      <c r="G71" s="8">
        <f t="shared" si="12"/>
        <v>0.7450980392</v>
      </c>
      <c r="O71" s="5"/>
      <c r="P71" s="5"/>
      <c r="T71" s="5" t="s">
        <v>91</v>
      </c>
    </row>
    <row r="72">
      <c r="A72" s="3" t="s">
        <v>105</v>
      </c>
      <c r="B72" s="5">
        <f>COUNTIF(Datasets!$J$2:$J1652, CONCATENATE("*",CONCATENATE(A72, "*")))</f>
        <v>8</v>
      </c>
      <c r="C72" s="8">
        <f t="shared" si="11"/>
        <v>0.08988764045</v>
      </c>
      <c r="E72" s="3" t="s">
        <v>105</v>
      </c>
      <c r="F72" s="5">
        <f>COUNTIFS(Datasets!$J$2:$J1652, CONCATENATE("*",CONCATENATE(E72, "*")), Datasets!$B$2:$B1652, "&gt;=" &amp; $H$24)</f>
        <v>1</v>
      </c>
      <c r="G72" s="8">
        <f t="shared" si="12"/>
        <v>0.01960784314</v>
      </c>
      <c r="O72" s="5"/>
      <c r="P72" s="5"/>
      <c r="T72" s="5" t="s">
        <v>92</v>
      </c>
    </row>
    <row r="73">
      <c r="A73" s="3" t="s">
        <v>106</v>
      </c>
      <c r="B73" s="5">
        <f>COUNTIF(Datasets!$J$2:$J1652, CONCATENATE("*",CONCATENATE(A73, "*")))</f>
        <v>19</v>
      </c>
      <c r="C73" s="8">
        <f t="shared" si="11"/>
        <v>0.2134831461</v>
      </c>
      <c r="E73" s="3" t="s">
        <v>106</v>
      </c>
      <c r="F73" s="5">
        <f>COUNTIFS(Datasets!$J$2:$J1652, CONCATENATE("*",CONCATENATE(E73, "*")), Datasets!$B$2:$B1652, "&gt;=" &amp; $H$24)</f>
        <v>7</v>
      </c>
      <c r="G73" s="8">
        <f t="shared" si="12"/>
        <v>0.137254902</v>
      </c>
      <c r="O73" s="5"/>
      <c r="P73" s="5"/>
      <c r="T73" s="5" t="s">
        <v>90</v>
      </c>
    </row>
    <row r="74">
      <c r="A74" s="3" t="s">
        <v>107</v>
      </c>
      <c r="B74" s="5">
        <f>COUNTIF(Datasets!$J$2:$J1652, CONCATENATE("*",CONCATENATE(A74, "*")))</f>
        <v>13</v>
      </c>
      <c r="C74" s="8">
        <f t="shared" si="11"/>
        <v>0.1460674157</v>
      </c>
      <c r="E74" s="3" t="s">
        <v>107</v>
      </c>
      <c r="F74" s="5">
        <f>COUNTIFS(Datasets!$J$2:$J1652, CONCATENATE("*",CONCATENATE(E74, "*")), Datasets!$B$2:$B1652, "&gt;=" &amp; $H$24)</f>
        <v>4</v>
      </c>
      <c r="G74" s="8">
        <f t="shared" si="12"/>
        <v>0.07843137255</v>
      </c>
      <c r="O74" s="5"/>
      <c r="P74" s="5"/>
      <c r="T74" s="5" t="s">
        <v>108</v>
      </c>
    </row>
    <row r="75">
      <c r="A75" s="3" t="s">
        <v>109</v>
      </c>
      <c r="B75" s="5">
        <f>COUNTIF(Datasets!$J$2:$J1652, CONCATENATE("*",CONCATENATE(A75, "*")))</f>
        <v>1</v>
      </c>
      <c r="C75" s="8">
        <f t="shared" si="11"/>
        <v>0.01123595506</v>
      </c>
      <c r="E75" s="3" t="s">
        <v>109</v>
      </c>
      <c r="F75" s="5">
        <f>COUNTIFS(Datasets!$J$2:$J1652, CONCATENATE("*",CONCATENATE(E75, "*")), Datasets!$B$2:$B1652, "&gt;=" &amp; $H$24)</f>
        <v>0</v>
      </c>
      <c r="G75" s="8">
        <f t="shared" si="12"/>
        <v>0</v>
      </c>
      <c r="O75" s="5"/>
      <c r="P75" s="5"/>
      <c r="T75" s="5" t="s">
        <v>92</v>
      </c>
    </row>
    <row r="76">
      <c r="A76" s="3" t="s">
        <v>110</v>
      </c>
      <c r="B76" s="5">
        <f>COUNTIF(Datasets!$J$2:$J1652, "*packet*,*flows*")</f>
        <v>20</v>
      </c>
      <c r="C76" s="8">
        <f t="shared" si="11"/>
        <v>0.2247191011</v>
      </c>
      <c r="E76" s="3" t="s">
        <v>110</v>
      </c>
      <c r="F76" s="5">
        <f>COUNTIFS(Datasets!$J$2:$J1652, "*packet*,*flows*", Datasets!$B$2:$B1652, "&gt;=" &amp; $H$24)</f>
        <v>12</v>
      </c>
      <c r="G76" s="8">
        <f t="shared" si="12"/>
        <v>0.2352941176</v>
      </c>
      <c r="O76" s="5"/>
      <c r="P76" s="5"/>
      <c r="T76" s="5" t="s">
        <v>92</v>
      </c>
    </row>
    <row r="77">
      <c r="A77" s="3" t="s">
        <v>111</v>
      </c>
      <c r="B77" s="5">
        <f>COUNTIF(Datasets!$J$2:$J1652, "*packet*,*logs*")</f>
        <v>15</v>
      </c>
      <c r="C77" s="8">
        <f t="shared" si="11"/>
        <v>0.1685393258</v>
      </c>
      <c r="E77" s="3" t="s">
        <v>111</v>
      </c>
      <c r="F77" s="5">
        <f>COUNTIFS(Datasets!$J$2:$J1652, "*packet*,*logs*", Datasets!$B$2:$B1652, "&gt;=" &amp; $H$24)</f>
        <v>6</v>
      </c>
      <c r="G77" s="8">
        <f t="shared" si="12"/>
        <v>0.1176470588</v>
      </c>
      <c r="O77" s="5"/>
      <c r="P77" s="5"/>
      <c r="T77" s="5" t="s">
        <v>112</v>
      </c>
    </row>
    <row r="78">
      <c r="A78" s="3" t="s">
        <v>113</v>
      </c>
      <c r="B78" s="5">
        <f>COUNTIF(Datasets!$J$2:$J1652, "*flows*,*logs*")</f>
        <v>10</v>
      </c>
      <c r="C78" s="8">
        <f t="shared" si="11"/>
        <v>0.1123595506</v>
      </c>
      <c r="E78" s="3" t="s">
        <v>113</v>
      </c>
      <c r="F78" s="5">
        <f>COUNTIFS(Datasets!$J$2:$J1652, "*flows*,*logs*", Datasets!$B$2:$B1652, "&gt;=" &amp; $H$24)</f>
        <v>4</v>
      </c>
      <c r="G78" s="8">
        <f t="shared" si="12"/>
        <v>0.07843137255</v>
      </c>
      <c r="O78" s="5"/>
      <c r="P78" s="5"/>
      <c r="T78" s="5" t="s">
        <v>108</v>
      </c>
    </row>
    <row r="79">
      <c r="O79" s="5"/>
      <c r="P79" s="5"/>
      <c r="T79" s="5" t="s">
        <v>93</v>
      </c>
    </row>
    <row r="80">
      <c r="O80" s="5"/>
      <c r="P80" s="5"/>
      <c r="T80" s="5" t="s">
        <v>92</v>
      </c>
    </row>
    <row r="81">
      <c r="A81" s="2" t="s">
        <v>114</v>
      </c>
      <c r="E81" s="3" t="s">
        <v>50</v>
      </c>
      <c r="O81" s="5"/>
      <c r="P81" s="5"/>
      <c r="T81" s="5" t="s">
        <v>115</v>
      </c>
    </row>
    <row r="82">
      <c r="A82" s="3" t="s">
        <v>116</v>
      </c>
      <c r="B82" s="3" t="s">
        <v>11</v>
      </c>
      <c r="C82" s="3" t="s">
        <v>15</v>
      </c>
      <c r="E82" s="3" t="s">
        <v>116</v>
      </c>
      <c r="F82" s="3" t="s">
        <v>11</v>
      </c>
      <c r="G82" s="3" t="s">
        <v>15</v>
      </c>
      <c r="O82" s="5"/>
      <c r="P82" s="5"/>
      <c r="T82" s="5" t="s">
        <v>115</v>
      </c>
    </row>
    <row r="83">
      <c r="A83" s="3" t="s">
        <v>117</v>
      </c>
      <c r="B83" s="5">
        <f>COUNTIFS(Datasets!$K$2:$K1652,"&lt;=" &amp; 16)</f>
        <v>9</v>
      </c>
      <c r="C83" s="8">
        <f t="shared" ref="C83:C87" si="13">B83/$H$27</f>
        <v>0.1011235955</v>
      </c>
      <c r="E83" s="3" t="s">
        <v>117</v>
      </c>
      <c r="F83" s="5">
        <f>COUNTIFS(Datasets!$K$2:$K1652,"&lt;=" &amp; 16, Datasets!$B$2:$B1652, "&gt;=" &amp; $H$24)</f>
        <v>2</v>
      </c>
      <c r="G83" s="8">
        <f t="shared" ref="G83:G86" si="14">F83/$H$26</f>
        <v>0.03921568627</v>
      </c>
      <c r="O83" s="5"/>
      <c r="P83" s="5"/>
      <c r="T83" s="5" t="s">
        <v>92</v>
      </c>
    </row>
    <row r="84">
      <c r="A84" s="3" t="s">
        <v>118</v>
      </c>
      <c r="B84" s="5">
        <f>COUNTIFS(Datasets!$K$2:$K1652, "&gt;" &amp; 16, Datasets!$K$2:$K1652, "&lt;=" &amp; 30)</f>
        <v>6</v>
      </c>
      <c r="C84" s="8">
        <f t="shared" si="13"/>
        <v>0.06741573034</v>
      </c>
      <c r="E84" s="3" t="s">
        <v>118</v>
      </c>
      <c r="F84" s="5">
        <f>COUNTIFS(Datasets!$K$2:$K1652, "&gt;" &amp; 16, Datasets!$K$2:$K1652, "&lt;=" &amp; 30, Datasets!$B$2:$B1652, "&gt;=" &amp; $H$24)</f>
        <v>3</v>
      </c>
      <c r="G84" s="8">
        <f t="shared" si="14"/>
        <v>0.05882352941</v>
      </c>
      <c r="O84" s="5"/>
      <c r="P84" s="5"/>
      <c r="T84" s="5" t="s">
        <v>92</v>
      </c>
    </row>
    <row r="85">
      <c r="A85" s="3" t="s">
        <v>119</v>
      </c>
      <c r="B85" s="5">
        <f>COUNTIFS(Datasets!$K$2:$K1652, "&gt;" &amp; 30, Datasets!$K$2:$K1652, "&lt;=" &amp; 50)</f>
        <v>18</v>
      </c>
      <c r="C85" s="8">
        <f t="shared" si="13"/>
        <v>0.202247191</v>
      </c>
      <c r="E85" s="3" t="s">
        <v>119</v>
      </c>
      <c r="F85" s="5">
        <f>COUNTIFS(Datasets!$K$2:$K1652, "&gt;" &amp; 30, Datasets!$K$2:$K1652, "&lt;=" &amp; 50, Datasets!$B$2:$B1652, "&gt;=" &amp; $H$24)</f>
        <v>11</v>
      </c>
      <c r="G85" s="8">
        <f t="shared" si="14"/>
        <v>0.2156862745</v>
      </c>
      <c r="O85" s="5"/>
      <c r="P85" s="5"/>
      <c r="T85" s="5" t="s">
        <v>92</v>
      </c>
    </row>
    <row r="86">
      <c r="A86" s="3" t="s">
        <v>120</v>
      </c>
      <c r="B86" s="5">
        <f>COUNTIFS(Datasets!$K$2:$K1652, "&gt;" &amp; 50)</f>
        <v>37</v>
      </c>
      <c r="C86" s="8">
        <f t="shared" si="13"/>
        <v>0.4157303371</v>
      </c>
      <c r="E86" s="3" t="s">
        <v>120</v>
      </c>
      <c r="F86" s="5">
        <f>COUNTIFS(Datasets!$K$2:$K1652, "&gt;" &amp; 50, Datasets!$B$2:$B1652, "&gt;=" &amp; $H$24)</f>
        <v>31</v>
      </c>
      <c r="G86" s="8">
        <f t="shared" si="14"/>
        <v>0.6078431373</v>
      </c>
      <c r="O86" s="5"/>
      <c r="P86" s="5"/>
      <c r="T86" s="5" t="s">
        <v>92</v>
      </c>
    </row>
    <row r="87">
      <c r="A87" s="3" t="s">
        <v>121</v>
      </c>
      <c r="B87" s="5">
        <f>COUNTIFS(Datasets!$K$2:$K1652, "&gt;=" &amp; 78, Datasets!$K$2:$K1652, "&lt;=" &amp; 90)</f>
        <v>19</v>
      </c>
      <c r="C87" s="8">
        <f t="shared" si="13"/>
        <v>0.2134831461</v>
      </c>
      <c r="E87" s="3" t="s">
        <v>121</v>
      </c>
      <c r="F87" s="5">
        <f>COUNTIFS(Datasets!$K$2:$K1652, "&gt;=" &amp; 78, Datasets!$K$2:$K1652, "&lt;=" &amp; 90, Datasets!$B$2:$B1652, "&gt;=" &amp; $H$24)</f>
        <v>16</v>
      </c>
      <c r="G87" s="8">
        <f>F87/$H$27</f>
        <v>0.1797752809</v>
      </c>
      <c r="O87" s="5"/>
      <c r="P87" s="5"/>
      <c r="T87" s="5" t="s">
        <v>122</v>
      </c>
    </row>
    <row r="88">
      <c r="O88" s="5"/>
      <c r="P88" s="5"/>
      <c r="T88" s="5" t="s">
        <v>123</v>
      </c>
    </row>
    <row r="89">
      <c r="A89" s="2" t="s">
        <v>124</v>
      </c>
      <c r="E89" s="3" t="s">
        <v>50</v>
      </c>
      <c r="O89" s="5"/>
      <c r="P89" s="5"/>
      <c r="T89" s="5" t="s">
        <v>125</v>
      </c>
    </row>
    <row r="90">
      <c r="A90" s="3" t="s">
        <v>116</v>
      </c>
      <c r="B90" s="3" t="s">
        <v>11</v>
      </c>
      <c r="C90" s="3" t="s">
        <v>15</v>
      </c>
      <c r="E90" s="3" t="s">
        <v>116</v>
      </c>
      <c r="F90" s="3" t="s">
        <v>11</v>
      </c>
      <c r="G90" s="3" t="s">
        <v>15</v>
      </c>
      <c r="O90" s="5"/>
      <c r="P90" s="5"/>
      <c r="T90" s="5" t="s">
        <v>93</v>
      </c>
    </row>
    <row r="91">
      <c r="A91" s="5" t="str">
        <f>IFERROR(__xludf.DUMMYFUNCTION("SORT(UNIQUE(Datasets!$L$2:$L1652, False, False), 1, True)"),"IPs")</f>
        <v>IPs</v>
      </c>
      <c r="B91" s="5">
        <f>COUNTIF(Datasets!$L$2:$L1652, A91)</f>
        <v>12</v>
      </c>
      <c r="C91" s="8">
        <f t="shared" ref="C91:C99" si="15">B91/$H$27</f>
        <v>0.1348314607</v>
      </c>
      <c r="E91" s="5" t="str">
        <f>IFERROR(__xludf.DUMMYFUNCTION("SORT(UNIQUE(Datasets!$L$2:$L1652, False, False), 1, True)"),"IPs")</f>
        <v>IPs</v>
      </c>
      <c r="F91" s="5">
        <f>COUNTIFS(Datasets!$L$2:$L1652, E91, Datasets!$B$2:$B1652, "&gt;=" &amp; $H$24)</f>
        <v>4</v>
      </c>
      <c r="G91" s="8">
        <f t="shared" ref="G91:G99" si="16">F91/$H$26</f>
        <v>0.07843137255</v>
      </c>
      <c r="O91" s="5"/>
      <c r="P91" s="5"/>
      <c r="T91" s="5" t="s">
        <v>94</v>
      </c>
    </row>
    <row r="92">
      <c r="A92" s="5" t="str">
        <f>IFERROR(__xludf.DUMMYFUNCTION("""COMPUTED_VALUE"""),"IPs,MACs")</f>
        <v>IPs,MACs</v>
      </c>
      <c r="B92" s="5">
        <f>COUNTIF(Datasets!$L$2:$L1652, A92)</f>
        <v>1</v>
      </c>
      <c r="C92" s="8">
        <f t="shared" si="15"/>
        <v>0.01123595506</v>
      </c>
      <c r="E92" s="5" t="str">
        <f>IFERROR(__xludf.DUMMYFUNCTION("""COMPUTED_VALUE"""),"IPs,MACs")</f>
        <v>IPs,MACs</v>
      </c>
      <c r="F92" s="5">
        <f>COUNTIFS(Datasets!$L$2:$L1652, E92, Datasets!$B$2:$B1652, "&gt;=" &amp; $H$24)</f>
        <v>0</v>
      </c>
      <c r="G92" s="8">
        <f t="shared" si="16"/>
        <v>0</v>
      </c>
      <c r="O92" s="5"/>
      <c r="P92" s="5"/>
      <c r="T92" s="5" t="s">
        <v>101</v>
      </c>
    </row>
    <row r="93">
      <c r="A93" s="5" t="str">
        <f>IFERROR(__xludf.DUMMYFUNCTION("""COMPUTED_VALUE"""),"IPs,payload")</f>
        <v>IPs,payload</v>
      </c>
      <c r="B93" s="5">
        <f>COUNTIF(Datasets!$L$2:$L1652, A93)</f>
        <v>5</v>
      </c>
      <c r="C93" s="8">
        <f t="shared" si="15"/>
        <v>0.05617977528</v>
      </c>
      <c r="E93" s="5" t="str">
        <f>IFERROR(__xludf.DUMMYFUNCTION("""COMPUTED_VALUE"""),"IPs,payload")</f>
        <v>IPs,payload</v>
      </c>
      <c r="F93" s="5">
        <f>COUNTIFS(Datasets!$L$2:$L1652, E93, Datasets!$B$2:$B1652, "&gt;=" &amp; $H$24)</f>
        <v>3</v>
      </c>
      <c r="G93" s="8">
        <f t="shared" si="16"/>
        <v>0.05882352941</v>
      </c>
      <c r="O93" s="5"/>
      <c r="P93" s="5"/>
      <c r="T93" s="5" t="s">
        <v>125</v>
      </c>
    </row>
    <row r="94">
      <c r="A94" s="5" t="str">
        <f>IFERROR(__xludf.DUMMYFUNCTION("""COMPUTED_VALUE"""),"IPs,time")</f>
        <v>IPs,time</v>
      </c>
      <c r="B94" s="5">
        <f>COUNTIF(Datasets!$L$2:$L1652, A94)</f>
        <v>2</v>
      </c>
      <c r="C94" s="8">
        <f t="shared" si="15"/>
        <v>0.02247191011</v>
      </c>
      <c r="E94" s="5" t="str">
        <f>IFERROR(__xludf.DUMMYFUNCTION("""COMPUTED_VALUE"""),"IPs,time")</f>
        <v>IPs,time</v>
      </c>
      <c r="F94" s="5">
        <f>COUNTIFS(Datasets!$L$2:$L1652, E94, Datasets!$B$2:$B1652, "&gt;=" &amp; $H$24)</f>
        <v>2</v>
      </c>
      <c r="G94" s="8">
        <f t="shared" si="16"/>
        <v>0.03921568627</v>
      </c>
      <c r="O94" s="5"/>
      <c r="P94" s="5"/>
      <c r="T94" s="5" t="s">
        <v>126</v>
      </c>
    </row>
    <row r="95">
      <c r="A95" s="5" t="str">
        <f>IFERROR(__xludf.DUMMYFUNCTION("""COMPUTED_VALUE"""),"IPs,time,names")</f>
        <v>IPs,time,names</v>
      </c>
      <c r="B95" s="5">
        <f>COUNTIF(Datasets!$L$2:$L1652, A95)</f>
        <v>2</v>
      </c>
      <c r="C95" s="8">
        <f t="shared" si="15"/>
        <v>0.02247191011</v>
      </c>
      <c r="E95" s="5" t="str">
        <f>IFERROR(__xludf.DUMMYFUNCTION("""COMPUTED_VALUE"""),"IPs,time,names")</f>
        <v>IPs,time,names</v>
      </c>
      <c r="F95" s="5">
        <f>COUNTIFS(Datasets!$L$2:$L1652, E95, Datasets!$B$2:$B1652, "&gt;=" &amp; $H$24)</f>
        <v>0</v>
      </c>
      <c r="G95" s="8">
        <f t="shared" si="16"/>
        <v>0</v>
      </c>
      <c r="O95" s="5"/>
      <c r="P95" s="5"/>
      <c r="T95" s="5" t="s">
        <v>126</v>
      </c>
    </row>
    <row r="96">
      <c r="A96" s="5" t="str">
        <f>IFERROR(__xludf.DUMMYFUNCTION("""COMPUTED_VALUE"""),"n.s.")</f>
        <v>n.s.</v>
      </c>
      <c r="B96" s="5">
        <f>COUNTIF(Datasets!$L$2:$L1652, A96)</f>
        <v>3</v>
      </c>
      <c r="C96" s="8">
        <f t="shared" si="15"/>
        <v>0.03370786517</v>
      </c>
      <c r="E96" s="5" t="str">
        <f>IFERROR(__xludf.DUMMYFUNCTION("""COMPUTED_VALUE"""),"n.s.")</f>
        <v>n.s.</v>
      </c>
      <c r="F96" s="5">
        <f>COUNTIFS(Datasets!$L$2:$L1652, E96, Datasets!$B$2:$B1652, "&gt;=" &amp; $H$24)</f>
        <v>3</v>
      </c>
      <c r="G96" s="8">
        <f t="shared" si="16"/>
        <v>0.05882352941</v>
      </c>
      <c r="O96" s="5"/>
      <c r="P96" s="5"/>
      <c r="T96" s="5" t="s">
        <v>125</v>
      </c>
    </row>
    <row r="97">
      <c r="A97" s="5" t="str">
        <f>IFERROR(__xludf.DUMMYFUNCTION("""COMPUTED_VALUE"""),"no")</f>
        <v>no</v>
      </c>
      <c r="B97" s="5">
        <f>COUNTIF(Datasets!$L$2:$L1652, A97)</f>
        <v>62</v>
      </c>
      <c r="C97" s="8">
        <f t="shared" si="15"/>
        <v>0.6966292135</v>
      </c>
      <c r="E97" s="5" t="str">
        <f>IFERROR(__xludf.DUMMYFUNCTION("""COMPUTED_VALUE"""),"no")</f>
        <v>no</v>
      </c>
      <c r="F97" s="5">
        <f>COUNTIFS(Datasets!$L$2:$L1652, E97, Datasets!$B$2:$B1652, "&gt;=" &amp; $H$24)</f>
        <v>39</v>
      </c>
      <c r="G97" s="8">
        <f t="shared" si="16"/>
        <v>0.7647058824</v>
      </c>
      <c r="O97" s="5"/>
      <c r="P97" s="5"/>
      <c r="T97" s="5" t="s">
        <v>125</v>
      </c>
    </row>
    <row r="98">
      <c r="A98" s="5" t="str">
        <f>IFERROR(__xludf.DUMMYFUNCTION("""COMPUTED_VALUE"""),"payload")</f>
        <v>payload</v>
      </c>
      <c r="B98" s="5">
        <f>COUNTIF(Datasets!$L$2:$L1652, A98)</f>
        <v>1</v>
      </c>
      <c r="C98" s="8">
        <f t="shared" si="15"/>
        <v>0.01123595506</v>
      </c>
      <c r="E98" s="5" t="str">
        <f>IFERROR(__xludf.DUMMYFUNCTION("""COMPUTED_VALUE"""),"payload")</f>
        <v>payload</v>
      </c>
      <c r="F98" s="5">
        <f>COUNTIFS(Datasets!$L$2:$L1652, E98, Datasets!$B$2:$B1652, "&gt;=" &amp; $H$24)</f>
        <v>0</v>
      </c>
      <c r="G98" s="8">
        <f t="shared" si="16"/>
        <v>0</v>
      </c>
      <c r="O98" s="5"/>
      <c r="P98" s="5"/>
      <c r="T98" s="5" t="s">
        <v>92</v>
      </c>
    </row>
    <row r="99">
      <c r="A99" s="5" t="str">
        <f>IFERROR(__xludf.DUMMYFUNCTION("""COMPUTED_VALUE"""),"yes")</f>
        <v>yes</v>
      </c>
      <c r="B99" s="5">
        <f>COUNTIF(Datasets!$L$2:$L1652, A99)</f>
        <v>1</v>
      </c>
      <c r="C99" s="8">
        <f t="shared" si="15"/>
        <v>0.01123595506</v>
      </c>
      <c r="E99" s="5" t="str">
        <f>IFERROR(__xludf.DUMMYFUNCTION("""COMPUTED_VALUE"""),"yes")</f>
        <v>yes</v>
      </c>
      <c r="F99" s="5">
        <f>COUNTIFS(Datasets!$L$2:$L1652, E99, Datasets!$B$2:$B1652, "&gt;=" &amp; $H$24)</f>
        <v>0</v>
      </c>
      <c r="G99" s="8">
        <f t="shared" si="16"/>
        <v>0</v>
      </c>
      <c r="O99" s="5"/>
      <c r="P99" s="5"/>
      <c r="T99" s="5" t="s">
        <v>92</v>
      </c>
    </row>
    <row r="100">
      <c r="A100" s="5"/>
      <c r="E100" s="5"/>
      <c r="O100" s="5"/>
      <c r="P100" s="5"/>
      <c r="T100" s="5" t="s">
        <v>92</v>
      </c>
    </row>
    <row r="101">
      <c r="A101" s="2" t="s">
        <v>127</v>
      </c>
      <c r="O101" s="5"/>
      <c r="P101" s="5"/>
      <c r="T101" s="5" t="s">
        <v>125</v>
      </c>
    </row>
    <row r="102">
      <c r="A102" s="5" t="str">
        <f>IFERROR(__xludf.DUMMYFUNCTION("QUERY(Datasets!A:U, ""Select B, avg(M), avg(N), avg(O) group by B"")"),"Year Publ.")</f>
        <v>Year Publ.</v>
      </c>
      <c r="B102" s="5" t="str">
        <f>IFERROR(__xludf.DUMMYFUNCTION("""COMPUTED_VALUE"""),"avg Size packet")</f>
        <v>avg Size packet</v>
      </c>
      <c r="C102" s="5" t="str">
        <f>IFERROR(__xludf.DUMMYFUNCTION("""COMPUTED_VALUE"""),"avg Size flow/nethost recs")</f>
        <v>avg Size flow/nethost recs</v>
      </c>
      <c r="D102" s="5" t="str">
        <f>IFERROR(__xludf.DUMMYFUNCTION("""COMPUTED_VALUE"""),"avg Duration (h)")</f>
        <v>avg Duration (h)</v>
      </c>
      <c r="O102" s="5"/>
      <c r="P102" s="5"/>
      <c r="T102" s="5" t="s">
        <v>125</v>
      </c>
    </row>
    <row r="103">
      <c r="A103" s="5"/>
      <c r="B103" s="5"/>
      <c r="C103" s="5"/>
      <c r="D103" s="5"/>
      <c r="O103" s="5"/>
      <c r="P103" s="5"/>
      <c r="T103" s="5" t="s">
        <v>125</v>
      </c>
    </row>
    <row r="104">
      <c r="A104" s="5">
        <f>IFERROR(__xludf.DUMMYFUNCTION("""COMPUTED_VALUE"""),1999.0)</f>
        <v>1999</v>
      </c>
      <c r="B104" s="5"/>
      <c r="C104" s="5">
        <f>IFERROR(__xludf.DUMMYFUNCTION("""COMPUTED_VALUE"""),5211000.0)</f>
        <v>5211000</v>
      </c>
      <c r="D104" s="5">
        <f>IFERROR(__xludf.DUMMYFUNCTION("""COMPUTED_VALUE"""),1080.0)</f>
        <v>1080</v>
      </c>
      <c r="O104" s="5"/>
      <c r="P104" s="5"/>
      <c r="T104" s="5" t="s">
        <v>125</v>
      </c>
    </row>
    <row r="105">
      <c r="A105" s="5">
        <f>IFERROR(__xludf.DUMMYFUNCTION("""COMPUTED_VALUE"""),2000.0)</f>
        <v>2000</v>
      </c>
      <c r="B105" s="5">
        <f>IFERROR(__xludf.DUMMYFUNCTION("""COMPUTED_VALUE"""),5.405E7)</f>
        <v>54050000</v>
      </c>
      <c r="C105" s="5"/>
      <c r="D105" s="5">
        <f>IFERROR(__xludf.DUMMYFUNCTION("""COMPUTED_VALUE"""),1080.0)</f>
        <v>1080</v>
      </c>
      <c r="O105" s="5"/>
      <c r="P105" s="5"/>
      <c r="T105" s="5" t="s">
        <v>128</v>
      </c>
    </row>
    <row r="106">
      <c r="A106" s="5">
        <f>IFERROR(__xludf.DUMMYFUNCTION("""COMPUTED_VALUE"""),2001.0)</f>
        <v>2001</v>
      </c>
      <c r="B106" s="5">
        <f>IFERROR(__xludf.DUMMYFUNCTION("""COMPUTED_VALUE"""),1629000.0)</f>
        <v>1629000</v>
      </c>
      <c r="C106" s="5"/>
      <c r="D106" s="5">
        <f>IFERROR(__xludf.DUMMYFUNCTION("""COMPUTED_VALUE"""),5.0)</f>
        <v>5</v>
      </c>
      <c r="O106" s="5"/>
      <c r="P106" s="5"/>
      <c r="T106" s="5" t="s">
        <v>93</v>
      </c>
    </row>
    <row r="107">
      <c r="A107" s="5">
        <f>IFERROR(__xludf.DUMMYFUNCTION("""COMPUTED_VALUE"""),2008.0)</f>
        <v>2008</v>
      </c>
      <c r="B107" s="5"/>
      <c r="C107" s="5">
        <f>IFERROR(__xludf.DUMMYFUNCTION("""COMPUTED_VALUE"""),1788000.0)</f>
        <v>1788000</v>
      </c>
      <c r="D107" s="5">
        <f>IFERROR(__xludf.DUMMYFUNCTION("""COMPUTED_VALUE"""),1080.0)</f>
        <v>1080</v>
      </c>
      <c r="O107" s="5"/>
      <c r="P107" s="5"/>
      <c r="T107" s="5" t="s">
        <v>125</v>
      </c>
    </row>
    <row r="108">
      <c r="A108" s="5">
        <f>IFERROR(__xludf.DUMMYFUNCTION("""COMPUTED_VALUE"""),2009.0)</f>
        <v>2009</v>
      </c>
      <c r="B108" s="5">
        <f>IFERROR(__xludf.DUMMYFUNCTION("""COMPUTED_VALUE"""),1.93E7)</f>
        <v>19300000</v>
      </c>
      <c r="C108" s="5">
        <f>IFERROR(__xludf.DUMMYFUNCTION("""COMPUTED_VALUE"""),148500.0)</f>
        <v>148500</v>
      </c>
      <c r="D108" s="5">
        <f>IFERROR(__xludf.DUMMYFUNCTION("""COMPUTED_VALUE"""),422.0)</f>
        <v>422</v>
      </c>
      <c r="O108" s="5"/>
      <c r="P108" s="5"/>
      <c r="T108" s="5" t="s">
        <v>93</v>
      </c>
    </row>
    <row r="109">
      <c r="A109" s="5">
        <f>IFERROR(__xludf.DUMMYFUNCTION("""COMPUTED_VALUE"""),2010.0)</f>
        <v>2010</v>
      </c>
      <c r="B109" s="5">
        <f>IFERROR(__xludf.DUMMYFUNCTION("""COMPUTED_VALUE"""),4.6E7)</f>
        <v>46000000</v>
      </c>
      <c r="C109" s="5"/>
      <c r="D109" s="5">
        <f>IFERROR(__xludf.DUMMYFUNCTION("""COMPUTED_VALUE"""),1.1)</f>
        <v>1.1</v>
      </c>
      <c r="O109" s="5"/>
      <c r="P109" s="5"/>
      <c r="T109" s="5" t="s">
        <v>92</v>
      </c>
    </row>
    <row r="110">
      <c r="A110" s="5">
        <f>IFERROR(__xludf.DUMMYFUNCTION("""COMPUTED_VALUE"""),2011.0)</f>
        <v>2011</v>
      </c>
      <c r="B110" s="5">
        <f>IFERROR(__xludf.DUMMYFUNCTION("""COMPUTED_VALUE"""),5.09E8)</f>
        <v>509000000</v>
      </c>
      <c r="C110" s="5">
        <f>IFERROR(__xludf.DUMMYFUNCTION("""COMPUTED_VALUE"""),4.1335E8)</f>
        <v>413350000</v>
      </c>
      <c r="D110" s="5">
        <f>IFERROR(__xludf.DUMMYFUNCTION("""COMPUTED_VALUE"""),40211.5)</f>
        <v>40211.5</v>
      </c>
      <c r="O110" s="5"/>
      <c r="P110" s="5"/>
      <c r="T110" s="5" t="s">
        <v>129</v>
      </c>
    </row>
    <row r="111">
      <c r="A111" s="5">
        <f>IFERROR(__xludf.DUMMYFUNCTION("""COMPUTED_VALUE"""),2012.0)</f>
        <v>2012</v>
      </c>
      <c r="B111" s="5">
        <f>IFERROR(__xludf.DUMMYFUNCTION("""COMPUTED_VALUE"""),1.2E8)</f>
        <v>120000000</v>
      </c>
      <c r="C111" s="5">
        <f>IFERROR(__xludf.DUMMYFUNCTION("""COMPUTED_VALUE"""),2500000.0)</f>
        <v>2500000</v>
      </c>
      <c r="D111" s="5">
        <f>IFERROR(__xludf.DUMMYFUNCTION("""COMPUTED_VALUE"""),168.0)</f>
        <v>168</v>
      </c>
      <c r="O111" s="5"/>
      <c r="P111" s="5"/>
      <c r="T111" s="5" t="s">
        <v>128</v>
      </c>
    </row>
    <row r="112">
      <c r="A112" s="5">
        <f>IFERROR(__xludf.DUMMYFUNCTION("""COMPUTED_VALUE"""),2014.0)</f>
        <v>2014</v>
      </c>
      <c r="B112" s="5">
        <f>IFERROR(__xludf.DUMMYFUNCTION("""COMPUTED_VALUE"""),1.45E7)</f>
        <v>14500000</v>
      </c>
      <c r="C112" s="5">
        <f>IFERROR(__xludf.DUMMYFUNCTION("""COMPUTED_VALUE"""),3.6087E8)</f>
        <v>360870000</v>
      </c>
      <c r="D112" s="5">
        <f>IFERROR(__xludf.DUMMYFUNCTION("""COMPUTED_VALUE"""),1440.0)</f>
        <v>1440</v>
      </c>
      <c r="O112" s="5"/>
      <c r="P112" s="5"/>
      <c r="T112" s="5" t="s">
        <v>130</v>
      </c>
    </row>
    <row r="113">
      <c r="A113" s="5">
        <f>IFERROR(__xludf.DUMMYFUNCTION("""COMPUTED_VALUE"""),2015.0)</f>
        <v>2015</v>
      </c>
      <c r="B113" s="5">
        <f>IFERROR(__xludf.DUMMYFUNCTION("""COMPUTED_VALUE"""),1.533E8)</f>
        <v>153300000</v>
      </c>
      <c r="C113" s="5">
        <f>IFERROR(__xludf.DUMMYFUNCTION("""COMPUTED_VALUE"""),2540000.0)</f>
        <v>2540000</v>
      </c>
      <c r="D113" s="5">
        <f>IFERROR(__xludf.DUMMYFUNCTION("""COMPUTED_VALUE"""),39.5)</f>
        <v>39.5</v>
      </c>
      <c r="O113" s="5"/>
      <c r="P113" s="5"/>
      <c r="T113" s="5" t="s">
        <v>91</v>
      </c>
    </row>
    <row r="114">
      <c r="A114" s="5">
        <f>IFERROR(__xludf.DUMMYFUNCTION("""COMPUTED_VALUE"""),2016.0)</f>
        <v>2016</v>
      </c>
      <c r="B114" s="5">
        <f>IFERROR(__xludf.DUMMYFUNCTION("""COMPUTED_VALUE"""),2.2265E7)</f>
        <v>22265000</v>
      </c>
      <c r="C114" s="5">
        <f>IFERROR(__xludf.DUMMYFUNCTION("""COMPUTED_VALUE"""),1.3E8)</f>
        <v>130000000</v>
      </c>
      <c r="D114" s="5">
        <f>IFERROR(__xludf.DUMMYFUNCTION("""COMPUTED_VALUE"""),402.0)</f>
        <v>402</v>
      </c>
      <c r="O114" s="5"/>
      <c r="P114" s="5"/>
      <c r="T114" s="5" t="s">
        <v>131</v>
      </c>
    </row>
    <row r="115">
      <c r="A115" s="5">
        <f>IFERROR(__xludf.DUMMYFUNCTION("""COMPUTED_VALUE"""),2017.0)</f>
        <v>2017</v>
      </c>
      <c r="B115" s="5">
        <f>IFERROR(__xludf.DUMMYFUNCTION("""COMPUTED_VALUE"""),1.21215E8)</f>
        <v>121215000</v>
      </c>
      <c r="C115" s="5">
        <f>IFERROR(__xludf.DUMMYFUNCTION("""COMPUTED_VALUE"""),2.41E7)</f>
        <v>24100000</v>
      </c>
      <c r="D115" s="5">
        <f>IFERROR(__xludf.DUMMYFUNCTION("""COMPUTED_VALUE"""),412.3633333333334)</f>
        <v>412.3633333</v>
      </c>
      <c r="O115" s="5"/>
      <c r="P115" s="5"/>
      <c r="T115" s="5" t="s">
        <v>92</v>
      </c>
    </row>
    <row r="116">
      <c r="A116" s="5">
        <f>IFERROR(__xludf.DUMMYFUNCTION("""COMPUTED_VALUE"""),2018.0)</f>
        <v>2018</v>
      </c>
      <c r="B116" s="5">
        <f>IFERROR(__xludf.DUMMYFUNCTION("""COMPUTED_VALUE"""),1.6008333333333334E7)</f>
        <v>16008333.33</v>
      </c>
      <c r="C116" s="5">
        <f>IFERROR(__xludf.DUMMYFUNCTION("""COMPUTED_VALUE"""),6.960804E9)</f>
        <v>6960804000</v>
      </c>
      <c r="D116" s="5">
        <f>IFERROR(__xludf.DUMMYFUNCTION("""COMPUTED_VALUE"""),832.25)</f>
        <v>832.25</v>
      </c>
      <c r="O116" s="5"/>
      <c r="P116" s="5"/>
      <c r="T116" s="5" t="s">
        <v>103</v>
      </c>
    </row>
    <row r="117">
      <c r="A117" s="5">
        <f>IFERROR(__xludf.DUMMYFUNCTION("""COMPUTED_VALUE"""),2019.0)</f>
        <v>2019</v>
      </c>
      <c r="B117" s="5">
        <f>IFERROR(__xludf.DUMMYFUNCTION("""COMPUTED_VALUE"""),2.882633333333333E8)</f>
        <v>288263333.3</v>
      </c>
      <c r="C117" s="5">
        <f>IFERROR(__xludf.DUMMYFUNCTION("""COMPUTED_VALUE"""),7.185E7)</f>
        <v>71850000</v>
      </c>
      <c r="D117" s="5">
        <f>IFERROR(__xludf.DUMMYFUNCTION("""COMPUTED_VALUE"""),165.67333333333332)</f>
        <v>165.6733333</v>
      </c>
      <c r="O117" s="5"/>
      <c r="P117" s="5"/>
      <c r="T117" s="5" t="s">
        <v>125</v>
      </c>
    </row>
    <row r="118">
      <c r="A118" s="5">
        <f>IFERROR(__xludf.DUMMYFUNCTION("""COMPUTED_VALUE"""),2020.0)</f>
        <v>2020</v>
      </c>
      <c r="B118" s="5">
        <f>IFERROR(__xludf.DUMMYFUNCTION("""COMPUTED_VALUE"""),1.7286857142857143E8)</f>
        <v>172868571.4</v>
      </c>
      <c r="C118" s="5">
        <f>IFERROR(__xludf.DUMMYFUNCTION("""COMPUTED_VALUE"""),4.35768596E7)</f>
        <v>43576859.6</v>
      </c>
      <c r="D118" s="5">
        <f>IFERROR(__xludf.DUMMYFUNCTION("""COMPUTED_VALUE"""),797.7338461538461)</f>
        <v>797.7338462</v>
      </c>
      <c r="O118" s="5"/>
      <c r="P118" s="5"/>
      <c r="T118" s="5" t="s">
        <v>92</v>
      </c>
    </row>
    <row r="119">
      <c r="A119" s="5">
        <f>IFERROR(__xludf.DUMMYFUNCTION("""COMPUTED_VALUE"""),2021.0)</f>
        <v>2021</v>
      </c>
      <c r="B119" s="5">
        <f>IFERROR(__xludf.DUMMYFUNCTION("""COMPUTED_VALUE"""),1.4866E7)</f>
        <v>14866000</v>
      </c>
      <c r="C119" s="5">
        <f>IFERROR(__xludf.DUMMYFUNCTION("""COMPUTED_VALUE"""),1.3371055555555556E7)</f>
        <v>13371055.56</v>
      </c>
      <c r="D119" s="5">
        <f>IFERROR(__xludf.DUMMYFUNCTION("""COMPUTED_VALUE"""),191.28727272727272)</f>
        <v>191.2872727</v>
      </c>
      <c r="O119" s="5"/>
      <c r="P119" s="5"/>
      <c r="T119" s="5" t="s">
        <v>125</v>
      </c>
    </row>
    <row r="120">
      <c r="A120" s="5">
        <f>IFERROR(__xludf.DUMMYFUNCTION("""COMPUTED_VALUE"""),2022.0)</f>
        <v>2022</v>
      </c>
      <c r="B120" s="5">
        <f>IFERROR(__xludf.DUMMYFUNCTION("""COMPUTED_VALUE"""),6.3633333333333336E7)</f>
        <v>63633333.33</v>
      </c>
      <c r="C120" s="5">
        <f>IFERROR(__xludf.DUMMYFUNCTION("""COMPUTED_VALUE"""),1.5765766666666666E7)</f>
        <v>15765766.67</v>
      </c>
      <c r="D120" s="5">
        <f>IFERROR(__xludf.DUMMYFUNCTION("""COMPUTED_VALUE"""),343.0185714285714)</f>
        <v>343.0185714</v>
      </c>
      <c r="O120" s="5"/>
      <c r="P120" s="5"/>
      <c r="T120" s="5" t="s">
        <v>92</v>
      </c>
    </row>
    <row r="121">
      <c r="A121" s="5">
        <f>IFERROR(__xludf.DUMMYFUNCTION("""COMPUTED_VALUE"""),2023.0)</f>
        <v>2023</v>
      </c>
      <c r="B121" s="5">
        <f>IFERROR(__xludf.DUMMYFUNCTION("""COMPUTED_VALUE"""),6.495777777777778E8)</f>
        <v>649577777.8</v>
      </c>
      <c r="C121" s="5">
        <f>IFERROR(__xludf.DUMMYFUNCTION("""COMPUTED_VALUE"""),8194630.769230769)</f>
        <v>8194630.769</v>
      </c>
      <c r="D121" s="5">
        <f>IFERROR(__xludf.DUMMYFUNCTION("""COMPUTED_VALUE"""),1149.9083333333333)</f>
        <v>1149.908333</v>
      </c>
      <c r="O121" s="5"/>
      <c r="P121" s="5"/>
      <c r="T121" s="5" t="s">
        <v>132</v>
      </c>
    </row>
    <row r="122">
      <c r="O122" s="5"/>
      <c r="P122" s="5"/>
      <c r="T122" s="5" t="s">
        <v>92</v>
      </c>
    </row>
    <row r="123">
      <c r="O123" s="5"/>
      <c r="P123" s="5"/>
      <c r="T123" s="5" t="s">
        <v>115</v>
      </c>
    </row>
    <row r="124">
      <c r="A124" s="3" t="s">
        <v>133</v>
      </c>
      <c r="O124" s="5"/>
      <c r="P124" s="5"/>
      <c r="T124" s="5" t="s">
        <v>92</v>
      </c>
    </row>
    <row r="125">
      <c r="A125" s="3" t="s">
        <v>134</v>
      </c>
      <c r="O125" s="5"/>
      <c r="P125" s="5"/>
      <c r="T125" s="5" t="s">
        <v>125</v>
      </c>
    </row>
    <row r="126">
      <c r="O126" s="5"/>
      <c r="P126" s="5"/>
      <c r="T126" s="5" t="s">
        <v>93</v>
      </c>
    </row>
    <row r="127">
      <c r="A127" s="3" t="s">
        <v>135</v>
      </c>
      <c r="O127" s="5"/>
      <c r="P127" s="5"/>
      <c r="T127" s="5" t="s">
        <v>94</v>
      </c>
    </row>
    <row r="128">
      <c r="O128" s="5"/>
      <c r="P128" s="5"/>
      <c r="T128" s="5" t="s">
        <v>92</v>
      </c>
    </row>
    <row r="129">
      <c r="O129" s="5"/>
      <c r="P129" s="5"/>
      <c r="T129" s="5" t="s">
        <v>92</v>
      </c>
    </row>
    <row r="130">
      <c r="O130" s="5"/>
      <c r="P130" s="5"/>
      <c r="T130" s="5" t="s">
        <v>136</v>
      </c>
    </row>
    <row r="131">
      <c r="O131" s="5"/>
      <c r="P131" s="5"/>
      <c r="T131" s="5" t="s">
        <v>92</v>
      </c>
    </row>
    <row r="132">
      <c r="O132" s="5"/>
      <c r="P132" s="5"/>
      <c r="T132" s="5" t="s">
        <v>93</v>
      </c>
    </row>
    <row r="133">
      <c r="O133" s="5"/>
      <c r="P133" s="5"/>
      <c r="T133" s="5" t="s">
        <v>129</v>
      </c>
    </row>
    <row r="134">
      <c r="O134" s="5"/>
      <c r="P134" s="5"/>
      <c r="T134" s="5" t="s">
        <v>137</v>
      </c>
    </row>
    <row r="135">
      <c r="O135" s="5"/>
      <c r="P135" s="5"/>
      <c r="T135" s="5" t="s">
        <v>92</v>
      </c>
    </row>
    <row r="136">
      <c r="O136" s="5"/>
      <c r="P136" s="5"/>
      <c r="T136" s="5" t="s">
        <v>108</v>
      </c>
    </row>
    <row r="137">
      <c r="O137" s="5"/>
      <c r="P137" s="5"/>
      <c r="T137" s="5" t="s">
        <v>112</v>
      </c>
    </row>
    <row r="138">
      <c r="O138" s="5"/>
      <c r="P138" s="5"/>
      <c r="T138" s="5" t="s">
        <v>136</v>
      </c>
    </row>
    <row r="139">
      <c r="O139" s="5"/>
      <c r="P139" s="5"/>
      <c r="T139" s="5" t="s">
        <v>136</v>
      </c>
    </row>
    <row r="140">
      <c r="A140" s="2" t="s">
        <v>138</v>
      </c>
      <c r="E140" s="3" t="s">
        <v>139</v>
      </c>
      <c r="O140" s="5"/>
      <c r="P140" s="5"/>
      <c r="T140" s="5" t="s">
        <v>140</v>
      </c>
    </row>
    <row r="141">
      <c r="A141" s="3" t="s">
        <v>141</v>
      </c>
      <c r="B141" s="3" t="s">
        <v>11</v>
      </c>
      <c r="C141" s="3" t="s">
        <v>15</v>
      </c>
      <c r="E141" s="3" t="s">
        <v>141</v>
      </c>
      <c r="F141" s="3" t="s">
        <v>11</v>
      </c>
      <c r="G141" s="3" t="s">
        <v>15</v>
      </c>
      <c r="O141" s="5"/>
      <c r="P141" s="5"/>
      <c r="T141" s="5" t="s">
        <v>140</v>
      </c>
    </row>
    <row r="142">
      <c r="A142" s="5" t="str">
        <f>IFERROR(__xludf.DUMMYFUNCTION("SORT(UNIQUE(Datasets!$P$2:$P1652), 1, True)"),"contiguous")</f>
        <v>contiguous</v>
      </c>
      <c r="B142" s="5">
        <f>COUNTIF(Datasets!$P$2:$P1652, A142)</f>
        <v>29</v>
      </c>
      <c r="C142" s="8">
        <f t="shared" ref="C142:C145" si="17">B142/$H$27</f>
        <v>0.3258426966</v>
      </c>
      <c r="E142" s="5" t="str">
        <f>IFERROR(__xludf.DUMMYFUNCTION("SORT(UNIQUE(Datasets!$P$2:$P1652), 1, True)"),"contiguous")</f>
        <v>contiguous</v>
      </c>
      <c r="F142" s="5">
        <f>COUNTIFS(Datasets!$P$2:$P1652, E142, Datasets!$B$2:$B1652, "&gt;=" &amp; $H$24)</f>
        <v>13</v>
      </c>
      <c r="G142" s="8">
        <f t="shared" ref="G142:G145" si="18">F142/$H$26</f>
        <v>0.2549019608</v>
      </c>
      <c r="O142" s="5"/>
      <c r="P142" s="5"/>
      <c r="T142" s="5" t="s">
        <v>140</v>
      </c>
    </row>
    <row r="143">
      <c r="A143" s="5" t="str">
        <f>IFERROR(__xludf.DUMMYFUNCTION("""COMPUTED_VALUE"""),"discontiguous")</f>
        <v>discontiguous</v>
      </c>
      <c r="B143" s="5">
        <f>COUNTIF(Datasets!$P$2:$P1652, A143)</f>
        <v>33</v>
      </c>
      <c r="C143" s="8">
        <f t="shared" si="17"/>
        <v>0.3707865169</v>
      </c>
      <c r="E143" s="5" t="str">
        <f>IFERROR(__xludf.DUMMYFUNCTION("""COMPUTED_VALUE"""),"discontiguous")</f>
        <v>discontiguous</v>
      </c>
      <c r="F143" s="5">
        <f>COUNTIFS(Datasets!$P$2:$P1652, E143, Datasets!$B$2:$B1652, "&gt;=" &amp; $H$24)</f>
        <v>24</v>
      </c>
      <c r="G143" s="8">
        <f t="shared" si="18"/>
        <v>0.4705882353</v>
      </c>
      <c r="K143" s="2" t="s">
        <v>142</v>
      </c>
      <c r="O143" s="5"/>
      <c r="P143" s="5"/>
      <c r="T143" s="5" t="s">
        <v>140</v>
      </c>
    </row>
    <row r="144">
      <c r="A144" s="5" t="str">
        <f>IFERROR(__xludf.DUMMYFUNCTION("""COMPUTED_VALUE"""),"n.s.")</f>
        <v>n.s.</v>
      </c>
      <c r="B144" s="5">
        <f>COUNTIF(Datasets!$P$2:$P1652, A144)</f>
        <v>11</v>
      </c>
      <c r="C144" s="8">
        <f t="shared" si="17"/>
        <v>0.1235955056</v>
      </c>
      <c r="E144" s="5" t="str">
        <f>IFERROR(__xludf.DUMMYFUNCTION("""COMPUTED_VALUE"""),"n.s.")</f>
        <v>n.s.</v>
      </c>
      <c r="F144" s="5">
        <f>COUNTIFS(Datasets!$P$2:$P1652, E144, Datasets!$B$2:$B1652, "&gt;=" &amp; $H$24)</f>
        <v>7</v>
      </c>
      <c r="G144" s="8">
        <f t="shared" si="18"/>
        <v>0.137254902</v>
      </c>
      <c r="K144" s="3" t="s">
        <v>143</v>
      </c>
      <c r="L144" s="3" t="s">
        <v>144</v>
      </c>
      <c r="M144" s="3" t="s">
        <v>15</v>
      </c>
      <c r="O144" s="5"/>
      <c r="P144" s="5"/>
      <c r="T144" s="5" t="s">
        <v>140</v>
      </c>
    </row>
    <row r="145">
      <c r="A145" s="5" t="str">
        <f>IFERROR(__xludf.DUMMYFUNCTION("""COMPUTED_VALUE"""),"periodic")</f>
        <v>periodic</v>
      </c>
      <c r="B145" s="5">
        <f>COUNTIF(Datasets!$P$2:$P1652, A145)</f>
        <v>16</v>
      </c>
      <c r="C145" s="8">
        <f t="shared" si="17"/>
        <v>0.1797752809</v>
      </c>
      <c r="E145" s="5" t="str">
        <f>IFERROR(__xludf.DUMMYFUNCTION("""COMPUTED_VALUE"""),"periodic")</f>
        <v>periodic</v>
      </c>
      <c r="F145" s="5">
        <f>COUNTIFS(Datasets!$P$2:$P1652, E145, Datasets!$B$2:$B1652, "&gt;=" &amp; $H$24)</f>
        <v>7</v>
      </c>
      <c r="G145" s="8">
        <f t="shared" si="18"/>
        <v>0.137254902</v>
      </c>
      <c r="K145" s="5" t="str">
        <f>IFERROR(__xludf.DUMMYFUNCTION("UNIQUE(T51:T151)"),"large military")</f>
        <v>large military</v>
      </c>
      <c r="L145" s="5">
        <f t="shared" ref="L145:L168" si="19">COUNTIF($T$51:$T$150, K145:K168)</f>
        <v>6</v>
      </c>
      <c r="M145" s="8">
        <f t="shared" ref="M145:M168" si="20">L145/$H$27</f>
        <v>0.06741573034</v>
      </c>
      <c r="O145" s="10"/>
      <c r="P145" s="5"/>
      <c r="T145" s="5" t="s">
        <v>140</v>
      </c>
    </row>
    <row r="146">
      <c r="A146" s="5"/>
      <c r="E146" s="5"/>
      <c r="G146" s="8"/>
      <c r="K146" s="5" t="str">
        <f>IFERROR(__xludf.DUMMYFUNCTION("""COMPUTED_VALUE"""),"large internet backbone")</f>
        <v>large internet backbone</v>
      </c>
      <c r="L146" s="5">
        <f t="shared" si="19"/>
        <v>1</v>
      </c>
      <c r="M146" s="8">
        <f t="shared" si="20"/>
        <v>0.01123595506</v>
      </c>
      <c r="O146" s="10"/>
      <c r="P146" s="5"/>
      <c r="T146" s="5" t="s">
        <v>140</v>
      </c>
    </row>
    <row r="147">
      <c r="A147" s="2" t="s">
        <v>145</v>
      </c>
      <c r="E147" s="3" t="s">
        <v>139</v>
      </c>
      <c r="G147" s="8"/>
      <c r="K147" s="5" t="str">
        <f>IFERROR(__xludf.DUMMYFUNCTION("""COMPUTED_VALUE"""),"n/a n/a")</f>
        <v>n/a n/a</v>
      </c>
      <c r="L147" s="5">
        <f t="shared" si="19"/>
        <v>2</v>
      </c>
      <c r="M147" s="8">
        <f t="shared" si="20"/>
        <v>0.02247191011</v>
      </c>
      <c r="O147" s="10"/>
      <c r="P147" s="5"/>
      <c r="T147" s="5" t="s">
        <v>140</v>
      </c>
    </row>
    <row r="148">
      <c r="A148" s="3" t="s">
        <v>146</v>
      </c>
      <c r="B148" s="3" t="s">
        <v>11</v>
      </c>
      <c r="C148" s="3" t="s">
        <v>15</v>
      </c>
      <c r="E148" s="3" t="s">
        <v>146</v>
      </c>
      <c r="F148" s="3" t="s">
        <v>11</v>
      </c>
      <c r="G148" s="8" t="s">
        <v>15</v>
      </c>
      <c r="K148" s="5" t="str">
        <f>IFERROR(__xludf.DUMMYFUNCTION("""COMPUTED_VALUE"""),"honeypot honeypot")</f>
        <v>honeypot honeypot</v>
      </c>
      <c r="L148" s="5">
        <f t="shared" si="19"/>
        <v>3</v>
      </c>
      <c r="M148" s="8">
        <f t="shared" si="20"/>
        <v>0.03370786517</v>
      </c>
      <c r="O148" s="10"/>
      <c r="P148" s="5"/>
      <c r="T148" s="5" t="s">
        <v>140</v>
      </c>
    </row>
    <row r="149">
      <c r="A149" s="5" t="str">
        <f>IFERROR(__xludf.DUMMYFUNCTION("SORT(UNIQUE(Datasets!$Q$2:$Q1652), 1, True)"),"honeypot")</f>
        <v>honeypot</v>
      </c>
      <c r="B149" s="5">
        <f>COUNTIF(Datasets!$Q$2:$Q1652, A149)</f>
        <v>3</v>
      </c>
      <c r="C149" s="8">
        <f t="shared" ref="C149:C154" si="21">B149/$H$27</f>
        <v>0.03370786517</v>
      </c>
      <c r="E149" s="5" t="str">
        <f>IFERROR(__xludf.DUMMYFUNCTION("SORT(UNIQUE(Datasets!$Q$2:$Q1652), 1, True)"),"honeypot")</f>
        <v>honeypot</v>
      </c>
      <c r="F149" s="5">
        <f>COUNTIFS(Datasets!$Q$2:$Q1652, E149, Datasets!$B$2:$B1652, "&gt;=" &amp; $H$24)</f>
        <v>1</v>
      </c>
      <c r="G149" s="8">
        <f t="shared" ref="G149:G154" si="22">F149/$H$26</f>
        <v>0.01960784314</v>
      </c>
      <c r="K149" s="5" t="str">
        <f>IFERROR(__xludf.DUMMYFUNCTION("""COMPUTED_VALUE"""),"small n/a")</f>
        <v>small n/a</v>
      </c>
      <c r="L149" s="5">
        <f t="shared" si="19"/>
        <v>25</v>
      </c>
      <c r="M149" s="8">
        <f t="shared" si="20"/>
        <v>0.2808988764</v>
      </c>
      <c r="O149" s="10"/>
      <c r="P149" s="5"/>
      <c r="T149" s="5" t="s">
        <v>140</v>
      </c>
    </row>
    <row r="150">
      <c r="A150" s="5" t="str">
        <f>IFERROR(__xludf.DUMMYFUNCTION("""COMPUTED_VALUE"""),"large")</f>
        <v>large</v>
      </c>
      <c r="B150" s="5">
        <f>COUNTIF(Datasets!$Q$2:$Q1652, A150)</f>
        <v>22</v>
      </c>
      <c r="C150" s="8">
        <f t="shared" si="21"/>
        <v>0.2471910112</v>
      </c>
      <c r="E150" s="5" t="str">
        <f>IFERROR(__xludf.DUMMYFUNCTION("""COMPUTED_VALUE"""),"large")</f>
        <v>large</v>
      </c>
      <c r="F150" s="5">
        <f>COUNTIFS(Datasets!$Q$2:$Q1652, E150, Datasets!$B$2:$B1652, "&gt;=" &amp; $H$24)</f>
        <v>8</v>
      </c>
      <c r="G150" s="8">
        <f t="shared" si="22"/>
        <v>0.1568627451</v>
      </c>
      <c r="K150" s="5" t="str">
        <f>IFERROR(__xludf.DUMMYFUNCTION("""COMPUTED_VALUE"""),"large academic")</f>
        <v>large academic</v>
      </c>
      <c r="L150" s="5">
        <f t="shared" si="19"/>
        <v>7</v>
      </c>
      <c r="M150" s="8">
        <f t="shared" si="20"/>
        <v>0.07865168539</v>
      </c>
      <c r="O150" s="10"/>
      <c r="P150" s="5"/>
      <c r="T150" s="5" t="s">
        <v>140</v>
      </c>
    </row>
    <row r="151">
      <c r="A151" s="5" t="str">
        <f>IFERROR(__xludf.DUMMYFUNCTION("""COMPUTED_VALUE"""),"medium")</f>
        <v>medium</v>
      </c>
      <c r="B151" s="5">
        <f>COUNTIF(Datasets!$Q$2:$Q1652, A151)</f>
        <v>3</v>
      </c>
      <c r="C151" s="8">
        <f t="shared" si="21"/>
        <v>0.03370786517</v>
      </c>
      <c r="E151" s="5" t="str">
        <f>IFERROR(__xludf.DUMMYFUNCTION("""COMPUTED_VALUE"""),"medium")</f>
        <v>medium</v>
      </c>
      <c r="F151" s="5">
        <f>COUNTIFS(Datasets!$Q$2:$Q1652, E151, Datasets!$B$2:$B1652, "&gt;=" &amp; $H$24)</f>
        <v>2</v>
      </c>
      <c r="G151" s="8">
        <f t="shared" si="22"/>
        <v>0.03921568627</v>
      </c>
      <c r="K151" s="5" t="str">
        <f>IFERROR(__xludf.DUMMYFUNCTION("""COMPUTED_VALUE"""),"mixed mixed")</f>
        <v>mixed mixed</v>
      </c>
      <c r="L151" s="5">
        <f t="shared" si="19"/>
        <v>5</v>
      </c>
      <c r="M151" s="8">
        <f t="shared" si="20"/>
        <v>0.05617977528</v>
      </c>
      <c r="O151" s="10"/>
      <c r="P151" s="5"/>
      <c r="T151" s="5" t="s">
        <v>140</v>
      </c>
    </row>
    <row r="152">
      <c r="A152" s="5" t="str">
        <f>IFERROR(__xludf.DUMMYFUNCTION("""COMPUTED_VALUE"""),"mixed")</f>
        <v>mixed</v>
      </c>
      <c r="B152" s="5">
        <f>COUNTIF(Datasets!$Q$2:$Q1652, A152)</f>
        <v>5</v>
      </c>
      <c r="C152" s="8">
        <f t="shared" si="21"/>
        <v>0.05617977528</v>
      </c>
      <c r="E152" s="5" t="str">
        <f>IFERROR(__xludf.DUMMYFUNCTION("""COMPUTED_VALUE"""),"mixed")</f>
        <v>mixed</v>
      </c>
      <c r="F152" s="5">
        <f>COUNTIFS(Datasets!$Q$2:$Q1652, E152, Datasets!$B$2:$B1652, "&gt;=" &amp; $H$24)</f>
        <v>3</v>
      </c>
      <c r="G152" s="8">
        <f t="shared" si="22"/>
        <v>0.05882352941</v>
      </c>
      <c r="K152" s="5" t="str">
        <f>IFERROR(__xludf.DUMMYFUNCTION("""COMPUTED_VALUE"""),"large academic honeypot")</f>
        <v>large academic honeypot</v>
      </c>
      <c r="L152" s="5">
        <f t="shared" si="19"/>
        <v>1</v>
      </c>
      <c r="M152" s="8">
        <f t="shared" si="20"/>
        <v>0.01123595506</v>
      </c>
      <c r="O152" s="10"/>
      <c r="P152" s="5"/>
      <c r="T152" s="5" t="s">
        <v>140</v>
      </c>
    </row>
    <row r="153">
      <c r="A153" s="11" t="str">
        <f>IFERROR(__xludf.DUMMYFUNCTION("""COMPUTED_VALUE"""),"n/a")</f>
        <v>n/a</v>
      </c>
      <c r="B153" s="5">
        <f>COUNTIF(Datasets!$Q$2:$Q1652, A153)</f>
        <v>2</v>
      </c>
      <c r="C153" s="8">
        <f t="shared" si="21"/>
        <v>0.02247191011</v>
      </c>
      <c r="E153" s="11" t="str">
        <f>IFERROR(__xludf.DUMMYFUNCTION("""COMPUTED_VALUE"""),"n/a")</f>
        <v>n/a</v>
      </c>
      <c r="F153" s="5">
        <f>COUNTIFS(Datasets!$Q$2:$Q1652, E153, Datasets!$B$2:$B1652, "&gt;=" &amp; $H$24)</f>
        <v>0</v>
      </c>
      <c r="G153" s="8">
        <f t="shared" si="22"/>
        <v>0</v>
      </c>
      <c r="K153" s="5" t="str">
        <f>IFERROR(__xludf.DUMMYFUNCTION("""COMPUTED_VALUE"""),"small academic")</f>
        <v>small academic</v>
      </c>
      <c r="L153" s="5">
        <f t="shared" si="19"/>
        <v>2</v>
      </c>
      <c r="M153" s="8">
        <f t="shared" si="20"/>
        <v>0.02247191011</v>
      </c>
      <c r="O153" s="10"/>
      <c r="P153" s="5"/>
      <c r="T153" s="5" t="s">
        <v>140</v>
      </c>
    </row>
    <row r="154">
      <c r="A154" s="5" t="str">
        <f>IFERROR(__xludf.DUMMYFUNCTION("""COMPUTED_VALUE"""),"small")</f>
        <v>small</v>
      </c>
      <c r="B154" s="5">
        <f>COUNTIF(Datasets!$Q$2:$Q1652, A154)</f>
        <v>54</v>
      </c>
      <c r="C154" s="8">
        <f t="shared" si="21"/>
        <v>0.606741573</v>
      </c>
      <c r="E154" s="5" t="str">
        <f>IFERROR(__xludf.DUMMYFUNCTION("""COMPUTED_VALUE"""),"small")</f>
        <v>small</v>
      </c>
      <c r="F154" s="5">
        <f>COUNTIFS(Datasets!$Q$2:$Q1652, E154, Datasets!$B$2:$B1652, "&gt;=" &amp; $H$24)</f>
        <v>37</v>
      </c>
      <c r="G154" s="8">
        <f t="shared" si="22"/>
        <v>0.7254901961</v>
      </c>
      <c r="K154" s="5" t="str">
        <f>IFERROR(__xludf.DUMMYFUNCTION("""COMPUTED_VALUE"""),"small wireless")</f>
        <v>small wireless</v>
      </c>
      <c r="L154" s="5">
        <f t="shared" si="19"/>
        <v>2</v>
      </c>
      <c r="M154" s="8">
        <f t="shared" si="20"/>
        <v>0.02247191011</v>
      </c>
      <c r="O154" s="10"/>
      <c r="P154" s="5"/>
      <c r="T154" s="5" t="s">
        <v>140</v>
      </c>
    </row>
    <row r="155">
      <c r="A155" s="5"/>
      <c r="E155" s="5"/>
      <c r="G155" s="8"/>
      <c r="K155" s="5" t="str">
        <f>IFERROR(__xludf.DUMMYFUNCTION("""COMPUTED_VALUE"""),"large enterprise")</f>
        <v>large enterprise</v>
      </c>
      <c r="L155" s="5">
        <f t="shared" si="19"/>
        <v>3</v>
      </c>
      <c r="M155" s="8">
        <f t="shared" si="20"/>
        <v>0.03370786517</v>
      </c>
      <c r="O155" s="10"/>
      <c r="P155" s="5"/>
      <c r="T155" s="5" t="s">
        <v>140</v>
      </c>
    </row>
    <row r="156">
      <c r="G156" s="8"/>
      <c r="K156" s="5" t="str">
        <f>IFERROR(__xludf.DUMMYFUNCTION("""COMPUTED_VALUE"""),"large ISP")</f>
        <v>large ISP</v>
      </c>
      <c r="L156" s="5">
        <f t="shared" si="19"/>
        <v>2</v>
      </c>
      <c r="M156" s="8">
        <f t="shared" si="20"/>
        <v>0.02247191011</v>
      </c>
      <c r="O156" s="10"/>
      <c r="P156" s="5"/>
      <c r="T156" s="5" t="s">
        <v>140</v>
      </c>
    </row>
    <row r="157">
      <c r="A157" s="2" t="s">
        <v>147</v>
      </c>
      <c r="F157" s="3" t="s">
        <v>139</v>
      </c>
      <c r="H157" s="8"/>
      <c r="K157" s="5" t="str">
        <f>IFERROR(__xludf.DUMMYFUNCTION("""COMPUTED_VALUE"""),"small enterprise")</f>
        <v>small enterprise</v>
      </c>
      <c r="L157" s="5">
        <f t="shared" si="19"/>
        <v>3</v>
      </c>
      <c r="M157" s="8">
        <f t="shared" si="20"/>
        <v>0.03370786517</v>
      </c>
      <c r="O157" s="10"/>
      <c r="P157" s="5"/>
      <c r="T157" s="5" t="s">
        <v>140</v>
      </c>
    </row>
    <row r="158">
      <c r="A158" s="3" t="s">
        <v>146</v>
      </c>
      <c r="B158" s="3" t="s">
        <v>11</v>
      </c>
      <c r="C158" s="3" t="s">
        <v>15</v>
      </c>
      <c r="D158" s="3" t="s">
        <v>148</v>
      </c>
      <c r="F158" s="3" t="s">
        <v>146</v>
      </c>
      <c r="G158" s="3" t="s">
        <v>11</v>
      </c>
      <c r="H158" s="8" t="s">
        <v>15</v>
      </c>
      <c r="K158" s="5" t="str">
        <f>IFERROR(__xludf.DUMMYFUNCTION("""COMPUTED_VALUE"""),"medium n/a")</f>
        <v>medium n/a</v>
      </c>
      <c r="L158" s="5">
        <f t="shared" si="19"/>
        <v>1</v>
      </c>
      <c r="M158" s="8">
        <f t="shared" si="20"/>
        <v>0.01123595506</v>
      </c>
      <c r="O158" s="10"/>
      <c r="P158" s="5"/>
      <c r="T158" s="5" t="s">
        <v>140</v>
      </c>
    </row>
    <row r="159">
      <c r="A159" s="5" t="str">
        <f>IFERROR(__xludf.DUMMYFUNCTION("SORT(UNIQUE(Datasets!$R$2:$R1652), 1, True)"),"academic")</f>
        <v>academic</v>
      </c>
      <c r="B159" s="5">
        <f>COUNTIF(Datasets!$R$2:$R1652, A159)</f>
        <v>9</v>
      </c>
      <c r="C159" s="8">
        <f t="shared" ref="C159:C176" si="23">B159/$H$27</f>
        <v>0.1011235955</v>
      </c>
      <c r="D159" s="5">
        <f t="array" ref="D159">COUNTIFS({Datasets!$R$2:$R1652, Datasets!$AA$2:$AA1652}, A159, {Datasets!$F$2:$F1652, Datasets!$G$2:$G1652}, "*real*")</f>
        <v>9</v>
      </c>
      <c r="F159" s="5" t="str">
        <f>IFERROR(__xludf.DUMMYFUNCTION("SORT(UNIQUE(Datasets!$R$2:$R1652), 1, True)"),"academic")</f>
        <v>academic</v>
      </c>
      <c r="G159" s="5">
        <f>COUNTIFS(Datasets!$R$2:$R1652, F159, Datasets!$B$2:$B1652, "&gt;=" &amp; $H$24)</f>
        <v>7</v>
      </c>
      <c r="H159" s="8">
        <f t="shared" ref="H159:H176" si="24">G159/$H$26</f>
        <v>0.137254902</v>
      </c>
      <c r="K159" s="5" t="str">
        <f>IFERROR(__xludf.DUMMYFUNCTION("""COMPUTED_VALUE"""),"medium enterprise cloud")</f>
        <v>medium enterprise cloud</v>
      </c>
      <c r="L159" s="5">
        <f t="shared" si="19"/>
        <v>1</v>
      </c>
      <c r="M159" s="8">
        <f t="shared" si="20"/>
        <v>0.01123595506</v>
      </c>
      <c r="O159" s="10"/>
      <c r="P159" s="5"/>
      <c r="T159" s="5" t="s">
        <v>140</v>
      </c>
    </row>
    <row r="160">
      <c r="A160" s="5" t="str">
        <f>IFERROR(__xludf.DUMMYFUNCTION("""COMPUTED_VALUE"""),"academic honeypot")</f>
        <v>academic honeypot</v>
      </c>
      <c r="B160" s="5">
        <f>COUNTIF(Datasets!$R$2:$R1652, A160)</f>
        <v>1</v>
      </c>
      <c r="C160" s="8">
        <f t="shared" si="23"/>
        <v>0.01123595506</v>
      </c>
      <c r="D160" s="5">
        <f t="array" ref="D160">COUNTIFS({Datasets!$R$2:$R1652, Datasets!$AA$2:$AA1652}, A160, {Datasets!$F$2:$F1652, Datasets!$G$2:$G1652}, "*real*")</f>
        <v>1</v>
      </c>
      <c r="F160" s="5" t="str">
        <f>IFERROR(__xludf.DUMMYFUNCTION("""COMPUTED_VALUE"""),"academic honeypot")</f>
        <v>academic honeypot</v>
      </c>
      <c r="G160" s="5">
        <f>COUNTIFS(Datasets!$R$2:$R1652, F160, Datasets!$B$2:$B1652, "&gt;=" &amp; $H$24)</f>
        <v>0</v>
      </c>
      <c r="H160" s="8">
        <f t="shared" si="24"/>
        <v>0</v>
      </c>
      <c r="K160" s="5" t="str">
        <f>IFERROR(__xludf.DUMMYFUNCTION("""COMPUTED_VALUE"""),"small IoT")</f>
        <v>small IoT</v>
      </c>
      <c r="L160" s="5">
        <f t="shared" si="19"/>
        <v>12</v>
      </c>
      <c r="M160" s="8">
        <f t="shared" si="20"/>
        <v>0.1348314607</v>
      </c>
      <c r="O160" s="10"/>
      <c r="P160" s="5"/>
      <c r="T160" s="5" t="s">
        <v>140</v>
      </c>
    </row>
    <row r="161">
      <c r="A161" s="5" t="str">
        <f>IFERROR(__xludf.DUMMYFUNCTION("""COMPUTED_VALUE"""),"enterprise")</f>
        <v>enterprise</v>
      </c>
      <c r="B161" s="5">
        <f>COUNTIF(Datasets!$R$2:$R1652, A161)</f>
        <v>6</v>
      </c>
      <c r="C161" s="8">
        <f t="shared" si="23"/>
        <v>0.06741573034</v>
      </c>
      <c r="D161" s="5">
        <f t="array" ref="D161">COUNTIFS({Datasets!$R$2:$R1652, Datasets!$AA$2:$AA1652}, A161, {Datasets!$F$2:$F1652, Datasets!$G$2:$G1652}, "*real*")</f>
        <v>4</v>
      </c>
      <c r="F161" s="5" t="str">
        <f>IFERROR(__xludf.DUMMYFUNCTION("""COMPUTED_VALUE"""),"enterprise")</f>
        <v>enterprise</v>
      </c>
      <c r="G161" s="5">
        <f>COUNTIFS(Datasets!$R$2:$R1652, F161, Datasets!$B$2:$B1652, "&gt;=" &amp; $H$24)</f>
        <v>2</v>
      </c>
      <c r="H161" s="8">
        <f t="shared" si="24"/>
        <v>0.03921568627</v>
      </c>
      <c r="K161" s="5" t="str">
        <f>IFERROR(__xludf.DUMMYFUNCTION("""COMPUTED_VALUE"""),"large n/a")</f>
        <v>large n/a</v>
      </c>
      <c r="L161" s="5">
        <f t="shared" si="19"/>
        <v>2</v>
      </c>
      <c r="M161" s="8">
        <f t="shared" si="20"/>
        <v>0.02247191011</v>
      </c>
      <c r="O161" s="10"/>
      <c r="P161" s="5"/>
      <c r="T161" s="5" t="s">
        <v>140</v>
      </c>
    </row>
    <row r="162">
      <c r="A162" s="5" t="str">
        <f>IFERROR(__xludf.DUMMYFUNCTION("""COMPUTED_VALUE"""),"enterprise cloud")</f>
        <v>enterprise cloud</v>
      </c>
      <c r="B162" s="5">
        <f>COUNTIF(Datasets!$R$2:$R1652, A162)</f>
        <v>1</v>
      </c>
      <c r="C162" s="8">
        <f t="shared" si="23"/>
        <v>0.01123595506</v>
      </c>
      <c r="D162" s="5">
        <f t="array" ref="D162">COUNTIFS({Datasets!$R$2:$R1652, Datasets!$AA$2:$AA1652}, A162, {Datasets!$F$2:$F1652, Datasets!$G$2:$G1652}, "*real*")</f>
        <v>1</v>
      </c>
      <c r="F162" s="5" t="str">
        <f>IFERROR(__xludf.DUMMYFUNCTION("""COMPUTED_VALUE"""),"enterprise cloud")</f>
        <v>enterprise cloud</v>
      </c>
      <c r="G162" s="5">
        <f>COUNTIFS(Datasets!$R$2:$R1652, F162, Datasets!$B$2:$B1652, "&gt;=" &amp; $H$24)</f>
        <v>1</v>
      </c>
      <c r="H162" s="8">
        <f t="shared" si="24"/>
        <v>0.01960784314</v>
      </c>
      <c r="K162" s="5" t="str">
        <f>IFERROR(__xludf.DUMMYFUNCTION("""COMPUTED_VALUE"""),"small IIoT")</f>
        <v>small IIoT</v>
      </c>
      <c r="L162" s="5">
        <f t="shared" si="19"/>
        <v>2</v>
      </c>
      <c r="M162" s="8">
        <f t="shared" si="20"/>
        <v>0.02247191011</v>
      </c>
      <c r="O162" s="10"/>
      <c r="P162" s="5"/>
      <c r="T162" s="5" t="s">
        <v>140</v>
      </c>
    </row>
    <row r="163">
      <c r="A163" s="5" t="str">
        <f>IFERROR(__xludf.DUMMYFUNCTION("""COMPUTED_VALUE"""),"honeypot")</f>
        <v>honeypot</v>
      </c>
      <c r="B163" s="5">
        <f>COUNTIF(Datasets!$R$2:$R1652, A163)</f>
        <v>3</v>
      </c>
      <c r="C163" s="8">
        <f t="shared" si="23"/>
        <v>0.03370786517</v>
      </c>
      <c r="D163" s="5">
        <f t="array" ref="D163">COUNTIFS({Datasets!$R$2:$R1652, Datasets!$AA$2:$AA1652}, A163, {Datasets!$F$2:$F1652, Datasets!$G$2:$G1652}, "*real*")</f>
        <v>2</v>
      </c>
      <c r="F163" s="5" t="str">
        <f>IFERROR(__xludf.DUMMYFUNCTION("""COMPUTED_VALUE"""),"honeypot")</f>
        <v>honeypot</v>
      </c>
      <c r="G163" s="5">
        <f>COUNTIFS(Datasets!$R$2:$R1652, F163, Datasets!$B$2:$B1652, "&gt;=" &amp; $H$24)</f>
        <v>1</v>
      </c>
      <c r="H163" s="8">
        <f t="shared" si="24"/>
        <v>0.01960784314</v>
      </c>
      <c r="K163" s="5" t="str">
        <f>IFERROR(__xludf.DUMMYFUNCTION("""COMPUTED_VALUE"""),"small SDN")</f>
        <v>small SDN</v>
      </c>
      <c r="L163" s="5">
        <f t="shared" si="19"/>
        <v>2</v>
      </c>
      <c r="M163" s="8">
        <f t="shared" si="20"/>
        <v>0.02247191011</v>
      </c>
      <c r="O163" s="10"/>
      <c r="P163" s="5"/>
      <c r="T163" s="5" t="s">
        <v>140</v>
      </c>
    </row>
    <row r="164">
      <c r="A164" s="5" t="str">
        <f>IFERROR(__xludf.DUMMYFUNCTION("""COMPUTED_VALUE"""),"IIoT")</f>
        <v>IIoT</v>
      </c>
      <c r="B164" s="5">
        <f>COUNTIF(Datasets!$R$2:$R1652, A164)</f>
        <v>2</v>
      </c>
      <c r="C164" s="8">
        <f t="shared" si="23"/>
        <v>0.02247191011</v>
      </c>
      <c r="D164" s="5">
        <f t="array" ref="D164">COUNTIFS({Datasets!$R$2:$R1652, Datasets!$AA$2:$AA1652}, A164, {Datasets!$F$2:$F1652, Datasets!$G$2:$G1652}, "*real*")</f>
        <v>0</v>
      </c>
      <c r="F164" s="5" t="str">
        <f>IFERROR(__xludf.DUMMYFUNCTION("""COMPUTED_VALUE"""),"IIoT")</f>
        <v>IIoT</v>
      </c>
      <c r="G164" s="5">
        <f>COUNTIFS(Datasets!$R$2:$R1652, F164, Datasets!$B$2:$B1652, "&gt;=" &amp; $H$24)</f>
        <v>2</v>
      </c>
      <c r="H164" s="8">
        <f t="shared" si="24"/>
        <v>0.03921568627</v>
      </c>
      <c r="K164" s="5" t="str">
        <f>IFERROR(__xludf.DUMMYFUNCTION("""COMPUTED_VALUE"""),"small SDN IoT")</f>
        <v>small SDN IoT</v>
      </c>
      <c r="L164" s="5">
        <f t="shared" si="19"/>
        <v>1</v>
      </c>
      <c r="M164" s="8">
        <f t="shared" si="20"/>
        <v>0.01123595506</v>
      </c>
      <c r="O164" s="10"/>
      <c r="P164" s="5"/>
      <c r="T164" s="5" t="s">
        <v>140</v>
      </c>
    </row>
    <row r="165">
      <c r="A165" s="5" t="str">
        <f>IFERROR(__xludf.DUMMYFUNCTION("""COMPUTED_VALUE"""),"industrial")</f>
        <v>industrial</v>
      </c>
      <c r="B165" s="5">
        <f>COUNTIF(Datasets!$R$2:$R1652, A165)</f>
        <v>3</v>
      </c>
      <c r="C165" s="8">
        <f t="shared" si="23"/>
        <v>0.03370786517</v>
      </c>
      <c r="D165" s="5">
        <f t="array" ref="D165">COUNTIFS({Datasets!$R$2:$R1652, Datasets!$AA$2:$AA1652}, A165, {Datasets!$F$2:$F1652, Datasets!$G$2:$G1652}, "*real*")</f>
        <v>0</v>
      </c>
      <c r="F165" s="5" t="str">
        <f>IFERROR(__xludf.DUMMYFUNCTION("""COMPUTED_VALUE"""),"industrial")</f>
        <v>industrial</v>
      </c>
      <c r="G165" s="5">
        <f>COUNTIFS(Datasets!$R$2:$R1652, F165, Datasets!$B$2:$B1652, "&gt;=" &amp; $H$24)</f>
        <v>3</v>
      </c>
      <c r="H165" s="8">
        <f t="shared" si="24"/>
        <v>0.05882352941</v>
      </c>
      <c r="K165" s="5" t="str">
        <f>IFERROR(__xludf.DUMMYFUNCTION("""COMPUTED_VALUE"""),"small VoIP")</f>
        <v>small VoIP</v>
      </c>
      <c r="L165" s="5">
        <f t="shared" si="19"/>
        <v>1</v>
      </c>
      <c r="M165" s="8">
        <f t="shared" si="20"/>
        <v>0.01123595506</v>
      </c>
      <c r="O165" s="10"/>
      <c r="P165" s="5"/>
      <c r="T165" s="5" t="s">
        <v>140</v>
      </c>
    </row>
    <row r="166">
      <c r="A166" s="5" t="str">
        <f>IFERROR(__xludf.DUMMYFUNCTION("""COMPUTED_VALUE"""),"internet backbone")</f>
        <v>internet backbone</v>
      </c>
      <c r="B166" s="5">
        <f>COUNTIF(Datasets!$R$2:$R1652, A166)</f>
        <v>1</v>
      </c>
      <c r="C166" s="8">
        <f t="shared" si="23"/>
        <v>0.01123595506</v>
      </c>
      <c r="D166" s="5">
        <f t="array" ref="D166">COUNTIFS({Datasets!$R$2:$R1652, Datasets!$AA$2:$AA1652}, A166, {Datasets!$F$2:$F1652, Datasets!$G$2:$G1652}, "*real*")</f>
        <v>1</v>
      </c>
      <c r="F166" s="5" t="str">
        <f>IFERROR(__xludf.DUMMYFUNCTION("""COMPUTED_VALUE"""),"internet backbone")</f>
        <v>internet backbone</v>
      </c>
      <c r="G166" s="5">
        <f>COUNTIFS(Datasets!$R$2:$R1652, F166, Datasets!$B$2:$B1652, "&gt;=" &amp; $H$24)</f>
        <v>0</v>
      </c>
      <c r="H166" s="8">
        <f t="shared" si="24"/>
        <v>0</v>
      </c>
      <c r="K166" s="5" t="str">
        <f>IFERROR(__xludf.DUMMYFUNCTION("""COMPUTED_VALUE"""),"small P2P")</f>
        <v>small P2P</v>
      </c>
      <c r="L166" s="5">
        <f t="shared" si="19"/>
        <v>1</v>
      </c>
      <c r="M166" s="8">
        <f t="shared" si="20"/>
        <v>0.01123595506</v>
      </c>
      <c r="O166" s="10"/>
      <c r="P166" s="5"/>
      <c r="T166" s="5" t="s">
        <v>140</v>
      </c>
    </row>
    <row r="167">
      <c r="A167" s="5" t="str">
        <f>IFERROR(__xludf.DUMMYFUNCTION("""COMPUTED_VALUE"""),"IoT")</f>
        <v>IoT</v>
      </c>
      <c r="B167" s="5">
        <f>COUNTIF(Datasets!$R$2:$R1652, A167)</f>
        <v>13</v>
      </c>
      <c r="C167" s="8">
        <f t="shared" si="23"/>
        <v>0.1460674157</v>
      </c>
      <c r="D167" s="5">
        <f t="array" ref="D167">COUNTIFS({Datasets!$R$2:$R1652, Datasets!$AA$2:$AA1652}, A167, {Datasets!$F$2:$F1652, Datasets!$G$2:$G1652}, "*real*")</f>
        <v>1</v>
      </c>
      <c r="F167" s="5" t="str">
        <f>IFERROR(__xludf.DUMMYFUNCTION("""COMPUTED_VALUE"""),"IoT")</f>
        <v>IoT</v>
      </c>
      <c r="G167" s="5">
        <f>COUNTIFS(Datasets!$R$2:$R1652, F167, Datasets!$B$2:$B1652, "&gt;=" &amp; $H$24)</f>
        <v>9</v>
      </c>
      <c r="H167" s="8">
        <f t="shared" si="24"/>
        <v>0.1764705882</v>
      </c>
      <c r="K167" s="5" t="str">
        <f>IFERROR(__xludf.DUMMYFUNCTION("""COMPUTED_VALUE"""),"small industrial")</f>
        <v>small industrial</v>
      </c>
      <c r="L167" s="5">
        <f t="shared" si="19"/>
        <v>3</v>
      </c>
      <c r="M167" s="8">
        <f t="shared" si="20"/>
        <v>0.03370786517</v>
      </c>
      <c r="O167" s="10"/>
      <c r="P167" s="5"/>
      <c r="T167" s="5" t="s">
        <v>140</v>
      </c>
    </row>
    <row r="168">
      <c r="A168" s="5" t="str">
        <f>IFERROR(__xludf.DUMMYFUNCTION("""COMPUTED_VALUE"""),"ISP")</f>
        <v>ISP</v>
      </c>
      <c r="B168" s="5">
        <f>COUNTIF(Datasets!$R$2:$R1652, A168)</f>
        <v>2</v>
      </c>
      <c r="C168" s="8">
        <f t="shared" si="23"/>
        <v>0.02247191011</v>
      </c>
      <c r="D168" s="5">
        <f t="array" ref="D168">COUNTIFS({Datasets!$R$2:$R1652, Datasets!$AA$2:$AA1652}, A168, {Datasets!$F$2:$F1652, Datasets!$G$2:$G1652}, "*real*")</f>
        <v>1</v>
      </c>
      <c r="F168" s="5" t="str">
        <f>IFERROR(__xludf.DUMMYFUNCTION("""COMPUTED_VALUE"""),"ISP")</f>
        <v>ISP</v>
      </c>
      <c r="G168" s="5">
        <f>COUNTIFS(Datasets!$R$2:$R1652, F168, Datasets!$B$2:$B1652, "&gt;=" &amp; $H$24)</f>
        <v>1</v>
      </c>
      <c r="H168" s="8">
        <f t="shared" si="24"/>
        <v>0.01960784314</v>
      </c>
      <c r="K168" s="5" t="str">
        <f>IFERROR(__xludf.DUMMYFUNCTION("""COMPUTED_VALUE"""),"medium IoT")</f>
        <v>medium IoT</v>
      </c>
      <c r="L168" s="5">
        <f t="shared" si="19"/>
        <v>1</v>
      </c>
      <c r="M168" s="8">
        <f t="shared" si="20"/>
        <v>0.01123595506</v>
      </c>
      <c r="O168" s="10"/>
      <c r="P168" s="5"/>
      <c r="T168" s="5" t="s">
        <v>140</v>
      </c>
    </row>
    <row r="169">
      <c r="A169" s="5" t="str">
        <f>IFERROR(__xludf.DUMMYFUNCTION("""COMPUTED_VALUE"""),"military")</f>
        <v>military</v>
      </c>
      <c r="B169" s="5">
        <f>COUNTIF(Datasets!$R$2:$R1652, A169)</f>
        <v>6</v>
      </c>
      <c r="C169" s="8">
        <f t="shared" si="23"/>
        <v>0.06741573034</v>
      </c>
      <c r="D169" s="5">
        <f t="array" ref="D169">COUNTIFS({Datasets!$R$2:$R1652, Datasets!$AA$2:$AA1652}, A169, {Datasets!$F$2:$F1652, Datasets!$G$2:$G1652}, "*real*")</f>
        <v>0</v>
      </c>
      <c r="F169" s="5" t="str">
        <f>IFERROR(__xludf.DUMMYFUNCTION("""COMPUTED_VALUE"""),"military")</f>
        <v>military</v>
      </c>
      <c r="G169" s="5">
        <f>COUNTIFS(Datasets!$R$2:$R1652, F169, Datasets!$B$2:$B1652, "&gt;=" &amp; $H$24)</f>
        <v>0</v>
      </c>
      <c r="H169" s="8">
        <f t="shared" si="24"/>
        <v>0</v>
      </c>
      <c r="K169" s="5" t="str">
        <f>IFERROR(__xludf.DUMMYFUNCTION("""COMPUTED_VALUE""")," ")</f>
        <v> </v>
      </c>
      <c r="O169" s="5"/>
      <c r="P169" s="5"/>
      <c r="T169" s="5" t="s">
        <v>140</v>
      </c>
    </row>
    <row r="170">
      <c r="A170" s="5" t="str">
        <f>IFERROR(__xludf.DUMMYFUNCTION("""COMPUTED_VALUE"""),"mixed")</f>
        <v>mixed</v>
      </c>
      <c r="B170" s="5">
        <f>COUNTIF(Datasets!$R$2:$R1652, A170)</f>
        <v>5</v>
      </c>
      <c r="C170" s="8">
        <f t="shared" si="23"/>
        <v>0.05617977528</v>
      </c>
      <c r="D170" s="5">
        <f t="array" ref="D170">COUNTIFS({Datasets!$R$2:$R1652, Datasets!$AA$2:$AA1652}, A170, {Datasets!$F$2:$F1652, Datasets!$G$2:$G1652}, "*real*")</f>
        <v>1</v>
      </c>
      <c r="F170" s="5" t="str">
        <f>IFERROR(__xludf.DUMMYFUNCTION("""COMPUTED_VALUE"""),"mixed")</f>
        <v>mixed</v>
      </c>
      <c r="G170" s="5">
        <f>COUNTIFS(Datasets!$R$2:$R1652, F170, Datasets!$B$2:$B1652, "&gt;=" &amp; $H$24)</f>
        <v>3</v>
      </c>
      <c r="H170" s="8">
        <f t="shared" si="24"/>
        <v>0.05882352941</v>
      </c>
      <c r="O170" s="5"/>
      <c r="P170" s="5"/>
      <c r="T170" s="5" t="s">
        <v>140</v>
      </c>
    </row>
    <row r="171">
      <c r="A171" s="11" t="str">
        <f>IFERROR(__xludf.DUMMYFUNCTION("""COMPUTED_VALUE"""),"n/a")</f>
        <v>n/a</v>
      </c>
      <c r="B171" s="5">
        <f>COUNTIF(Datasets!$R$2:$R1652, A171)</f>
        <v>30</v>
      </c>
      <c r="C171" s="8">
        <f t="shared" si="23"/>
        <v>0.3370786517</v>
      </c>
      <c r="D171" s="5">
        <f t="array" ref="D171">COUNTIFS({Datasets!$R$2:$R1652, Datasets!$AA$2:$AA1652}, A171, {Datasets!$F$2:$F1652, Datasets!$G$2:$G1652}, "*real*")</f>
        <v>1</v>
      </c>
      <c r="F171" s="11" t="str">
        <f>IFERROR(__xludf.DUMMYFUNCTION("""COMPUTED_VALUE"""),"n/a")</f>
        <v>n/a</v>
      </c>
      <c r="G171" s="5">
        <f>COUNTIFS(Datasets!$R$2:$R1652, F171, Datasets!$B$2:$B1652, "&gt;=" &amp; $H$24)</f>
        <v>16</v>
      </c>
      <c r="H171" s="8">
        <f t="shared" si="24"/>
        <v>0.3137254902</v>
      </c>
      <c r="O171" s="5"/>
      <c r="P171" s="5"/>
      <c r="T171" s="5" t="s">
        <v>140</v>
      </c>
    </row>
    <row r="172">
      <c r="A172" s="5" t="str">
        <f>IFERROR(__xludf.DUMMYFUNCTION("""COMPUTED_VALUE"""),"P2P")</f>
        <v>P2P</v>
      </c>
      <c r="B172" s="5">
        <f>COUNTIF(Datasets!$R$2:$R1652, A172)</f>
        <v>1</v>
      </c>
      <c r="C172" s="8">
        <f t="shared" si="23"/>
        <v>0.01123595506</v>
      </c>
      <c r="D172" s="5">
        <f t="array" ref="D172">COUNTIFS({Datasets!$R$2:$R1652, Datasets!$AA$2:$AA1652}, A172, {Datasets!$F$2:$F1652, Datasets!$G$2:$G1652}, "*real*")</f>
        <v>0</v>
      </c>
      <c r="F172" s="5" t="str">
        <f>IFERROR(__xludf.DUMMYFUNCTION("""COMPUTED_VALUE"""),"P2P")</f>
        <v>P2P</v>
      </c>
      <c r="G172" s="5">
        <f>COUNTIFS(Datasets!$R$2:$R1652, F172, Datasets!$B$2:$B1652, "&gt;=" &amp; $H$24)</f>
        <v>1</v>
      </c>
      <c r="H172" s="8">
        <f t="shared" si="24"/>
        <v>0.01960784314</v>
      </c>
      <c r="O172" s="5"/>
      <c r="P172" s="5"/>
      <c r="T172" s="5" t="s">
        <v>140</v>
      </c>
    </row>
    <row r="173">
      <c r="A173" s="5" t="str">
        <f>IFERROR(__xludf.DUMMYFUNCTION("""COMPUTED_VALUE"""),"SDN")</f>
        <v>SDN</v>
      </c>
      <c r="B173" s="5">
        <f>COUNTIF(Datasets!$R$2:$R1652, A173)</f>
        <v>2</v>
      </c>
      <c r="C173" s="8">
        <f t="shared" si="23"/>
        <v>0.02247191011</v>
      </c>
      <c r="D173" s="5">
        <f t="array" ref="D173">COUNTIFS({Datasets!$R$2:$R1652, Datasets!$AA$2:$AA1652}, A173, {Datasets!$F$2:$F1652, Datasets!$G$2:$G1652}, "*real*")</f>
        <v>0</v>
      </c>
      <c r="F173" s="5" t="str">
        <f>IFERROR(__xludf.DUMMYFUNCTION("""COMPUTED_VALUE"""),"SDN")</f>
        <v>SDN</v>
      </c>
      <c r="G173" s="5">
        <f>COUNTIFS(Datasets!$R$2:$R1652, F173, Datasets!$B$2:$B1652, "&gt;=" &amp; $H$24)</f>
        <v>2</v>
      </c>
      <c r="H173" s="8">
        <f t="shared" si="24"/>
        <v>0.03921568627</v>
      </c>
      <c r="O173" s="5"/>
      <c r="P173" s="5"/>
      <c r="T173" s="5" t="s">
        <v>140</v>
      </c>
    </row>
    <row r="174">
      <c r="A174" s="5" t="str">
        <f>IFERROR(__xludf.DUMMYFUNCTION("""COMPUTED_VALUE"""),"SDN IoT")</f>
        <v>SDN IoT</v>
      </c>
      <c r="B174" s="5">
        <f>COUNTIF(Datasets!$R$2:$R1652, A174)</f>
        <v>1</v>
      </c>
      <c r="C174" s="8">
        <f t="shared" si="23"/>
        <v>0.01123595506</v>
      </c>
      <c r="D174" s="5">
        <f t="array" ref="D174">COUNTIFS({Datasets!$R$2:$R1652, Datasets!$AA$2:$AA1652}, A174, {Datasets!$F$2:$F1652, Datasets!$G$2:$G1652}, "*real*")</f>
        <v>0</v>
      </c>
      <c r="F174" s="5" t="str">
        <f>IFERROR(__xludf.DUMMYFUNCTION("""COMPUTED_VALUE"""),"SDN IoT")</f>
        <v>SDN IoT</v>
      </c>
      <c r="G174" s="5">
        <f>COUNTIFS(Datasets!$R$2:$R1652, F174, Datasets!$B$2:$B1652, "&gt;=" &amp; $H$24)</f>
        <v>1</v>
      </c>
      <c r="H174" s="8">
        <f t="shared" si="24"/>
        <v>0.01960784314</v>
      </c>
      <c r="O174" s="5"/>
      <c r="P174" s="5"/>
      <c r="T174" s="5" t="s">
        <v>140</v>
      </c>
    </row>
    <row r="175">
      <c r="A175" s="5" t="str">
        <f>IFERROR(__xludf.DUMMYFUNCTION("""COMPUTED_VALUE"""),"VoIP")</f>
        <v>VoIP</v>
      </c>
      <c r="B175" s="5">
        <f>COUNTIF(Datasets!$R$2:$R1652, A175)</f>
        <v>1</v>
      </c>
      <c r="C175" s="8">
        <f t="shared" si="23"/>
        <v>0.01123595506</v>
      </c>
      <c r="D175" s="5">
        <f t="array" ref="D175">COUNTIFS({Datasets!$R$2:$R1652, Datasets!$AA$2:$AA1652}, A175, {Datasets!$F$2:$F1652, Datasets!$G$2:$G1652}, "*real*")</f>
        <v>0</v>
      </c>
      <c r="F175" s="5" t="str">
        <f>IFERROR(__xludf.DUMMYFUNCTION("""COMPUTED_VALUE"""),"VoIP")</f>
        <v>VoIP</v>
      </c>
      <c r="G175" s="5">
        <f>COUNTIFS(Datasets!$R$2:$R1652, F175, Datasets!$B$2:$B1652, "&gt;=" &amp; $H$24)</f>
        <v>1</v>
      </c>
      <c r="H175" s="8">
        <f t="shared" si="24"/>
        <v>0.01960784314</v>
      </c>
      <c r="O175" s="5"/>
      <c r="P175" s="5"/>
      <c r="T175" s="5" t="s">
        <v>140</v>
      </c>
    </row>
    <row r="176">
      <c r="A176" s="5" t="str">
        <f>IFERROR(__xludf.DUMMYFUNCTION("""COMPUTED_VALUE"""),"wireless")</f>
        <v>wireless</v>
      </c>
      <c r="B176" s="5">
        <f>COUNTIF(Datasets!$R$2:$R1652, A176)</f>
        <v>2</v>
      </c>
      <c r="C176" s="8">
        <f t="shared" si="23"/>
        <v>0.02247191011</v>
      </c>
      <c r="D176" s="5">
        <f t="array" ref="D176">COUNTIFS({Datasets!$R$2:$R1652, Datasets!$AA$2:$AA1652}, A176, {Datasets!$F$2:$F1652, Datasets!$G$2:$G1652}, "*real*")</f>
        <v>0</v>
      </c>
      <c r="F176" s="5" t="str">
        <f>IFERROR(__xludf.DUMMYFUNCTION("""COMPUTED_VALUE"""),"wireless")</f>
        <v>wireless</v>
      </c>
      <c r="G176" s="5">
        <f>COUNTIFS(Datasets!$R$2:$R1652, F176, Datasets!$B$2:$B1652, "&gt;=" &amp; $H$24)</f>
        <v>1</v>
      </c>
      <c r="H176" s="8">
        <f t="shared" si="24"/>
        <v>0.01960784314</v>
      </c>
      <c r="O176" s="5"/>
      <c r="P176" s="5"/>
      <c r="T176" s="5" t="s">
        <v>140</v>
      </c>
    </row>
    <row r="177">
      <c r="A177" s="5"/>
      <c r="F177" s="5"/>
      <c r="O177" s="5"/>
      <c r="P177" s="5"/>
      <c r="T177" s="5" t="s">
        <v>140</v>
      </c>
    </row>
    <row r="178">
      <c r="A178" s="3" t="s">
        <v>149</v>
      </c>
      <c r="O178" s="5"/>
      <c r="P178" s="5"/>
      <c r="T178" s="5" t="s">
        <v>140</v>
      </c>
    </row>
    <row r="179">
      <c r="O179" s="5"/>
      <c r="P179" s="5"/>
      <c r="T179" s="5" t="s">
        <v>140</v>
      </c>
    </row>
    <row r="180">
      <c r="A180" s="3" t="s">
        <v>150</v>
      </c>
      <c r="B180" s="3" t="s">
        <v>151</v>
      </c>
      <c r="O180" s="5"/>
      <c r="P180" s="5"/>
      <c r="T180" s="5" t="s">
        <v>140</v>
      </c>
    </row>
    <row r="181">
      <c r="A181" s="3" t="s">
        <v>152</v>
      </c>
      <c r="B181" s="5">
        <f>(D159+D160)/SUM($D$159:$D$176)</f>
        <v>0.4545454545</v>
      </c>
      <c r="O181" s="5"/>
      <c r="P181" s="5"/>
      <c r="T181" s="5" t="s">
        <v>140</v>
      </c>
    </row>
    <row r="182">
      <c r="A182" s="3" t="s">
        <v>153</v>
      </c>
      <c r="B182" s="5">
        <f>(B161+B162)/SUM(D159:D176)</f>
        <v>0.3181818182</v>
      </c>
      <c r="O182" s="5"/>
      <c r="P182" s="5"/>
      <c r="T182" s="5" t="s">
        <v>140</v>
      </c>
    </row>
    <row r="183">
      <c r="O183" s="5"/>
      <c r="P183" s="5"/>
      <c r="T183" s="5" t="s">
        <v>140</v>
      </c>
    </row>
    <row r="184">
      <c r="A184" s="2" t="s">
        <v>154</v>
      </c>
      <c r="E184" s="3" t="s">
        <v>155</v>
      </c>
      <c r="O184" s="5"/>
      <c r="P184" s="5"/>
      <c r="T184" s="5" t="s">
        <v>140</v>
      </c>
    </row>
    <row r="185">
      <c r="A185" s="3" t="s">
        <v>156</v>
      </c>
      <c r="B185" s="3" t="s">
        <v>11</v>
      </c>
      <c r="C185" s="3" t="s">
        <v>15</v>
      </c>
      <c r="E185" s="3" t="s">
        <v>156</v>
      </c>
      <c r="F185" s="3" t="s">
        <v>11</v>
      </c>
      <c r="G185" s="3" t="s">
        <v>15</v>
      </c>
      <c r="O185" s="5"/>
      <c r="P185" s="5"/>
      <c r="T185" s="5" t="s">
        <v>140</v>
      </c>
    </row>
    <row r="186">
      <c r="A186" s="5" t="str">
        <f>IFERROR(__xludf.DUMMYFUNCTION("SORT(UNIQUE(Datasets!$S$2:$S1652))"),"n.s.")</f>
        <v>n.s.</v>
      </c>
      <c r="B186" s="5">
        <f>COUNTIF(Datasets!$S$2:$S1652, A186)</f>
        <v>2</v>
      </c>
      <c r="C186" s="8">
        <f t="shared" ref="C186:C188" si="25">B186/$H$27</f>
        <v>0.02247191011</v>
      </c>
      <c r="E186" s="5" t="str">
        <f>IFERROR(__xludf.DUMMYFUNCTION("SORT(UNIQUE(Datasets!$S$2:$S1652))"),"n.s.")</f>
        <v>n.s.</v>
      </c>
      <c r="F186" s="5">
        <f>COUNTIFS(Datasets!$S$2:$S1652, E186, Datasets!$B$2:$B1652, "&gt;=" &amp; $H$24)</f>
        <v>1</v>
      </c>
      <c r="G186" s="8">
        <f t="shared" ref="G186:G188" si="26">F186/$H$26</f>
        <v>0.01960784314</v>
      </c>
      <c r="O186" s="5"/>
      <c r="P186" s="5"/>
      <c r="T186" s="5" t="s">
        <v>140</v>
      </c>
    </row>
    <row r="187">
      <c r="A187" s="5" t="str">
        <f>IFERROR(__xludf.DUMMYFUNCTION("""COMPUTED_VALUE"""),"no")</f>
        <v>no</v>
      </c>
      <c r="B187" s="5">
        <f>COUNTIF(Datasets!$S$2:$S1652, A187)</f>
        <v>12</v>
      </c>
      <c r="C187" s="8">
        <f t="shared" si="25"/>
        <v>0.1348314607</v>
      </c>
      <c r="E187" s="5" t="str">
        <f>IFERROR(__xludf.DUMMYFUNCTION("""COMPUTED_VALUE"""),"no")</f>
        <v>no</v>
      </c>
      <c r="F187" s="5">
        <f>COUNTIFS(Datasets!$S$2:$S1652, E187, Datasets!$B$2:$B1652, "&gt;=" &amp; $H$24)</f>
        <v>7</v>
      </c>
      <c r="G187" s="8">
        <f t="shared" si="26"/>
        <v>0.137254902</v>
      </c>
      <c r="O187" s="5"/>
      <c r="P187" s="5"/>
      <c r="T187" s="5" t="s">
        <v>140</v>
      </c>
    </row>
    <row r="188">
      <c r="A188" s="5" t="str">
        <f>IFERROR(__xludf.DUMMYFUNCTION("""COMPUTED_VALUE"""),"yes")</f>
        <v>yes</v>
      </c>
      <c r="B188" s="5">
        <f>COUNTIF(Datasets!$S$2:$S1652, A188)</f>
        <v>75</v>
      </c>
      <c r="C188" s="8">
        <f t="shared" si="25"/>
        <v>0.8426966292</v>
      </c>
      <c r="E188" s="5" t="str">
        <f>IFERROR(__xludf.DUMMYFUNCTION("""COMPUTED_VALUE"""),"yes")</f>
        <v>yes</v>
      </c>
      <c r="F188" s="5">
        <f>COUNTIFS(Datasets!$S$2:$S1652, E188, Datasets!$B$2:$B1652, "&gt;=" &amp; $H$24)</f>
        <v>43</v>
      </c>
      <c r="G188" s="8">
        <f t="shared" si="26"/>
        <v>0.8431372549</v>
      </c>
      <c r="O188" s="5"/>
      <c r="P188" s="5"/>
      <c r="T188" s="5" t="s">
        <v>140</v>
      </c>
    </row>
    <row r="189">
      <c r="A189" s="5"/>
      <c r="E189" s="5"/>
      <c r="O189" s="5"/>
      <c r="P189" s="5"/>
      <c r="T189" s="5" t="s">
        <v>140</v>
      </c>
    </row>
    <row r="190">
      <c r="A190" s="2" t="s">
        <v>157</v>
      </c>
      <c r="O190" s="5"/>
      <c r="P190" s="5"/>
      <c r="T190" s="5" t="s">
        <v>140</v>
      </c>
    </row>
    <row r="191">
      <c r="A191" s="3" t="s">
        <v>156</v>
      </c>
      <c r="B191" s="3" t="s">
        <v>11</v>
      </c>
      <c r="C191" s="3" t="s">
        <v>15</v>
      </c>
      <c r="E191" s="3" t="s">
        <v>156</v>
      </c>
      <c r="F191" s="3" t="s">
        <v>11</v>
      </c>
      <c r="G191" s="3" t="s">
        <v>15</v>
      </c>
      <c r="O191" s="5"/>
      <c r="P191" s="5"/>
      <c r="T191" s="5" t="s">
        <v>140</v>
      </c>
    </row>
    <row r="192">
      <c r="A192" s="5" t="str">
        <f>IFERROR(__xludf.DUMMYFUNCTION("SORT(UNIQUE(Datasets!$T$2:$T1652))"),"no")</f>
        <v>no</v>
      </c>
      <c r="B192" s="5">
        <f>COUNTIF(Datasets!$T$2:$T1652, A192)</f>
        <v>69</v>
      </c>
      <c r="C192" s="8">
        <f t="shared" ref="C192:C193" si="27">B192/$H$27</f>
        <v>0.7752808989</v>
      </c>
      <c r="E192" s="5" t="str">
        <f>IFERROR(__xludf.DUMMYFUNCTION("SORT(UNIQUE(Datasets!$T$2:$T1652))"),"no")</f>
        <v>no</v>
      </c>
      <c r="F192" s="5">
        <f>COUNTIFS(Datasets!$T$2:$T1652, E192, Datasets!$B$2:$B1652, "&gt;=" &amp; $H$24)</f>
        <v>43</v>
      </c>
      <c r="G192" s="8">
        <f t="shared" ref="G192:G193" si="28">F192/$H$26</f>
        <v>0.8431372549</v>
      </c>
      <c r="O192" s="5"/>
      <c r="P192" s="5"/>
      <c r="T192" s="5" t="s">
        <v>140</v>
      </c>
    </row>
    <row r="193">
      <c r="A193" s="5" t="str">
        <f>IFERROR(__xludf.DUMMYFUNCTION("""COMPUTED_VALUE"""),"yes")</f>
        <v>yes</v>
      </c>
      <c r="B193" s="5">
        <f>COUNTIF(Datasets!$T$2:$T1652, A193)</f>
        <v>20</v>
      </c>
      <c r="C193" s="8">
        <f t="shared" si="27"/>
        <v>0.2247191011</v>
      </c>
      <c r="E193" s="5" t="str">
        <f>IFERROR(__xludf.DUMMYFUNCTION("""COMPUTED_VALUE"""),"yes")</f>
        <v>yes</v>
      </c>
      <c r="F193" s="5">
        <f>COUNTIFS(Datasets!$T$2:$T1652, E193, Datasets!$B$2:$B1652, "&gt;=" &amp; $H$24)</f>
        <v>8</v>
      </c>
      <c r="G193" s="8">
        <f t="shared" si="28"/>
        <v>0.1568627451</v>
      </c>
      <c r="O193" s="5"/>
      <c r="P193" s="5"/>
      <c r="T193" s="5" t="s">
        <v>140</v>
      </c>
    </row>
    <row r="194">
      <c r="A194" s="5"/>
      <c r="E194" s="5"/>
      <c r="O194" s="5"/>
      <c r="P194" s="5"/>
      <c r="T194" s="5" t="s">
        <v>140</v>
      </c>
    </row>
    <row r="195">
      <c r="A195" s="2" t="s">
        <v>158</v>
      </c>
      <c r="O195" s="5"/>
      <c r="P195" s="5"/>
      <c r="T195" s="5" t="s">
        <v>140</v>
      </c>
    </row>
    <row r="196">
      <c r="A196" s="3" t="s">
        <v>159</v>
      </c>
      <c r="B196" s="3" t="s">
        <v>11</v>
      </c>
      <c r="C196" s="3" t="s">
        <v>15</v>
      </c>
      <c r="E196" s="3" t="s">
        <v>156</v>
      </c>
      <c r="F196" s="3" t="s">
        <v>11</v>
      </c>
      <c r="G196" s="3" t="s">
        <v>15</v>
      </c>
      <c r="O196" s="5"/>
      <c r="P196" s="5"/>
      <c r="T196" s="5" t="s">
        <v>140</v>
      </c>
    </row>
    <row r="197">
      <c r="A197" s="5" t="str">
        <f>IFERROR(__xludf.DUMMYFUNCTION("SORT(UNIQUE(Datasets!$U$2:$U1652))"),"indir.")</f>
        <v>indir.</v>
      </c>
      <c r="B197" s="5">
        <f>COUNTIF(Datasets!$U$2:$U1652, A197)</f>
        <v>7</v>
      </c>
      <c r="C197" s="8">
        <f t="shared" ref="C197:C199" si="29">B197/$H$27</f>
        <v>0.07865168539</v>
      </c>
      <c r="E197" s="5" t="str">
        <f>IFERROR(__xludf.DUMMYFUNCTION("SORT(UNIQUE(Datasets!$U$2:$U1652))"),"indir.")</f>
        <v>indir.</v>
      </c>
      <c r="F197" s="5">
        <f>COUNTIFS(Datasets!$U$2:$U1652, E197, Datasets!$B$2:$B1652, "&gt;=" &amp; $H$24)</f>
        <v>2</v>
      </c>
      <c r="G197" s="8">
        <f t="shared" ref="G197:G199" si="30">F197/$H$26</f>
        <v>0.03921568627</v>
      </c>
      <c r="O197" s="5"/>
      <c r="P197" s="5"/>
      <c r="T197" s="5" t="s">
        <v>140</v>
      </c>
    </row>
    <row r="198">
      <c r="A198" s="5" t="str">
        <f>IFERROR(__xludf.DUMMYFUNCTION("""COMPUTED_VALUE"""),"no")</f>
        <v>no</v>
      </c>
      <c r="B198" s="5">
        <f>COUNTIF(Datasets!$U$2:$U1652, A198)</f>
        <v>3</v>
      </c>
      <c r="C198" s="8">
        <f t="shared" si="29"/>
        <v>0.03370786517</v>
      </c>
      <c r="E198" s="5" t="str">
        <f>IFERROR(__xludf.DUMMYFUNCTION("""COMPUTED_VALUE"""),"no")</f>
        <v>no</v>
      </c>
      <c r="F198" s="5">
        <f>COUNTIFS(Datasets!$U$2:$U1652, E198, Datasets!$B$2:$B1652, "&gt;=" &amp; $H$24)</f>
        <v>2</v>
      </c>
      <c r="G198" s="8">
        <f t="shared" si="30"/>
        <v>0.03921568627</v>
      </c>
      <c r="O198" s="5"/>
      <c r="P198" s="5"/>
      <c r="T198" s="5" t="s">
        <v>140</v>
      </c>
    </row>
    <row r="199">
      <c r="A199" s="5" t="str">
        <f>IFERROR(__xludf.DUMMYFUNCTION("""COMPUTED_VALUE"""),"yes")</f>
        <v>yes</v>
      </c>
      <c r="B199" s="5">
        <f>COUNTIF(Datasets!$U$2:$U1652, A199)</f>
        <v>79</v>
      </c>
      <c r="C199" s="8">
        <f t="shared" si="29"/>
        <v>0.8876404494</v>
      </c>
      <c r="E199" s="5" t="str">
        <f>IFERROR(__xludf.DUMMYFUNCTION("""COMPUTED_VALUE"""),"yes")</f>
        <v>yes</v>
      </c>
      <c r="F199" s="5">
        <f>COUNTIFS(Datasets!$U$2:$U1652, E199, Datasets!$B$2:$B1652, "&gt;=" &amp; $H$24)</f>
        <v>47</v>
      </c>
      <c r="G199" s="8">
        <f t="shared" si="30"/>
        <v>0.9215686275</v>
      </c>
      <c r="O199" s="5"/>
      <c r="P199" s="5"/>
      <c r="T199" s="5" t="s">
        <v>140</v>
      </c>
    </row>
    <row r="200">
      <c r="A200" s="5"/>
      <c r="E200" s="5"/>
      <c r="O200" s="5"/>
      <c r="P200" s="5"/>
      <c r="T200" s="5" t="s">
        <v>140</v>
      </c>
    </row>
    <row r="201">
      <c r="O201" s="5"/>
      <c r="P201" s="5"/>
      <c r="T201" s="5" t="s">
        <v>140</v>
      </c>
    </row>
    <row r="202">
      <c r="O202" s="5"/>
      <c r="P202" s="5"/>
      <c r="T202" s="5" t="s">
        <v>140</v>
      </c>
    </row>
    <row r="203">
      <c r="O203" s="5"/>
      <c r="P203" s="5"/>
      <c r="T203" s="5" t="s">
        <v>140</v>
      </c>
    </row>
    <row r="204">
      <c r="O204" s="5"/>
      <c r="P204" s="5"/>
      <c r="T204" s="5" t="s">
        <v>140</v>
      </c>
    </row>
    <row r="205">
      <c r="O205" s="5"/>
      <c r="P205" s="5"/>
      <c r="T205" s="5" t="s">
        <v>140</v>
      </c>
    </row>
    <row r="206">
      <c r="O206" s="5"/>
      <c r="P206" s="5"/>
      <c r="T206" s="5" t="s">
        <v>140</v>
      </c>
    </row>
    <row r="207">
      <c r="O207" s="5"/>
      <c r="P207" s="5"/>
      <c r="T207" s="5" t="s">
        <v>140</v>
      </c>
    </row>
    <row r="208">
      <c r="O208" s="5"/>
      <c r="P208" s="5"/>
      <c r="T208" s="5" t="s">
        <v>140</v>
      </c>
    </row>
    <row r="209">
      <c r="O209" s="5"/>
      <c r="P209" s="5"/>
      <c r="T209" s="5" t="s">
        <v>140</v>
      </c>
    </row>
    <row r="210">
      <c r="O210" s="5"/>
      <c r="P210" s="5"/>
      <c r="T210" s="5" t="s">
        <v>140</v>
      </c>
    </row>
    <row r="211">
      <c r="O211" s="5"/>
      <c r="P211" s="5"/>
      <c r="T211" s="5" t="s">
        <v>140</v>
      </c>
    </row>
    <row r="212">
      <c r="O212" s="5"/>
      <c r="P212" s="5"/>
      <c r="T212" s="5" t="s">
        <v>140</v>
      </c>
    </row>
    <row r="213">
      <c r="O213" s="5"/>
      <c r="P213" s="5"/>
      <c r="T213" s="5" t="s">
        <v>140</v>
      </c>
    </row>
    <row r="214">
      <c r="O214" s="5"/>
      <c r="P214" s="5"/>
      <c r="T214" s="5" t="s">
        <v>140</v>
      </c>
    </row>
    <row r="215">
      <c r="O215" s="5"/>
      <c r="P215" s="5"/>
      <c r="T215" s="5" t="s">
        <v>140</v>
      </c>
    </row>
    <row r="216">
      <c r="O216" s="5"/>
      <c r="P216" s="5"/>
      <c r="T216" s="5" t="s">
        <v>140</v>
      </c>
    </row>
    <row r="217">
      <c r="O217" s="5"/>
      <c r="P217" s="5"/>
      <c r="T217" s="5" t="s">
        <v>140</v>
      </c>
    </row>
    <row r="218">
      <c r="O218" s="5"/>
      <c r="P218" s="5"/>
      <c r="T218" s="5" t="s">
        <v>140</v>
      </c>
    </row>
    <row r="219">
      <c r="O219" s="5"/>
      <c r="P219" s="5"/>
      <c r="T219" s="5" t="s">
        <v>140</v>
      </c>
    </row>
    <row r="220">
      <c r="O220" s="5"/>
      <c r="P220" s="5"/>
      <c r="T220" s="5" t="s">
        <v>140</v>
      </c>
    </row>
    <row r="221">
      <c r="O221" s="5"/>
      <c r="P221" s="5"/>
      <c r="T221" s="5" t="s">
        <v>140</v>
      </c>
    </row>
    <row r="222">
      <c r="O222" s="5"/>
      <c r="P222" s="5"/>
      <c r="T222" s="5" t="s">
        <v>140</v>
      </c>
    </row>
    <row r="223">
      <c r="O223" s="5"/>
      <c r="P223" s="5"/>
      <c r="T223" s="5" t="s">
        <v>140</v>
      </c>
    </row>
    <row r="224">
      <c r="O224" s="5"/>
      <c r="P224" s="5"/>
      <c r="T224" s="5" t="s">
        <v>140</v>
      </c>
    </row>
    <row r="225">
      <c r="O225" s="5"/>
      <c r="P225" s="5"/>
      <c r="T225" s="5" t="s">
        <v>140</v>
      </c>
    </row>
    <row r="226">
      <c r="O226" s="5"/>
      <c r="P226" s="5"/>
      <c r="T226" s="5" t="s">
        <v>140</v>
      </c>
    </row>
    <row r="227">
      <c r="O227" s="5"/>
      <c r="P227" s="5"/>
      <c r="T227" s="5" t="s">
        <v>140</v>
      </c>
    </row>
    <row r="228">
      <c r="O228" s="5"/>
      <c r="P228" s="5"/>
      <c r="T228" s="5" t="s">
        <v>140</v>
      </c>
    </row>
    <row r="229">
      <c r="O229" s="5"/>
      <c r="P229" s="5"/>
      <c r="T229" s="5" t="s">
        <v>140</v>
      </c>
    </row>
    <row r="230">
      <c r="O230" s="5"/>
      <c r="P230" s="5"/>
      <c r="T230" s="5" t="s">
        <v>140</v>
      </c>
    </row>
    <row r="231">
      <c r="O231" s="5"/>
      <c r="P231" s="5"/>
      <c r="T231" s="5" t="s">
        <v>140</v>
      </c>
    </row>
    <row r="232">
      <c r="O232" s="5"/>
      <c r="P232" s="5"/>
      <c r="T232" s="5" t="s">
        <v>140</v>
      </c>
    </row>
    <row r="233">
      <c r="O233" s="5"/>
      <c r="P233" s="5"/>
      <c r="T233" s="5" t="s">
        <v>140</v>
      </c>
    </row>
    <row r="234">
      <c r="O234" s="5"/>
      <c r="P234" s="5"/>
      <c r="T234" s="5" t="s">
        <v>140</v>
      </c>
    </row>
    <row r="235">
      <c r="O235" s="5"/>
      <c r="P235" s="5"/>
      <c r="T235" s="5" t="s">
        <v>140</v>
      </c>
    </row>
    <row r="236">
      <c r="O236" s="5"/>
      <c r="P236" s="5"/>
      <c r="T236" s="5" t="s">
        <v>140</v>
      </c>
    </row>
    <row r="237">
      <c r="O237" s="5"/>
      <c r="P237" s="5"/>
      <c r="T237" s="5" t="s">
        <v>140</v>
      </c>
    </row>
    <row r="238">
      <c r="O238" s="5"/>
      <c r="P238" s="5"/>
      <c r="T238" s="5" t="s">
        <v>140</v>
      </c>
    </row>
    <row r="239">
      <c r="O239" s="5"/>
      <c r="P239" s="5"/>
      <c r="T239" s="5" t="s">
        <v>140</v>
      </c>
    </row>
    <row r="240">
      <c r="O240" s="5"/>
      <c r="P240" s="5"/>
      <c r="T240" s="5" t="s">
        <v>140</v>
      </c>
    </row>
    <row r="241">
      <c r="O241" s="5"/>
      <c r="P241" s="5"/>
      <c r="T241" s="5" t="s">
        <v>140</v>
      </c>
    </row>
    <row r="242">
      <c r="O242" s="5"/>
      <c r="P242" s="5"/>
      <c r="T242" s="5" t="s">
        <v>140</v>
      </c>
    </row>
    <row r="243">
      <c r="O243" s="5"/>
      <c r="P243" s="5"/>
      <c r="T243" s="5" t="s">
        <v>140</v>
      </c>
    </row>
    <row r="244">
      <c r="O244" s="5"/>
      <c r="P244" s="5"/>
      <c r="T244" s="5" t="s">
        <v>140</v>
      </c>
    </row>
    <row r="245">
      <c r="O245" s="5"/>
      <c r="P245" s="5"/>
      <c r="T245" s="5" t="s">
        <v>140</v>
      </c>
    </row>
    <row r="246">
      <c r="O246" s="5"/>
      <c r="P246" s="5"/>
      <c r="T246" s="5" t="s">
        <v>140</v>
      </c>
    </row>
    <row r="247">
      <c r="O247" s="5"/>
      <c r="P247" s="5"/>
      <c r="T247" s="5" t="s">
        <v>140</v>
      </c>
    </row>
    <row r="248">
      <c r="O248" s="5"/>
      <c r="P248" s="5"/>
      <c r="T248" s="5" t="s">
        <v>140</v>
      </c>
    </row>
    <row r="249">
      <c r="O249" s="5"/>
      <c r="P249" s="5"/>
      <c r="T249" s="5" t="s">
        <v>140</v>
      </c>
    </row>
    <row r="250">
      <c r="O250" s="5"/>
      <c r="P250" s="5"/>
      <c r="T250" s="5" t="s">
        <v>140</v>
      </c>
    </row>
    <row r="251">
      <c r="O251" s="5"/>
      <c r="P251" s="5"/>
      <c r="T251" s="5" t="s">
        <v>140</v>
      </c>
    </row>
    <row r="252">
      <c r="O252" s="5"/>
      <c r="P252" s="5"/>
      <c r="T252" s="5" t="s">
        <v>140</v>
      </c>
    </row>
    <row r="253">
      <c r="O253" s="5"/>
      <c r="P253" s="5"/>
      <c r="T253" s="5" t="s">
        <v>140</v>
      </c>
    </row>
    <row r="254">
      <c r="O254" s="5"/>
      <c r="P254" s="5"/>
      <c r="T254" s="5" t="s">
        <v>140</v>
      </c>
    </row>
    <row r="255">
      <c r="O255" s="5"/>
      <c r="P255" s="5"/>
      <c r="T255" s="5" t="s">
        <v>140</v>
      </c>
    </row>
    <row r="256">
      <c r="O256" s="5"/>
      <c r="P256" s="5"/>
      <c r="T256" s="5" t="s">
        <v>140</v>
      </c>
    </row>
    <row r="257">
      <c r="O257" s="5"/>
      <c r="P257" s="5"/>
      <c r="T257" s="5" t="s">
        <v>140</v>
      </c>
    </row>
    <row r="258">
      <c r="O258" s="5"/>
      <c r="P258" s="5"/>
      <c r="T258" s="5" t="s">
        <v>140</v>
      </c>
    </row>
    <row r="259">
      <c r="O259" s="5"/>
      <c r="P259" s="5"/>
      <c r="T259" s="5" t="s">
        <v>140</v>
      </c>
    </row>
    <row r="260">
      <c r="O260" s="5"/>
      <c r="P260" s="5"/>
      <c r="T260" s="5" t="s">
        <v>140</v>
      </c>
    </row>
    <row r="261">
      <c r="O261" s="5"/>
      <c r="P261" s="5"/>
      <c r="T261" s="5" t="s">
        <v>140</v>
      </c>
    </row>
    <row r="262">
      <c r="O262" s="5"/>
      <c r="P262" s="5"/>
      <c r="T262" s="5" t="s">
        <v>140</v>
      </c>
    </row>
    <row r="263">
      <c r="O263" s="5"/>
      <c r="P263" s="5"/>
      <c r="T263" s="5" t="s">
        <v>140</v>
      </c>
    </row>
    <row r="264">
      <c r="O264" s="5"/>
      <c r="P264" s="5"/>
      <c r="T264" s="5" t="s">
        <v>140</v>
      </c>
    </row>
    <row r="265">
      <c r="O265" s="5"/>
      <c r="P265" s="5"/>
      <c r="T265" s="5" t="s">
        <v>140</v>
      </c>
    </row>
    <row r="266">
      <c r="O266" s="5"/>
      <c r="P266" s="5"/>
      <c r="T266" s="5" t="s">
        <v>140</v>
      </c>
    </row>
    <row r="267">
      <c r="O267" s="5"/>
      <c r="P267" s="5"/>
      <c r="T267" s="5" t="s">
        <v>140</v>
      </c>
    </row>
    <row r="268">
      <c r="O268" s="5"/>
      <c r="P268" s="5"/>
      <c r="T268" s="5" t="s">
        <v>140</v>
      </c>
    </row>
    <row r="269">
      <c r="O269" s="5"/>
      <c r="P269" s="5"/>
      <c r="T269" s="5" t="s">
        <v>140</v>
      </c>
    </row>
    <row r="270">
      <c r="O270" s="5"/>
      <c r="P270" s="5"/>
      <c r="T270" s="5" t="s">
        <v>140</v>
      </c>
    </row>
    <row r="271">
      <c r="O271" s="5"/>
      <c r="P271" s="5"/>
      <c r="T271" s="5" t="s">
        <v>140</v>
      </c>
    </row>
    <row r="272">
      <c r="O272" s="5"/>
      <c r="P272" s="5"/>
      <c r="T272" s="5" t="s">
        <v>140</v>
      </c>
    </row>
    <row r="273">
      <c r="O273" s="5"/>
      <c r="P273" s="5"/>
      <c r="T273" s="5" t="s">
        <v>140</v>
      </c>
    </row>
    <row r="274">
      <c r="O274" s="5"/>
      <c r="P274" s="5"/>
      <c r="T274" s="5" t="s">
        <v>140</v>
      </c>
    </row>
    <row r="275">
      <c r="O275" s="5"/>
      <c r="P275" s="5"/>
      <c r="T275" s="5" t="s">
        <v>140</v>
      </c>
    </row>
    <row r="276">
      <c r="O276" s="5"/>
      <c r="P276" s="5"/>
      <c r="T276" s="5" t="s">
        <v>140</v>
      </c>
    </row>
    <row r="277">
      <c r="O277" s="5"/>
      <c r="P277" s="5"/>
      <c r="T277" s="5" t="s">
        <v>140</v>
      </c>
    </row>
    <row r="278">
      <c r="O278" s="5"/>
      <c r="P278" s="5"/>
      <c r="T278" s="5" t="s">
        <v>140</v>
      </c>
    </row>
    <row r="279">
      <c r="O279" s="5"/>
      <c r="P279" s="5"/>
      <c r="T279" s="5" t="s">
        <v>140</v>
      </c>
    </row>
    <row r="280">
      <c r="O280" s="5"/>
      <c r="P280" s="5"/>
      <c r="T280" s="5" t="s">
        <v>140</v>
      </c>
    </row>
    <row r="281">
      <c r="O281" s="5"/>
      <c r="P281" s="5"/>
      <c r="T281" s="5" t="s">
        <v>140</v>
      </c>
    </row>
    <row r="282">
      <c r="O282" s="5"/>
      <c r="P282" s="5"/>
      <c r="T282" s="5" t="s">
        <v>140</v>
      </c>
    </row>
    <row r="283">
      <c r="O283" s="5"/>
      <c r="P283" s="5"/>
      <c r="T283" s="5" t="s">
        <v>140</v>
      </c>
    </row>
    <row r="284">
      <c r="O284" s="5"/>
      <c r="P284" s="5"/>
      <c r="T284" s="5" t="s">
        <v>140</v>
      </c>
    </row>
    <row r="285">
      <c r="O285" s="5"/>
      <c r="P285" s="5"/>
      <c r="T285" s="5" t="s">
        <v>140</v>
      </c>
    </row>
    <row r="286">
      <c r="O286" s="5"/>
      <c r="P286" s="5"/>
      <c r="T286" s="5" t="s">
        <v>140</v>
      </c>
    </row>
    <row r="287">
      <c r="O287" s="5"/>
      <c r="P287" s="5"/>
      <c r="T287" s="5" t="s">
        <v>140</v>
      </c>
    </row>
    <row r="288">
      <c r="O288" s="5"/>
      <c r="P288" s="5"/>
      <c r="T288" s="5" t="s">
        <v>140</v>
      </c>
    </row>
    <row r="289">
      <c r="O289" s="5"/>
      <c r="P289" s="5"/>
      <c r="T289" s="5" t="s">
        <v>140</v>
      </c>
    </row>
    <row r="290">
      <c r="O290" s="5"/>
      <c r="P290" s="5"/>
      <c r="T290" s="5" t="s">
        <v>140</v>
      </c>
    </row>
    <row r="291">
      <c r="O291" s="5"/>
      <c r="P291" s="5"/>
      <c r="T291" s="5" t="s">
        <v>140</v>
      </c>
    </row>
    <row r="292">
      <c r="O292" s="5"/>
      <c r="P292" s="5"/>
      <c r="T292" s="5" t="s">
        <v>140</v>
      </c>
    </row>
    <row r="293">
      <c r="O293" s="5"/>
      <c r="P293" s="5"/>
      <c r="T293" s="5" t="s">
        <v>140</v>
      </c>
    </row>
    <row r="294">
      <c r="O294" s="5"/>
      <c r="P294" s="5"/>
      <c r="T294" s="5" t="s">
        <v>140</v>
      </c>
    </row>
    <row r="295">
      <c r="O295" s="5"/>
      <c r="P295" s="5"/>
      <c r="T295" s="5" t="s">
        <v>140</v>
      </c>
    </row>
    <row r="296">
      <c r="O296" s="5"/>
      <c r="P296" s="5"/>
      <c r="T296" s="5" t="s">
        <v>140</v>
      </c>
    </row>
    <row r="297">
      <c r="O297" s="5"/>
      <c r="P297" s="5"/>
      <c r="T297" s="5" t="s">
        <v>140</v>
      </c>
    </row>
    <row r="298">
      <c r="O298" s="5"/>
      <c r="P298" s="5"/>
      <c r="T298" s="5" t="s">
        <v>140</v>
      </c>
    </row>
    <row r="299">
      <c r="O299" s="5"/>
      <c r="P299" s="5"/>
      <c r="T299" s="5" t="s">
        <v>140</v>
      </c>
    </row>
    <row r="300">
      <c r="O300" s="5"/>
      <c r="P300" s="5"/>
      <c r="T300" s="5" t="s">
        <v>140</v>
      </c>
    </row>
    <row r="301">
      <c r="O301" s="5"/>
      <c r="P301" s="5"/>
      <c r="T301" s="5" t="s">
        <v>140</v>
      </c>
    </row>
    <row r="302">
      <c r="O302" s="5"/>
      <c r="P302" s="5"/>
      <c r="T302" s="5" t="s">
        <v>140</v>
      </c>
    </row>
    <row r="303">
      <c r="O303" s="5"/>
      <c r="P303" s="5"/>
      <c r="T303" s="5" t="s">
        <v>140</v>
      </c>
    </row>
    <row r="304">
      <c r="O304" s="5"/>
      <c r="P304" s="5"/>
      <c r="T304" s="5" t="s">
        <v>140</v>
      </c>
    </row>
    <row r="305">
      <c r="O305" s="5"/>
      <c r="P305" s="5"/>
      <c r="T305" s="5" t="s">
        <v>140</v>
      </c>
    </row>
    <row r="306">
      <c r="O306" s="5"/>
      <c r="P306" s="5"/>
      <c r="T306" s="5" t="s">
        <v>140</v>
      </c>
    </row>
    <row r="307">
      <c r="O307" s="5"/>
      <c r="P307" s="5"/>
      <c r="T307" s="5" t="s">
        <v>140</v>
      </c>
    </row>
    <row r="308">
      <c r="O308" s="5"/>
      <c r="P308" s="5"/>
      <c r="T308" s="5" t="s">
        <v>140</v>
      </c>
    </row>
    <row r="309">
      <c r="O309" s="5"/>
      <c r="P309" s="5"/>
      <c r="T309" s="5" t="s">
        <v>140</v>
      </c>
    </row>
    <row r="310">
      <c r="O310" s="5"/>
      <c r="P310" s="5"/>
      <c r="T310" s="5" t="s">
        <v>140</v>
      </c>
    </row>
    <row r="311">
      <c r="O311" s="5"/>
      <c r="P311" s="5"/>
      <c r="T311" s="5" t="s">
        <v>140</v>
      </c>
    </row>
    <row r="312">
      <c r="O312" s="5"/>
      <c r="P312" s="5"/>
      <c r="T312" s="5" t="s">
        <v>140</v>
      </c>
    </row>
    <row r="313">
      <c r="O313" s="5"/>
      <c r="P313" s="5"/>
      <c r="T313" s="5" t="s">
        <v>140</v>
      </c>
    </row>
    <row r="314">
      <c r="O314" s="5"/>
      <c r="P314" s="5"/>
      <c r="T314" s="5" t="s">
        <v>140</v>
      </c>
    </row>
    <row r="315">
      <c r="O315" s="5"/>
      <c r="P315" s="5"/>
      <c r="T315" s="5" t="s">
        <v>140</v>
      </c>
    </row>
    <row r="316">
      <c r="O316" s="5"/>
      <c r="P316" s="5"/>
      <c r="T316" s="5" t="s">
        <v>140</v>
      </c>
    </row>
    <row r="317">
      <c r="O317" s="5"/>
      <c r="P317" s="5"/>
      <c r="T317" s="5" t="s">
        <v>140</v>
      </c>
    </row>
    <row r="318">
      <c r="O318" s="5"/>
      <c r="P318" s="5"/>
      <c r="T318" s="5" t="s">
        <v>140</v>
      </c>
    </row>
    <row r="319">
      <c r="O319" s="5"/>
      <c r="P319" s="5"/>
      <c r="T319" s="5" t="s">
        <v>140</v>
      </c>
    </row>
    <row r="320">
      <c r="O320" s="5"/>
      <c r="P320" s="5"/>
      <c r="T320" s="5" t="s">
        <v>140</v>
      </c>
    </row>
    <row r="321">
      <c r="O321" s="5"/>
      <c r="P321" s="5"/>
      <c r="T321" s="5" t="s">
        <v>140</v>
      </c>
    </row>
    <row r="322">
      <c r="O322" s="5"/>
      <c r="P322" s="5"/>
      <c r="T322" s="5" t="s">
        <v>140</v>
      </c>
    </row>
    <row r="323">
      <c r="O323" s="5"/>
      <c r="P323" s="5"/>
      <c r="T323" s="5" t="s">
        <v>140</v>
      </c>
    </row>
    <row r="324">
      <c r="O324" s="5"/>
      <c r="P324" s="5"/>
      <c r="T324" s="5" t="s">
        <v>140</v>
      </c>
    </row>
    <row r="325">
      <c r="O325" s="5"/>
      <c r="P325" s="5"/>
      <c r="T325" s="5" t="s">
        <v>140</v>
      </c>
    </row>
    <row r="326">
      <c r="O326" s="5"/>
      <c r="P326" s="5"/>
      <c r="T326" s="5" t="s">
        <v>140</v>
      </c>
    </row>
    <row r="327">
      <c r="O327" s="5"/>
      <c r="P327" s="5"/>
      <c r="T327" s="5" t="s">
        <v>140</v>
      </c>
    </row>
    <row r="328">
      <c r="O328" s="5"/>
      <c r="P328" s="5"/>
      <c r="T328" s="5" t="s">
        <v>140</v>
      </c>
    </row>
    <row r="329">
      <c r="O329" s="5"/>
      <c r="P329" s="5"/>
      <c r="T329" s="5" t="s">
        <v>140</v>
      </c>
    </row>
    <row r="330">
      <c r="O330" s="5"/>
      <c r="P330" s="5"/>
      <c r="T330" s="5" t="s">
        <v>140</v>
      </c>
    </row>
    <row r="331">
      <c r="O331" s="5"/>
      <c r="P331" s="5"/>
      <c r="T331" s="5" t="s">
        <v>140</v>
      </c>
    </row>
    <row r="332">
      <c r="O332" s="5"/>
      <c r="P332" s="5"/>
      <c r="T332" s="5" t="s">
        <v>140</v>
      </c>
    </row>
    <row r="333">
      <c r="O333" s="5"/>
      <c r="P333" s="5"/>
      <c r="T333" s="5" t="s">
        <v>140</v>
      </c>
    </row>
    <row r="334">
      <c r="O334" s="5"/>
      <c r="P334" s="5"/>
      <c r="T334" s="5" t="s">
        <v>140</v>
      </c>
    </row>
    <row r="335">
      <c r="O335" s="5"/>
      <c r="P335" s="5"/>
      <c r="T335" s="5" t="s">
        <v>140</v>
      </c>
    </row>
    <row r="336">
      <c r="O336" s="5"/>
      <c r="P336" s="5"/>
      <c r="T336" s="5" t="s">
        <v>140</v>
      </c>
    </row>
    <row r="337">
      <c r="O337" s="5"/>
      <c r="P337" s="5"/>
      <c r="T337" s="5" t="s">
        <v>140</v>
      </c>
    </row>
    <row r="338">
      <c r="O338" s="5"/>
      <c r="P338" s="5"/>
      <c r="T338" s="5" t="s">
        <v>140</v>
      </c>
    </row>
    <row r="339">
      <c r="O339" s="5"/>
      <c r="P339" s="5"/>
      <c r="T339" s="5" t="s">
        <v>140</v>
      </c>
    </row>
    <row r="340">
      <c r="O340" s="5"/>
      <c r="P340" s="5"/>
      <c r="T340" s="5" t="s">
        <v>140</v>
      </c>
    </row>
    <row r="341">
      <c r="O341" s="5"/>
      <c r="P341" s="5"/>
      <c r="T341" s="5" t="s">
        <v>140</v>
      </c>
    </row>
    <row r="342">
      <c r="O342" s="5"/>
      <c r="P342" s="5"/>
      <c r="T342" s="5" t="s">
        <v>140</v>
      </c>
    </row>
    <row r="343">
      <c r="O343" s="5"/>
      <c r="P343" s="5"/>
      <c r="T343" s="5" t="s">
        <v>140</v>
      </c>
    </row>
    <row r="344">
      <c r="O344" s="5"/>
      <c r="P344" s="5"/>
      <c r="T344" s="5" t="s">
        <v>140</v>
      </c>
    </row>
    <row r="345">
      <c r="O345" s="5"/>
      <c r="P345" s="5"/>
      <c r="T345" s="5" t="s">
        <v>140</v>
      </c>
    </row>
    <row r="346">
      <c r="O346" s="5"/>
      <c r="P346" s="5"/>
      <c r="T346" s="5" t="s">
        <v>140</v>
      </c>
    </row>
    <row r="347">
      <c r="O347" s="5"/>
      <c r="P347" s="5"/>
      <c r="T347" s="5" t="s">
        <v>140</v>
      </c>
    </row>
    <row r="348">
      <c r="O348" s="5"/>
      <c r="P348" s="5"/>
      <c r="T348" s="5" t="s">
        <v>140</v>
      </c>
    </row>
    <row r="349">
      <c r="O349" s="5"/>
      <c r="P349" s="5"/>
      <c r="T349" s="5" t="s">
        <v>140</v>
      </c>
    </row>
    <row r="350">
      <c r="O350" s="5"/>
      <c r="P350" s="5"/>
      <c r="T350" s="5" t="s">
        <v>140</v>
      </c>
    </row>
    <row r="351">
      <c r="O351" s="5"/>
      <c r="P351" s="5"/>
      <c r="T351" s="5" t="s">
        <v>140</v>
      </c>
    </row>
    <row r="352">
      <c r="O352" s="5"/>
      <c r="P352" s="5"/>
      <c r="T352" s="5" t="s">
        <v>140</v>
      </c>
    </row>
    <row r="353">
      <c r="O353" s="5"/>
      <c r="P353" s="5"/>
      <c r="T353" s="5" t="s">
        <v>140</v>
      </c>
    </row>
    <row r="354">
      <c r="O354" s="5"/>
      <c r="P354" s="5"/>
      <c r="T354" s="5" t="s">
        <v>140</v>
      </c>
    </row>
    <row r="355">
      <c r="O355" s="5"/>
      <c r="P355" s="5"/>
      <c r="T355" s="5" t="s">
        <v>140</v>
      </c>
    </row>
    <row r="356">
      <c r="O356" s="5"/>
      <c r="P356" s="5"/>
      <c r="T356" s="5" t="s">
        <v>140</v>
      </c>
    </row>
    <row r="357">
      <c r="O357" s="5"/>
      <c r="P357" s="5"/>
      <c r="T357" s="5" t="s">
        <v>140</v>
      </c>
    </row>
    <row r="358">
      <c r="O358" s="5"/>
      <c r="P358" s="5"/>
      <c r="T358" s="5" t="s">
        <v>140</v>
      </c>
    </row>
    <row r="359">
      <c r="O359" s="5"/>
      <c r="P359" s="5"/>
      <c r="T359" s="5" t="s">
        <v>140</v>
      </c>
    </row>
    <row r="360">
      <c r="O360" s="5"/>
      <c r="P360" s="5"/>
      <c r="T360" s="5" t="s">
        <v>140</v>
      </c>
    </row>
    <row r="361">
      <c r="O361" s="5"/>
      <c r="P361" s="5"/>
      <c r="T361" s="5" t="s">
        <v>140</v>
      </c>
    </row>
    <row r="362">
      <c r="O362" s="5"/>
      <c r="P362" s="5"/>
      <c r="T362" s="5" t="s">
        <v>140</v>
      </c>
    </row>
    <row r="363">
      <c r="O363" s="5"/>
      <c r="P363" s="5"/>
      <c r="T363" s="5" t="s">
        <v>140</v>
      </c>
    </row>
    <row r="364">
      <c r="O364" s="5"/>
      <c r="P364" s="5"/>
      <c r="T364" s="5" t="s">
        <v>140</v>
      </c>
    </row>
    <row r="365">
      <c r="O365" s="5"/>
      <c r="P365" s="5"/>
      <c r="T365" s="5" t="s">
        <v>140</v>
      </c>
    </row>
    <row r="366">
      <c r="O366" s="5"/>
      <c r="P366" s="5"/>
      <c r="T366" s="5" t="s">
        <v>140</v>
      </c>
    </row>
    <row r="367">
      <c r="O367" s="5"/>
      <c r="P367" s="5"/>
      <c r="T367" s="5" t="s">
        <v>140</v>
      </c>
    </row>
    <row r="368">
      <c r="O368" s="5"/>
      <c r="P368" s="5"/>
      <c r="T368" s="5" t="s">
        <v>140</v>
      </c>
    </row>
    <row r="369">
      <c r="O369" s="5"/>
      <c r="P369" s="5"/>
      <c r="T369" s="5" t="s">
        <v>140</v>
      </c>
    </row>
    <row r="370">
      <c r="O370" s="5"/>
      <c r="P370" s="5"/>
      <c r="T370" s="5" t="s">
        <v>140</v>
      </c>
    </row>
    <row r="371">
      <c r="O371" s="5"/>
      <c r="P371" s="5"/>
      <c r="T371" s="5" t="s">
        <v>140</v>
      </c>
    </row>
    <row r="372">
      <c r="O372" s="5"/>
      <c r="P372" s="5"/>
      <c r="T372" s="5" t="s">
        <v>140</v>
      </c>
    </row>
    <row r="373">
      <c r="O373" s="5"/>
      <c r="P373" s="5"/>
      <c r="T373" s="5" t="s">
        <v>140</v>
      </c>
    </row>
    <row r="374">
      <c r="O374" s="5"/>
      <c r="P374" s="5"/>
      <c r="T374" s="5" t="s">
        <v>140</v>
      </c>
    </row>
    <row r="375">
      <c r="O375" s="5"/>
      <c r="P375" s="5"/>
      <c r="T375" s="5" t="s">
        <v>140</v>
      </c>
    </row>
    <row r="376">
      <c r="O376" s="5"/>
      <c r="P376" s="5"/>
      <c r="T376" s="5" t="s">
        <v>140</v>
      </c>
    </row>
    <row r="377">
      <c r="O377" s="5"/>
      <c r="P377" s="5"/>
      <c r="T377" s="5" t="s">
        <v>140</v>
      </c>
    </row>
    <row r="378">
      <c r="O378" s="5"/>
      <c r="P378" s="5"/>
      <c r="T378" s="5" t="s">
        <v>140</v>
      </c>
    </row>
    <row r="379">
      <c r="O379" s="5"/>
      <c r="P379" s="5"/>
      <c r="T379" s="5" t="s">
        <v>140</v>
      </c>
    </row>
    <row r="380">
      <c r="O380" s="5"/>
      <c r="P380" s="5"/>
      <c r="T380" s="5" t="s">
        <v>140</v>
      </c>
    </row>
    <row r="381">
      <c r="O381" s="5"/>
      <c r="P381" s="5"/>
      <c r="T381" s="5" t="s">
        <v>140</v>
      </c>
    </row>
    <row r="382">
      <c r="O382" s="5"/>
      <c r="P382" s="5"/>
      <c r="T382" s="5" t="s">
        <v>140</v>
      </c>
    </row>
    <row r="383">
      <c r="O383" s="5"/>
      <c r="P383" s="5"/>
      <c r="T383" s="5" t="s">
        <v>140</v>
      </c>
    </row>
    <row r="384">
      <c r="O384" s="5"/>
      <c r="P384" s="5"/>
      <c r="T384" s="5" t="s">
        <v>140</v>
      </c>
    </row>
    <row r="385">
      <c r="O385" s="5"/>
      <c r="P385" s="5"/>
      <c r="T385" s="5" t="s">
        <v>140</v>
      </c>
    </row>
    <row r="386">
      <c r="O386" s="5"/>
      <c r="P386" s="5"/>
      <c r="T386" s="5" t="s">
        <v>140</v>
      </c>
    </row>
    <row r="387">
      <c r="O387" s="5"/>
      <c r="P387" s="5"/>
      <c r="T387" s="5" t="s">
        <v>140</v>
      </c>
    </row>
    <row r="388">
      <c r="O388" s="5"/>
      <c r="P388" s="5"/>
      <c r="T388" s="5" t="s">
        <v>140</v>
      </c>
    </row>
    <row r="389">
      <c r="O389" s="5"/>
      <c r="P389" s="5"/>
      <c r="T389" s="5" t="s">
        <v>140</v>
      </c>
    </row>
    <row r="390">
      <c r="O390" s="5"/>
      <c r="P390" s="5"/>
      <c r="T390" s="5" t="s">
        <v>140</v>
      </c>
    </row>
    <row r="391">
      <c r="O391" s="5"/>
      <c r="P391" s="5"/>
      <c r="T391" s="5" t="s">
        <v>140</v>
      </c>
    </row>
    <row r="392">
      <c r="O392" s="5"/>
      <c r="P392" s="5"/>
      <c r="T392" s="5" t="s">
        <v>140</v>
      </c>
    </row>
    <row r="393">
      <c r="O393" s="5"/>
      <c r="P393" s="5"/>
      <c r="T393" s="5" t="s">
        <v>140</v>
      </c>
    </row>
    <row r="394">
      <c r="O394" s="5"/>
      <c r="P394" s="5"/>
      <c r="T394" s="5" t="s">
        <v>140</v>
      </c>
    </row>
    <row r="395">
      <c r="O395" s="5"/>
      <c r="P395" s="5"/>
      <c r="T395" s="5" t="s">
        <v>140</v>
      </c>
    </row>
    <row r="396">
      <c r="O396" s="5"/>
      <c r="P396" s="5"/>
      <c r="T396" s="5" t="s">
        <v>140</v>
      </c>
    </row>
    <row r="397">
      <c r="O397" s="5"/>
      <c r="P397" s="5"/>
      <c r="T397" s="5" t="s">
        <v>140</v>
      </c>
    </row>
    <row r="398">
      <c r="O398" s="5"/>
      <c r="P398" s="5"/>
      <c r="T398" s="5" t="s">
        <v>140</v>
      </c>
    </row>
    <row r="399">
      <c r="O399" s="5"/>
      <c r="P399" s="5"/>
      <c r="T399" s="5" t="s">
        <v>140</v>
      </c>
    </row>
    <row r="400">
      <c r="O400" s="5"/>
      <c r="P400" s="5"/>
      <c r="T400" s="5" t="s">
        <v>140</v>
      </c>
    </row>
    <row r="401">
      <c r="O401" s="5"/>
      <c r="P401" s="5"/>
      <c r="T401" s="5" t="s">
        <v>140</v>
      </c>
    </row>
    <row r="402">
      <c r="O402" s="5"/>
      <c r="P402" s="5"/>
      <c r="T402" s="5" t="s">
        <v>140</v>
      </c>
    </row>
    <row r="403">
      <c r="O403" s="5"/>
      <c r="P403" s="5"/>
      <c r="T403" s="5" t="s">
        <v>140</v>
      </c>
    </row>
    <row r="404">
      <c r="O404" s="5"/>
      <c r="P404" s="5"/>
      <c r="T404" s="5" t="s">
        <v>140</v>
      </c>
    </row>
    <row r="405">
      <c r="O405" s="5"/>
      <c r="P405" s="5"/>
      <c r="T405" s="5" t="s">
        <v>140</v>
      </c>
    </row>
    <row r="406">
      <c r="O406" s="5"/>
      <c r="P406" s="5"/>
      <c r="T406" s="5" t="s">
        <v>140</v>
      </c>
    </row>
    <row r="407">
      <c r="O407" s="5"/>
      <c r="P407" s="5"/>
      <c r="T407" s="5" t="s">
        <v>140</v>
      </c>
    </row>
    <row r="408">
      <c r="O408" s="5"/>
      <c r="P408" s="5"/>
      <c r="T408" s="5" t="s">
        <v>140</v>
      </c>
    </row>
    <row r="409">
      <c r="O409" s="5"/>
      <c r="P409" s="5"/>
      <c r="T409" s="5" t="s">
        <v>140</v>
      </c>
    </row>
    <row r="410">
      <c r="O410" s="5"/>
      <c r="P410" s="5"/>
      <c r="T410" s="5" t="s">
        <v>140</v>
      </c>
    </row>
    <row r="411">
      <c r="O411" s="5"/>
      <c r="P411" s="5"/>
      <c r="T411" s="5" t="s">
        <v>140</v>
      </c>
    </row>
    <row r="412">
      <c r="O412" s="5"/>
      <c r="P412" s="5"/>
      <c r="T412" s="5" t="s">
        <v>140</v>
      </c>
    </row>
    <row r="413">
      <c r="O413" s="5"/>
      <c r="P413" s="5"/>
      <c r="T413" s="5" t="s">
        <v>140</v>
      </c>
    </row>
    <row r="414">
      <c r="O414" s="5"/>
      <c r="P414" s="5"/>
      <c r="T414" s="5" t="s">
        <v>140</v>
      </c>
    </row>
    <row r="415">
      <c r="O415" s="5"/>
      <c r="P415" s="5"/>
      <c r="T415" s="5" t="s">
        <v>140</v>
      </c>
    </row>
    <row r="416">
      <c r="O416" s="5"/>
      <c r="P416" s="5"/>
      <c r="T416" s="5" t="s">
        <v>140</v>
      </c>
    </row>
    <row r="417">
      <c r="O417" s="5"/>
      <c r="P417" s="5"/>
      <c r="T417" s="5" t="s">
        <v>140</v>
      </c>
    </row>
    <row r="418">
      <c r="O418" s="5"/>
      <c r="P418" s="5"/>
      <c r="T418" s="5" t="s">
        <v>140</v>
      </c>
    </row>
    <row r="419">
      <c r="O419" s="5"/>
      <c r="P419" s="5"/>
      <c r="T419" s="5" t="s">
        <v>140</v>
      </c>
    </row>
    <row r="420">
      <c r="O420" s="5"/>
      <c r="P420" s="5"/>
      <c r="T420" s="5" t="s">
        <v>140</v>
      </c>
    </row>
    <row r="421">
      <c r="O421" s="5"/>
      <c r="P421" s="5"/>
      <c r="T421" s="5" t="s">
        <v>140</v>
      </c>
    </row>
    <row r="422">
      <c r="O422" s="5"/>
      <c r="P422" s="5"/>
      <c r="T422" s="5" t="s">
        <v>140</v>
      </c>
    </row>
    <row r="423">
      <c r="O423" s="5"/>
      <c r="P423" s="5"/>
      <c r="T423" s="5" t="s">
        <v>140</v>
      </c>
    </row>
    <row r="424">
      <c r="O424" s="5"/>
      <c r="P424" s="5"/>
      <c r="T424" s="5" t="s">
        <v>140</v>
      </c>
    </row>
    <row r="425">
      <c r="O425" s="5"/>
      <c r="P425" s="5"/>
      <c r="T425" s="5" t="s">
        <v>140</v>
      </c>
    </row>
    <row r="426">
      <c r="O426" s="5"/>
      <c r="P426" s="5"/>
      <c r="T426" s="5" t="s">
        <v>140</v>
      </c>
    </row>
    <row r="427">
      <c r="O427" s="5"/>
      <c r="P427" s="5"/>
      <c r="T427" s="5" t="s">
        <v>140</v>
      </c>
    </row>
    <row r="428">
      <c r="O428" s="5"/>
      <c r="P428" s="5"/>
      <c r="T428" s="5" t="s">
        <v>140</v>
      </c>
    </row>
    <row r="429">
      <c r="O429" s="5"/>
      <c r="P429" s="5"/>
      <c r="T429" s="5" t="s">
        <v>140</v>
      </c>
    </row>
    <row r="430">
      <c r="O430" s="5"/>
      <c r="P430" s="5"/>
      <c r="T430" s="5" t="s">
        <v>140</v>
      </c>
    </row>
    <row r="431">
      <c r="O431" s="5"/>
      <c r="P431" s="5"/>
      <c r="T431" s="5" t="s">
        <v>140</v>
      </c>
    </row>
    <row r="432">
      <c r="O432" s="5"/>
      <c r="P432" s="5"/>
      <c r="T432" s="5" t="s">
        <v>140</v>
      </c>
    </row>
    <row r="433">
      <c r="O433" s="5"/>
      <c r="P433" s="5"/>
      <c r="T433" s="5" t="s">
        <v>140</v>
      </c>
    </row>
    <row r="434">
      <c r="O434" s="5"/>
      <c r="P434" s="5"/>
      <c r="T434" s="5" t="s">
        <v>140</v>
      </c>
    </row>
    <row r="435">
      <c r="O435" s="5"/>
      <c r="P435" s="5"/>
      <c r="T435" s="5" t="s">
        <v>140</v>
      </c>
    </row>
    <row r="436">
      <c r="O436" s="5"/>
      <c r="P436" s="5"/>
      <c r="T436" s="5" t="s">
        <v>140</v>
      </c>
    </row>
    <row r="437">
      <c r="O437" s="5"/>
      <c r="P437" s="5"/>
      <c r="T437" s="5" t="s">
        <v>140</v>
      </c>
    </row>
    <row r="438">
      <c r="O438" s="5"/>
      <c r="P438" s="5"/>
      <c r="T438" s="5" t="s">
        <v>140</v>
      </c>
    </row>
    <row r="439">
      <c r="O439" s="5"/>
      <c r="P439" s="5"/>
      <c r="T439" s="5" t="s">
        <v>140</v>
      </c>
    </row>
    <row r="440">
      <c r="O440" s="5"/>
      <c r="P440" s="5"/>
      <c r="T440" s="5" t="s">
        <v>140</v>
      </c>
    </row>
    <row r="441">
      <c r="O441" s="5"/>
      <c r="P441" s="5"/>
      <c r="T441" s="5" t="s">
        <v>140</v>
      </c>
    </row>
    <row r="442">
      <c r="O442" s="5"/>
      <c r="P442" s="5"/>
      <c r="T442" s="5" t="s">
        <v>140</v>
      </c>
    </row>
    <row r="443">
      <c r="O443" s="5"/>
      <c r="P443" s="5"/>
      <c r="T443" s="5" t="s">
        <v>140</v>
      </c>
    </row>
    <row r="444">
      <c r="O444" s="5"/>
      <c r="P444" s="5"/>
      <c r="T444" s="5" t="s">
        <v>140</v>
      </c>
    </row>
    <row r="445">
      <c r="O445" s="5"/>
      <c r="P445" s="5"/>
      <c r="T445" s="5" t="s">
        <v>140</v>
      </c>
    </row>
    <row r="446">
      <c r="O446" s="5"/>
      <c r="P446" s="5"/>
      <c r="T446" s="5" t="s">
        <v>140</v>
      </c>
    </row>
    <row r="447">
      <c r="O447" s="5"/>
      <c r="P447" s="5"/>
      <c r="T447" s="5" t="s">
        <v>140</v>
      </c>
    </row>
    <row r="448">
      <c r="O448" s="5"/>
      <c r="P448" s="5"/>
      <c r="T448" s="5" t="s">
        <v>140</v>
      </c>
    </row>
    <row r="449">
      <c r="O449" s="5"/>
      <c r="P449" s="5"/>
      <c r="T449" s="5" t="s">
        <v>140</v>
      </c>
    </row>
    <row r="450">
      <c r="O450" s="5"/>
      <c r="P450" s="5"/>
      <c r="T450" s="5" t="s">
        <v>140</v>
      </c>
    </row>
    <row r="451">
      <c r="O451" s="5"/>
      <c r="P451" s="5"/>
      <c r="T451" s="5" t="s">
        <v>140</v>
      </c>
    </row>
    <row r="452">
      <c r="O452" s="5"/>
      <c r="P452" s="5"/>
      <c r="T452" s="5" t="s">
        <v>140</v>
      </c>
    </row>
    <row r="453">
      <c r="O453" s="5"/>
      <c r="P453" s="5"/>
      <c r="T453" s="5" t="s">
        <v>140</v>
      </c>
    </row>
    <row r="454">
      <c r="O454" s="5"/>
      <c r="P454" s="5"/>
      <c r="T454" s="5" t="s">
        <v>140</v>
      </c>
    </row>
    <row r="455">
      <c r="O455" s="5"/>
      <c r="P455" s="5"/>
      <c r="T455" s="5" t="s">
        <v>140</v>
      </c>
    </row>
    <row r="456">
      <c r="O456" s="5"/>
      <c r="P456" s="5"/>
      <c r="T456" s="5" t="s">
        <v>140</v>
      </c>
    </row>
    <row r="457">
      <c r="O457" s="5"/>
      <c r="P457" s="5"/>
      <c r="T457" s="5" t="s">
        <v>140</v>
      </c>
    </row>
    <row r="458">
      <c r="O458" s="5"/>
      <c r="P458" s="5"/>
      <c r="T458" s="5" t="s">
        <v>140</v>
      </c>
    </row>
    <row r="459">
      <c r="O459" s="5"/>
      <c r="P459" s="5"/>
      <c r="T459" s="5" t="s">
        <v>140</v>
      </c>
    </row>
    <row r="460">
      <c r="O460" s="5"/>
      <c r="P460" s="5"/>
      <c r="T460" s="5" t="s">
        <v>140</v>
      </c>
    </row>
    <row r="461">
      <c r="O461" s="5"/>
      <c r="P461" s="5"/>
      <c r="T461" s="5" t="s">
        <v>140</v>
      </c>
    </row>
    <row r="462">
      <c r="O462" s="5"/>
      <c r="P462" s="5"/>
      <c r="T462" s="5" t="s">
        <v>140</v>
      </c>
    </row>
    <row r="463">
      <c r="O463" s="5"/>
      <c r="P463" s="5"/>
      <c r="T463" s="5" t="s">
        <v>140</v>
      </c>
    </row>
    <row r="464">
      <c r="O464" s="5"/>
      <c r="P464" s="5"/>
      <c r="T464" s="5" t="s">
        <v>140</v>
      </c>
    </row>
    <row r="465">
      <c r="O465" s="5"/>
      <c r="P465" s="5"/>
      <c r="T465" s="5" t="s">
        <v>140</v>
      </c>
    </row>
    <row r="466">
      <c r="O466" s="5"/>
      <c r="P466" s="5"/>
      <c r="T466" s="5" t="s">
        <v>140</v>
      </c>
    </row>
    <row r="467">
      <c r="O467" s="5"/>
      <c r="P467" s="5"/>
      <c r="T467" s="5" t="s">
        <v>140</v>
      </c>
    </row>
    <row r="468">
      <c r="O468" s="5"/>
      <c r="P468" s="5"/>
      <c r="T468" s="5" t="s">
        <v>140</v>
      </c>
    </row>
    <row r="469">
      <c r="O469" s="5"/>
      <c r="P469" s="5"/>
      <c r="T469" s="5" t="s">
        <v>140</v>
      </c>
    </row>
    <row r="470">
      <c r="O470" s="5"/>
      <c r="P470" s="5"/>
      <c r="T470" s="5" t="s">
        <v>140</v>
      </c>
    </row>
    <row r="471">
      <c r="O471" s="5"/>
      <c r="P471" s="5"/>
      <c r="T471" s="5" t="s">
        <v>140</v>
      </c>
    </row>
    <row r="472">
      <c r="O472" s="5"/>
      <c r="P472" s="5"/>
      <c r="T472" s="5" t="s">
        <v>140</v>
      </c>
    </row>
    <row r="473">
      <c r="O473" s="5"/>
      <c r="P473" s="5"/>
      <c r="T473" s="5" t="s">
        <v>140</v>
      </c>
    </row>
    <row r="474">
      <c r="O474" s="5"/>
      <c r="P474" s="5"/>
      <c r="T474" s="5" t="s">
        <v>140</v>
      </c>
    </row>
    <row r="475">
      <c r="O475" s="5"/>
      <c r="P475" s="5"/>
      <c r="T475" s="5" t="s">
        <v>140</v>
      </c>
    </row>
    <row r="476">
      <c r="O476" s="5"/>
      <c r="P476" s="5"/>
      <c r="T476" s="5" t="s">
        <v>140</v>
      </c>
    </row>
    <row r="477">
      <c r="O477" s="5"/>
      <c r="P477" s="5"/>
      <c r="T477" s="5" t="s">
        <v>140</v>
      </c>
    </row>
    <row r="478">
      <c r="O478" s="5"/>
      <c r="P478" s="5"/>
      <c r="T478" s="5" t="s">
        <v>140</v>
      </c>
    </row>
    <row r="479">
      <c r="O479" s="5"/>
      <c r="P479" s="5"/>
      <c r="T479" s="5" t="s">
        <v>140</v>
      </c>
    </row>
    <row r="480">
      <c r="O480" s="5"/>
      <c r="P480" s="5"/>
      <c r="T480" s="5" t="s">
        <v>140</v>
      </c>
    </row>
    <row r="481">
      <c r="O481" s="5"/>
      <c r="P481" s="5"/>
      <c r="T481" s="5" t="s">
        <v>140</v>
      </c>
    </row>
    <row r="482">
      <c r="O482" s="5"/>
      <c r="P482" s="5"/>
      <c r="T482" s="5" t="s">
        <v>140</v>
      </c>
    </row>
    <row r="483">
      <c r="O483" s="5"/>
      <c r="P483" s="5"/>
      <c r="T483" s="5" t="s">
        <v>140</v>
      </c>
    </row>
    <row r="484">
      <c r="O484" s="5"/>
      <c r="P484" s="5"/>
      <c r="T484" s="5" t="s">
        <v>140</v>
      </c>
    </row>
    <row r="485">
      <c r="O485" s="5"/>
      <c r="P485" s="5"/>
      <c r="T485" s="5" t="s">
        <v>140</v>
      </c>
    </row>
    <row r="486">
      <c r="O486" s="5"/>
      <c r="P486" s="5"/>
      <c r="T486" s="5" t="s">
        <v>140</v>
      </c>
    </row>
    <row r="487">
      <c r="O487" s="5"/>
      <c r="P487" s="5"/>
      <c r="T487" s="5" t="s">
        <v>140</v>
      </c>
    </row>
    <row r="488">
      <c r="O488" s="5"/>
      <c r="P488" s="5"/>
      <c r="T488" s="5" t="s">
        <v>140</v>
      </c>
    </row>
    <row r="489">
      <c r="O489" s="5"/>
      <c r="P489" s="5"/>
      <c r="T489" s="5" t="s">
        <v>140</v>
      </c>
    </row>
    <row r="490">
      <c r="O490" s="5"/>
      <c r="P490" s="5"/>
      <c r="T490" s="5" t="s">
        <v>140</v>
      </c>
    </row>
    <row r="491">
      <c r="O491" s="5"/>
      <c r="P491" s="5"/>
      <c r="T491" s="5" t="s">
        <v>140</v>
      </c>
    </row>
    <row r="492">
      <c r="O492" s="5"/>
      <c r="P492" s="5"/>
      <c r="T492" s="5" t="s">
        <v>140</v>
      </c>
    </row>
    <row r="493">
      <c r="O493" s="5"/>
      <c r="P493" s="5"/>
      <c r="T493" s="5" t="s">
        <v>140</v>
      </c>
    </row>
    <row r="494">
      <c r="O494" s="5"/>
      <c r="P494" s="5"/>
      <c r="T494" s="5" t="s">
        <v>140</v>
      </c>
    </row>
    <row r="495">
      <c r="O495" s="5"/>
      <c r="P495" s="5"/>
      <c r="T495" s="5" t="s">
        <v>140</v>
      </c>
    </row>
    <row r="496">
      <c r="O496" s="5"/>
      <c r="P496" s="5"/>
      <c r="T496" s="5" t="s">
        <v>140</v>
      </c>
    </row>
    <row r="497">
      <c r="O497" s="5"/>
      <c r="P497" s="5"/>
      <c r="T497" s="5" t="s">
        <v>140</v>
      </c>
    </row>
    <row r="498">
      <c r="O498" s="5"/>
      <c r="P498" s="5"/>
      <c r="T498" s="5" t="s">
        <v>140</v>
      </c>
    </row>
    <row r="499">
      <c r="O499" s="5"/>
      <c r="P499" s="5"/>
      <c r="T499" s="5" t="s">
        <v>140</v>
      </c>
    </row>
    <row r="500">
      <c r="O500" s="5"/>
      <c r="P500" s="5"/>
      <c r="T500" s="5" t="s">
        <v>140</v>
      </c>
    </row>
    <row r="501">
      <c r="O501" s="5"/>
      <c r="P501" s="5"/>
      <c r="T501" s="5" t="s">
        <v>140</v>
      </c>
    </row>
    <row r="502">
      <c r="O502" s="5"/>
      <c r="P502" s="5"/>
      <c r="T502" s="5" t="s">
        <v>140</v>
      </c>
    </row>
    <row r="503">
      <c r="O503" s="5"/>
      <c r="P503" s="5"/>
      <c r="T503" s="5" t="s">
        <v>140</v>
      </c>
    </row>
    <row r="504">
      <c r="O504" s="5"/>
      <c r="P504" s="5"/>
      <c r="T504" s="5" t="s">
        <v>140</v>
      </c>
    </row>
    <row r="505">
      <c r="O505" s="5"/>
      <c r="P505" s="5"/>
      <c r="T505" s="5" t="s">
        <v>140</v>
      </c>
    </row>
    <row r="506">
      <c r="O506" s="5"/>
      <c r="P506" s="5"/>
      <c r="T506" s="5" t="s">
        <v>140</v>
      </c>
    </row>
    <row r="507">
      <c r="O507" s="5"/>
      <c r="P507" s="5"/>
      <c r="T507" s="5" t="s">
        <v>140</v>
      </c>
    </row>
    <row r="508">
      <c r="O508" s="5"/>
      <c r="P508" s="5"/>
      <c r="T508" s="5" t="s">
        <v>140</v>
      </c>
    </row>
    <row r="509">
      <c r="O509" s="5"/>
      <c r="P509" s="5"/>
      <c r="T509" s="5" t="s">
        <v>140</v>
      </c>
    </row>
    <row r="510">
      <c r="O510" s="5"/>
      <c r="P510" s="5"/>
      <c r="T510" s="5" t="s">
        <v>140</v>
      </c>
    </row>
    <row r="511">
      <c r="O511" s="5"/>
      <c r="P511" s="5"/>
      <c r="T511" s="5" t="s">
        <v>140</v>
      </c>
    </row>
    <row r="512">
      <c r="O512" s="5"/>
      <c r="P512" s="5"/>
      <c r="T512" s="5" t="s">
        <v>140</v>
      </c>
    </row>
    <row r="513">
      <c r="O513" s="5"/>
      <c r="P513" s="5"/>
      <c r="T513" s="5" t="s">
        <v>140</v>
      </c>
    </row>
    <row r="514">
      <c r="O514" s="5"/>
      <c r="P514" s="5"/>
      <c r="T514" s="5" t="s">
        <v>140</v>
      </c>
    </row>
    <row r="515">
      <c r="O515" s="5"/>
      <c r="P515" s="5"/>
      <c r="T515" s="5" t="s">
        <v>140</v>
      </c>
    </row>
    <row r="516">
      <c r="O516" s="5"/>
      <c r="P516" s="5"/>
      <c r="T516" s="5" t="s">
        <v>140</v>
      </c>
    </row>
    <row r="517">
      <c r="O517" s="5"/>
      <c r="P517" s="5"/>
      <c r="T517" s="5" t="s">
        <v>140</v>
      </c>
    </row>
    <row r="518">
      <c r="O518" s="5"/>
      <c r="P518" s="5"/>
      <c r="T518" s="5" t="s">
        <v>140</v>
      </c>
    </row>
    <row r="519">
      <c r="O519" s="5"/>
      <c r="P519" s="5"/>
      <c r="T519" s="5" t="s">
        <v>140</v>
      </c>
    </row>
    <row r="520">
      <c r="O520" s="5"/>
      <c r="P520" s="5"/>
      <c r="T520" s="5" t="s">
        <v>140</v>
      </c>
    </row>
    <row r="521">
      <c r="O521" s="5"/>
      <c r="P521" s="5"/>
      <c r="T521" s="5" t="s">
        <v>140</v>
      </c>
    </row>
    <row r="522">
      <c r="O522" s="5"/>
      <c r="P522" s="5"/>
      <c r="T522" s="5" t="s">
        <v>140</v>
      </c>
    </row>
    <row r="523">
      <c r="O523" s="5"/>
      <c r="P523" s="5"/>
      <c r="T523" s="5" t="s">
        <v>140</v>
      </c>
    </row>
    <row r="524">
      <c r="O524" s="5"/>
      <c r="P524" s="5"/>
      <c r="T524" s="5" t="s">
        <v>140</v>
      </c>
    </row>
    <row r="525">
      <c r="O525" s="5"/>
      <c r="P525" s="5"/>
      <c r="T525" s="5" t="s">
        <v>140</v>
      </c>
    </row>
    <row r="526">
      <c r="O526" s="5"/>
      <c r="P526" s="5"/>
      <c r="T526" s="5" t="s">
        <v>140</v>
      </c>
    </row>
    <row r="527">
      <c r="O527" s="5"/>
      <c r="P527" s="5"/>
      <c r="T527" s="5" t="s">
        <v>140</v>
      </c>
    </row>
    <row r="528">
      <c r="O528" s="5"/>
      <c r="P528" s="5"/>
      <c r="T528" s="5" t="s">
        <v>140</v>
      </c>
    </row>
    <row r="529">
      <c r="O529" s="5"/>
      <c r="P529" s="5"/>
      <c r="T529" s="5" t="s">
        <v>140</v>
      </c>
    </row>
    <row r="530">
      <c r="O530" s="5"/>
      <c r="P530" s="5"/>
      <c r="T530" s="5" t="s">
        <v>140</v>
      </c>
    </row>
    <row r="531">
      <c r="O531" s="5"/>
      <c r="P531" s="5"/>
      <c r="T531" s="5" t="s">
        <v>140</v>
      </c>
    </row>
    <row r="532">
      <c r="O532" s="5"/>
      <c r="P532" s="5"/>
      <c r="T532" s="5" t="s">
        <v>140</v>
      </c>
    </row>
    <row r="533">
      <c r="O533" s="5"/>
      <c r="P533" s="5"/>
      <c r="T533" s="5" t="s">
        <v>140</v>
      </c>
    </row>
    <row r="534">
      <c r="O534" s="5"/>
      <c r="P534" s="5"/>
      <c r="T534" s="5" t="s">
        <v>140</v>
      </c>
    </row>
    <row r="535">
      <c r="O535" s="5"/>
      <c r="P535" s="5"/>
      <c r="T535" s="5" t="s">
        <v>140</v>
      </c>
    </row>
    <row r="536">
      <c r="O536" s="5"/>
      <c r="P536" s="5"/>
      <c r="T536" s="5" t="s">
        <v>140</v>
      </c>
    </row>
    <row r="537">
      <c r="O537" s="5"/>
      <c r="P537" s="5"/>
      <c r="T537" s="5" t="s">
        <v>140</v>
      </c>
    </row>
    <row r="538">
      <c r="O538" s="5"/>
      <c r="P538" s="5"/>
      <c r="T538" s="5" t="s">
        <v>140</v>
      </c>
    </row>
    <row r="539">
      <c r="O539" s="5"/>
      <c r="P539" s="5"/>
      <c r="T539" s="5" t="s">
        <v>140</v>
      </c>
    </row>
    <row r="540">
      <c r="O540" s="5"/>
      <c r="P540" s="5"/>
      <c r="T540" s="5" t="s">
        <v>140</v>
      </c>
    </row>
    <row r="541">
      <c r="O541" s="5"/>
      <c r="P541" s="5"/>
      <c r="T541" s="5" t="s">
        <v>140</v>
      </c>
    </row>
    <row r="542">
      <c r="O542" s="5"/>
      <c r="P542" s="5"/>
      <c r="T542" s="5" t="s">
        <v>140</v>
      </c>
    </row>
    <row r="543">
      <c r="O543" s="5"/>
      <c r="P543" s="5"/>
      <c r="T543" s="5" t="s">
        <v>140</v>
      </c>
    </row>
    <row r="544">
      <c r="O544" s="5"/>
      <c r="P544" s="5"/>
      <c r="T544" s="5" t="s">
        <v>140</v>
      </c>
    </row>
    <row r="545">
      <c r="O545" s="5"/>
      <c r="P545" s="5"/>
      <c r="T545" s="5" t="s">
        <v>140</v>
      </c>
    </row>
    <row r="546">
      <c r="O546" s="5"/>
      <c r="P546" s="5"/>
      <c r="T546" s="5" t="s">
        <v>140</v>
      </c>
    </row>
    <row r="547">
      <c r="O547" s="5"/>
      <c r="P547" s="5"/>
      <c r="T547" s="5" t="s">
        <v>140</v>
      </c>
    </row>
    <row r="548">
      <c r="O548" s="5"/>
      <c r="P548" s="5"/>
      <c r="T548" s="5" t="s">
        <v>140</v>
      </c>
    </row>
    <row r="549">
      <c r="O549" s="5"/>
      <c r="P549" s="5"/>
      <c r="T549" s="5" t="s">
        <v>140</v>
      </c>
    </row>
    <row r="550">
      <c r="O550" s="5"/>
      <c r="P550" s="5"/>
      <c r="T550" s="5" t="s">
        <v>140</v>
      </c>
    </row>
    <row r="551">
      <c r="O551" s="5"/>
      <c r="P551" s="5"/>
      <c r="T551" s="5" t="s">
        <v>140</v>
      </c>
    </row>
    <row r="552">
      <c r="O552" s="5"/>
      <c r="P552" s="5"/>
      <c r="T552" s="5" t="s">
        <v>140</v>
      </c>
    </row>
    <row r="553">
      <c r="O553" s="5"/>
      <c r="P553" s="5"/>
      <c r="T553" s="5" t="s">
        <v>140</v>
      </c>
    </row>
    <row r="554">
      <c r="O554" s="5"/>
      <c r="P554" s="5"/>
      <c r="T554" s="5" t="s">
        <v>140</v>
      </c>
    </row>
    <row r="555">
      <c r="O555" s="5"/>
      <c r="P555" s="5"/>
      <c r="T555" s="5" t="s">
        <v>140</v>
      </c>
    </row>
    <row r="556">
      <c r="O556" s="5"/>
      <c r="P556" s="5"/>
      <c r="T556" s="5" t="s">
        <v>140</v>
      </c>
    </row>
    <row r="557">
      <c r="O557" s="5"/>
      <c r="P557" s="5"/>
      <c r="T557" s="5" t="s">
        <v>140</v>
      </c>
    </row>
    <row r="558">
      <c r="O558" s="5"/>
      <c r="P558" s="5"/>
      <c r="T558" s="5" t="s">
        <v>140</v>
      </c>
    </row>
    <row r="559">
      <c r="O559" s="5"/>
      <c r="P559" s="5"/>
      <c r="T559" s="5" t="s">
        <v>140</v>
      </c>
    </row>
    <row r="560">
      <c r="O560" s="5"/>
      <c r="P560" s="5"/>
      <c r="T560" s="5" t="s">
        <v>140</v>
      </c>
    </row>
    <row r="561">
      <c r="O561" s="5"/>
      <c r="P561" s="5"/>
      <c r="T561" s="5" t="s">
        <v>140</v>
      </c>
    </row>
    <row r="562">
      <c r="O562" s="5"/>
      <c r="P562" s="5"/>
      <c r="T562" s="5" t="s">
        <v>140</v>
      </c>
    </row>
    <row r="563">
      <c r="O563" s="5"/>
      <c r="P563" s="5"/>
      <c r="T563" s="5" t="s">
        <v>140</v>
      </c>
    </row>
    <row r="564">
      <c r="O564" s="5"/>
      <c r="P564" s="5"/>
      <c r="T564" s="5" t="s">
        <v>140</v>
      </c>
    </row>
    <row r="565">
      <c r="O565" s="5"/>
      <c r="P565" s="5"/>
      <c r="T565" s="5" t="s">
        <v>140</v>
      </c>
    </row>
    <row r="566">
      <c r="O566" s="5"/>
      <c r="P566" s="5"/>
      <c r="T566" s="5" t="s">
        <v>140</v>
      </c>
    </row>
    <row r="567">
      <c r="O567" s="5"/>
      <c r="P567" s="5"/>
      <c r="T567" s="5" t="s">
        <v>140</v>
      </c>
    </row>
    <row r="568">
      <c r="O568" s="5"/>
      <c r="P568" s="5"/>
      <c r="T568" s="5" t="s">
        <v>140</v>
      </c>
    </row>
    <row r="569">
      <c r="O569" s="5"/>
      <c r="P569" s="5"/>
      <c r="T569" s="5" t="s">
        <v>140</v>
      </c>
    </row>
    <row r="570">
      <c r="O570" s="5"/>
      <c r="P570" s="5"/>
      <c r="T570" s="5" t="s">
        <v>140</v>
      </c>
    </row>
    <row r="571">
      <c r="O571" s="5"/>
      <c r="P571" s="5"/>
      <c r="T571" s="5" t="s">
        <v>140</v>
      </c>
    </row>
    <row r="572">
      <c r="O572" s="5"/>
      <c r="P572" s="5"/>
      <c r="T572" s="5" t="s">
        <v>140</v>
      </c>
    </row>
    <row r="573">
      <c r="O573" s="5"/>
      <c r="P573" s="5"/>
      <c r="T573" s="5" t="s">
        <v>140</v>
      </c>
    </row>
    <row r="574">
      <c r="O574" s="5"/>
      <c r="P574" s="5"/>
      <c r="T574" s="5" t="s">
        <v>140</v>
      </c>
    </row>
    <row r="575">
      <c r="O575" s="5"/>
      <c r="P575" s="5"/>
      <c r="T575" s="5" t="s">
        <v>140</v>
      </c>
    </row>
    <row r="576">
      <c r="O576" s="5"/>
      <c r="P576" s="5"/>
      <c r="T576" s="5" t="s">
        <v>140</v>
      </c>
    </row>
    <row r="577">
      <c r="O577" s="5"/>
      <c r="P577" s="5"/>
      <c r="T577" s="5" t="s">
        <v>140</v>
      </c>
    </row>
    <row r="578">
      <c r="O578" s="5"/>
      <c r="P578" s="5"/>
      <c r="T578" s="5" t="s">
        <v>140</v>
      </c>
    </row>
    <row r="579">
      <c r="O579" s="5"/>
      <c r="P579" s="5"/>
      <c r="T579" s="5" t="s">
        <v>140</v>
      </c>
    </row>
    <row r="580">
      <c r="O580" s="5"/>
      <c r="P580" s="5"/>
      <c r="T580" s="5" t="s">
        <v>140</v>
      </c>
    </row>
    <row r="581">
      <c r="O581" s="5"/>
      <c r="P581" s="5"/>
      <c r="T581" s="5" t="s">
        <v>140</v>
      </c>
    </row>
    <row r="582">
      <c r="O582" s="5"/>
      <c r="P582" s="5"/>
      <c r="T582" s="5" t="s">
        <v>140</v>
      </c>
    </row>
    <row r="583">
      <c r="O583" s="5"/>
      <c r="P583" s="5"/>
      <c r="T583" s="5" t="s">
        <v>140</v>
      </c>
    </row>
    <row r="584">
      <c r="O584" s="5"/>
      <c r="P584" s="5"/>
      <c r="T584" s="5" t="s">
        <v>140</v>
      </c>
    </row>
    <row r="585">
      <c r="O585" s="5"/>
      <c r="P585" s="5"/>
      <c r="T585" s="5" t="s">
        <v>140</v>
      </c>
    </row>
    <row r="586">
      <c r="O586" s="5"/>
      <c r="P586" s="5"/>
      <c r="T586" s="5" t="s">
        <v>140</v>
      </c>
    </row>
    <row r="587">
      <c r="O587" s="5"/>
      <c r="P587" s="5"/>
      <c r="T587" s="5" t="s">
        <v>140</v>
      </c>
    </row>
    <row r="588">
      <c r="O588" s="5"/>
      <c r="P588" s="5"/>
      <c r="T588" s="5" t="s">
        <v>140</v>
      </c>
    </row>
    <row r="589">
      <c r="O589" s="5"/>
      <c r="P589" s="5"/>
      <c r="T589" s="5" t="s">
        <v>140</v>
      </c>
    </row>
    <row r="590">
      <c r="O590" s="5"/>
      <c r="P590" s="5"/>
      <c r="T590" s="5" t="s">
        <v>140</v>
      </c>
    </row>
    <row r="591">
      <c r="O591" s="5"/>
      <c r="P591" s="5"/>
      <c r="T591" s="5" t="s">
        <v>140</v>
      </c>
    </row>
    <row r="592">
      <c r="O592" s="5"/>
      <c r="P592" s="5"/>
      <c r="T592" s="5" t="s">
        <v>140</v>
      </c>
    </row>
    <row r="593">
      <c r="O593" s="5"/>
      <c r="P593" s="5"/>
      <c r="T593" s="5" t="s">
        <v>140</v>
      </c>
    </row>
    <row r="594">
      <c r="O594" s="5"/>
      <c r="P594" s="5"/>
      <c r="T594" s="5" t="s">
        <v>140</v>
      </c>
    </row>
    <row r="595">
      <c r="O595" s="5"/>
      <c r="P595" s="5"/>
      <c r="T595" s="5" t="s">
        <v>140</v>
      </c>
    </row>
    <row r="596">
      <c r="O596" s="5"/>
      <c r="P596" s="5"/>
      <c r="T596" s="5" t="s">
        <v>140</v>
      </c>
    </row>
    <row r="597">
      <c r="O597" s="5"/>
      <c r="P597" s="5"/>
      <c r="T597" s="5" t="s">
        <v>140</v>
      </c>
    </row>
    <row r="598">
      <c r="O598" s="5"/>
      <c r="P598" s="5"/>
      <c r="T598" s="5" t="s">
        <v>140</v>
      </c>
    </row>
    <row r="599">
      <c r="O599" s="5"/>
      <c r="P599" s="5"/>
      <c r="T599" s="5" t="s">
        <v>140</v>
      </c>
    </row>
    <row r="600">
      <c r="O600" s="5"/>
      <c r="P600" s="5"/>
      <c r="T600" s="5" t="s">
        <v>140</v>
      </c>
    </row>
    <row r="601">
      <c r="O601" s="5"/>
      <c r="P601" s="5"/>
      <c r="T601" s="5" t="s">
        <v>140</v>
      </c>
    </row>
    <row r="602">
      <c r="O602" s="5"/>
      <c r="P602" s="5"/>
      <c r="T602" s="5" t="s">
        <v>140</v>
      </c>
    </row>
    <row r="603">
      <c r="O603" s="5"/>
      <c r="P603" s="5"/>
      <c r="T603" s="5" t="s">
        <v>140</v>
      </c>
    </row>
    <row r="604">
      <c r="O604" s="5"/>
      <c r="P604" s="5"/>
      <c r="T604" s="5" t="s">
        <v>140</v>
      </c>
    </row>
    <row r="605">
      <c r="O605" s="5"/>
      <c r="P605" s="5"/>
      <c r="T605" s="5" t="s">
        <v>140</v>
      </c>
    </row>
    <row r="606">
      <c r="O606" s="5"/>
      <c r="P606" s="5"/>
      <c r="T606" s="5" t="s">
        <v>140</v>
      </c>
    </row>
    <row r="607">
      <c r="O607" s="5"/>
      <c r="P607" s="5"/>
      <c r="T607" s="5" t="s">
        <v>140</v>
      </c>
    </row>
    <row r="608">
      <c r="O608" s="5"/>
      <c r="P608" s="5"/>
      <c r="T608" s="5" t="s">
        <v>140</v>
      </c>
    </row>
    <row r="609">
      <c r="O609" s="5"/>
      <c r="P609" s="5"/>
      <c r="T609" s="5" t="s">
        <v>140</v>
      </c>
    </row>
    <row r="610">
      <c r="O610" s="5"/>
      <c r="P610" s="5"/>
      <c r="T610" s="5" t="s">
        <v>140</v>
      </c>
    </row>
    <row r="611">
      <c r="O611" s="5"/>
      <c r="P611" s="5"/>
      <c r="T611" s="5" t="s">
        <v>140</v>
      </c>
    </row>
    <row r="612">
      <c r="O612" s="5"/>
      <c r="P612" s="5"/>
      <c r="T612" s="5" t="s">
        <v>140</v>
      </c>
    </row>
    <row r="613">
      <c r="O613" s="5"/>
      <c r="P613" s="5"/>
      <c r="T613" s="5" t="s">
        <v>140</v>
      </c>
    </row>
    <row r="614">
      <c r="O614" s="5"/>
      <c r="P614" s="5"/>
      <c r="T614" s="5" t="s">
        <v>140</v>
      </c>
    </row>
    <row r="615">
      <c r="O615" s="5"/>
      <c r="P615" s="5"/>
      <c r="T615" s="5" t="s">
        <v>140</v>
      </c>
    </row>
    <row r="616">
      <c r="O616" s="5"/>
      <c r="P616" s="5"/>
      <c r="T616" s="5" t="s">
        <v>140</v>
      </c>
    </row>
    <row r="617">
      <c r="O617" s="5"/>
      <c r="P617" s="5"/>
      <c r="T617" s="5" t="s">
        <v>140</v>
      </c>
    </row>
    <row r="618">
      <c r="O618" s="5"/>
      <c r="P618" s="5"/>
      <c r="T618" s="5" t="s">
        <v>140</v>
      </c>
    </row>
    <row r="619">
      <c r="O619" s="5"/>
      <c r="P619" s="5"/>
      <c r="T619" s="5" t="s">
        <v>140</v>
      </c>
    </row>
    <row r="620">
      <c r="O620" s="5"/>
      <c r="P620" s="5"/>
      <c r="T620" s="5" t="s">
        <v>140</v>
      </c>
    </row>
    <row r="621">
      <c r="O621" s="5"/>
      <c r="P621" s="5"/>
      <c r="T621" s="5" t="s">
        <v>140</v>
      </c>
    </row>
    <row r="622">
      <c r="O622" s="5"/>
      <c r="P622" s="5"/>
      <c r="T622" s="5" t="s">
        <v>140</v>
      </c>
    </row>
    <row r="623">
      <c r="O623" s="5"/>
      <c r="P623" s="5"/>
      <c r="T623" s="5" t="s">
        <v>140</v>
      </c>
    </row>
    <row r="624">
      <c r="O624" s="5"/>
      <c r="P624" s="5"/>
      <c r="T624" s="5" t="s">
        <v>140</v>
      </c>
    </row>
    <row r="625">
      <c r="O625" s="5"/>
      <c r="P625" s="5"/>
      <c r="T625" s="5" t="s">
        <v>140</v>
      </c>
    </row>
    <row r="626">
      <c r="O626" s="5"/>
      <c r="P626" s="5"/>
      <c r="T626" s="5" t="s">
        <v>140</v>
      </c>
    </row>
    <row r="627">
      <c r="O627" s="5"/>
      <c r="P627" s="5"/>
      <c r="T627" s="5" t="s">
        <v>140</v>
      </c>
    </row>
    <row r="628">
      <c r="O628" s="5"/>
      <c r="P628" s="5"/>
      <c r="T628" s="5" t="s">
        <v>140</v>
      </c>
    </row>
    <row r="629">
      <c r="O629" s="5"/>
      <c r="P629" s="5"/>
      <c r="T629" s="5" t="s">
        <v>140</v>
      </c>
    </row>
    <row r="630">
      <c r="O630" s="5"/>
      <c r="P630" s="5"/>
      <c r="T630" s="5" t="s">
        <v>140</v>
      </c>
    </row>
    <row r="631">
      <c r="O631" s="5"/>
      <c r="P631" s="5"/>
      <c r="T631" s="5" t="s">
        <v>140</v>
      </c>
    </row>
    <row r="632">
      <c r="O632" s="5"/>
      <c r="P632" s="5"/>
      <c r="T632" s="5" t="s">
        <v>140</v>
      </c>
    </row>
    <row r="633">
      <c r="O633" s="5"/>
      <c r="P633" s="5"/>
      <c r="T633" s="5" t="s">
        <v>140</v>
      </c>
    </row>
    <row r="634">
      <c r="O634" s="5"/>
      <c r="P634" s="5"/>
      <c r="T634" s="5" t="s">
        <v>140</v>
      </c>
    </row>
    <row r="635">
      <c r="O635" s="5"/>
      <c r="P635" s="5"/>
      <c r="T635" s="5" t="s">
        <v>140</v>
      </c>
    </row>
    <row r="636">
      <c r="O636" s="5"/>
      <c r="P636" s="5"/>
      <c r="T636" s="5" t="s">
        <v>140</v>
      </c>
    </row>
    <row r="637">
      <c r="O637" s="5"/>
      <c r="P637" s="5"/>
      <c r="T637" s="5" t="s">
        <v>140</v>
      </c>
    </row>
    <row r="638">
      <c r="O638" s="5"/>
      <c r="P638" s="5"/>
      <c r="T638" s="5" t="s">
        <v>140</v>
      </c>
    </row>
    <row r="639">
      <c r="O639" s="5"/>
      <c r="P639" s="5"/>
      <c r="T639" s="5" t="s">
        <v>140</v>
      </c>
    </row>
    <row r="640">
      <c r="O640" s="5"/>
      <c r="P640" s="5"/>
      <c r="T640" s="5" t="s">
        <v>140</v>
      </c>
    </row>
    <row r="641">
      <c r="O641" s="5"/>
      <c r="P641" s="5"/>
      <c r="T641" s="5" t="s">
        <v>140</v>
      </c>
    </row>
    <row r="642">
      <c r="O642" s="5"/>
      <c r="P642" s="5"/>
      <c r="T642" s="5" t="s">
        <v>140</v>
      </c>
    </row>
    <row r="643">
      <c r="O643" s="5"/>
      <c r="P643" s="5"/>
      <c r="T643" s="5" t="s">
        <v>140</v>
      </c>
    </row>
    <row r="644">
      <c r="O644" s="5"/>
      <c r="P644" s="5"/>
      <c r="T644" s="5" t="s">
        <v>140</v>
      </c>
    </row>
    <row r="645">
      <c r="O645" s="5"/>
      <c r="P645" s="5"/>
      <c r="T645" s="5" t="s">
        <v>140</v>
      </c>
    </row>
    <row r="646">
      <c r="O646" s="5"/>
      <c r="P646" s="5"/>
      <c r="T646" s="5" t="s">
        <v>140</v>
      </c>
    </row>
    <row r="647">
      <c r="O647" s="5"/>
      <c r="P647" s="5"/>
      <c r="T647" s="5" t="s">
        <v>140</v>
      </c>
    </row>
    <row r="648">
      <c r="O648" s="5"/>
      <c r="P648" s="5"/>
      <c r="T648" s="5" t="s">
        <v>140</v>
      </c>
    </row>
    <row r="649">
      <c r="O649" s="5"/>
      <c r="P649" s="5"/>
      <c r="T649" s="5" t="s">
        <v>140</v>
      </c>
    </row>
    <row r="650">
      <c r="O650" s="5"/>
      <c r="P650" s="5"/>
      <c r="T650" s="5" t="s">
        <v>140</v>
      </c>
    </row>
    <row r="651">
      <c r="O651" s="5"/>
      <c r="P651" s="5"/>
      <c r="T651" s="5" t="s">
        <v>140</v>
      </c>
    </row>
    <row r="652">
      <c r="O652" s="5"/>
      <c r="P652" s="5"/>
      <c r="T652" s="5" t="s">
        <v>140</v>
      </c>
    </row>
    <row r="653">
      <c r="O653" s="5"/>
      <c r="P653" s="5"/>
      <c r="T653" s="5" t="s">
        <v>140</v>
      </c>
    </row>
    <row r="654">
      <c r="O654" s="5"/>
      <c r="P654" s="5"/>
      <c r="T654" s="5" t="s">
        <v>140</v>
      </c>
    </row>
    <row r="655">
      <c r="O655" s="5"/>
      <c r="P655" s="5"/>
      <c r="T655" s="5" t="s">
        <v>140</v>
      </c>
    </row>
    <row r="656">
      <c r="O656" s="5"/>
      <c r="P656" s="5"/>
      <c r="T656" s="5" t="s">
        <v>140</v>
      </c>
    </row>
    <row r="657">
      <c r="O657" s="5"/>
      <c r="P657" s="5"/>
      <c r="T657" s="5" t="s">
        <v>140</v>
      </c>
    </row>
    <row r="658">
      <c r="O658" s="5"/>
      <c r="P658" s="5"/>
      <c r="T658" s="5" t="s">
        <v>140</v>
      </c>
    </row>
    <row r="659">
      <c r="O659" s="5"/>
      <c r="P659" s="5"/>
      <c r="T659" s="5" t="s">
        <v>140</v>
      </c>
    </row>
    <row r="660">
      <c r="O660" s="5"/>
      <c r="P660" s="5"/>
      <c r="T660" s="5" t="s">
        <v>140</v>
      </c>
    </row>
    <row r="661">
      <c r="O661" s="5"/>
      <c r="P661" s="5"/>
      <c r="T661" s="5" t="s">
        <v>140</v>
      </c>
    </row>
    <row r="662">
      <c r="O662" s="5"/>
      <c r="P662" s="5"/>
      <c r="T662" s="5" t="s">
        <v>140</v>
      </c>
    </row>
    <row r="663">
      <c r="O663" s="5"/>
      <c r="P663" s="5"/>
      <c r="T663" s="5" t="s">
        <v>140</v>
      </c>
    </row>
    <row r="664">
      <c r="O664" s="5"/>
      <c r="P664" s="5"/>
      <c r="T664" s="5" t="s">
        <v>140</v>
      </c>
    </row>
    <row r="665">
      <c r="O665" s="5"/>
      <c r="P665" s="5"/>
      <c r="T665" s="5" t="s">
        <v>140</v>
      </c>
    </row>
    <row r="666">
      <c r="O666" s="5"/>
      <c r="P666" s="5"/>
      <c r="T666" s="5" t="s">
        <v>140</v>
      </c>
    </row>
    <row r="667">
      <c r="O667" s="5"/>
      <c r="P667" s="5"/>
      <c r="T667" s="5" t="s">
        <v>140</v>
      </c>
    </row>
    <row r="668">
      <c r="O668" s="5"/>
      <c r="P668" s="5"/>
      <c r="T668" s="5" t="s">
        <v>140</v>
      </c>
    </row>
    <row r="669">
      <c r="O669" s="5"/>
      <c r="P669" s="5"/>
      <c r="T669" s="5" t="s">
        <v>140</v>
      </c>
    </row>
    <row r="670">
      <c r="O670" s="5"/>
      <c r="P670" s="5"/>
      <c r="T670" s="5" t="s">
        <v>140</v>
      </c>
    </row>
    <row r="671">
      <c r="O671" s="5"/>
      <c r="P671" s="5"/>
      <c r="T671" s="5" t="s">
        <v>140</v>
      </c>
    </row>
    <row r="672">
      <c r="O672" s="5"/>
      <c r="P672" s="5"/>
      <c r="T672" s="5" t="s">
        <v>140</v>
      </c>
    </row>
    <row r="673">
      <c r="O673" s="5"/>
      <c r="P673" s="5"/>
      <c r="T673" s="5" t="s">
        <v>140</v>
      </c>
    </row>
    <row r="674">
      <c r="O674" s="5"/>
      <c r="P674" s="5"/>
      <c r="T674" s="5" t="s">
        <v>140</v>
      </c>
    </row>
    <row r="675">
      <c r="O675" s="5"/>
      <c r="P675" s="5"/>
      <c r="T675" s="5" t="s">
        <v>140</v>
      </c>
    </row>
    <row r="676">
      <c r="O676" s="5"/>
      <c r="P676" s="5"/>
      <c r="T676" s="5" t="s">
        <v>140</v>
      </c>
    </row>
    <row r="677">
      <c r="O677" s="5"/>
      <c r="P677" s="5"/>
      <c r="T677" s="5" t="s">
        <v>140</v>
      </c>
    </row>
    <row r="678">
      <c r="O678" s="5"/>
      <c r="P678" s="5"/>
      <c r="T678" s="5" t="s">
        <v>140</v>
      </c>
    </row>
    <row r="679">
      <c r="O679" s="5"/>
      <c r="P679" s="5"/>
      <c r="T679" s="5" t="s">
        <v>140</v>
      </c>
    </row>
    <row r="680">
      <c r="O680" s="5"/>
      <c r="P680" s="5"/>
      <c r="T680" s="5" t="s">
        <v>140</v>
      </c>
    </row>
    <row r="681">
      <c r="O681" s="5"/>
      <c r="P681" s="5"/>
      <c r="T681" s="5" t="s">
        <v>140</v>
      </c>
    </row>
    <row r="682">
      <c r="O682" s="5"/>
      <c r="P682" s="5"/>
      <c r="T682" s="5" t="s">
        <v>140</v>
      </c>
    </row>
    <row r="683">
      <c r="O683" s="5"/>
      <c r="P683" s="5"/>
      <c r="T683" s="5" t="s">
        <v>140</v>
      </c>
    </row>
    <row r="684">
      <c r="O684" s="5"/>
      <c r="P684" s="5"/>
      <c r="T684" s="5" t="s">
        <v>140</v>
      </c>
    </row>
    <row r="685">
      <c r="O685" s="5"/>
      <c r="P685" s="5"/>
      <c r="T685" s="5" t="s">
        <v>140</v>
      </c>
    </row>
    <row r="686">
      <c r="O686" s="5"/>
      <c r="P686" s="5"/>
      <c r="T686" s="5" t="s">
        <v>140</v>
      </c>
    </row>
    <row r="687">
      <c r="O687" s="5"/>
      <c r="P687" s="5"/>
      <c r="T687" s="5" t="s">
        <v>140</v>
      </c>
    </row>
    <row r="688">
      <c r="O688" s="5"/>
      <c r="P688" s="5"/>
      <c r="T688" s="5" t="s">
        <v>140</v>
      </c>
    </row>
    <row r="689">
      <c r="O689" s="5"/>
      <c r="P689" s="5"/>
      <c r="T689" s="5" t="s">
        <v>140</v>
      </c>
    </row>
    <row r="690">
      <c r="O690" s="5"/>
      <c r="P690" s="5"/>
      <c r="T690" s="5" t="s">
        <v>140</v>
      </c>
    </row>
    <row r="691">
      <c r="O691" s="5"/>
      <c r="P691" s="5"/>
      <c r="T691" s="5" t="s">
        <v>140</v>
      </c>
    </row>
    <row r="692">
      <c r="O692" s="5"/>
      <c r="P692" s="5"/>
      <c r="T692" s="5" t="s">
        <v>140</v>
      </c>
    </row>
    <row r="693">
      <c r="O693" s="5"/>
      <c r="P693" s="5"/>
      <c r="T693" s="5" t="s">
        <v>140</v>
      </c>
    </row>
    <row r="694">
      <c r="O694" s="5"/>
      <c r="P694" s="5"/>
      <c r="T694" s="5" t="s">
        <v>140</v>
      </c>
    </row>
    <row r="695">
      <c r="O695" s="5"/>
      <c r="P695" s="5"/>
      <c r="T695" s="5" t="s">
        <v>140</v>
      </c>
    </row>
    <row r="696">
      <c r="O696" s="5"/>
      <c r="P696" s="5"/>
      <c r="T696" s="5" t="s">
        <v>140</v>
      </c>
    </row>
    <row r="697">
      <c r="O697" s="5"/>
      <c r="P697" s="5"/>
      <c r="T697" s="5" t="s">
        <v>140</v>
      </c>
    </row>
    <row r="698">
      <c r="O698" s="5"/>
      <c r="P698" s="5"/>
      <c r="T698" s="5" t="s">
        <v>140</v>
      </c>
    </row>
    <row r="699">
      <c r="O699" s="5"/>
      <c r="P699" s="5"/>
      <c r="T699" s="5" t="s">
        <v>140</v>
      </c>
    </row>
    <row r="700">
      <c r="O700" s="5"/>
      <c r="P700" s="5"/>
      <c r="T700" s="5" t="s">
        <v>140</v>
      </c>
    </row>
    <row r="701">
      <c r="O701" s="5"/>
      <c r="P701" s="5"/>
      <c r="T701" s="5" t="s">
        <v>140</v>
      </c>
    </row>
    <row r="702">
      <c r="O702" s="5"/>
      <c r="P702" s="5"/>
      <c r="T702" s="5" t="s">
        <v>140</v>
      </c>
    </row>
    <row r="703">
      <c r="O703" s="5"/>
      <c r="P703" s="5"/>
      <c r="T703" s="5" t="s">
        <v>140</v>
      </c>
    </row>
    <row r="704">
      <c r="O704" s="5"/>
      <c r="P704" s="5"/>
      <c r="T704" s="5" t="s">
        <v>140</v>
      </c>
    </row>
    <row r="705">
      <c r="O705" s="5"/>
      <c r="P705" s="5"/>
      <c r="T705" s="5" t="s">
        <v>140</v>
      </c>
    </row>
    <row r="706">
      <c r="O706" s="5"/>
      <c r="P706" s="5"/>
      <c r="T706" s="5" t="s">
        <v>140</v>
      </c>
    </row>
    <row r="707">
      <c r="O707" s="5"/>
      <c r="P707" s="5"/>
      <c r="T707" s="5" t="s">
        <v>140</v>
      </c>
    </row>
    <row r="708">
      <c r="O708" s="5"/>
      <c r="P708" s="5"/>
      <c r="T708" s="5" t="s">
        <v>140</v>
      </c>
    </row>
    <row r="709">
      <c r="O709" s="5"/>
      <c r="P709" s="5"/>
      <c r="T709" s="5" t="s">
        <v>140</v>
      </c>
    </row>
    <row r="710">
      <c r="O710" s="5"/>
      <c r="P710" s="5"/>
      <c r="T710" s="5" t="s">
        <v>140</v>
      </c>
    </row>
    <row r="711">
      <c r="O711" s="5"/>
      <c r="P711" s="5"/>
      <c r="T711" s="5" t="s">
        <v>140</v>
      </c>
    </row>
    <row r="712">
      <c r="O712" s="5"/>
      <c r="P712" s="5"/>
      <c r="T712" s="5" t="s">
        <v>140</v>
      </c>
    </row>
    <row r="713">
      <c r="O713" s="5"/>
      <c r="P713" s="5"/>
      <c r="T713" s="5" t="s">
        <v>140</v>
      </c>
    </row>
    <row r="714">
      <c r="O714" s="5"/>
      <c r="P714" s="5"/>
      <c r="T714" s="5" t="s">
        <v>140</v>
      </c>
    </row>
    <row r="715">
      <c r="O715" s="5"/>
      <c r="P715" s="5"/>
      <c r="T715" s="5" t="s">
        <v>140</v>
      </c>
    </row>
    <row r="716">
      <c r="O716" s="5"/>
      <c r="P716" s="5"/>
      <c r="T716" s="5" t="s">
        <v>140</v>
      </c>
    </row>
    <row r="717">
      <c r="O717" s="5"/>
      <c r="P717" s="5"/>
      <c r="T717" s="5" t="s">
        <v>140</v>
      </c>
    </row>
    <row r="718">
      <c r="O718" s="5"/>
      <c r="P718" s="5"/>
      <c r="T718" s="5" t="s">
        <v>140</v>
      </c>
    </row>
    <row r="719">
      <c r="O719" s="5"/>
      <c r="P719" s="5"/>
      <c r="T719" s="5" t="s">
        <v>140</v>
      </c>
    </row>
    <row r="720">
      <c r="O720" s="5"/>
      <c r="P720" s="5"/>
      <c r="T720" s="5" t="s">
        <v>140</v>
      </c>
    </row>
    <row r="721">
      <c r="O721" s="5"/>
      <c r="P721" s="5"/>
      <c r="T721" s="5" t="s">
        <v>140</v>
      </c>
    </row>
    <row r="722">
      <c r="O722" s="5"/>
      <c r="P722" s="5"/>
      <c r="T722" s="5" t="s">
        <v>140</v>
      </c>
    </row>
    <row r="723">
      <c r="O723" s="5"/>
      <c r="P723" s="5"/>
      <c r="T723" s="5" t="s">
        <v>140</v>
      </c>
    </row>
    <row r="724">
      <c r="O724" s="5"/>
      <c r="P724" s="5"/>
      <c r="T724" s="5" t="s">
        <v>140</v>
      </c>
    </row>
    <row r="725">
      <c r="O725" s="5"/>
      <c r="P725" s="5"/>
      <c r="T725" s="5" t="s">
        <v>140</v>
      </c>
    </row>
    <row r="726">
      <c r="O726" s="5"/>
      <c r="P726" s="5"/>
      <c r="T726" s="5" t="s">
        <v>140</v>
      </c>
    </row>
    <row r="727">
      <c r="O727" s="5"/>
      <c r="P727" s="5"/>
      <c r="T727" s="5" t="s">
        <v>140</v>
      </c>
    </row>
    <row r="728">
      <c r="O728" s="5"/>
      <c r="P728" s="5"/>
      <c r="T728" s="5" t="s">
        <v>140</v>
      </c>
    </row>
    <row r="729">
      <c r="O729" s="5"/>
      <c r="P729" s="5"/>
      <c r="T729" s="5" t="s">
        <v>140</v>
      </c>
    </row>
    <row r="730">
      <c r="O730" s="5"/>
      <c r="P730" s="5"/>
      <c r="T730" s="5" t="s">
        <v>140</v>
      </c>
    </row>
    <row r="731">
      <c r="O731" s="5"/>
      <c r="P731" s="5"/>
      <c r="T731" s="5" t="s">
        <v>140</v>
      </c>
    </row>
    <row r="732">
      <c r="O732" s="5"/>
      <c r="P732" s="5"/>
      <c r="T732" s="5" t="s">
        <v>140</v>
      </c>
    </row>
    <row r="733">
      <c r="O733" s="5"/>
      <c r="P733" s="5"/>
      <c r="T733" s="5" t="s">
        <v>140</v>
      </c>
    </row>
    <row r="734">
      <c r="O734" s="5"/>
      <c r="P734" s="5"/>
      <c r="T734" s="5" t="s">
        <v>140</v>
      </c>
    </row>
    <row r="735">
      <c r="O735" s="5"/>
      <c r="P735" s="5"/>
      <c r="T735" s="5" t="s">
        <v>140</v>
      </c>
    </row>
    <row r="736">
      <c r="O736" s="5"/>
      <c r="P736" s="5"/>
      <c r="T736" s="5" t="s">
        <v>140</v>
      </c>
    </row>
    <row r="737">
      <c r="O737" s="5"/>
      <c r="P737" s="5"/>
      <c r="T737" s="5" t="s">
        <v>140</v>
      </c>
    </row>
    <row r="738">
      <c r="O738" s="5"/>
      <c r="P738" s="5"/>
      <c r="T738" s="5" t="s">
        <v>140</v>
      </c>
    </row>
    <row r="739">
      <c r="O739" s="5"/>
      <c r="P739" s="5"/>
      <c r="T739" s="5" t="s">
        <v>140</v>
      </c>
    </row>
    <row r="740">
      <c r="O740" s="5"/>
      <c r="P740" s="5"/>
      <c r="T740" s="5" t="s">
        <v>140</v>
      </c>
    </row>
    <row r="741">
      <c r="O741" s="5"/>
      <c r="P741" s="5"/>
      <c r="T741" s="5" t="s">
        <v>140</v>
      </c>
    </row>
    <row r="742">
      <c r="O742" s="5"/>
      <c r="P742" s="5"/>
      <c r="T742" s="5" t="s">
        <v>140</v>
      </c>
    </row>
    <row r="743">
      <c r="O743" s="5"/>
      <c r="P743" s="5"/>
      <c r="T743" s="5" t="s">
        <v>140</v>
      </c>
    </row>
    <row r="744">
      <c r="O744" s="5"/>
      <c r="P744" s="5"/>
      <c r="T744" s="5" t="s">
        <v>140</v>
      </c>
    </row>
    <row r="745">
      <c r="O745" s="5"/>
      <c r="P745" s="5"/>
      <c r="T745" s="5" t="s">
        <v>140</v>
      </c>
    </row>
    <row r="746">
      <c r="O746" s="5"/>
      <c r="P746" s="5"/>
      <c r="T746" s="5" t="s">
        <v>140</v>
      </c>
    </row>
    <row r="747">
      <c r="O747" s="5"/>
      <c r="P747" s="5"/>
      <c r="T747" s="5" t="s">
        <v>140</v>
      </c>
    </row>
    <row r="748">
      <c r="O748" s="5"/>
      <c r="P748" s="5"/>
      <c r="T748" s="5" t="s">
        <v>140</v>
      </c>
    </row>
    <row r="749">
      <c r="O749" s="5"/>
      <c r="P749" s="5"/>
      <c r="T749" s="5" t="s">
        <v>140</v>
      </c>
    </row>
    <row r="750">
      <c r="O750" s="5"/>
      <c r="P750" s="5"/>
      <c r="T750" s="5" t="s">
        <v>140</v>
      </c>
    </row>
    <row r="751">
      <c r="O751" s="5"/>
      <c r="P751" s="5"/>
      <c r="T751" s="5" t="s">
        <v>140</v>
      </c>
    </row>
    <row r="752">
      <c r="O752" s="5"/>
      <c r="P752" s="5"/>
      <c r="T752" s="5" t="s">
        <v>140</v>
      </c>
    </row>
    <row r="753">
      <c r="O753" s="5"/>
      <c r="P753" s="5"/>
      <c r="T753" s="5" t="s">
        <v>140</v>
      </c>
    </row>
    <row r="754">
      <c r="O754" s="5"/>
      <c r="P754" s="5"/>
      <c r="T754" s="5" t="s">
        <v>140</v>
      </c>
    </row>
    <row r="755">
      <c r="O755" s="5"/>
      <c r="P755" s="5"/>
      <c r="T755" s="5" t="s">
        <v>140</v>
      </c>
    </row>
    <row r="756">
      <c r="O756" s="5"/>
      <c r="P756" s="5"/>
      <c r="T756" s="5" t="s">
        <v>140</v>
      </c>
    </row>
    <row r="757">
      <c r="O757" s="5"/>
      <c r="P757" s="5"/>
      <c r="T757" s="5" t="s">
        <v>140</v>
      </c>
    </row>
    <row r="758">
      <c r="O758" s="5"/>
      <c r="P758" s="5"/>
      <c r="T758" s="5" t="s">
        <v>140</v>
      </c>
    </row>
    <row r="759">
      <c r="O759" s="5"/>
      <c r="P759" s="5"/>
      <c r="T759" s="5" t="s">
        <v>140</v>
      </c>
    </row>
    <row r="760">
      <c r="O760" s="5"/>
      <c r="P760" s="5"/>
      <c r="T760" s="5" t="s">
        <v>140</v>
      </c>
    </row>
    <row r="761">
      <c r="O761" s="5"/>
      <c r="P761" s="5"/>
      <c r="T761" s="5" t="s">
        <v>140</v>
      </c>
    </row>
    <row r="762">
      <c r="O762" s="5"/>
      <c r="P762" s="5"/>
      <c r="T762" s="5" t="s">
        <v>140</v>
      </c>
    </row>
    <row r="763">
      <c r="O763" s="5"/>
      <c r="P763" s="5"/>
      <c r="T763" s="5" t="s">
        <v>140</v>
      </c>
    </row>
    <row r="764">
      <c r="O764" s="5"/>
      <c r="P764" s="5"/>
      <c r="T764" s="5" t="s">
        <v>140</v>
      </c>
    </row>
    <row r="765">
      <c r="O765" s="5"/>
      <c r="P765" s="5"/>
      <c r="T765" s="5" t="s">
        <v>140</v>
      </c>
    </row>
    <row r="766">
      <c r="O766" s="5"/>
      <c r="P766" s="5"/>
      <c r="T766" s="5" t="s">
        <v>140</v>
      </c>
    </row>
    <row r="767">
      <c r="O767" s="5"/>
      <c r="P767" s="5"/>
      <c r="T767" s="5" t="s">
        <v>140</v>
      </c>
    </row>
    <row r="768">
      <c r="O768" s="5"/>
      <c r="P768" s="5"/>
      <c r="T768" s="5" t="s">
        <v>140</v>
      </c>
    </row>
    <row r="769">
      <c r="O769" s="5"/>
      <c r="P769" s="5"/>
      <c r="T769" s="5" t="s">
        <v>140</v>
      </c>
    </row>
    <row r="770">
      <c r="O770" s="5"/>
      <c r="P770" s="5"/>
      <c r="T770" s="5" t="s">
        <v>140</v>
      </c>
    </row>
    <row r="771">
      <c r="O771" s="5"/>
      <c r="P771" s="5"/>
      <c r="T771" s="5" t="s">
        <v>140</v>
      </c>
    </row>
    <row r="772">
      <c r="O772" s="5"/>
      <c r="P772" s="5"/>
      <c r="T772" s="5" t="s">
        <v>140</v>
      </c>
    </row>
    <row r="773">
      <c r="O773" s="5"/>
      <c r="P773" s="5"/>
      <c r="T773" s="5" t="s">
        <v>140</v>
      </c>
    </row>
    <row r="774">
      <c r="O774" s="5"/>
      <c r="P774" s="5"/>
      <c r="T774" s="5" t="s">
        <v>140</v>
      </c>
    </row>
    <row r="775">
      <c r="O775" s="5"/>
      <c r="P775" s="5"/>
      <c r="T775" s="5" t="s">
        <v>140</v>
      </c>
    </row>
    <row r="776">
      <c r="O776" s="5"/>
      <c r="P776" s="5"/>
      <c r="T776" s="5" t="s">
        <v>140</v>
      </c>
    </row>
    <row r="777">
      <c r="O777" s="5"/>
      <c r="P777" s="5"/>
      <c r="T777" s="5" t="s">
        <v>140</v>
      </c>
    </row>
    <row r="778">
      <c r="O778" s="5"/>
      <c r="P778" s="5"/>
      <c r="T778" s="5" t="s">
        <v>140</v>
      </c>
    </row>
    <row r="779">
      <c r="O779" s="5"/>
      <c r="P779" s="5"/>
      <c r="T779" s="5" t="s">
        <v>140</v>
      </c>
    </row>
    <row r="780">
      <c r="O780" s="5"/>
      <c r="P780" s="5"/>
      <c r="T780" s="5" t="s">
        <v>140</v>
      </c>
    </row>
    <row r="781">
      <c r="O781" s="5"/>
      <c r="P781" s="5"/>
      <c r="T781" s="5" t="s">
        <v>140</v>
      </c>
    </row>
    <row r="782">
      <c r="O782" s="5"/>
      <c r="P782" s="5"/>
      <c r="T782" s="5" t="s">
        <v>140</v>
      </c>
    </row>
    <row r="783">
      <c r="O783" s="5"/>
      <c r="P783" s="5"/>
      <c r="T783" s="5" t="s">
        <v>140</v>
      </c>
    </row>
    <row r="784">
      <c r="O784" s="5"/>
      <c r="P784" s="5"/>
      <c r="T784" s="5" t="s">
        <v>140</v>
      </c>
    </row>
    <row r="785">
      <c r="O785" s="5"/>
      <c r="P785" s="5"/>
      <c r="T785" s="5" t="s">
        <v>140</v>
      </c>
    </row>
    <row r="786">
      <c r="O786" s="5"/>
      <c r="P786" s="5"/>
      <c r="T786" s="5" t="s">
        <v>140</v>
      </c>
    </row>
    <row r="787">
      <c r="O787" s="5"/>
      <c r="P787" s="5"/>
      <c r="T787" s="5" t="s">
        <v>140</v>
      </c>
    </row>
    <row r="788">
      <c r="O788" s="5"/>
      <c r="P788" s="5"/>
      <c r="T788" s="5" t="s">
        <v>140</v>
      </c>
    </row>
    <row r="789">
      <c r="O789" s="5"/>
      <c r="P789" s="5"/>
      <c r="T789" s="5" t="s">
        <v>140</v>
      </c>
    </row>
    <row r="790">
      <c r="O790" s="5"/>
      <c r="P790" s="5"/>
      <c r="T790" s="5" t="s">
        <v>140</v>
      </c>
    </row>
    <row r="791">
      <c r="O791" s="5"/>
      <c r="P791" s="5"/>
      <c r="T791" s="5" t="s">
        <v>140</v>
      </c>
    </row>
    <row r="792">
      <c r="O792" s="5"/>
      <c r="P792" s="5"/>
      <c r="T792" s="5" t="s">
        <v>140</v>
      </c>
    </row>
    <row r="793">
      <c r="O793" s="5"/>
      <c r="P793" s="5"/>
      <c r="T793" s="5" t="s">
        <v>140</v>
      </c>
    </row>
    <row r="794">
      <c r="O794" s="5"/>
      <c r="P794" s="5"/>
      <c r="T794" s="5" t="s">
        <v>140</v>
      </c>
    </row>
    <row r="795">
      <c r="O795" s="5"/>
      <c r="P795" s="5"/>
      <c r="T795" s="5" t="s">
        <v>140</v>
      </c>
    </row>
    <row r="796">
      <c r="O796" s="5"/>
      <c r="P796" s="5"/>
      <c r="T796" s="5" t="s">
        <v>140</v>
      </c>
    </row>
    <row r="797">
      <c r="O797" s="5"/>
      <c r="P797" s="5"/>
      <c r="T797" s="5" t="s">
        <v>140</v>
      </c>
    </row>
    <row r="798">
      <c r="O798" s="5"/>
      <c r="P798" s="5"/>
      <c r="T798" s="5" t="s">
        <v>140</v>
      </c>
    </row>
    <row r="799">
      <c r="O799" s="5"/>
      <c r="P799" s="5"/>
      <c r="T799" s="5" t="s">
        <v>140</v>
      </c>
    </row>
    <row r="800">
      <c r="O800" s="5"/>
      <c r="P800" s="5"/>
      <c r="T800" s="5" t="s">
        <v>140</v>
      </c>
    </row>
    <row r="801">
      <c r="O801" s="5"/>
      <c r="P801" s="5"/>
      <c r="T801" s="5" t="s">
        <v>140</v>
      </c>
    </row>
    <row r="802">
      <c r="O802" s="5"/>
      <c r="P802" s="5"/>
      <c r="T802" s="5" t="s">
        <v>140</v>
      </c>
    </row>
    <row r="803">
      <c r="O803" s="5"/>
      <c r="P803" s="5"/>
      <c r="T803" s="5" t="s">
        <v>140</v>
      </c>
    </row>
    <row r="804">
      <c r="O804" s="5"/>
      <c r="P804" s="5"/>
      <c r="T804" s="5" t="s">
        <v>140</v>
      </c>
    </row>
    <row r="805">
      <c r="O805" s="5"/>
      <c r="P805" s="5"/>
      <c r="T805" s="5" t="s">
        <v>140</v>
      </c>
    </row>
    <row r="806">
      <c r="O806" s="5"/>
      <c r="P806" s="5"/>
      <c r="T806" s="5" t="s">
        <v>140</v>
      </c>
    </row>
    <row r="807">
      <c r="O807" s="5"/>
      <c r="P807" s="5"/>
      <c r="T807" s="5" t="s">
        <v>140</v>
      </c>
    </row>
    <row r="808">
      <c r="O808" s="5"/>
      <c r="P808" s="5"/>
      <c r="T808" s="5" t="s">
        <v>140</v>
      </c>
    </row>
    <row r="809">
      <c r="O809" s="5"/>
      <c r="P809" s="5"/>
      <c r="T809" s="5" t="s">
        <v>140</v>
      </c>
    </row>
    <row r="810">
      <c r="O810" s="5"/>
      <c r="P810" s="5"/>
      <c r="T810" s="5" t="s">
        <v>140</v>
      </c>
    </row>
    <row r="811">
      <c r="O811" s="5"/>
      <c r="P811" s="5"/>
      <c r="T811" s="5" t="s">
        <v>140</v>
      </c>
    </row>
    <row r="812">
      <c r="O812" s="5"/>
      <c r="P812" s="5"/>
      <c r="T812" s="5" t="s">
        <v>140</v>
      </c>
    </row>
    <row r="813">
      <c r="O813" s="5"/>
      <c r="P813" s="5"/>
      <c r="T813" s="5" t="s">
        <v>140</v>
      </c>
    </row>
    <row r="814">
      <c r="O814" s="5"/>
      <c r="P814" s="5"/>
      <c r="T814" s="5" t="s">
        <v>140</v>
      </c>
    </row>
    <row r="815">
      <c r="O815" s="5"/>
      <c r="P815" s="5"/>
      <c r="T815" s="5" t="s">
        <v>140</v>
      </c>
    </row>
    <row r="816">
      <c r="O816" s="5"/>
      <c r="P816" s="5"/>
      <c r="T816" s="5" t="s">
        <v>140</v>
      </c>
    </row>
    <row r="817">
      <c r="O817" s="5"/>
      <c r="P817" s="5"/>
      <c r="T817" s="5" t="s">
        <v>140</v>
      </c>
    </row>
    <row r="818">
      <c r="O818" s="5"/>
      <c r="P818" s="5"/>
      <c r="T818" s="5" t="s">
        <v>140</v>
      </c>
    </row>
    <row r="819">
      <c r="O819" s="5"/>
      <c r="P819" s="5"/>
      <c r="T819" s="5" t="s">
        <v>140</v>
      </c>
    </row>
    <row r="820">
      <c r="O820" s="5"/>
      <c r="P820" s="5"/>
      <c r="T820" s="5" t="s">
        <v>140</v>
      </c>
    </row>
    <row r="821">
      <c r="O821" s="5"/>
      <c r="P821" s="5"/>
      <c r="T821" s="5" t="s">
        <v>140</v>
      </c>
    </row>
    <row r="822">
      <c r="O822" s="5"/>
      <c r="P822" s="5"/>
      <c r="T822" s="5" t="s">
        <v>140</v>
      </c>
    </row>
    <row r="823">
      <c r="O823" s="5"/>
      <c r="P823" s="5"/>
      <c r="T823" s="5" t="s">
        <v>140</v>
      </c>
    </row>
    <row r="824">
      <c r="O824" s="5"/>
      <c r="P824" s="5"/>
      <c r="T824" s="5" t="s">
        <v>140</v>
      </c>
    </row>
    <row r="825">
      <c r="O825" s="5"/>
      <c r="P825" s="5"/>
      <c r="T825" s="5" t="s">
        <v>140</v>
      </c>
    </row>
    <row r="826">
      <c r="O826" s="5"/>
      <c r="P826" s="5"/>
      <c r="T826" s="5" t="s">
        <v>140</v>
      </c>
    </row>
    <row r="827">
      <c r="O827" s="5"/>
      <c r="P827" s="5"/>
      <c r="T827" s="5" t="s">
        <v>140</v>
      </c>
    </row>
    <row r="828">
      <c r="O828" s="5"/>
      <c r="P828" s="5"/>
      <c r="T828" s="5" t="s">
        <v>140</v>
      </c>
    </row>
    <row r="829">
      <c r="O829" s="5"/>
      <c r="P829" s="5"/>
      <c r="T829" s="5" t="s">
        <v>140</v>
      </c>
    </row>
    <row r="830">
      <c r="O830" s="5"/>
      <c r="P830" s="5"/>
      <c r="T830" s="5" t="s">
        <v>140</v>
      </c>
    </row>
    <row r="831">
      <c r="O831" s="5"/>
      <c r="P831" s="5"/>
      <c r="T831" s="5" t="s">
        <v>140</v>
      </c>
    </row>
    <row r="832">
      <c r="O832" s="5"/>
      <c r="P832" s="5"/>
      <c r="T832" s="5" t="s">
        <v>140</v>
      </c>
    </row>
    <row r="833">
      <c r="O833" s="5"/>
      <c r="P833" s="5"/>
      <c r="T833" s="5" t="s">
        <v>140</v>
      </c>
    </row>
    <row r="834">
      <c r="O834" s="5"/>
      <c r="P834" s="5"/>
      <c r="T834" s="5" t="s">
        <v>140</v>
      </c>
    </row>
    <row r="835">
      <c r="O835" s="5"/>
      <c r="P835" s="5"/>
      <c r="T835" s="5" t="s">
        <v>140</v>
      </c>
    </row>
    <row r="836">
      <c r="O836" s="5"/>
      <c r="P836" s="5"/>
      <c r="T836" s="5" t="s">
        <v>140</v>
      </c>
    </row>
    <row r="837">
      <c r="O837" s="5"/>
      <c r="P837" s="5"/>
      <c r="T837" s="5" t="s">
        <v>140</v>
      </c>
    </row>
    <row r="838">
      <c r="O838" s="5"/>
      <c r="P838" s="5"/>
      <c r="T838" s="5" t="s">
        <v>140</v>
      </c>
    </row>
    <row r="839">
      <c r="O839" s="5"/>
      <c r="P839" s="5"/>
      <c r="T839" s="5" t="s">
        <v>140</v>
      </c>
    </row>
    <row r="840">
      <c r="O840" s="5"/>
      <c r="P840" s="5"/>
      <c r="T840" s="5" t="s">
        <v>140</v>
      </c>
    </row>
    <row r="841">
      <c r="O841" s="5"/>
      <c r="P841" s="5"/>
      <c r="T841" s="5" t="s">
        <v>140</v>
      </c>
    </row>
    <row r="842">
      <c r="O842" s="5"/>
      <c r="P842" s="5"/>
      <c r="T842" s="5" t="s">
        <v>140</v>
      </c>
    </row>
    <row r="843">
      <c r="O843" s="5"/>
      <c r="P843" s="5"/>
      <c r="T843" s="5" t="s">
        <v>140</v>
      </c>
    </row>
    <row r="844">
      <c r="O844" s="5"/>
      <c r="P844" s="5"/>
      <c r="T844" s="5" t="s">
        <v>140</v>
      </c>
    </row>
    <row r="845">
      <c r="O845" s="5"/>
      <c r="P845" s="5"/>
      <c r="T845" s="5" t="s">
        <v>140</v>
      </c>
    </row>
    <row r="846">
      <c r="O846" s="5"/>
      <c r="P846" s="5"/>
      <c r="T846" s="5" t="s">
        <v>140</v>
      </c>
    </row>
    <row r="847">
      <c r="O847" s="5"/>
      <c r="P847" s="5"/>
      <c r="T847" s="5" t="s">
        <v>140</v>
      </c>
    </row>
    <row r="848">
      <c r="O848" s="5"/>
      <c r="P848" s="5"/>
      <c r="T848" s="5" t="s">
        <v>140</v>
      </c>
    </row>
    <row r="849">
      <c r="O849" s="5"/>
      <c r="P849" s="5"/>
      <c r="T849" s="5" t="s">
        <v>140</v>
      </c>
    </row>
    <row r="850">
      <c r="O850" s="5"/>
      <c r="P850" s="5"/>
      <c r="T850" s="5" t="s">
        <v>140</v>
      </c>
    </row>
    <row r="851">
      <c r="O851" s="5"/>
      <c r="P851" s="5"/>
      <c r="T851" s="5" t="s">
        <v>140</v>
      </c>
    </row>
    <row r="852">
      <c r="O852" s="5"/>
      <c r="P852" s="5"/>
      <c r="T852" s="5" t="s">
        <v>140</v>
      </c>
    </row>
    <row r="853">
      <c r="O853" s="5"/>
      <c r="P853" s="5"/>
      <c r="T853" s="5" t="s">
        <v>140</v>
      </c>
    </row>
    <row r="854">
      <c r="O854" s="5"/>
      <c r="P854" s="5"/>
      <c r="T854" s="5" t="s">
        <v>140</v>
      </c>
    </row>
    <row r="855">
      <c r="O855" s="5"/>
      <c r="P855" s="5"/>
      <c r="T855" s="5" t="s">
        <v>140</v>
      </c>
    </row>
    <row r="856">
      <c r="O856" s="5"/>
      <c r="P856" s="5"/>
      <c r="T856" s="5" t="s">
        <v>140</v>
      </c>
    </row>
    <row r="857">
      <c r="O857" s="5"/>
      <c r="P857" s="5"/>
      <c r="T857" s="5" t="s">
        <v>140</v>
      </c>
    </row>
    <row r="858">
      <c r="O858" s="5"/>
      <c r="P858" s="5"/>
      <c r="T858" s="5" t="s">
        <v>140</v>
      </c>
    </row>
    <row r="859">
      <c r="O859" s="5"/>
      <c r="P859" s="5"/>
      <c r="T859" s="5" t="s">
        <v>140</v>
      </c>
    </row>
    <row r="860">
      <c r="O860" s="5"/>
      <c r="P860" s="5"/>
      <c r="T860" s="5" t="s">
        <v>140</v>
      </c>
    </row>
    <row r="861">
      <c r="O861" s="5"/>
      <c r="P861" s="5"/>
      <c r="T861" s="5" t="s">
        <v>140</v>
      </c>
    </row>
    <row r="862">
      <c r="O862" s="5"/>
      <c r="P862" s="5"/>
      <c r="T862" s="5" t="s">
        <v>140</v>
      </c>
    </row>
    <row r="863">
      <c r="O863" s="5"/>
      <c r="P863" s="5"/>
      <c r="T863" s="5" t="s">
        <v>140</v>
      </c>
    </row>
    <row r="864">
      <c r="O864" s="5"/>
      <c r="P864" s="5"/>
      <c r="T864" s="5" t="s">
        <v>140</v>
      </c>
    </row>
    <row r="865">
      <c r="O865" s="5"/>
      <c r="P865" s="5"/>
      <c r="T865" s="5" t="s">
        <v>140</v>
      </c>
    </row>
    <row r="866">
      <c r="O866" s="5"/>
      <c r="P866" s="5"/>
      <c r="T866" s="5" t="s">
        <v>140</v>
      </c>
    </row>
    <row r="867">
      <c r="O867" s="5"/>
      <c r="P867" s="5"/>
      <c r="T867" s="5" t="s">
        <v>140</v>
      </c>
    </row>
    <row r="868">
      <c r="O868" s="5"/>
      <c r="P868" s="5"/>
      <c r="T868" s="5" t="s">
        <v>140</v>
      </c>
    </row>
    <row r="869">
      <c r="O869" s="5"/>
      <c r="P869" s="5"/>
      <c r="T869" s="5" t="s">
        <v>140</v>
      </c>
    </row>
    <row r="870">
      <c r="O870" s="5"/>
      <c r="P870" s="5"/>
      <c r="T870" s="5" t="s">
        <v>140</v>
      </c>
    </row>
    <row r="871">
      <c r="O871" s="5"/>
      <c r="P871" s="5"/>
      <c r="T871" s="5" t="s">
        <v>140</v>
      </c>
    </row>
    <row r="872">
      <c r="O872" s="5"/>
      <c r="P872" s="5"/>
      <c r="T872" s="5" t="s">
        <v>140</v>
      </c>
    </row>
    <row r="873">
      <c r="O873" s="5"/>
      <c r="P873" s="5"/>
      <c r="T873" s="5" t="s">
        <v>140</v>
      </c>
    </row>
    <row r="874">
      <c r="O874" s="5"/>
      <c r="P874" s="5"/>
      <c r="T874" s="5" t="s">
        <v>140</v>
      </c>
    </row>
    <row r="875">
      <c r="O875" s="5"/>
      <c r="P875" s="5"/>
      <c r="T875" s="5" t="s">
        <v>140</v>
      </c>
    </row>
    <row r="876">
      <c r="O876" s="5"/>
      <c r="P876" s="5"/>
      <c r="T876" s="5" t="s">
        <v>140</v>
      </c>
    </row>
    <row r="877">
      <c r="O877" s="5"/>
      <c r="P877" s="5"/>
      <c r="T877" s="5" t="s">
        <v>140</v>
      </c>
    </row>
    <row r="878">
      <c r="O878" s="5"/>
      <c r="P878" s="5"/>
      <c r="T878" s="5" t="s">
        <v>140</v>
      </c>
    </row>
    <row r="879">
      <c r="O879" s="5"/>
      <c r="P879" s="5"/>
      <c r="T879" s="5" t="s">
        <v>140</v>
      </c>
    </row>
    <row r="880">
      <c r="O880" s="5"/>
      <c r="P880" s="5"/>
      <c r="T880" s="5" t="s">
        <v>140</v>
      </c>
    </row>
    <row r="881">
      <c r="O881" s="5"/>
      <c r="P881" s="5"/>
      <c r="T881" s="5" t="s">
        <v>140</v>
      </c>
    </row>
    <row r="882">
      <c r="O882" s="5"/>
      <c r="P882" s="5"/>
      <c r="T882" s="5" t="s">
        <v>140</v>
      </c>
    </row>
    <row r="883">
      <c r="O883" s="5"/>
      <c r="P883" s="5"/>
      <c r="T883" s="5" t="s">
        <v>140</v>
      </c>
    </row>
    <row r="884">
      <c r="O884" s="5"/>
      <c r="P884" s="5"/>
      <c r="T884" s="5" t="s">
        <v>140</v>
      </c>
    </row>
    <row r="885">
      <c r="O885" s="5"/>
      <c r="P885" s="5"/>
      <c r="T885" s="5" t="s">
        <v>140</v>
      </c>
    </row>
    <row r="886">
      <c r="O886" s="5"/>
      <c r="P886" s="5"/>
      <c r="T886" s="5" t="s">
        <v>140</v>
      </c>
    </row>
    <row r="887">
      <c r="O887" s="5"/>
      <c r="P887" s="5"/>
      <c r="T887" s="5" t="s">
        <v>140</v>
      </c>
    </row>
    <row r="888">
      <c r="O888" s="5"/>
      <c r="P888" s="5"/>
      <c r="T888" s="5" t="s">
        <v>140</v>
      </c>
    </row>
    <row r="889">
      <c r="O889" s="5"/>
      <c r="P889" s="5"/>
      <c r="T889" s="5" t="s">
        <v>140</v>
      </c>
    </row>
    <row r="890">
      <c r="O890" s="5"/>
      <c r="P890" s="5"/>
      <c r="T890" s="5" t="s">
        <v>140</v>
      </c>
    </row>
    <row r="891">
      <c r="O891" s="5"/>
      <c r="P891" s="5"/>
      <c r="T891" s="5" t="s">
        <v>140</v>
      </c>
    </row>
    <row r="892">
      <c r="O892" s="5"/>
      <c r="P892" s="5"/>
      <c r="T892" s="5" t="s">
        <v>140</v>
      </c>
    </row>
    <row r="893">
      <c r="O893" s="5"/>
      <c r="P893" s="5"/>
      <c r="T893" s="5" t="s">
        <v>140</v>
      </c>
    </row>
    <row r="894">
      <c r="O894" s="5"/>
      <c r="P894" s="5"/>
      <c r="T894" s="5" t="s">
        <v>140</v>
      </c>
    </row>
    <row r="895">
      <c r="O895" s="5"/>
      <c r="P895" s="5"/>
      <c r="T895" s="5" t="s">
        <v>140</v>
      </c>
    </row>
    <row r="896">
      <c r="O896" s="5"/>
      <c r="P896" s="5"/>
      <c r="T896" s="5" t="s">
        <v>140</v>
      </c>
    </row>
    <row r="897">
      <c r="O897" s="5"/>
      <c r="P897" s="5"/>
      <c r="T897" s="5" t="s">
        <v>140</v>
      </c>
    </row>
    <row r="898">
      <c r="O898" s="5"/>
      <c r="P898" s="5"/>
      <c r="T898" s="5" t="s">
        <v>140</v>
      </c>
    </row>
    <row r="899">
      <c r="O899" s="5"/>
      <c r="P899" s="5"/>
      <c r="T899" s="5" t="s">
        <v>140</v>
      </c>
    </row>
    <row r="900">
      <c r="O900" s="5"/>
      <c r="P900" s="5"/>
      <c r="T900" s="5" t="s">
        <v>140</v>
      </c>
    </row>
    <row r="901">
      <c r="O901" s="5"/>
      <c r="P901" s="5"/>
      <c r="T901" s="5" t="s">
        <v>140</v>
      </c>
    </row>
    <row r="902">
      <c r="O902" s="5"/>
      <c r="P902" s="5"/>
      <c r="T902" s="5" t="s">
        <v>140</v>
      </c>
    </row>
    <row r="903">
      <c r="O903" s="5"/>
      <c r="P903" s="5"/>
      <c r="T903" s="5" t="s">
        <v>140</v>
      </c>
    </row>
    <row r="904">
      <c r="O904" s="5"/>
      <c r="P904" s="5"/>
      <c r="T904" s="5" t="s">
        <v>140</v>
      </c>
    </row>
    <row r="905">
      <c r="O905" s="5"/>
      <c r="P905" s="5"/>
      <c r="T905" s="5" t="s">
        <v>140</v>
      </c>
    </row>
    <row r="906">
      <c r="O906" s="5"/>
      <c r="P906" s="5"/>
      <c r="T906" s="5" t="s">
        <v>140</v>
      </c>
    </row>
    <row r="907">
      <c r="O907" s="5"/>
      <c r="P907" s="5"/>
      <c r="T907" s="5" t="s">
        <v>140</v>
      </c>
    </row>
    <row r="908">
      <c r="O908" s="5"/>
      <c r="P908" s="5"/>
      <c r="T908" s="5" t="s">
        <v>140</v>
      </c>
    </row>
    <row r="909">
      <c r="O909" s="5"/>
      <c r="P909" s="5"/>
      <c r="T909" s="5" t="s">
        <v>140</v>
      </c>
    </row>
    <row r="910">
      <c r="O910" s="5"/>
      <c r="P910" s="5"/>
      <c r="T910" s="5" t="s">
        <v>140</v>
      </c>
    </row>
    <row r="911">
      <c r="O911" s="5"/>
      <c r="P911" s="5"/>
      <c r="T911" s="5" t="s">
        <v>140</v>
      </c>
    </row>
    <row r="912">
      <c r="O912" s="5"/>
      <c r="P912" s="5"/>
      <c r="T912" s="5" t="s">
        <v>140</v>
      </c>
    </row>
    <row r="913">
      <c r="O913" s="5"/>
      <c r="P913" s="5"/>
      <c r="T913" s="5" t="s">
        <v>140</v>
      </c>
    </row>
    <row r="914">
      <c r="O914" s="5"/>
      <c r="P914" s="5"/>
      <c r="T914" s="5" t="s">
        <v>140</v>
      </c>
    </row>
    <row r="915">
      <c r="O915" s="5"/>
      <c r="P915" s="5"/>
      <c r="T915" s="5" t="s">
        <v>140</v>
      </c>
    </row>
    <row r="916">
      <c r="O916" s="5"/>
      <c r="P916" s="5"/>
      <c r="T916" s="5" t="s">
        <v>140</v>
      </c>
    </row>
    <row r="917">
      <c r="O917" s="5"/>
      <c r="P917" s="5"/>
      <c r="T917" s="5" t="s">
        <v>140</v>
      </c>
    </row>
    <row r="918">
      <c r="O918" s="5"/>
      <c r="P918" s="5"/>
      <c r="T918" s="5" t="s">
        <v>140</v>
      </c>
    </row>
    <row r="919">
      <c r="O919" s="5"/>
      <c r="P919" s="5"/>
      <c r="T919" s="5" t="s">
        <v>140</v>
      </c>
    </row>
    <row r="920">
      <c r="O920" s="5"/>
      <c r="P920" s="5"/>
      <c r="T920" s="5" t="s">
        <v>140</v>
      </c>
    </row>
    <row r="921">
      <c r="O921" s="5"/>
      <c r="P921" s="5"/>
      <c r="T921" s="5" t="s">
        <v>140</v>
      </c>
    </row>
    <row r="922">
      <c r="O922" s="5"/>
      <c r="P922" s="5"/>
      <c r="T922" s="5" t="s">
        <v>140</v>
      </c>
    </row>
    <row r="923">
      <c r="O923" s="5"/>
      <c r="P923" s="5"/>
      <c r="T923" s="5" t="s">
        <v>140</v>
      </c>
    </row>
    <row r="924">
      <c r="O924" s="5"/>
      <c r="P924" s="5"/>
      <c r="T924" s="5" t="s">
        <v>140</v>
      </c>
    </row>
    <row r="925">
      <c r="O925" s="5"/>
      <c r="P925" s="5"/>
      <c r="T925" s="5" t="s">
        <v>140</v>
      </c>
    </row>
    <row r="926">
      <c r="O926" s="5"/>
      <c r="P926" s="5"/>
      <c r="T926" s="5" t="s">
        <v>140</v>
      </c>
    </row>
    <row r="927">
      <c r="O927" s="5"/>
      <c r="P927" s="5"/>
      <c r="T927" s="5" t="s">
        <v>140</v>
      </c>
    </row>
    <row r="928">
      <c r="O928" s="5"/>
      <c r="P928" s="5"/>
      <c r="T928" s="5" t="s">
        <v>140</v>
      </c>
    </row>
    <row r="929">
      <c r="O929" s="5"/>
      <c r="P929" s="5"/>
      <c r="T929" s="5" t="s">
        <v>140</v>
      </c>
    </row>
    <row r="930">
      <c r="O930" s="5"/>
      <c r="P930" s="5"/>
      <c r="T930" s="5" t="s">
        <v>140</v>
      </c>
    </row>
    <row r="931">
      <c r="O931" s="5"/>
      <c r="P931" s="5"/>
      <c r="T931" s="5" t="s">
        <v>140</v>
      </c>
    </row>
    <row r="932">
      <c r="O932" s="5"/>
      <c r="P932" s="5"/>
      <c r="T932" s="5" t="s">
        <v>140</v>
      </c>
    </row>
    <row r="933">
      <c r="O933" s="5"/>
      <c r="P933" s="5"/>
      <c r="T933" s="5" t="s">
        <v>140</v>
      </c>
    </row>
    <row r="934">
      <c r="O934" s="5"/>
      <c r="P934" s="5"/>
      <c r="T934" s="5" t="s">
        <v>140</v>
      </c>
    </row>
    <row r="935">
      <c r="O935" s="5"/>
      <c r="P935" s="5"/>
      <c r="T935" s="5" t="s">
        <v>140</v>
      </c>
    </row>
    <row r="936">
      <c r="O936" s="5"/>
      <c r="P936" s="5"/>
      <c r="T936" s="5" t="s">
        <v>140</v>
      </c>
    </row>
    <row r="937">
      <c r="O937" s="5"/>
      <c r="P937" s="5"/>
      <c r="T937" s="5" t="s">
        <v>140</v>
      </c>
    </row>
    <row r="938">
      <c r="O938" s="5"/>
      <c r="P938" s="5"/>
      <c r="T938" s="5" t="s">
        <v>140</v>
      </c>
    </row>
    <row r="939">
      <c r="O939" s="5"/>
      <c r="P939" s="5"/>
      <c r="T939" s="5" t="s">
        <v>140</v>
      </c>
    </row>
    <row r="940">
      <c r="O940" s="5"/>
      <c r="P940" s="5"/>
      <c r="T940" s="5" t="s">
        <v>140</v>
      </c>
    </row>
    <row r="941">
      <c r="O941" s="5"/>
      <c r="P941" s="5"/>
      <c r="T941" s="5" t="s">
        <v>140</v>
      </c>
    </row>
    <row r="942">
      <c r="O942" s="5"/>
      <c r="P942" s="5"/>
      <c r="T942" s="5" t="s">
        <v>140</v>
      </c>
    </row>
    <row r="943">
      <c r="O943" s="5"/>
      <c r="P943" s="5"/>
      <c r="T943" s="5" t="s">
        <v>140</v>
      </c>
    </row>
    <row r="944">
      <c r="O944" s="5"/>
      <c r="P944" s="5"/>
      <c r="T944" s="5" t="s">
        <v>140</v>
      </c>
    </row>
    <row r="945">
      <c r="O945" s="5"/>
      <c r="P945" s="5"/>
      <c r="T945" s="5" t="s">
        <v>140</v>
      </c>
    </row>
    <row r="946">
      <c r="O946" s="5"/>
      <c r="P946" s="5"/>
      <c r="T946" s="5" t="s">
        <v>140</v>
      </c>
    </row>
    <row r="947">
      <c r="O947" s="5"/>
      <c r="P947" s="5"/>
      <c r="T947" s="5" t="s">
        <v>140</v>
      </c>
    </row>
    <row r="948">
      <c r="O948" s="5"/>
      <c r="P948" s="5"/>
      <c r="T948" s="5" t="s">
        <v>140</v>
      </c>
    </row>
    <row r="949">
      <c r="O949" s="5"/>
      <c r="P949" s="5"/>
      <c r="T949" s="5" t="s">
        <v>140</v>
      </c>
    </row>
    <row r="950">
      <c r="O950" s="5"/>
      <c r="P950" s="5"/>
      <c r="T950" s="5" t="s">
        <v>140</v>
      </c>
    </row>
    <row r="951">
      <c r="O951" s="5"/>
      <c r="P951" s="5"/>
      <c r="T951" s="5" t="s">
        <v>140</v>
      </c>
    </row>
    <row r="952">
      <c r="O952" s="5"/>
      <c r="P952" s="5"/>
      <c r="T952" s="5" t="s">
        <v>140</v>
      </c>
    </row>
    <row r="953">
      <c r="O953" s="5"/>
      <c r="P953" s="5"/>
      <c r="T953" s="5" t="s">
        <v>140</v>
      </c>
    </row>
    <row r="954">
      <c r="O954" s="5"/>
      <c r="P954" s="5"/>
      <c r="T954" s="5" t="s">
        <v>140</v>
      </c>
    </row>
    <row r="955">
      <c r="O955" s="5"/>
      <c r="P955" s="5"/>
      <c r="T955" s="5" t="s">
        <v>140</v>
      </c>
    </row>
    <row r="956">
      <c r="O956" s="5"/>
      <c r="P956" s="5"/>
      <c r="T956" s="5" t="s">
        <v>140</v>
      </c>
    </row>
    <row r="957">
      <c r="O957" s="5"/>
      <c r="P957" s="5"/>
      <c r="T957" s="5" t="s">
        <v>140</v>
      </c>
    </row>
    <row r="958">
      <c r="O958" s="5"/>
      <c r="P958" s="5"/>
      <c r="T958" s="5" t="s">
        <v>140</v>
      </c>
    </row>
    <row r="959">
      <c r="O959" s="5"/>
      <c r="P959" s="5"/>
      <c r="T959" s="5" t="s">
        <v>140</v>
      </c>
    </row>
    <row r="960">
      <c r="O960" s="5"/>
      <c r="P960" s="5"/>
      <c r="T960" s="5" t="s">
        <v>140</v>
      </c>
    </row>
    <row r="961">
      <c r="O961" s="5"/>
      <c r="P961" s="5"/>
      <c r="T961" s="5" t="s">
        <v>140</v>
      </c>
    </row>
    <row r="962">
      <c r="O962" s="5"/>
      <c r="P962" s="5"/>
      <c r="T962" s="5" t="s">
        <v>140</v>
      </c>
    </row>
    <row r="963">
      <c r="O963" s="5"/>
      <c r="P963" s="5"/>
      <c r="T963" s="5" t="s">
        <v>140</v>
      </c>
    </row>
    <row r="964">
      <c r="O964" s="5"/>
      <c r="P964" s="5"/>
      <c r="T964" s="5" t="s">
        <v>140</v>
      </c>
    </row>
    <row r="965">
      <c r="O965" s="5"/>
      <c r="P965" s="5"/>
      <c r="T965" s="5" t="s">
        <v>140</v>
      </c>
    </row>
    <row r="966">
      <c r="O966" s="5"/>
      <c r="P966" s="5"/>
      <c r="T966" s="5" t="s">
        <v>140</v>
      </c>
    </row>
    <row r="967">
      <c r="O967" s="5"/>
      <c r="P967" s="5"/>
      <c r="T967" s="5" t="s">
        <v>140</v>
      </c>
    </row>
    <row r="968">
      <c r="O968" s="5"/>
      <c r="P968" s="5"/>
      <c r="T968" s="5" t="s">
        <v>140</v>
      </c>
    </row>
    <row r="969">
      <c r="O969" s="5"/>
      <c r="P969" s="5"/>
      <c r="T969" s="5" t="s">
        <v>140</v>
      </c>
    </row>
    <row r="970">
      <c r="O970" s="5"/>
      <c r="P970" s="5"/>
      <c r="T970" s="5" t="s">
        <v>140</v>
      </c>
    </row>
    <row r="971">
      <c r="O971" s="5"/>
      <c r="P971" s="5"/>
      <c r="T971" s="5" t="s">
        <v>140</v>
      </c>
    </row>
    <row r="972">
      <c r="O972" s="5"/>
      <c r="P972" s="5"/>
      <c r="T972" s="5" t="s">
        <v>140</v>
      </c>
    </row>
    <row r="973">
      <c r="O973" s="5"/>
      <c r="P973" s="5"/>
      <c r="T973" s="5" t="s">
        <v>140</v>
      </c>
    </row>
    <row r="974">
      <c r="O974" s="5"/>
      <c r="P974" s="5"/>
      <c r="T974" s="5" t="s">
        <v>140</v>
      </c>
    </row>
    <row r="975">
      <c r="O975" s="5"/>
      <c r="P975" s="5"/>
      <c r="T975" s="5" t="s">
        <v>140</v>
      </c>
    </row>
    <row r="976">
      <c r="O976" s="5"/>
      <c r="P976" s="5"/>
      <c r="T976" s="5" t="s">
        <v>140</v>
      </c>
    </row>
    <row r="977">
      <c r="O977" s="5"/>
      <c r="P977" s="5"/>
      <c r="T977" s="5" t="s">
        <v>140</v>
      </c>
    </row>
    <row r="978">
      <c r="O978" s="5"/>
      <c r="P978" s="5"/>
      <c r="T978" s="5" t="s">
        <v>140</v>
      </c>
    </row>
    <row r="979">
      <c r="O979" s="5"/>
      <c r="P979" s="5"/>
      <c r="T979" s="5" t="s">
        <v>140</v>
      </c>
    </row>
    <row r="980">
      <c r="O980" s="5"/>
      <c r="P980" s="5"/>
      <c r="T980" s="5" t="s">
        <v>140</v>
      </c>
    </row>
    <row r="981">
      <c r="O981" s="5"/>
      <c r="P981" s="5"/>
      <c r="T981" s="5" t="s">
        <v>140</v>
      </c>
    </row>
    <row r="982">
      <c r="O982" s="5"/>
      <c r="P982" s="5"/>
      <c r="T982" s="5" t="s">
        <v>140</v>
      </c>
    </row>
    <row r="983">
      <c r="O983" s="5"/>
      <c r="P983" s="5"/>
      <c r="T983" s="5" t="s">
        <v>140</v>
      </c>
    </row>
    <row r="984">
      <c r="O984" s="5"/>
      <c r="P984" s="5"/>
      <c r="T984" s="5" t="s">
        <v>140</v>
      </c>
    </row>
    <row r="985">
      <c r="O985" s="5"/>
      <c r="P985" s="5"/>
      <c r="T985" s="5" t="s">
        <v>140</v>
      </c>
    </row>
    <row r="986">
      <c r="O986" s="5"/>
      <c r="P986" s="5"/>
      <c r="T986" s="5" t="s">
        <v>140</v>
      </c>
    </row>
    <row r="987">
      <c r="O987" s="5"/>
      <c r="P987" s="5"/>
      <c r="T987" s="5" t="s">
        <v>140</v>
      </c>
    </row>
    <row r="988">
      <c r="O988" s="5"/>
      <c r="P988" s="5"/>
      <c r="T988" s="5" t="s">
        <v>140</v>
      </c>
    </row>
    <row r="989">
      <c r="O989" s="5"/>
      <c r="P989" s="5"/>
      <c r="T989" s="5" t="s">
        <v>140</v>
      </c>
    </row>
    <row r="990">
      <c r="O990" s="5"/>
      <c r="P990" s="5"/>
      <c r="T990" s="5" t="s">
        <v>140</v>
      </c>
    </row>
    <row r="991">
      <c r="O991" s="5"/>
      <c r="P991" s="5"/>
      <c r="T991" s="5" t="s">
        <v>140</v>
      </c>
    </row>
    <row r="992">
      <c r="O992" s="5"/>
      <c r="P992" s="5"/>
      <c r="T992" s="5" t="s">
        <v>140</v>
      </c>
    </row>
    <row r="993">
      <c r="O993" s="5"/>
      <c r="P993" s="5"/>
      <c r="T993" s="5" t="s">
        <v>140</v>
      </c>
    </row>
    <row r="994">
      <c r="O994" s="5"/>
      <c r="P994" s="5"/>
      <c r="T994" s="5" t="s">
        <v>140</v>
      </c>
    </row>
    <row r="995">
      <c r="O995" s="5"/>
      <c r="P995" s="5"/>
      <c r="T995" s="5" t="s">
        <v>140</v>
      </c>
    </row>
    <row r="996">
      <c r="O996" s="5"/>
      <c r="P996" s="5"/>
      <c r="T996" s="5" t="s">
        <v>140</v>
      </c>
    </row>
    <row r="997">
      <c r="O997" s="5"/>
      <c r="P997" s="5"/>
      <c r="T997" s="5" t="s">
        <v>140</v>
      </c>
    </row>
    <row r="998">
      <c r="O998" s="5"/>
      <c r="P998" s="5"/>
      <c r="T998" s="5" t="s">
        <v>140</v>
      </c>
    </row>
    <row r="999">
      <c r="O999" s="5"/>
      <c r="P999" s="5"/>
      <c r="T999" s="5" t="s">
        <v>140</v>
      </c>
    </row>
    <row r="1000">
      <c r="O1000" s="5"/>
      <c r="P1000" s="5"/>
      <c r="T1000" s="5" t="s">
        <v>140</v>
      </c>
    </row>
    <row r="1001">
      <c r="O1001" s="5"/>
      <c r="P1001" s="5"/>
      <c r="T1001" s="5" t="s">
        <v>140</v>
      </c>
    </row>
    <row r="1002">
      <c r="O1002" s="5"/>
      <c r="P1002" s="5"/>
      <c r="T1002" s="5" t="s">
        <v>140</v>
      </c>
    </row>
    <row r="1003">
      <c r="O1003" s="5"/>
      <c r="P1003" s="5"/>
      <c r="T1003" s="5" t="s">
        <v>140</v>
      </c>
    </row>
    <row r="1004">
      <c r="O1004" s="5"/>
      <c r="P1004" s="5"/>
      <c r="T1004" s="5" t="s">
        <v>140</v>
      </c>
    </row>
    <row r="1005">
      <c r="O1005" s="5"/>
      <c r="P1005" s="5"/>
      <c r="T1005" s="5" t="s">
        <v>140</v>
      </c>
    </row>
    <row r="1006">
      <c r="O1006" s="5"/>
      <c r="P1006" s="5"/>
      <c r="T1006" s="5" t="s">
        <v>140</v>
      </c>
    </row>
    <row r="1007">
      <c r="O1007" s="5"/>
      <c r="P1007" s="5"/>
      <c r="T1007" s="5" t="s">
        <v>140</v>
      </c>
    </row>
    <row r="1008">
      <c r="O1008" s="5"/>
      <c r="P1008" s="5"/>
      <c r="T1008" s="5" t="s">
        <v>140</v>
      </c>
    </row>
    <row r="1009">
      <c r="O1009" s="5"/>
      <c r="P1009" s="5"/>
      <c r="T1009" s="5" t="s">
        <v>140</v>
      </c>
    </row>
    <row r="1010">
      <c r="O1010" s="5"/>
      <c r="P1010" s="5"/>
      <c r="T1010" s="5" t="s">
        <v>140</v>
      </c>
    </row>
    <row r="1011">
      <c r="O1011" s="5"/>
      <c r="P1011" s="5"/>
      <c r="T1011" s="5" t="s">
        <v>140</v>
      </c>
    </row>
    <row r="1012">
      <c r="O1012" s="5"/>
      <c r="P1012" s="5"/>
      <c r="T1012" s="5" t="s">
        <v>140</v>
      </c>
    </row>
    <row r="1013">
      <c r="O1013" s="5"/>
      <c r="P1013" s="5"/>
      <c r="T1013" s="5" t="s">
        <v>140</v>
      </c>
    </row>
    <row r="1014">
      <c r="O1014" s="5"/>
      <c r="P1014" s="5"/>
      <c r="T1014" s="5" t="s">
        <v>140</v>
      </c>
    </row>
    <row r="1015">
      <c r="O1015" s="5"/>
      <c r="P1015" s="5"/>
      <c r="T1015" s="5" t="s">
        <v>140</v>
      </c>
    </row>
    <row r="1016">
      <c r="O1016" s="5"/>
      <c r="P1016" s="5"/>
      <c r="T1016" s="5" t="s">
        <v>140</v>
      </c>
    </row>
    <row r="1017">
      <c r="O1017" s="5"/>
      <c r="P1017" s="5"/>
      <c r="T1017" s="5" t="s">
        <v>140</v>
      </c>
    </row>
    <row r="1018">
      <c r="O1018" s="5"/>
      <c r="P1018" s="5"/>
      <c r="T1018" s="5" t="s">
        <v>140</v>
      </c>
    </row>
    <row r="1019">
      <c r="O1019" s="5"/>
      <c r="P1019" s="5"/>
      <c r="T1019" s="5" t="s">
        <v>140</v>
      </c>
    </row>
    <row r="1020">
      <c r="O1020" s="5"/>
      <c r="P1020" s="5"/>
      <c r="T1020" s="5" t="s">
        <v>140</v>
      </c>
    </row>
    <row r="1021">
      <c r="O1021" s="5"/>
      <c r="P1021" s="5"/>
      <c r="T1021" s="5" t="s">
        <v>140</v>
      </c>
    </row>
    <row r="1022">
      <c r="O1022" s="5"/>
      <c r="P1022" s="5"/>
      <c r="T1022" s="5" t="s">
        <v>140</v>
      </c>
    </row>
    <row r="1023">
      <c r="O1023" s="5"/>
      <c r="P1023" s="5"/>
      <c r="T1023" s="5" t="s">
        <v>140</v>
      </c>
    </row>
    <row r="1024">
      <c r="O1024" s="5"/>
      <c r="P1024" s="5"/>
      <c r="T1024" s="5" t="s">
        <v>140</v>
      </c>
    </row>
    <row r="1025">
      <c r="O1025" s="5"/>
      <c r="P1025" s="5"/>
      <c r="T1025" s="5" t="s">
        <v>140</v>
      </c>
    </row>
    <row r="1026">
      <c r="O1026" s="5"/>
      <c r="P1026" s="5"/>
      <c r="T1026" s="5" t="s">
        <v>140</v>
      </c>
    </row>
    <row r="1027">
      <c r="O1027" s="5"/>
      <c r="P1027" s="5"/>
      <c r="T1027" s="5" t="s">
        <v>140</v>
      </c>
    </row>
    <row r="1028">
      <c r="O1028" s="5"/>
      <c r="P1028" s="5"/>
      <c r="T1028" s="5" t="s">
        <v>140</v>
      </c>
    </row>
    <row r="1029">
      <c r="O1029" s="5"/>
      <c r="P1029" s="5"/>
      <c r="T1029" s="5" t="s">
        <v>140</v>
      </c>
    </row>
    <row r="1030">
      <c r="O1030" s="5"/>
      <c r="P1030" s="5"/>
      <c r="T1030" s="5" t="s">
        <v>140</v>
      </c>
    </row>
    <row r="1031">
      <c r="O1031" s="5"/>
      <c r="P1031" s="5"/>
      <c r="T1031" s="5" t="s">
        <v>140</v>
      </c>
    </row>
    <row r="1032">
      <c r="O1032" s="5"/>
      <c r="P1032" s="5"/>
      <c r="T1032" s="5" t="s">
        <v>140</v>
      </c>
    </row>
    <row r="1033">
      <c r="O1033" s="5"/>
      <c r="P1033" s="5"/>
      <c r="T1033" s="5" t="s">
        <v>140</v>
      </c>
    </row>
    <row r="1034">
      <c r="O1034" s="5"/>
      <c r="P1034" s="5"/>
      <c r="T1034" s="5" t="s">
        <v>140</v>
      </c>
    </row>
    <row r="1035">
      <c r="O1035" s="5"/>
      <c r="P1035" s="5"/>
      <c r="T1035" s="5" t="s">
        <v>140</v>
      </c>
    </row>
    <row r="1036">
      <c r="O1036" s="5"/>
      <c r="P1036" s="5"/>
      <c r="T1036" s="5" t="s">
        <v>140</v>
      </c>
    </row>
    <row r="1037">
      <c r="O1037" s="5"/>
      <c r="P1037" s="5"/>
      <c r="T1037" s="5" t="s">
        <v>140</v>
      </c>
    </row>
    <row r="1038">
      <c r="O1038" s="5"/>
      <c r="P1038" s="5"/>
      <c r="T1038" s="5" t="s">
        <v>140</v>
      </c>
    </row>
    <row r="1039">
      <c r="O1039" s="5"/>
      <c r="P1039" s="5"/>
      <c r="T1039" s="5" t="s">
        <v>140</v>
      </c>
    </row>
    <row r="1040">
      <c r="O1040" s="5"/>
      <c r="P1040" s="5"/>
      <c r="T1040" s="5" t="s">
        <v>140</v>
      </c>
    </row>
    <row r="1041">
      <c r="O1041" s="5"/>
      <c r="P1041" s="5"/>
      <c r="T1041" s="5" t="s">
        <v>140</v>
      </c>
    </row>
    <row r="1042">
      <c r="O1042" s="5"/>
      <c r="P1042" s="5"/>
      <c r="T1042" s="5" t="s">
        <v>140</v>
      </c>
    </row>
    <row r="1043">
      <c r="O1043" s="5"/>
      <c r="P1043" s="5"/>
      <c r="T1043" s="5" t="s">
        <v>140</v>
      </c>
    </row>
    <row r="1044">
      <c r="O1044" s="5"/>
      <c r="P1044" s="5"/>
      <c r="T1044" s="5" t="s">
        <v>140</v>
      </c>
    </row>
    <row r="1045">
      <c r="O1045" s="5"/>
      <c r="P1045" s="5"/>
      <c r="T1045" s="5" t="s">
        <v>140</v>
      </c>
    </row>
    <row r="1046">
      <c r="O1046" s="5"/>
      <c r="P1046" s="5"/>
      <c r="T1046" s="5" t="s">
        <v>140</v>
      </c>
    </row>
    <row r="1047">
      <c r="O1047" s="5"/>
      <c r="P1047" s="5"/>
      <c r="T1047" s="5" t="s">
        <v>140</v>
      </c>
    </row>
    <row r="1048">
      <c r="O1048" s="5"/>
      <c r="P1048" s="5"/>
      <c r="T1048" s="5" t="s">
        <v>140</v>
      </c>
    </row>
    <row r="1049">
      <c r="O1049" s="5"/>
      <c r="P1049" s="5"/>
      <c r="T1049" s="5" t="s">
        <v>140</v>
      </c>
    </row>
    <row r="1050">
      <c r="O1050" s="5"/>
      <c r="P1050" s="5"/>
      <c r="T1050" s="5" t="s">
        <v>140</v>
      </c>
    </row>
    <row r="1051">
      <c r="O1051" s="5"/>
      <c r="P1051" s="5"/>
    </row>
    <row r="1052">
      <c r="O1052" s="5"/>
      <c r="P1052" s="5"/>
    </row>
    <row r="1053">
      <c r="O1053" s="5"/>
      <c r="P1053" s="5"/>
    </row>
    <row r="1054">
      <c r="O1054" s="5"/>
      <c r="P1054" s="5"/>
    </row>
    <row r="1055">
      <c r="O1055" s="5"/>
      <c r="P1055" s="5"/>
    </row>
    <row r="1056">
      <c r="O1056" s="5"/>
      <c r="P1056" s="5"/>
    </row>
    <row r="1057">
      <c r="O1057" s="5"/>
      <c r="P1057" s="5"/>
    </row>
    <row r="1058">
      <c r="O1058" s="5"/>
      <c r="P1058" s="5"/>
    </row>
    <row r="1059">
      <c r="O1059" s="5"/>
      <c r="P1059" s="5"/>
    </row>
    <row r="1060">
      <c r="O1060" s="5"/>
      <c r="P1060" s="5"/>
    </row>
    <row r="1061">
      <c r="O1061" s="5"/>
      <c r="P1061" s="5"/>
    </row>
    <row r="1062">
      <c r="O1062" s="5"/>
      <c r="P1062" s="5"/>
    </row>
    <row r="1063">
      <c r="O1063" s="5"/>
      <c r="P1063" s="5"/>
    </row>
    <row r="1064">
      <c r="O1064" s="5"/>
      <c r="P1064" s="5"/>
    </row>
    <row r="1065">
      <c r="O1065" s="5"/>
      <c r="P1065" s="5"/>
    </row>
    <row r="1066">
      <c r="O1066" s="5"/>
      <c r="P1066" s="5"/>
    </row>
    <row r="1067">
      <c r="O1067" s="5"/>
      <c r="P1067" s="5"/>
    </row>
    <row r="1068">
      <c r="O1068" s="5"/>
      <c r="P1068" s="5"/>
    </row>
    <row r="1069">
      <c r="O1069" s="5"/>
      <c r="P1069" s="5"/>
    </row>
    <row r="1070">
      <c r="O1070" s="5"/>
      <c r="P1070" s="5"/>
    </row>
    <row r="1071">
      <c r="O1071" s="5"/>
      <c r="P1071" s="5"/>
    </row>
    <row r="1072">
      <c r="O1072" s="5"/>
      <c r="P1072" s="5"/>
    </row>
    <row r="1073">
      <c r="O1073" s="5"/>
      <c r="P1073" s="5"/>
    </row>
    <row r="1074">
      <c r="O1074" s="5"/>
      <c r="P1074" s="5"/>
    </row>
    <row r="1075">
      <c r="O1075" s="5"/>
      <c r="P1075" s="5"/>
    </row>
    <row r="1076">
      <c r="O1076" s="5"/>
      <c r="P1076" s="5"/>
    </row>
    <row r="1077">
      <c r="O1077" s="5"/>
      <c r="P1077" s="5"/>
    </row>
    <row r="1078">
      <c r="O1078" s="5"/>
      <c r="P1078" s="5"/>
    </row>
    <row r="1079">
      <c r="O1079" s="5"/>
      <c r="P1079" s="5"/>
    </row>
    <row r="1080">
      <c r="O1080" s="5"/>
      <c r="P1080" s="5"/>
    </row>
    <row r="1081">
      <c r="O1081" s="5"/>
      <c r="P1081" s="5"/>
    </row>
    <row r="1082">
      <c r="O1082" s="5"/>
      <c r="P1082" s="5"/>
    </row>
    <row r="1083">
      <c r="O1083" s="5"/>
      <c r="P1083" s="5"/>
    </row>
    <row r="1084">
      <c r="O1084" s="5"/>
      <c r="P1084" s="5"/>
    </row>
    <row r="1085">
      <c r="O1085" s="5"/>
      <c r="P1085" s="5"/>
    </row>
    <row r="1086">
      <c r="O1086" s="5"/>
      <c r="P1086" s="5"/>
    </row>
    <row r="1087">
      <c r="O1087" s="5"/>
      <c r="P1087" s="5"/>
    </row>
    <row r="1088">
      <c r="O1088" s="5"/>
      <c r="P1088" s="5"/>
    </row>
    <row r="1089">
      <c r="O1089" s="5"/>
      <c r="P1089" s="5"/>
    </row>
    <row r="1090">
      <c r="O1090" s="5"/>
      <c r="P1090" s="5"/>
    </row>
    <row r="1091">
      <c r="O1091" s="5"/>
      <c r="P1091" s="5"/>
    </row>
    <row r="1092">
      <c r="O1092" s="5"/>
      <c r="P1092" s="5"/>
    </row>
    <row r="1093">
      <c r="O1093" s="5"/>
      <c r="P1093" s="5"/>
    </row>
    <row r="1094">
      <c r="O1094" s="5"/>
      <c r="P1094" s="5"/>
    </row>
    <row r="1095">
      <c r="O1095" s="5"/>
      <c r="P1095" s="5"/>
    </row>
    <row r="1096">
      <c r="O1096" s="5"/>
      <c r="P1096" s="5"/>
    </row>
    <row r="1097">
      <c r="O1097" s="5"/>
      <c r="P1097" s="5"/>
    </row>
    <row r="1098">
      <c r="O1098" s="5"/>
      <c r="P1098" s="5"/>
    </row>
    <row r="1099">
      <c r="O1099" s="5"/>
      <c r="P1099" s="5"/>
    </row>
    <row r="1100">
      <c r="O1100" s="5"/>
      <c r="P1100" s="5"/>
    </row>
    <row r="1101">
      <c r="O1101" s="5"/>
      <c r="P1101" s="5"/>
    </row>
    <row r="1102">
      <c r="O1102" s="5"/>
      <c r="P1102" s="5"/>
    </row>
    <row r="1103">
      <c r="O1103" s="5"/>
      <c r="P1103" s="5"/>
    </row>
    <row r="1104">
      <c r="O1104" s="5"/>
      <c r="P1104" s="5"/>
    </row>
    <row r="1105">
      <c r="O1105" s="5"/>
      <c r="P1105" s="5"/>
    </row>
    <row r="1106">
      <c r="O1106" s="5"/>
      <c r="P1106" s="5"/>
    </row>
    <row r="1107">
      <c r="O1107" s="5"/>
      <c r="P1107" s="5"/>
    </row>
    <row r="1108">
      <c r="O1108" s="5"/>
      <c r="P1108" s="5"/>
    </row>
    <row r="1109">
      <c r="O1109" s="5"/>
      <c r="P1109" s="5"/>
    </row>
    <row r="1110">
      <c r="O1110" s="5"/>
      <c r="P1110" s="5"/>
    </row>
    <row r="1111">
      <c r="O1111" s="5"/>
      <c r="P1111" s="5"/>
    </row>
    <row r="1112">
      <c r="O1112" s="5"/>
      <c r="P1112" s="5"/>
    </row>
    <row r="1113">
      <c r="O1113" s="5"/>
      <c r="P1113" s="5"/>
    </row>
    <row r="1114">
      <c r="O1114" s="5"/>
      <c r="P1114" s="5"/>
    </row>
    <row r="1115">
      <c r="O1115" s="5"/>
      <c r="P1115" s="5"/>
    </row>
    <row r="1116">
      <c r="O1116" s="5"/>
      <c r="P1116" s="5"/>
    </row>
    <row r="1117">
      <c r="O1117" s="5"/>
      <c r="P1117" s="5"/>
    </row>
    <row r="1118">
      <c r="O1118" s="5"/>
      <c r="P1118" s="5"/>
    </row>
    <row r="1119">
      <c r="O1119" s="5"/>
      <c r="P1119" s="5"/>
    </row>
    <row r="1120">
      <c r="O1120" s="5"/>
      <c r="P1120" s="5"/>
    </row>
    <row r="1121">
      <c r="O1121" s="5"/>
      <c r="P1121" s="5"/>
    </row>
    <row r="1122">
      <c r="O1122" s="5"/>
      <c r="P1122" s="5"/>
    </row>
    <row r="1123">
      <c r="O1123" s="5"/>
      <c r="P1123" s="5"/>
    </row>
    <row r="1124">
      <c r="O1124" s="5"/>
      <c r="P1124" s="5"/>
    </row>
    <row r="1125">
      <c r="O1125" s="5"/>
      <c r="P1125" s="5"/>
    </row>
    <row r="1126">
      <c r="O1126" s="5"/>
      <c r="P1126" s="5"/>
    </row>
    <row r="1127">
      <c r="O1127" s="5"/>
      <c r="P1127" s="5"/>
    </row>
    <row r="1128">
      <c r="O1128" s="5"/>
      <c r="P1128" s="5"/>
    </row>
    <row r="1129">
      <c r="O1129" s="5"/>
      <c r="P1129" s="5"/>
    </row>
    <row r="1130">
      <c r="O1130" s="5"/>
      <c r="P1130" s="5"/>
    </row>
    <row r="1131">
      <c r="O1131" s="5"/>
      <c r="P1131" s="5"/>
    </row>
    <row r="1132">
      <c r="O1132" s="5"/>
      <c r="P1132" s="5"/>
    </row>
    <row r="1133">
      <c r="O1133" s="5"/>
      <c r="P1133" s="5"/>
    </row>
    <row r="1134">
      <c r="O1134" s="5"/>
      <c r="P1134" s="5"/>
    </row>
    <row r="1135">
      <c r="O1135" s="5"/>
      <c r="P1135" s="5"/>
    </row>
    <row r="1136">
      <c r="O1136" s="5"/>
      <c r="P1136" s="5"/>
    </row>
    <row r="1137">
      <c r="O1137" s="5"/>
      <c r="P1137" s="5"/>
    </row>
    <row r="1138">
      <c r="O1138" s="5"/>
      <c r="P1138" s="5"/>
    </row>
    <row r="1139">
      <c r="O1139" s="5"/>
      <c r="P1139" s="5"/>
    </row>
    <row r="1140">
      <c r="O1140" s="5"/>
      <c r="P1140" s="5"/>
    </row>
    <row r="1141">
      <c r="O1141" s="5"/>
      <c r="P1141" s="5"/>
    </row>
    <row r="1142">
      <c r="O1142" s="5"/>
      <c r="P1142" s="5"/>
    </row>
    <row r="1143">
      <c r="O1143" s="5"/>
      <c r="P1143" s="5"/>
    </row>
    <row r="1144">
      <c r="O1144" s="5"/>
      <c r="P1144" s="5"/>
    </row>
    <row r="1145">
      <c r="O1145" s="5"/>
      <c r="P1145" s="5"/>
    </row>
    <row r="1146">
      <c r="O1146" s="5"/>
      <c r="P1146" s="5"/>
    </row>
    <row r="1147">
      <c r="O1147" s="5"/>
      <c r="P1147" s="5"/>
    </row>
    <row r="1148">
      <c r="O1148" s="5"/>
      <c r="P1148" s="5"/>
    </row>
    <row r="1149">
      <c r="O1149" s="5"/>
      <c r="P1149" s="5"/>
    </row>
    <row r="1150">
      <c r="O1150" s="5"/>
      <c r="P1150" s="5"/>
    </row>
    <row r="1151">
      <c r="O1151" s="5"/>
      <c r="P1151" s="5"/>
    </row>
    <row r="1152">
      <c r="O1152" s="5"/>
      <c r="P1152" s="5"/>
    </row>
    <row r="1153">
      <c r="O1153" s="5"/>
      <c r="P1153" s="5"/>
    </row>
    <row r="1154">
      <c r="O1154" s="5"/>
      <c r="P1154" s="5"/>
    </row>
    <row r="1155">
      <c r="O1155" s="5"/>
      <c r="P1155" s="5"/>
    </row>
    <row r="1156">
      <c r="O1156" s="5"/>
      <c r="P1156" s="5"/>
    </row>
    <row r="1157">
      <c r="O1157" s="5"/>
      <c r="P1157" s="5"/>
    </row>
    <row r="1158">
      <c r="O1158" s="5"/>
      <c r="P1158" s="5"/>
    </row>
    <row r="1159">
      <c r="O1159" s="5"/>
      <c r="P1159" s="5"/>
    </row>
    <row r="1160">
      <c r="O1160" s="5"/>
      <c r="P1160" s="5"/>
    </row>
    <row r="1161">
      <c r="O1161" s="5"/>
      <c r="P1161" s="5"/>
    </row>
    <row r="1162">
      <c r="O1162" s="5"/>
      <c r="P1162" s="5"/>
    </row>
    <row r="1163">
      <c r="O1163" s="5"/>
      <c r="P1163" s="5"/>
    </row>
    <row r="1164">
      <c r="O1164" s="5"/>
      <c r="P1164" s="5"/>
    </row>
    <row r="1165">
      <c r="O1165" s="5"/>
      <c r="P1165" s="5"/>
    </row>
    <row r="1166">
      <c r="O1166" s="5"/>
      <c r="P1166" s="5"/>
    </row>
    <row r="1167">
      <c r="O1167" s="5"/>
      <c r="P1167" s="5"/>
    </row>
    <row r="1168">
      <c r="O1168" s="5"/>
      <c r="P1168" s="5"/>
    </row>
    <row r="1169">
      <c r="O1169" s="5"/>
      <c r="P1169" s="5"/>
    </row>
    <row r="1170">
      <c r="O1170" s="5"/>
      <c r="P1170" s="5"/>
    </row>
    <row r="1171">
      <c r="O1171" s="5"/>
      <c r="P1171" s="5"/>
    </row>
    <row r="1172">
      <c r="O1172" s="5"/>
      <c r="P1172" s="5"/>
    </row>
    <row r="1173">
      <c r="O1173" s="5"/>
      <c r="P1173" s="5"/>
    </row>
    <row r="1174">
      <c r="O1174" s="5"/>
      <c r="P1174" s="5"/>
    </row>
    <row r="1175">
      <c r="O1175" s="5"/>
      <c r="P1175" s="5"/>
    </row>
    <row r="1176">
      <c r="O1176" s="5"/>
      <c r="P1176" s="5"/>
    </row>
    <row r="1177">
      <c r="O1177" s="5"/>
      <c r="P1177" s="5"/>
    </row>
    <row r="1178">
      <c r="O1178" s="5"/>
      <c r="P1178" s="5"/>
    </row>
    <row r="1179">
      <c r="O1179" s="5"/>
      <c r="P1179" s="5"/>
    </row>
    <row r="1180">
      <c r="O1180" s="5"/>
      <c r="P1180" s="5"/>
    </row>
    <row r="1181">
      <c r="O1181" s="5"/>
      <c r="P1181" s="5"/>
    </row>
    <row r="1182">
      <c r="O1182" s="5"/>
      <c r="P1182" s="5"/>
    </row>
    <row r="1183">
      <c r="O1183" s="5"/>
      <c r="P1183" s="5"/>
    </row>
    <row r="1184">
      <c r="O1184" s="5"/>
      <c r="P1184" s="5"/>
    </row>
    <row r="1185">
      <c r="O1185" s="5"/>
      <c r="P1185" s="5"/>
    </row>
    <row r="1186">
      <c r="O1186" s="5"/>
      <c r="P1186" s="5"/>
    </row>
    <row r="1187">
      <c r="O1187" s="5"/>
      <c r="P1187" s="5"/>
    </row>
    <row r="1188">
      <c r="O1188" s="5"/>
      <c r="P1188" s="5"/>
    </row>
    <row r="1189">
      <c r="O1189" s="5"/>
      <c r="P1189" s="5"/>
    </row>
    <row r="1190">
      <c r="O1190" s="5"/>
      <c r="P1190" s="5"/>
    </row>
    <row r="1191">
      <c r="O1191" s="5"/>
      <c r="P1191" s="5"/>
    </row>
    <row r="1192">
      <c r="O1192" s="5"/>
      <c r="P1192" s="5"/>
    </row>
    <row r="1193">
      <c r="O1193" s="5"/>
      <c r="P1193" s="5"/>
    </row>
    <row r="1194">
      <c r="O1194" s="5"/>
      <c r="P1194" s="5"/>
    </row>
    <row r="1195">
      <c r="O1195" s="5"/>
      <c r="P1195" s="5"/>
    </row>
    <row r="1196">
      <c r="O1196" s="5"/>
      <c r="P1196" s="5"/>
    </row>
    <row r="1197">
      <c r="O1197" s="5"/>
      <c r="P1197" s="5"/>
    </row>
    <row r="1198">
      <c r="O1198" s="5"/>
      <c r="P1198" s="5"/>
    </row>
    <row r="1199">
      <c r="O1199" s="5"/>
      <c r="P1199" s="5"/>
    </row>
    <row r="1200">
      <c r="O1200" s="5"/>
      <c r="P1200" s="5"/>
    </row>
    <row r="1201">
      <c r="O1201" s="5"/>
      <c r="P1201" s="5"/>
    </row>
    <row r="1202">
      <c r="O1202" s="5"/>
      <c r="P1202" s="5"/>
    </row>
    <row r="1203">
      <c r="O1203" s="5"/>
      <c r="P1203" s="5"/>
    </row>
    <row r="1204">
      <c r="O1204" s="5"/>
      <c r="P1204" s="5"/>
    </row>
    <row r="1205">
      <c r="O1205" s="5"/>
      <c r="P1205" s="5"/>
    </row>
    <row r="1206">
      <c r="O1206" s="5"/>
      <c r="P1206" s="5"/>
    </row>
    <row r="1207">
      <c r="O1207" s="5"/>
      <c r="P1207" s="5"/>
    </row>
    <row r="1208">
      <c r="O1208" s="5"/>
      <c r="P1208" s="5"/>
    </row>
    <row r="1209">
      <c r="O1209" s="5"/>
      <c r="P1209" s="5"/>
    </row>
    <row r="1210">
      <c r="O1210" s="5"/>
      <c r="P1210" s="5"/>
    </row>
    <row r="1211">
      <c r="O1211" s="5"/>
      <c r="P1211" s="5"/>
    </row>
    <row r="1212">
      <c r="O1212" s="5"/>
      <c r="P1212" s="5"/>
    </row>
    <row r="1213">
      <c r="O1213" s="5"/>
      <c r="P1213" s="5"/>
    </row>
    <row r="1214">
      <c r="O1214" s="5"/>
      <c r="P1214" s="5"/>
    </row>
    <row r="1215">
      <c r="O1215" s="5"/>
      <c r="P1215" s="5"/>
    </row>
    <row r="1216">
      <c r="O1216" s="5"/>
      <c r="P1216" s="5"/>
    </row>
    <row r="1217">
      <c r="O1217" s="5"/>
      <c r="P1217" s="5"/>
    </row>
    <row r="1218">
      <c r="O1218" s="5"/>
      <c r="P1218" s="5"/>
    </row>
    <row r="1219">
      <c r="O1219" s="5"/>
      <c r="P1219" s="5"/>
    </row>
    <row r="1220">
      <c r="O1220" s="5"/>
      <c r="P1220" s="5"/>
    </row>
    <row r="1221">
      <c r="O1221" s="5"/>
      <c r="P1221" s="5"/>
    </row>
    <row r="1222">
      <c r="O1222" s="5"/>
      <c r="P1222" s="5"/>
    </row>
    <row r="1223">
      <c r="O1223" s="5"/>
      <c r="P1223" s="5"/>
    </row>
    <row r="1224">
      <c r="O1224" s="5"/>
      <c r="P1224" s="5"/>
    </row>
    <row r="1225">
      <c r="O1225" s="5"/>
      <c r="P1225" s="5"/>
    </row>
    <row r="1226">
      <c r="O1226" s="5"/>
      <c r="P1226" s="5"/>
    </row>
    <row r="1227">
      <c r="O1227" s="5"/>
      <c r="P1227" s="5"/>
    </row>
    <row r="1228">
      <c r="O1228" s="5"/>
      <c r="P1228" s="5"/>
    </row>
    <row r="1229">
      <c r="O1229" s="5"/>
      <c r="P1229" s="5"/>
    </row>
    <row r="1230">
      <c r="O1230" s="5"/>
      <c r="P1230" s="5"/>
    </row>
    <row r="1231">
      <c r="O1231" s="5"/>
      <c r="P1231" s="5"/>
    </row>
    <row r="1232">
      <c r="O1232" s="5"/>
      <c r="P1232" s="5"/>
    </row>
    <row r="1233">
      <c r="O1233" s="5"/>
      <c r="P1233" s="5"/>
    </row>
    <row r="1234">
      <c r="O1234" s="5"/>
      <c r="P1234" s="5"/>
    </row>
    <row r="1235">
      <c r="O1235" s="5"/>
      <c r="P1235" s="5"/>
    </row>
    <row r="1236">
      <c r="O1236" s="5"/>
      <c r="P1236" s="5"/>
    </row>
    <row r="1237">
      <c r="O1237" s="5"/>
      <c r="P1237" s="5"/>
    </row>
    <row r="1238">
      <c r="O1238" s="5"/>
      <c r="P1238" s="5"/>
    </row>
    <row r="1239">
      <c r="O1239" s="5"/>
      <c r="P1239" s="5"/>
    </row>
    <row r="1240">
      <c r="O1240" s="5"/>
      <c r="P1240" s="5"/>
    </row>
    <row r="1241">
      <c r="O1241" s="5"/>
      <c r="P1241" s="5"/>
    </row>
    <row r="1242">
      <c r="O1242" s="5"/>
      <c r="P1242" s="5"/>
    </row>
    <row r="1243">
      <c r="O1243" s="5"/>
      <c r="P1243" s="5"/>
    </row>
    <row r="1244">
      <c r="O1244" s="5"/>
      <c r="P1244" s="5"/>
    </row>
    <row r="1245">
      <c r="O1245" s="5"/>
      <c r="P1245" s="5"/>
    </row>
    <row r="1246">
      <c r="O1246" s="5"/>
      <c r="P1246" s="5"/>
    </row>
    <row r="1247">
      <c r="O1247" s="5"/>
      <c r="P1247" s="5"/>
    </row>
    <row r="1248">
      <c r="O1248" s="5"/>
      <c r="P1248" s="5"/>
    </row>
    <row r="1249">
      <c r="O1249" s="5"/>
      <c r="P1249" s="5"/>
    </row>
    <row r="1250">
      <c r="O1250" s="5"/>
      <c r="P1250" s="5"/>
    </row>
    <row r="1251">
      <c r="O1251" s="5"/>
      <c r="P1251" s="5"/>
    </row>
    <row r="1252">
      <c r="O1252" s="5"/>
      <c r="P1252" s="5"/>
    </row>
    <row r="1253">
      <c r="O1253" s="5"/>
      <c r="P1253" s="5"/>
    </row>
    <row r="1254">
      <c r="O1254" s="5"/>
      <c r="P1254" s="5"/>
    </row>
    <row r="1255">
      <c r="O1255" s="5"/>
      <c r="P1255" s="5"/>
    </row>
    <row r="1256">
      <c r="O1256" s="5"/>
      <c r="P1256" s="5"/>
    </row>
    <row r="1257">
      <c r="O1257" s="5"/>
      <c r="P1257" s="5"/>
    </row>
    <row r="1258">
      <c r="O1258" s="5"/>
      <c r="P1258" s="5"/>
    </row>
    <row r="1259">
      <c r="O1259" s="5"/>
      <c r="P1259" s="5"/>
    </row>
    <row r="1260">
      <c r="O1260" s="5"/>
      <c r="P1260" s="5"/>
    </row>
    <row r="1261">
      <c r="O1261" s="5"/>
      <c r="P1261" s="5"/>
    </row>
    <row r="1262">
      <c r="O1262" s="5"/>
      <c r="P1262" s="5"/>
    </row>
    <row r="1263">
      <c r="O1263" s="5"/>
      <c r="P1263" s="5"/>
    </row>
    <row r="1264">
      <c r="O1264" s="5"/>
      <c r="P1264" s="5"/>
    </row>
    <row r="1265">
      <c r="O1265" s="5"/>
      <c r="P1265" s="5"/>
    </row>
    <row r="1266">
      <c r="O1266" s="5"/>
      <c r="P1266" s="5"/>
    </row>
    <row r="1267">
      <c r="O1267" s="5"/>
      <c r="P1267" s="5"/>
    </row>
    <row r="1268">
      <c r="O1268" s="5"/>
      <c r="P1268" s="5"/>
    </row>
    <row r="1269">
      <c r="O1269" s="5"/>
      <c r="P1269" s="5"/>
    </row>
    <row r="1270">
      <c r="O1270" s="5"/>
      <c r="P1270" s="5"/>
    </row>
    <row r="1271">
      <c r="O1271" s="5"/>
      <c r="P1271" s="5"/>
    </row>
    <row r="1272">
      <c r="O1272" s="5"/>
      <c r="P1272" s="5"/>
    </row>
    <row r="1273">
      <c r="O1273" s="5"/>
      <c r="P1273" s="5"/>
    </row>
    <row r="1274">
      <c r="O1274" s="5"/>
      <c r="P1274" s="5"/>
    </row>
    <row r="1275">
      <c r="O1275" s="5"/>
      <c r="P1275" s="5"/>
    </row>
    <row r="1276">
      <c r="O1276" s="5"/>
      <c r="P1276" s="5"/>
    </row>
    <row r="1277">
      <c r="O1277" s="5"/>
      <c r="P1277" s="5"/>
    </row>
    <row r="1278">
      <c r="O1278" s="5"/>
      <c r="P1278" s="5"/>
    </row>
    <row r="1279">
      <c r="O1279" s="5"/>
      <c r="P1279" s="5"/>
    </row>
    <row r="1280">
      <c r="O1280" s="5"/>
      <c r="P1280" s="5"/>
    </row>
    <row r="1281">
      <c r="O1281" s="5"/>
      <c r="P1281" s="5"/>
    </row>
    <row r="1282">
      <c r="O1282" s="5"/>
      <c r="P1282" s="5"/>
    </row>
    <row r="1283">
      <c r="O1283" s="5"/>
      <c r="P1283" s="5"/>
    </row>
    <row r="1284">
      <c r="O1284" s="5"/>
      <c r="P1284" s="5"/>
    </row>
    <row r="1285">
      <c r="O1285" s="5"/>
      <c r="P1285" s="5"/>
    </row>
    <row r="1286">
      <c r="O1286" s="5"/>
      <c r="P1286" s="5"/>
    </row>
    <row r="1287">
      <c r="O1287" s="5"/>
      <c r="P1287" s="5"/>
    </row>
    <row r="1288">
      <c r="O1288" s="5"/>
      <c r="P1288" s="5"/>
    </row>
    <row r="1289">
      <c r="O1289" s="5"/>
      <c r="P1289" s="5"/>
    </row>
    <row r="1290">
      <c r="O1290" s="5"/>
      <c r="P1290" s="5"/>
    </row>
    <row r="1291">
      <c r="O1291" s="5"/>
      <c r="P1291" s="5"/>
    </row>
    <row r="1292">
      <c r="O1292" s="5"/>
      <c r="P1292" s="5"/>
    </row>
    <row r="1293">
      <c r="O1293" s="5"/>
      <c r="P1293" s="5"/>
    </row>
    <row r="1294">
      <c r="O1294" s="5"/>
      <c r="P1294" s="5"/>
    </row>
    <row r="1295">
      <c r="O1295" s="5"/>
      <c r="P1295" s="5"/>
    </row>
    <row r="1296">
      <c r="O1296" s="5"/>
      <c r="P1296" s="5"/>
    </row>
    <row r="1297">
      <c r="O1297" s="5"/>
      <c r="P1297" s="5"/>
    </row>
    <row r="1298">
      <c r="O1298" s="5"/>
      <c r="P1298" s="5"/>
    </row>
    <row r="1299">
      <c r="O1299" s="5"/>
      <c r="P1299" s="5"/>
    </row>
    <row r="1300">
      <c r="O1300" s="5"/>
      <c r="P1300" s="5"/>
    </row>
    <row r="1301">
      <c r="O1301" s="5"/>
      <c r="P1301" s="5"/>
    </row>
    <row r="1302">
      <c r="O1302" s="5"/>
      <c r="P1302" s="5"/>
    </row>
    <row r="1303">
      <c r="O1303" s="5"/>
      <c r="P1303" s="5"/>
    </row>
    <row r="1304">
      <c r="O1304" s="5"/>
      <c r="P1304" s="5"/>
    </row>
    <row r="1305">
      <c r="O1305" s="5"/>
      <c r="P1305" s="5"/>
    </row>
    <row r="1306">
      <c r="O1306" s="5"/>
      <c r="P1306" s="5"/>
    </row>
    <row r="1307">
      <c r="O1307" s="5"/>
      <c r="P1307" s="5"/>
    </row>
    <row r="1308">
      <c r="O1308" s="5"/>
      <c r="P1308" s="5"/>
    </row>
    <row r="1309">
      <c r="O1309" s="5"/>
      <c r="P1309" s="5"/>
    </row>
    <row r="1310">
      <c r="O1310" s="5"/>
      <c r="P1310" s="5"/>
    </row>
    <row r="1311">
      <c r="O1311" s="5"/>
      <c r="P1311" s="5"/>
    </row>
    <row r="1312">
      <c r="O1312" s="5"/>
      <c r="P1312" s="5"/>
    </row>
    <row r="1313">
      <c r="O1313" s="5"/>
      <c r="P1313" s="5"/>
    </row>
    <row r="1314">
      <c r="O1314" s="5"/>
      <c r="P1314" s="5"/>
    </row>
    <row r="1315">
      <c r="O1315" s="5"/>
      <c r="P1315" s="5"/>
    </row>
    <row r="1316">
      <c r="O1316" s="5"/>
      <c r="P1316" s="5"/>
    </row>
    <row r="1317">
      <c r="O1317" s="5"/>
      <c r="P1317" s="5"/>
    </row>
    <row r="1318">
      <c r="O1318" s="5"/>
      <c r="P1318" s="5"/>
    </row>
    <row r="1319">
      <c r="O1319" s="5"/>
      <c r="P1319" s="5"/>
    </row>
    <row r="1320">
      <c r="O1320" s="5"/>
      <c r="P1320" s="5"/>
    </row>
    <row r="1321">
      <c r="O1321" s="5"/>
      <c r="P1321" s="5"/>
    </row>
    <row r="1322">
      <c r="O1322" s="5"/>
      <c r="P1322" s="5"/>
    </row>
    <row r="1323">
      <c r="O1323" s="5"/>
      <c r="P1323" s="5"/>
    </row>
    <row r="1324">
      <c r="O1324" s="5"/>
      <c r="P1324" s="5"/>
    </row>
    <row r="1325">
      <c r="O1325" s="5"/>
      <c r="P1325" s="5"/>
    </row>
    <row r="1326">
      <c r="O1326" s="5"/>
      <c r="P1326" s="5"/>
    </row>
    <row r="1327">
      <c r="O1327" s="5"/>
      <c r="P1327" s="5"/>
    </row>
    <row r="1328">
      <c r="O1328" s="5"/>
      <c r="P1328" s="5"/>
    </row>
    <row r="1329">
      <c r="O1329" s="5"/>
      <c r="P1329" s="5"/>
    </row>
    <row r="1330">
      <c r="O1330" s="5"/>
      <c r="P1330" s="5"/>
    </row>
    <row r="1331">
      <c r="O1331" s="5"/>
      <c r="P1331" s="5"/>
    </row>
    <row r="1332">
      <c r="O1332" s="5"/>
      <c r="P1332" s="5"/>
    </row>
    <row r="1333">
      <c r="O1333" s="5"/>
      <c r="P1333" s="5"/>
    </row>
    <row r="1334">
      <c r="O1334" s="5"/>
      <c r="P1334" s="5"/>
    </row>
    <row r="1335">
      <c r="O1335" s="5"/>
      <c r="P1335" s="5"/>
    </row>
    <row r="1336">
      <c r="O1336" s="5"/>
      <c r="P1336" s="5"/>
    </row>
    <row r="1337">
      <c r="O1337" s="5"/>
      <c r="P1337" s="5"/>
    </row>
    <row r="1338">
      <c r="O1338" s="5"/>
      <c r="P1338" s="5"/>
    </row>
    <row r="1339">
      <c r="O1339" s="5"/>
      <c r="P1339" s="5"/>
    </row>
    <row r="1340">
      <c r="O1340" s="5"/>
      <c r="P1340" s="5"/>
    </row>
    <row r="1341">
      <c r="O1341" s="5"/>
      <c r="P1341" s="5"/>
    </row>
    <row r="1342">
      <c r="O1342" s="5"/>
      <c r="P1342" s="5"/>
    </row>
    <row r="1343">
      <c r="O1343" s="5"/>
      <c r="P1343" s="5"/>
    </row>
    <row r="1344">
      <c r="O1344" s="5"/>
      <c r="P1344" s="5"/>
    </row>
    <row r="1345">
      <c r="O1345" s="5"/>
      <c r="P1345" s="5"/>
    </row>
    <row r="1346">
      <c r="O1346" s="5"/>
      <c r="P1346" s="5"/>
    </row>
    <row r="1347">
      <c r="O1347" s="5"/>
      <c r="P1347" s="5"/>
    </row>
    <row r="1348">
      <c r="O1348" s="5"/>
      <c r="P1348" s="5"/>
    </row>
    <row r="1349">
      <c r="O1349" s="5"/>
      <c r="P1349" s="5"/>
    </row>
    <row r="1350">
      <c r="O1350" s="5"/>
      <c r="P1350" s="5"/>
    </row>
    <row r="1351">
      <c r="O1351" s="5"/>
      <c r="P1351" s="5"/>
    </row>
    <row r="1352">
      <c r="O1352" s="5"/>
      <c r="P1352" s="5"/>
    </row>
    <row r="1353">
      <c r="O1353" s="5"/>
      <c r="P1353" s="5"/>
    </row>
    <row r="1354">
      <c r="O1354" s="5"/>
      <c r="P1354" s="5"/>
    </row>
    <row r="1355">
      <c r="O1355" s="5"/>
      <c r="P1355" s="5"/>
    </row>
    <row r="1356">
      <c r="O1356" s="5"/>
      <c r="P1356" s="5"/>
    </row>
    <row r="1357">
      <c r="O1357" s="5"/>
      <c r="P1357" s="5"/>
    </row>
    <row r="1358">
      <c r="O1358" s="5"/>
      <c r="P1358" s="5"/>
    </row>
    <row r="1359">
      <c r="O1359" s="5"/>
      <c r="P1359" s="5"/>
    </row>
    <row r="1360">
      <c r="O1360" s="5"/>
      <c r="P1360" s="5"/>
    </row>
    <row r="1361">
      <c r="O1361" s="5"/>
      <c r="P1361" s="5"/>
    </row>
    <row r="1362">
      <c r="O1362" s="5"/>
      <c r="P1362" s="5"/>
    </row>
    <row r="1363">
      <c r="O1363" s="5"/>
      <c r="P1363" s="5"/>
    </row>
    <row r="1364">
      <c r="O1364" s="5"/>
      <c r="P1364" s="5"/>
    </row>
    <row r="1365">
      <c r="O1365" s="5"/>
      <c r="P1365" s="5"/>
    </row>
    <row r="1366">
      <c r="O1366" s="5"/>
      <c r="P1366" s="5"/>
    </row>
    <row r="1367">
      <c r="O1367" s="5"/>
      <c r="P1367" s="5"/>
    </row>
    <row r="1368">
      <c r="O1368" s="5"/>
      <c r="P1368" s="5"/>
    </row>
    <row r="1369">
      <c r="O1369" s="5"/>
      <c r="P1369" s="5"/>
    </row>
    <row r="1370">
      <c r="O1370" s="5"/>
      <c r="P1370" s="5"/>
    </row>
    <row r="1371">
      <c r="O1371" s="5"/>
      <c r="P1371" s="5"/>
    </row>
    <row r="1372">
      <c r="O1372" s="5"/>
      <c r="P1372" s="5"/>
    </row>
    <row r="1373">
      <c r="O1373" s="5"/>
      <c r="P1373" s="5"/>
    </row>
    <row r="1374">
      <c r="O1374" s="5"/>
      <c r="P1374" s="5"/>
    </row>
    <row r="1375">
      <c r="O1375" s="5"/>
      <c r="P1375" s="5"/>
    </row>
    <row r="1376">
      <c r="O1376" s="5"/>
      <c r="P1376" s="5"/>
    </row>
    <row r="1377">
      <c r="O1377" s="5"/>
      <c r="P1377" s="5"/>
    </row>
    <row r="1378">
      <c r="O1378" s="5"/>
      <c r="P1378" s="5"/>
    </row>
    <row r="1379">
      <c r="O1379" s="5"/>
      <c r="P1379" s="5"/>
    </row>
    <row r="1380">
      <c r="O1380" s="5"/>
      <c r="P1380" s="5"/>
    </row>
    <row r="1381">
      <c r="O1381" s="5"/>
      <c r="P1381" s="5"/>
    </row>
    <row r="1382">
      <c r="O1382" s="5"/>
      <c r="P1382" s="5"/>
    </row>
    <row r="1383">
      <c r="O1383" s="5"/>
      <c r="P1383" s="5"/>
    </row>
    <row r="1384">
      <c r="O1384" s="5"/>
      <c r="P1384" s="5"/>
    </row>
    <row r="1385">
      <c r="O1385" s="5"/>
      <c r="P1385" s="5"/>
    </row>
    <row r="1386">
      <c r="O1386" s="5"/>
      <c r="P1386" s="5"/>
    </row>
    <row r="1387">
      <c r="O1387" s="5"/>
      <c r="P1387" s="5"/>
    </row>
    <row r="1388">
      <c r="O1388" s="5"/>
      <c r="P1388" s="5"/>
    </row>
    <row r="1389">
      <c r="O1389" s="5"/>
      <c r="P1389" s="5"/>
    </row>
    <row r="1390">
      <c r="O1390" s="5"/>
      <c r="P1390" s="5"/>
    </row>
    <row r="1391">
      <c r="O1391" s="5"/>
      <c r="P1391" s="5"/>
    </row>
    <row r="1392">
      <c r="O1392" s="5"/>
      <c r="P1392" s="5"/>
    </row>
    <row r="1393">
      <c r="O1393" s="5"/>
      <c r="P1393" s="5"/>
    </row>
    <row r="1394">
      <c r="O1394" s="5"/>
      <c r="P1394" s="5"/>
    </row>
    <row r="1395">
      <c r="O1395" s="5"/>
      <c r="P1395" s="5"/>
    </row>
    <row r="1396">
      <c r="O1396" s="5"/>
      <c r="P1396" s="5"/>
    </row>
    <row r="1397">
      <c r="O1397" s="5"/>
      <c r="P1397" s="5"/>
    </row>
    <row r="1398">
      <c r="O1398" s="5"/>
      <c r="P1398" s="5"/>
    </row>
    <row r="1399">
      <c r="O1399" s="5"/>
      <c r="P1399" s="5"/>
    </row>
    <row r="1400">
      <c r="O1400" s="5"/>
      <c r="P1400" s="5"/>
    </row>
    <row r="1401">
      <c r="O1401" s="5"/>
      <c r="P1401" s="5"/>
    </row>
    <row r="1402">
      <c r="O1402" s="5"/>
      <c r="P1402" s="5"/>
    </row>
    <row r="1403">
      <c r="O1403" s="5"/>
      <c r="P1403" s="5"/>
    </row>
    <row r="1404">
      <c r="O1404" s="5"/>
      <c r="P1404" s="5"/>
    </row>
    <row r="1405">
      <c r="O1405" s="5"/>
      <c r="P1405" s="5"/>
    </row>
    <row r="1406">
      <c r="O1406" s="5"/>
      <c r="P1406" s="5"/>
    </row>
    <row r="1407">
      <c r="O1407" s="5"/>
      <c r="P1407" s="5"/>
    </row>
    <row r="1408">
      <c r="O1408" s="5"/>
      <c r="P1408" s="5"/>
    </row>
    <row r="1409">
      <c r="O1409" s="5"/>
      <c r="P1409" s="5"/>
    </row>
    <row r="1410">
      <c r="O1410" s="5"/>
      <c r="P1410" s="5"/>
    </row>
    <row r="1411">
      <c r="O1411" s="5"/>
      <c r="P1411" s="5"/>
    </row>
    <row r="1412">
      <c r="O1412" s="5"/>
      <c r="P1412" s="5"/>
    </row>
    <row r="1413">
      <c r="O1413" s="5"/>
      <c r="P1413" s="5"/>
    </row>
    <row r="1414">
      <c r="O1414" s="5"/>
      <c r="P1414" s="5"/>
    </row>
    <row r="1415">
      <c r="O1415" s="5"/>
      <c r="P1415" s="5"/>
    </row>
    <row r="1416">
      <c r="O1416" s="5"/>
      <c r="P1416" s="5"/>
    </row>
    <row r="1417">
      <c r="O1417" s="5"/>
      <c r="P1417" s="5"/>
    </row>
    <row r="1418">
      <c r="O1418" s="5"/>
      <c r="P1418" s="5"/>
    </row>
    <row r="1419">
      <c r="O1419" s="5"/>
      <c r="P1419" s="5"/>
    </row>
    <row r="1420">
      <c r="O1420" s="5"/>
      <c r="P1420" s="5"/>
    </row>
    <row r="1421">
      <c r="O1421" s="5"/>
      <c r="P1421" s="5"/>
    </row>
    <row r="1422">
      <c r="O1422" s="5"/>
      <c r="P1422" s="5"/>
    </row>
    <row r="1423">
      <c r="O1423" s="5"/>
      <c r="P1423" s="5"/>
    </row>
    <row r="1424">
      <c r="O1424" s="5"/>
      <c r="P1424" s="5"/>
    </row>
    <row r="1425">
      <c r="O1425" s="5"/>
      <c r="P1425" s="5"/>
    </row>
    <row r="1426">
      <c r="O1426" s="5"/>
      <c r="P1426" s="5"/>
    </row>
    <row r="1427">
      <c r="O1427" s="5"/>
      <c r="P1427" s="5"/>
    </row>
    <row r="1428">
      <c r="O1428" s="5"/>
      <c r="P1428" s="5"/>
    </row>
    <row r="1429">
      <c r="O1429" s="5"/>
      <c r="P1429" s="5"/>
    </row>
    <row r="1430">
      <c r="O1430" s="5"/>
      <c r="P1430" s="5"/>
    </row>
    <row r="1431">
      <c r="O1431" s="5"/>
      <c r="P1431" s="5"/>
    </row>
    <row r="1432">
      <c r="O1432" s="5"/>
      <c r="P1432" s="5"/>
    </row>
    <row r="1433">
      <c r="O1433" s="5"/>
      <c r="P1433" s="5"/>
    </row>
    <row r="1434">
      <c r="O1434" s="5"/>
      <c r="P1434" s="5"/>
    </row>
    <row r="1435">
      <c r="O1435" s="5"/>
      <c r="P1435" s="5"/>
    </row>
    <row r="1436">
      <c r="O1436" s="5"/>
      <c r="P1436" s="5"/>
    </row>
    <row r="1437">
      <c r="O1437" s="5"/>
      <c r="P1437" s="5"/>
    </row>
    <row r="1438">
      <c r="O1438" s="5"/>
      <c r="P1438" s="5"/>
    </row>
    <row r="1439">
      <c r="O1439" s="5"/>
      <c r="P1439" s="5"/>
    </row>
    <row r="1440">
      <c r="O1440" s="5"/>
      <c r="P1440" s="5"/>
    </row>
    <row r="1441">
      <c r="O1441" s="5"/>
      <c r="P1441" s="5"/>
    </row>
    <row r="1442">
      <c r="O1442" s="5"/>
      <c r="P1442" s="5"/>
    </row>
    <row r="1443">
      <c r="O1443" s="5"/>
      <c r="P1443" s="5"/>
    </row>
    <row r="1444">
      <c r="O1444" s="5"/>
      <c r="P1444" s="5"/>
    </row>
    <row r="1445">
      <c r="O1445" s="5"/>
      <c r="P1445" s="5"/>
    </row>
    <row r="1446">
      <c r="O1446" s="5"/>
      <c r="P1446" s="5"/>
    </row>
    <row r="1447">
      <c r="O1447" s="5"/>
      <c r="P1447" s="5"/>
    </row>
    <row r="1448">
      <c r="O1448" s="5"/>
      <c r="P1448" s="5"/>
    </row>
    <row r="1449">
      <c r="O1449" s="5"/>
      <c r="P1449" s="5"/>
    </row>
    <row r="1450">
      <c r="O1450" s="5"/>
      <c r="P1450" s="5"/>
    </row>
    <row r="1451">
      <c r="O1451" s="5"/>
      <c r="P1451" s="5"/>
    </row>
    <row r="1452">
      <c r="O1452" s="5"/>
      <c r="P1452" s="5"/>
    </row>
    <row r="1453">
      <c r="O1453" s="5"/>
      <c r="P1453" s="5"/>
    </row>
    <row r="1454">
      <c r="O1454" s="5"/>
      <c r="P1454" s="5"/>
    </row>
    <row r="1455">
      <c r="O1455" s="5"/>
      <c r="P1455" s="5"/>
    </row>
    <row r="1456">
      <c r="O1456" s="5"/>
      <c r="P1456" s="5"/>
    </row>
    <row r="1457">
      <c r="O1457" s="5"/>
      <c r="P1457" s="5"/>
    </row>
    <row r="1458">
      <c r="O1458" s="5"/>
      <c r="P1458" s="5"/>
    </row>
    <row r="1459">
      <c r="O1459" s="5"/>
      <c r="P1459" s="5"/>
    </row>
    <row r="1460">
      <c r="O1460" s="5"/>
      <c r="P1460" s="5"/>
    </row>
    <row r="1461">
      <c r="O1461" s="5"/>
      <c r="P1461" s="5"/>
    </row>
    <row r="1462">
      <c r="O1462" s="5"/>
      <c r="P1462" s="5"/>
    </row>
    <row r="1463">
      <c r="O1463" s="5"/>
      <c r="P1463" s="5"/>
    </row>
    <row r="1464">
      <c r="O1464" s="5"/>
      <c r="P1464" s="5"/>
    </row>
    <row r="1465">
      <c r="O1465" s="5"/>
      <c r="P1465" s="5"/>
    </row>
    <row r="1466">
      <c r="O1466" s="5"/>
      <c r="P1466" s="5"/>
    </row>
    <row r="1467">
      <c r="O1467" s="5"/>
      <c r="P1467" s="5"/>
    </row>
    <row r="1468">
      <c r="O1468" s="5"/>
      <c r="P1468" s="5"/>
    </row>
    <row r="1469">
      <c r="O1469" s="5"/>
      <c r="P1469" s="5"/>
    </row>
    <row r="1470">
      <c r="O1470" s="5"/>
      <c r="P1470" s="5"/>
    </row>
    <row r="1471">
      <c r="O1471" s="5"/>
      <c r="P1471" s="5"/>
    </row>
    <row r="1472">
      <c r="O1472" s="5"/>
      <c r="P1472" s="5"/>
    </row>
    <row r="1473">
      <c r="O1473" s="5"/>
      <c r="P1473" s="5"/>
    </row>
    <row r="1474">
      <c r="O1474" s="5"/>
      <c r="P1474" s="5"/>
    </row>
    <row r="1475">
      <c r="O1475" s="5"/>
      <c r="P1475" s="5"/>
    </row>
    <row r="1476">
      <c r="O1476" s="5"/>
      <c r="P1476" s="5"/>
    </row>
    <row r="1477">
      <c r="O1477" s="5"/>
      <c r="P1477" s="5"/>
    </row>
    <row r="1478">
      <c r="O1478" s="5"/>
      <c r="P1478" s="5"/>
    </row>
    <row r="1479">
      <c r="O1479" s="5"/>
      <c r="P1479" s="5"/>
    </row>
    <row r="1480">
      <c r="O1480" s="5"/>
      <c r="P1480" s="5"/>
    </row>
    <row r="1481">
      <c r="O1481" s="5"/>
      <c r="P1481" s="5"/>
    </row>
    <row r="1482">
      <c r="O1482" s="5"/>
      <c r="P1482" s="5"/>
    </row>
    <row r="1483">
      <c r="O1483" s="5"/>
      <c r="P1483" s="5"/>
    </row>
    <row r="1484">
      <c r="O1484" s="5"/>
      <c r="P1484" s="5"/>
    </row>
    <row r="1485">
      <c r="O1485" s="5"/>
      <c r="P1485" s="5"/>
    </row>
    <row r="1486">
      <c r="O1486" s="5"/>
      <c r="P1486" s="5"/>
    </row>
    <row r="1487">
      <c r="O1487" s="5"/>
      <c r="P1487" s="5"/>
    </row>
    <row r="1488">
      <c r="O1488" s="5"/>
      <c r="P1488" s="5"/>
    </row>
    <row r="1489">
      <c r="O1489" s="5"/>
      <c r="P1489" s="5"/>
    </row>
    <row r="1490">
      <c r="O1490" s="5"/>
      <c r="P1490" s="5"/>
    </row>
    <row r="1491">
      <c r="O1491" s="5"/>
      <c r="P1491" s="5"/>
    </row>
    <row r="1492">
      <c r="O1492" s="5"/>
      <c r="P1492" s="5"/>
    </row>
    <row r="1493">
      <c r="O1493" s="5"/>
      <c r="P1493" s="5"/>
    </row>
    <row r="1494">
      <c r="O1494" s="5"/>
      <c r="P1494" s="5"/>
    </row>
    <row r="1495">
      <c r="O1495" s="5"/>
      <c r="P1495" s="5"/>
    </row>
    <row r="1496">
      <c r="O1496" s="5"/>
      <c r="P1496" s="5"/>
    </row>
    <row r="1497">
      <c r="O1497" s="5"/>
      <c r="P1497" s="5"/>
    </row>
    <row r="1498">
      <c r="O1498" s="5"/>
      <c r="P1498" s="5"/>
    </row>
    <row r="1499">
      <c r="O1499" s="5"/>
      <c r="P1499" s="5"/>
    </row>
    <row r="1500">
      <c r="O1500" s="5"/>
      <c r="P1500" s="5"/>
    </row>
    <row r="1501">
      <c r="O1501" s="5"/>
      <c r="P1501" s="5"/>
    </row>
    <row r="1502">
      <c r="O1502" s="5"/>
      <c r="P1502" s="5"/>
    </row>
    <row r="1503">
      <c r="O1503" s="5"/>
      <c r="P1503" s="5"/>
    </row>
    <row r="1504">
      <c r="O1504" s="5"/>
      <c r="P1504" s="5"/>
    </row>
    <row r="1505">
      <c r="O1505" s="5"/>
      <c r="P1505" s="5"/>
    </row>
    <row r="1506">
      <c r="O1506" s="5"/>
      <c r="P1506" s="5"/>
    </row>
    <row r="1507">
      <c r="O1507" s="5"/>
      <c r="P1507" s="5"/>
    </row>
    <row r="1508">
      <c r="O1508" s="5"/>
      <c r="P1508" s="5"/>
    </row>
    <row r="1509">
      <c r="O1509" s="5"/>
      <c r="P1509" s="5"/>
    </row>
    <row r="1510">
      <c r="O1510" s="5"/>
      <c r="P1510" s="5"/>
    </row>
    <row r="1511">
      <c r="O1511" s="5"/>
      <c r="P1511" s="5"/>
    </row>
    <row r="1512">
      <c r="O1512" s="5"/>
      <c r="P1512" s="5"/>
    </row>
    <row r="1513">
      <c r="O1513" s="5"/>
      <c r="P1513" s="5"/>
    </row>
    <row r="1514">
      <c r="O1514" s="5"/>
      <c r="P1514" s="5"/>
    </row>
    <row r="1515">
      <c r="O1515" s="5"/>
      <c r="P1515" s="5"/>
    </row>
    <row r="1516">
      <c r="O1516" s="5"/>
      <c r="P1516" s="5"/>
    </row>
    <row r="1517">
      <c r="O1517" s="5"/>
      <c r="P1517" s="5"/>
    </row>
    <row r="1518">
      <c r="O1518" s="5"/>
      <c r="P1518" s="5"/>
    </row>
    <row r="1519">
      <c r="O1519" s="5"/>
      <c r="P1519" s="5"/>
    </row>
    <row r="1520">
      <c r="O1520" s="5"/>
      <c r="P1520" s="5"/>
    </row>
    <row r="1521">
      <c r="O1521" s="5"/>
      <c r="P1521" s="5"/>
    </row>
    <row r="1522">
      <c r="O1522" s="5"/>
      <c r="P1522" s="5"/>
    </row>
    <row r="1523">
      <c r="O1523" s="5"/>
      <c r="P1523" s="5"/>
    </row>
    <row r="1524">
      <c r="O1524" s="5"/>
      <c r="P1524" s="5"/>
    </row>
    <row r="1525">
      <c r="O1525" s="5"/>
      <c r="P1525" s="5"/>
    </row>
    <row r="1526">
      <c r="O1526" s="5"/>
      <c r="P1526" s="5"/>
    </row>
    <row r="1527">
      <c r="O1527" s="5"/>
      <c r="P1527" s="5"/>
    </row>
    <row r="1528">
      <c r="O1528" s="5"/>
      <c r="P1528" s="5"/>
    </row>
    <row r="1529">
      <c r="O1529" s="5"/>
      <c r="P1529" s="5"/>
    </row>
    <row r="1530">
      <c r="O1530" s="5"/>
      <c r="P1530" s="5"/>
    </row>
    <row r="1531">
      <c r="O1531" s="5"/>
      <c r="P1531" s="5"/>
    </row>
    <row r="1532">
      <c r="O1532" s="5"/>
      <c r="P1532" s="5"/>
    </row>
    <row r="1533">
      <c r="O1533" s="5"/>
      <c r="P1533" s="5"/>
    </row>
    <row r="1534">
      <c r="O1534" s="5"/>
      <c r="P1534" s="5"/>
    </row>
    <row r="1535">
      <c r="O1535" s="5"/>
      <c r="P1535" s="5"/>
    </row>
    <row r="1536">
      <c r="O1536" s="5"/>
      <c r="P1536" s="5"/>
    </row>
    <row r="1537">
      <c r="O1537" s="5"/>
      <c r="P1537" s="5"/>
    </row>
    <row r="1538">
      <c r="O1538" s="5"/>
      <c r="P1538" s="5"/>
    </row>
    <row r="1539">
      <c r="O1539" s="5"/>
      <c r="P1539" s="5"/>
    </row>
    <row r="1540">
      <c r="O1540" s="5"/>
      <c r="P1540" s="5"/>
    </row>
    <row r="1541">
      <c r="O1541" s="5"/>
      <c r="P1541" s="5"/>
    </row>
    <row r="1542">
      <c r="O1542" s="5"/>
      <c r="P1542" s="5"/>
    </row>
    <row r="1543">
      <c r="O1543" s="5"/>
      <c r="P1543" s="5"/>
    </row>
    <row r="1544">
      <c r="O1544" s="5"/>
      <c r="P1544" s="5"/>
    </row>
    <row r="1545">
      <c r="O1545" s="5"/>
      <c r="P1545" s="5"/>
    </row>
    <row r="1546">
      <c r="O1546" s="5"/>
      <c r="P1546" s="5"/>
    </row>
    <row r="1547">
      <c r="O1547" s="5"/>
      <c r="P1547" s="5"/>
    </row>
    <row r="1548">
      <c r="O1548" s="5"/>
      <c r="P1548" s="5"/>
    </row>
    <row r="1549">
      <c r="O1549" s="5"/>
      <c r="P1549" s="5"/>
    </row>
    <row r="1550">
      <c r="O1550" s="5"/>
      <c r="P1550" s="5"/>
    </row>
    <row r="1551">
      <c r="O1551" s="5"/>
      <c r="P1551" s="5"/>
    </row>
    <row r="1552">
      <c r="O1552" s="5"/>
      <c r="P1552" s="5"/>
    </row>
    <row r="1553">
      <c r="O1553" s="5"/>
      <c r="P1553" s="5"/>
    </row>
    <row r="1554">
      <c r="O1554" s="5"/>
      <c r="P1554" s="5"/>
    </row>
    <row r="1555">
      <c r="O1555" s="5"/>
      <c r="P1555" s="5"/>
    </row>
    <row r="1556">
      <c r="O1556" s="5"/>
      <c r="P1556" s="5"/>
    </row>
    <row r="1557">
      <c r="O1557" s="5"/>
      <c r="P1557" s="5"/>
    </row>
    <row r="1558">
      <c r="O1558" s="5"/>
      <c r="P1558" s="5"/>
    </row>
    <row r="1559">
      <c r="O1559" s="5"/>
      <c r="P1559" s="5"/>
    </row>
    <row r="1560">
      <c r="O1560" s="5"/>
      <c r="P1560" s="5"/>
    </row>
    <row r="1561">
      <c r="O1561" s="5"/>
      <c r="P1561" s="5"/>
    </row>
    <row r="1562">
      <c r="O1562" s="5"/>
      <c r="P1562" s="5"/>
    </row>
    <row r="1563">
      <c r="O1563" s="5"/>
      <c r="P1563" s="5"/>
    </row>
    <row r="1564">
      <c r="O1564" s="5"/>
      <c r="P1564" s="5"/>
    </row>
    <row r="1565">
      <c r="O1565" s="5"/>
      <c r="P1565" s="5"/>
    </row>
    <row r="1566">
      <c r="O1566" s="5"/>
      <c r="P1566" s="5"/>
    </row>
    <row r="1567">
      <c r="O1567" s="5"/>
      <c r="P1567" s="5"/>
    </row>
    <row r="1568">
      <c r="O1568" s="5"/>
      <c r="P1568" s="5"/>
    </row>
    <row r="1569">
      <c r="O1569" s="5"/>
      <c r="P1569" s="5"/>
    </row>
    <row r="1570">
      <c r="O1570" s="5"/>
      <c r="P1570" s="5"/>
    </row>
    <row r="1571">
      <c r="O1571" s="5"/>
      <c r="P1571" s="5"/>
    </row>
    <row r="1572">
      <c r="O1572" s="5"/>
      <c r="P1572" s="5"/>
    </row>
    <row r="1573">
      <c r="O1573" s="5"/>
      <c r="P1573" s="5"/>
    </row>
    <row r="1574">
      <c r="O1574" s="5"/>
      <c r="P1574" s="5"/>
    </row>
    <row r="1575">
      <c r="O1575" s="5"/>
      <c r="P1575" s="5"/>
    </row>
    <row r="1576">
      <c r="O1576" s="5"/>
      <c r="P1576" s="5"/>
    </row>
    <row r="1577">
      <c r="O1577" s="5"/>
      <c r="P1577" s="5"/>
    </row>
    <row r="1578">
      <c r="O1578" s="5"/>
      <c r="P1578" s="5"/>
    </row>
    <row r="1579">
      <c r="O1579" s="5"/>
      <c r="P1579" s="5"/>
    </row>
    <row r="1580">
      <c r="O1580" s="5"/>
      <c r="P1580" s="5"/>
    </row>
    <row r="1581">
      <c r="O1581" s="5"/>
      <c r="P1581" s="5"/>
    </row>
    <row r="1582">
      <c r="O1582" s="5"/>
      <c r="P1582" s="5"/>
    </row>
    <row r="1583">
      <c r="O1583" s="5"/>
      <c r="P1583" s="5"/>
    </row>
    <row r="1584">
      <c r="O1584" s="5"/>
      <c r="P1584" s="5"/>
    </row>
    <row r="1585">
      <c r="O1585" s="5"/>
      <c r="P1585" s="5"/>
    </row>
    <row r="1586">
      <c r="O1586" s="5"/>
      <c r="P1586" s="5"/>
    </row>
    <row r="1587">
      <c r="O1587" s="5"/>
      <c r="P1587" s="5"/>
    </row>
    <row r="1588">
      <c r="O1588" s="5"/>
      <c r="P1588" s="5"/>
    </row>
    <row r="1589">
      <c r="O1589" s="5"/>
      <c r="P1589" s="5"/>
    </row>
    <row r="1590">
      <c r="O1590" s="5"/>
      <c r="P1590" s="5"/>
    </row>
    <row r="1591">
      <c r="O1591" s="5"/>
      <c r="P1591" s="5"/>
    </row>
    <row r="1592">
      <c r="O1592" s="5"/>
      <c r="P1592" s="5"/>
    </row>
    <row r="1593">
      <c r="O1593" s="5"/>
      <c r="P1593" s="5"/>
    </row>
    <row r="1594">
      <c r="O1594" s="5"/>
      <c r="P1594" s="5"/>
    </row>
    <row r="1595">
      <c r="O1595" s="5"/>
      <c r="P1595" s="5"/>
    </row>
    <row r="1596">
      <c r="O1596" s="5"/>
      <c r="P1596" s="5"/>
    </row>
    <row r="1597">
      <c r="O1597" s="5"/>
      <c r="P1597" s="5"/>
    </row>
    <row r="1598">
      <c r="O1598" s="5"/>
      <c r="P1598" s="5"/>
    </row>
    <row r="1599">
      <c r="O1599" s="5"/>
      <c r="P1599" s="5"/>
    </row>
    <row r="1600">
      <c r="O1600" s="5"/>
      <c r="P1600" s="5"/>
    </row>
    <row r="1601">
      <c r="O1601" s="5"/>
      <c r="P1601" s="5"/>
    </row>
    <row r="1602">
      <c r="O1602" s="5"/>
      <c r="P1602" s="5"/>
    </row>
    <row r="1603">
      <c r="O1603" s="5"/>
      <c r="P1603" s="5"/>
    </row>
    <row r="1604">
      <c r="O1604" s="5"/>
      <c r="P1604" s="5"/>
    </row>
    <row r="1605">
      <c r="O1605" s="5"/>
      <c r="P1605" s="5"/>
    </row>
    <row r="1606">
      <c r="O1606" s="5"/>
      <c r="P1606" s="5"/>
    </row>
    <row r="1607">
      <c r="O1607" s="5"/>
      <c r="P1607" s="5"/>
    </row>
    <row r="1608">
      <c r="O1608" s="5"/>
      <c r="P1608" s="5"/>
    </row>
    <row r="1609">
      <c r="O1609" s="5"/>
      <c r="P1609" s="5"/>
    </row>
    <row r="1610">
      <c r="O1610" s="5"/>
      <c r="P1610" s="5"/>
    </row>
    <row r="1611">
      <c r="O1611" s="5"/>
      <c r="P1611" s="5"/>
    </row>
    <row r="1612">
      <c r="O1612" s="5"/>
      <c r="P1612" s="5"/>
    </row>
    <row r="1613">
      <c r="O1613" s="5"/>
      <c r="P1613" s="5"/>
    </row>
    <row r="1614">
      <c r="O1614" s="5"/>
      <c r="P1614" s="5"/>
    </row>
    <row r="1615">
      <c r="O1615" s="5"/>
      <c r="P1615" s="5"/>
    </row>
    <row r="1616">
      <c r="O1616" s="5"/>
      <c r="P1616" s="5"/>
    </row>
    <row r="1617">
      <c r="O1617" s="5"/>
      <c r="P1617" s="5"/>
    </row>
    <row r="1618">
      <c r="O1618" s="5"/>
      <c r="P1618" s="5"/>
    </row>
    <row r="1619">
      <c r="O1619" s="5"/>
      <c r="P1619" s="5"/>
    </row>
    <row r="1620">
      <c r="O1620" s="5"/>
      <c r="P1620" s="5"/>
    </row>
    <row r="1621">
      <c r="O1621" s="5"/>
      <c r="P1621" s="5"/>
    </row>
    <row r="1622">
      <c r="O1622" s="5"/>
      <c r="P1622" s="5"/>
    </row>
    <row r="1623">
      <c r="O1623" s="5"/>
      <c r="P1623" s="5"/>
    </row>
    <row r="1624">
      <c r="O1624" s="5"/>
      <c r="P1624" s="5"/>
    </row>
    <row r="1625">
      <c r="O1625" s="5"/>
      <c r="P1625" s="5"/>
    </row>
    <row r="1626">
      <c r="O1626" s="5"/>
      <c r="P1626" s="5"/>
    </row>
    <row r="1627">
      <c r="O1627" s="5"/>
      <c r="P1627" s="5"/>
    </row>
    <row r="1628">
      <c r="O1628" s="5"/>
      <c r="P1628" s="5"/>
    </row>
    <row r="1629">
      <c r="O1629" s="5"/>
      <c r="P1629" s="5"/>
    </row>
    <row r="1630">
      <c r="O1630" s="5"/>
      <c r="P1630" s="5"/>
    </row>
    <row r="1631">
      <c r="O1631" s="5"/>
      <c r="P1631" s="5"/>
    </row>
    <row r="1632">
      <c r="O1632" s="5"/>
      <c r="P1632" s="5"/>
    </row>
    <row r="1633">
      <c r="O1633" s="5"/>
      <c r="P1633" s="5"/>
    </row>
    <row r="1634">
      <c r="O1634" s="5"/>
      <c r="P1634" s="5"/>
    </row>
    <row r="1635">
      <c r="O1635" s="5"/>
      <c r="P1635" s="5"/>
    </row>
    <row r="1636">
      <c r="O1636" s="5"/>
      <c r="P1636" s="5"/>
    </row>
    <row r="1637">
      <c r="O1637" s="5"/>
      <c r="P1637" s="5"/>
    </row>
    <row r="1638">
      <c r="O1638" s="5"/>
      <c r="P1638" s="5"/>
    </row>
    <row r="1639">
      <c r="O1639" s="5"/>
      <c r="P1639" s="5"/>
    </row>
    <row r="1640">
      <c r="O1640" s="5"/>
      <c r="P1640" s="5"/>
    </row>
    <row r="1641">
      <c r="O1641" s="5"/>
      <c r="P1641" s="5"/>
    </row>
    <row r="1642">
      <c r="O1642" s="5"/>
      <c r="P1642" s="5"/>
    </row>
    <row r="1643">
      <c r="O1643" s="5"/>
      <c r="P1643" s="5"/>
    </row>
    <row r="1644">
      <c r="O1644" s="5"/>
      <c r="P1644" s="5"/>
    </row>
    <row r="1645">
      <c r="O1645" s="5"/>
      <c r="P1645" s="5"/>
    </row>
    <row r="1646">
      <c r="O1646" s="5"/>
      <c r="P1646" s="5"/>
    </row>
    <row r="1647">
      <c r="O1647" s="5"/>
      <c r="P1647" s="5"/>
    </row>
    <row r="1648">
      <c r="O1648" s="5"/>
      <c r="P1648" s="5"/>
    </row>
    <row r="1649">
      <c r="O1649" s="5"/>
      <c r="P1649" s="5"/>
    </row>
    <row r="1650">
      <c r="O1650" s="5"/>
      <c r="P1650" s="5"/>
    </row>
    <row r="1651">
      <c r="O1651" s="5"/>
      <c r="P1651" s="5"/>
    </row>
    <row r="1652">
      <c r="O1652" s="5"/>
      <c r="P1652" s="5"/>
    </row>
  </sheetData>
  <mergeCells count="16">
    <mergeCell ref="A1:D1"/>
    <mergeCell ref="A2:B2"/>
    <mergeCell ref="L2:M2"/>
    <mergeCell ref="R2:S2"/>
    <mergeCell ref="U2:V2"/>
    <mergeCell ref="A30:C30"/>
    <mergeCell ref="R30:V30"/>
    <mergeCell ref="A81:B81"/>
    <mergeCell ref="A89:B89"/>
    <mergeCell ref="S31:T31"/>
    <mergeCell ref="U31:V31"/>
    <mergeCell ref="R37:V37"/>
    <mergeCell ref="S38:T38"/>
    <mergeCell ref="U38:V38"/>
    <mergeCell ref="A40:B40"/>
    <mergeCell ref="A65:B6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2.25"/>
    <col customWidth="1" min="8" max="8" width="11.75"/>
  </cols>
  <sheetData>
    <row r="1">
      <c r="A1" s="12" t="s">
        <v>160</v>
      </c>
      <c r="B1" s="12" t="s">
        <v>161</v>
      </c>
      <c r="C1" s="12" t="s">
        <v>162</v>
      </c>
      <c r="D1" s="12" t="s">
        <v>163</v>
      </c>
      <c r="E1" s="12" t="s">
        <v>164</v>
      </c>
      <c r="F1" s="12" t="s">
        <v>13</v>
      </c>
      <c r="G1" s="12" t="s">
        <v>14</v>
      </c>
      <c r="H1" s="12" t="s">
        <v>165</v>
      </c>
      <c r="I1" s="12" t="s">
        <v>166</v>
      </c>
      <c r="J1" s="12" t="s">
        <v>96</v>
      </c>
      <c r="K1" s="12" t="s">
        <v>167</v>
      </c>
      <c r="L1" s="12" t="s">
        <v>168</v>
      </c>
      <c r="M1" s="12" t="s">
        <v>169</v>
      </c>
      <c r="N1" s="12" t="s">
        <v>170</v>
      </c>
      <c r="O1" s="12" t="s">
        <v>171</v>
      </c>
      <c r="P1" s="12" t="s">
        <v>172</v>
      </c>
      <c r="Q1" s="12" t="s">
        <v>146</v>
      </c>
      <c r="R1" s="12" t="s">
        <v>173</v>
      </c>
      <c r="S1" s="12" t="s">
        <v>174</v>
      </c>
      <c r="T1" s="12" t="s">
        <v>175</v>
      </c>
      <c r="U1" s="12" t="s">
        <v>176</v>
      </c>
      <c r="V1" s="12"/>
      <c r="W1" s="12"/>
      <c r="X1" s="12" t="s">
        <v>177</v>
      </c>
      <c r="Y1" s="12" t="s">
        <v>178</v>
      </c>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c r="IW1" s="12"/>
      <c r="IX1" s="12"/>
      <c r="IY1" s="12"/>
      <c r="IZ1" s="12"/>
      <c r="JA1" s="12"/>
      <c r="JB1" s="12"/>
      <c r="JC1" s="12"/>
      <c r="JD1" s="12"/>
      <c r="JE1" s="12"/>
      <c r="JF1" s="12"/>
      <c r="JG1" s="12"/>
      <c r="JH1" s="12"/>
      <c r="JI1" s="12"/>
      <c r="JJ1" s="12"/>
      <c r="JK1" s="12"/>
      <c r="JL1" s="12"/>
      <c r="JM1" s="12"/>
      <c r="JN1" s="12"/>
      <c r="JO1" s="12"/>
      <c r="JP1" s="12"/>
      <c r="JQ1" s="12"/>
      <c r="JR1" s="12"/>
      <c r="JS1" s="12"/>
      <c r="JT1" s="12"/>
      <c r="JU1" s="12"/>
      <c r="JV1" s="12"/>
      <c r="JW1" s="12"/>
      <c r="JX1" s="12"/>
      <c r="JY1" s="12"/>
      <c r="JZ1" s="12"/>
      <c r="KA1" s="12"/>
      <c r="KB1" s="12"/>
      <c r="KC1" s="12"/>
      <c r="KD1" s="12"/>
      <c r="KE1" s="12"/>
      <c r="KF1" s="12"/>
      <c r="KG1" s="12"/>
      <c r="KH1" s="12"/>
      <c r="KI1" s="12"/>
      <c r="KJ1" s="12"/>
      <c r="KK1" s="12"/>
      <c r="KL1" s="12"/>
      <c r="KM1" s="12"/>
      <c r="KN1" s="12"/>
      <c r="KO1" s="12"/>
      <c r="KP1" s="12"/>
      <c r="KQ1" s="12"/>
      <c r="KR1" s="12"/>
      <c r="KS1" s="12"/>
      <c r="KT1" s="12"/>
      <c r="KU1" s="12"/>
      <c r="KV1" s="12"/>
      <c r="KW1" s="12"/>
      <c r="KX1" s="12"/>
      <c r="KY1" s="12"/>
      <c r="KZ1" s="12"/>
      <c r="LA1" s="12"/>
      <c r="LB1" s="12"/>
      <c r="LC1" s="12"/>
      <c r="LD1" s="12"/>
      <c r="LE1" s="12"/>
      <c r="LF1" s="12"/>
      <c r="LG1" s="12"/>
      <c r="LH1" s="12"/>
      <c r="LI1" s="12"/>
      <c r="LJ1" s="12"/>
      <c r="LK1" s="12"/>
      <c r="LL1" s="12"/>
      <c r="LM1" s="12"/>
      <c r="LN1" s="12"/>
      <c r="LO1" s="12"/>
      <c r="LP1" s="12"/>
      <c r="LQ1" s="12"/>
      <c r="LR1" s="12"/>
      <c r="LS1" s="12"/>
      <c r="LT1" s="12"/>
      <c r="LU1" s="12"/>
      <c r="LV1" s="12"/>
      <c r="LW1" s="12"/>
      <c r="LX1" s="12"/>
      <c r="LY1" s="12"/>
      <c r="LZ1" s="12"/>
      <c r="MA1" s="12"/>
      <c r="MB1" s="12"/>
      <c r="MC1" s="12"/>
      <c r="MD1" s="12"/>
      <c r="ME1" s="12"/>
      <c r="MF1" s="12"/>
      <c r="MG1" s="12"/>
      <c r="MH1" s="12"/>
      <c r="MI1" s="12"/>
      <c r="MJ1" s="12"/>
      <c r="MK1" s="12"/>
      <c r="ML1" s="12"/>
      <c r="MM1" s="12"/>
      <c r="MN1" s="12"/>
      <c r="MO1" s="12"/>
      <c r="MP1" s="12"/>
      <c r="MQ1" s="12"/>
      <c r="MR1" s="12"/>
      <c r="MS1" s="12"/>
      <c r="MT1" s="12"/>
      <c r="MU1" s="12"/>
      <c r="MV1" s="12"/>
      <c r="MW1" s="12"/>
      <c r="MX1" s="12"/>
      <c r="MY1" s="12"/>
      <c r="MZ1" s="12"/>
      <c r="NA1" s="12"/>
      <c r="NB1" s="12"/>
      <c r="NC1" s="12"/>
      <c r="ND1" s="12"/>
      <c r="NE1" s="12"/>
      <c r="NF1" s="12"/>
      <c r="NG1" s="12"/>
      <c r="NH1" s="12"/>
      <c r="NI1" s="12"/>
      <c r="NJ1" s="12"/>
      <c r="NK1" s="12"/>
      <c r="NL1" s="12"/>
      <c r="NM1" s="12"/>
      <c r="NN1" s="12"/>
      <c r="NO1" s="12"/>
      <c r="NP1" s="12"/>
      <c r="NQ1" s="12"/>
      <c r="NR1" s="12"/>
      <c r="NS1" s="12"/>
      <c r="NT1" s="12"/>
      <c r="NU1" s="12"/>
      <c r="NV1" s="12"/>
      <c r="NW1" s="12"/>
      <c r="NX1" s="12"/>
      <c r="NY1" s="12"/>
      <c r="NZ1" s="12"/>
      <c r="OA1" s="12"/>
      <c r="OB1" s="12"/>
      <c r="OC1" s="12"/>
      <c r="OD1" s="12"/>
      <c r="OE1" s="12"/>
      <c r="OF1" s="12"/>
      <c r="OG1" s="12"/>
      <c r="OH1" s="12"/>
      <c r="OI1" s="12"/>
      <c r="OJ1" s="12"/>
      <c r="OK1" s="12"/>
      <c r="OL1" s="12"/>
      <c r="OM1" s="12"/>
      <c r="ON1" s="12"/>
      <c r="OO1" s="12"/>
      <c r="OP1" s="12"/>
      <c r="OQ1" s="12"/>
      <c r="OR1" s="12"/>
      <c r="OS1" s="12"/>
      <c r="OT1" s="12"/>
      <c r="OU1" s="12"/>
      <c r="OV1" s="12"/>
      <c r="OW1" s="12"/>
      <c r="OX1" s="12"/>
      <c r="OY1" s="12"/>
      <c r="OZ1" s="12"/>
      <c r="PA1" s="12"/>
      <c r="PB1" s="12"/>
      <c r="PC1" s="12"/>
      <c r="PD1" s="12"/>
      <c r="PE1" s="12"/>
      <c r="PF1" s="12"/>
      <c r="PG1" s="12"/>
      <c r="PH1" s="12"/>
      <c r="PI1" s="12"/>
      <c r="PJ1" s="12"/>
      <c r="PK1" s="12"/>
      <c r="PL1" s="12"/>
      <c r="PM1" s="12"/>
      <c r="PN1" s="12"/>
      <c r="PO1" s="12"/>
      <c r="PP1" s="12"/>
      <c r="PQ1" s="12"/>
      <c r="PR1" s="12"/>
      <c r="PS1" s="12"/>
      <c r="PT1" s="12"/>
      <c r="PU1" s="12"/>
      <c r="PV1" s="12"/>
      <c r="PW1" s="12"/>
      <c r="PX1" s="12"/>
      <c r="PY1" s="12"/>
      <c r="PZ1" s="12"/>
      <c r="QA1" s="12"/>
      <c r="QB1" s="12"/>
      <c r="QC1" s="12"/>
      <c r="QD1" s="12"/>
      <c r="QE1" s="12"/>
      <c r="QF1" s="12"/>
      <c r="QG1" s="12"/>
      <c r="QH1" s="12"/>
      <c r="QI1" s="12"/>
      <c r="QJ1" s="12"/>
      <c r="QK1" s="12"/>
      <c r="QL1" s="12"/>
      <c r="QM1" s="12"/>
      <c r="QN1" s="12"/>
      <c r="QO1" s="12"/>
      <c r="QP1" s="12"/>
      <c r="QQ1" s="12"/>
      <c r="QR1" s="12"/>
      <c r="QS1" s="12"/>
      <c r="QT1" s="12"/>
      <c r="QU1" s="12"/>
      <c r="QV1" s="12"/>
      <c r="QW1" s="12"/>
      <c r="QX1" s="12"/>
      <c r="QY1" s="12"/>
      <c r="QZ1" s="12"/>
      <c r="RA1" s="12"/>
      <c r="RB1" s="12"/>
      <c r="RC1" s="12"/>
      <c r="RD1" s="12"/>
      <c r="RE1" s="12"/>
      <c r="RF1" s="12"/>
      <c r="RG1" s="12"/>
      <c r="RH1" s="12"/>
      <c r="RI1" s="12"/>
      <c r="RJ1" s="12"/>
      <c r="RK1" s="12"/>
      <c r="RL1" s="12"/>
      <c r="RM1" s="12"/>
      <c r="RN1" s="12"/>
      <c r="RO1" s="12"/>
      <c r="RP1" s="12"/>
      <c r="RQ1" s="12"/>
      <c r="RR1" s="12"/>
      <c r="RS1" s="12"/>
      <c r="RT1" s="12"/>
      <c r="RU1" s="12"/>
      <c r="RV1" s="12"/>
      <c r="RW1" s="12"/>
      <c r="RX1" s="12"/>
      <c r="RY1" s="12"/>
      <c r="RZ1" s="12"/>
      <c r="SA1" s="12"/>
      <c r="SB1" s="12"/>
      <c r="SC1" s="12"/>
      <c r="SD1" s="12"/>
      <c r="SE1" s="12"/>
      <c r="SF1" s="12"/>
      <c r="SG1" s="12"/>
      <c r="SH1" s="12"/>
      <c r="SI1" s="12"/>
      <c r="SJ1" s="12"/>
      <c r="SK1" s="12"/>
      <c r="SL1" s="12"/>
      <c r="SM1" s="12"/>
      <c r="SN1" s="12"/>
      <c r="SO1" s="12"/>
      <c r="SP1" s="12"/>
      <c r="SQ1" s="12"/>
      <c r="SR1" s="12"/>
      <c r="SS1" s="12"/>
      <c r="ST1" s="12"/>
      <c r="SU1" s="12"/>
      <c r="SV1" s="12"/>
      <c r="SW1" s="12"/>
      <c r="SX1" s="12"/>
      <c r="SY1" s="12"/>
      <c r="SZ1" s="12"/>
      <c r="TA1" s="12"/>
      <c r="TB1" s="12"/>
      <c r="TC1" s="12"/>
      <c r="TD1" s="12"/>
      <c r="TE1" s="12"/>
      <c r="TF1" s="12"/>
      <c r="TG1" s="12"/>
      <c r="TH1" s="12"/>
      <c r="TI1" s="12"/>
      <c r="TJ1" s="12"/>
      <c r="TK1" s="12"/>
      <c r="TL1" s="12"/>
      <c r="TM1" s="12"/>
      <c r="TN1" s="12"/>
      <c r="TO1" s="12"/>
      <c r="TP1" s="12"/>
      <c r="TQ1" s="12"/>
      <c r="TR1" s="12"/>
      <c r="TS1" s="12"/>
      <c r="TT1" s="12"/>
      <c r="TU1" s="12"/>
      <c r="TV1" s="12"/>
      <c r="TW1" s="12"/>
      <c r="TX1" s="12"/>
      <c r="TY1" s="12"/>
      <c r="TZ1" s="12"/>
      <c r="UA1" s="12"/>
      <c r="UB1" s="12"/>
      <c r="UC1" s="12"/>
      <c r="UD1" s="12"/>
      <c r="UE1" s="12"/>
      <c r="UF1" s="12"/>
      <c r="UG1" s="12"/>
      <c r="UH1" s="12"/>
      <c r="UI1" s="12"/>
      <c r="UJ1" s="12"/>
      <c r="UK1" s="12"/>
      <c r="UL1" s="12"/>
      <c r="UM1" s="12"/>
      <c r="UN1" s="12"/>
      <c r="UO1" s="12"/>
      <c r="UP1" s="12"/>
      <c r="UQ1" s="12"/>
      <c r="UR1" s="12"/>
      <c r="US1" s="12"/>
      <c r="UT1" s="12"/>
      <c r="UU1" s="12"/>
      <c r="UV1" s="12"/>
      <c r="UW1" s="12"/>
      <c r="UX1" s="12"/>
      <c r="UY1" s="12"/>
      <c r="UZ1" s="12"/>
      <c r="VA1" s="12"/>
      <c r="VB1" s="12"/>
      <c r="VC1" s="12"/>
      <c r="VD1" s="12"/>
      <c r="VE1" s="12"/>
      <c r="VF1" s="12"/>
      <c r="VG1" s="12"/>
      <c r="VH1" s="12"/>
      <c r="VI1" s="12"/>
      <c r="VJ1" s="12"/>
      <c r="VK1" s="12"/>
      <c r="VL1" s="12"/>
      <c r="VM1" s="12"/>
      <c r="VN1" s="12"/>
      <c r="VO1" s="12"/>
      <c r="VP1" s="12"/>
      <c r="VQ1" s="12"/>
      <c r="VR1" s="12"/>
      <c r="VS1" s="12"/>
      <c r="VT1" s="12"/>
      <c r="VU1" s="12"/>
      <c r="VV1" s="12"/>
      <c r="VW1" s="12"/>
      <c r="VX1" s="12"/>
      <c r="VY1" s="12"/>
      <c r="VZ1" s="12"/>
      <c r="WA1" s="12"/>
      <c r="WB1" s="12"/>
      <c r="WC1" s="12"/>
      <c r="WD1" s="12"/>
      <c r="WE1" s="12"/>
      <c r="WF1" s="12"/>
      <c r="WG1" s="12"/>
      <c r="WH1" s="12"/>
      <c r="WI1" s="12"/>
      <c r="WJ1" s="12"/>
      <c r="WK1" s="12"/>
      <c r="WL1" s="12"/>
      <c r="WM1" s="12"/>
      <c r="WN1" s="12"/>
      <c r="WO1" s="12"/>
      <c r="WP1" s="12"/>
      <c r="WQ1" s="12"/>
      <c r="WR1" s="12"/>
      <c r="WS1" s="12"/>
      <c r="WT1" s="12"/>
      <c r="WU1" s="12"/>
      <c r="WV1" s="12"/>
      <c r="WW1" s="12"/>
      <c r="WX1" s="12"/>
      <c r="WY1" s="12"/>
      <c r="WZ1" s="12"/>
      <c r="XA1" s="12"/>
      <c r="XB1" s="12"/>
      <c r="XC1" s="12"/>
      <c r="XD1" s="12"/>
      <c r="XE1" s="12"/>
      <c r="XF1" s="12"/>
      <c r="XG1" s="12"/>
      <c r="XH1" s="12"/>
      <c r="XI1" s="12"/>
      <c r="XJ1" s="12"/>
      <c r="XK1" s="12"/>
      <c r="XL1" s="12"/>
      <c r="XM1" s="12"/>
      <c r="XN1" s="12"/>
      <c r="XO1" s="12"/>
      <c r="XP1" s="12"/>
      <c r="XQ1" s="12"/>
      <c r="XR1" s="12"/>
      <c r="XS1" s="12"/>
      <c r="XT1" s="12"/>
      <c r="XU1" s="12"/>
      <c r="XV1" s="12"/>
      <c r="XW1" s="12"/>
      <c r="XX1" s="12"/>
      <c r="XY1" s="12"/>
      <c r="XZ1" s="12"/>
      <c r="YA1" s="12"/>
      <c r="YB1" s="12"/>
      <c r="YC1" s="12"/>
      <c r="YD1" s="12"/>
      <c r="YE1" s="12"/>
      <c r="YF1" s="12"/>
      <c r="YG1" s="12"/>
      <c r="YH1" s="12"/>
      <c r="YI1" s="12"/>
      <c r="YJ1" s="12"/>
      <c r="YK1" s="12"/>
      <c r="YL1" s="12"/>
      <c r="YM1" s="12"/>
      <c r="YN1" s="12"/>
      <c r="YO1" s="12"/>
      <c r="YP1" s="12"/>
      <c r="YQ1" s="12"/>
      <c r="YR1" s="12"/>
      <c r="YS1" s="12"/>
      <c r="YT1" s="12"/>
      <c r="YU1" s="12"/>
      <c r="YV1" s="12"/>
      <c r="YW1" s="12"/>
      <c r="YX1" s="12"/>
      <c r="YY1" s="12"/>
      <c r="YZ1" s="12"/>
      <c r="ZA1" s="12"/>
      <c r="ZB1" s="12"/>
      <c r="ZC1" s="12"/>
      <c r="ZD1" s="12"/>
      <c r="ZE1" s="12"/>
      <c r="ZF1" s="12"/>
      <c r="ZG1" s="12"/>
      <c r="ZH1" s="12"/>
      <c r="ZI1" s="12"/>
      <c r="ZJ1" s="12"/>
      <c r="ZK1" s="12"/>
      <c r="ZL1" s="12"/>
      <c r="ZM1" s="12"/>
      <c r="ZN1" s="12"/>
      <c r="ZO1" s="12"/>
      <c r="ZP1" s="12"/>
      <c r="ZQ1" s="12"/>
      <c r="ZR1" s="12"/>
      <c r="ZS1" s="12"/>
      <c r="ZT1" s="12"/>
      <c r="ZU1" s="12"/>
      <c r="ZV1" s="12"/>
      <c r="ZW1" s="12"/>
      <c r="ZX1" s="12"/>
      <c r="ZY1" s="12"/>
      <c r="ZZ1" s="12"/>
      <c r="AAA1" s="12"/>
      <c r="AAB1" s="12"/>
      <c r="AAC1" s="12"/>
      <c r="AAD1" s="12"/>
      <c r="AAE1" s="12"/>
      <c r="AAF1" s="12"/>
      <c r="AAG1" s="12"/>
      <c r="AAH1" s="12"/>
      <c r="AAI1" s="12"/>
      <c r="AAJ1" s="12"/>
      <c r="AAK1" s="12"/>
      <c r="AAL1" s="12"/>
      <c r="AAM1" s="12"/>
      <c r="AAN1" s="12"/>
      <c r="AAO1" s="12"/>
      <c r="AAP1" s="12"/>
      <c r="AAQ1" s="12"/>
      <c r="AAR1" s="12"/>
      <c r="AAS1" s="12"/>
      <c r="AAT1" s="12"/>
      <c r="AAU1" s="12"/>
      <c r="AAV1" s="12"/>
      <c r="AAW1" s="12"/>
      <c r="AAX1" s="12"/>
      <c r="AAY1" s="12"/>
      <c r="AAZ1" s="12"/>
      <c r="ABA1" s="12"/>
      <c r="ABB1" s="12"/>
      <c r="ABC1" s="12"/>
      <c r="ABD1" s="12"/>
      <c r="ABE1" s="12"/>
      <c r="ABF1" s="12"/>
      <c r="ABG1" s="12"/>
      <c r="ABH1" s="12"/>
      <c r="ABI1" s="12"/>
      <c r="ABJ1" s="12"/>
      <c r="ABK1" s="12"/>
      <c r="ABL1" s="12"/>
      <c r="ABM1" s="12"/>
      <c r="ABN1" s="12"/>
      <c r="ABO1" s="12"/>
      <c r="ABP1" s="12"/>
      <c r="ABQ1" s="12"/>
      <c r="ABR1" s="12"/>
      <c r="ABS1" s="12"/>
      <c r="ABT1" s="12"/>
      <c r="ABU1" s="12"/>
      <c r="ABV1" s="12"/>
      <c r="ABW1" s="12"/>
      <c r="ABX1" s="12"/>
      <c r="ABY1" s="12"/>
      <c r="ABZ1" s="12"/>
      <c r="ACA1" s="12"/>
      <c r="ACB1" s="12"/>
      <c r="ACC1" s="12"/>
      <c r="ACD1" s="12"/>
      <c r="ACE1" s="12"/>
      <c r="ACF1" s="12"/>
      <c r="ACG1" s="12"/>
      <c r="ACH1" s="12"/>
      <c r="ACI1" s="12"/>
      <c r="ACJ1" s="12"/>
      <c r="ACK1" s="12"/>
      <c r="ACL1" s="12"/>
      <c r="ACM1" s="12"/>
      <c r="ACN1" s="12"/>
      <c r="ACO1" s="12"/>
      <c r="ACP1" s="12"/>
      <c r="ACQ1" s="12"/>
      <c r="ACR1" s="12"/>
      <c r="ACS1" s="12"/>
      <c r="ACT1" s="12"/>
      <c r="ACU1" s="12"/>
      <c r="ACV1" s="12"/>
      <c r="ACW1" s="12"/>
      <c r="ACX1" s="12"/>
      <c r="ACY1" s="12"/>
      <c r="ACZ1" s="12"/>
      <c r="ADA1" s="12"/>
      <c r="ADB1" s="12"/>
      <c r="ADC1" s="12"/>
      <c r="ADD1" s="12"/>
      <c r="ADE1" s="12"/>
      <c r="ADF1" s="12"/>
      <c r="ADG1" s="12"/>
      <c r="ADH1" s="12"/>
      <c r="ADI1" s="12"/>
      <c r="ADJ1" s="12"/>
      <c r="ADK1" s="12"/>
      <c r="ADL1" s="12"/>
      <c r="ADM1" s="12"/>
      <c r="ADN1" s="12"/>
      <c r="ADO1" s="12"/>
      <c r="ADP1" s="12"/>
      <c r="ADQ1" s="12"/>
      <c r="ADR1" s="12"/>
      <c r="ADS1" s="12"/>
      <c r="ADT1" s="12"/>
      <c r="ADU1" s="12"/>
      <c r="ADV1" s="12"/>
      <c r="ADW1" s="12"/>
      <c r="ADX1" s="12"/>
      <c r="ADY1" s="12"/>
      <c r="ADZ1" s="12"/>
      <c r="AEA1" s="12"/>
      <c r="AEB1" s="12"/>
      <c r="AEC1" s="12"/>
      <c r="AED1" s="12"/>
      <c r="AEE1" s="12"/>
      <c r="AEF1" s="12"/>
      <c r="AEG1" s="12"/>
      <c r="AEH1" s="12"/>
      <c r="AEI1" s="12"/>
      <c r="AEJ1" s="12"/>
      <c r="AEK1" s="12"/>
      <c r="AEL1" s="12"/>
      <c r="AEM1" s="12"/>
      <c r="AEN1" s="12"/>
      <c r="AEO1" s="12"/>
      <c r="AEP1" s="12"/>
      <c r="AEQ1" s="12"/>
      <c r="AER1" s="12"/>
      <c r="AES1" s="12"/>
      <c r="AET1" s="12"/>
      <c r="AEU1" s="12"/>
      <c r="AEV1" s="12"/>
      <c r="AEW1" s="12"/>
      <c r="AEX1" s="12"/>
      <c r="AEY1" s="12"/>
      <c r="AEZ1" s="12"/>
      <c r="AFA1" s="12"/>
      <c r="AFB1" s="12"/>
      <c r="AFC1" s="12"/>
      <c r="AFD1" s="12"/>
      <c r="AFE1" s="12"/>
      <c r="AFF1" s="12"/>
      <c r="AFG1" s="12"/>
      <c r="AFH1" s="12"/>
      <c r="AFI1" s="12"/>
      <c r="AFJ1" s="12"/>
      <c r="AFK1" s="12"/>
      <c r="AFL1" s="12"/>
      <c r="AFM1" s="12"/>
      <c r="AFN1" s="12"/>
      <c r="AFO1" s="12"/>
      <c r="AFP1" s="12"/>
      <c r="AFQ1" s="12"/>
      <c r="AFR1" s="12"/>
      <c r="AFS1" s="12"/>
      <c r="AFT1" s="12"/>
      <c r="AFU1" s="12"/>
      <c r="AFV1" s="12"/>
      <c r="AFW1" s="12"/>
      <c r="AFX1" s="12"/>
      <c r="AFY1" s="12"/>
      <c r="AFZ1" s="12"/>
      <c r="AGA1" s="12"/>
      <c r="AGB1" s="12"/>
      <c r="AGC1" s="12"/>
      <c r="AGD1" s="12"/>
      <c r="AGE1" s="12"/>
      <c r="AGF1" s="12"/>
      <c r="AGG1" s="12"/>
      <c r="AGH1" s="12"/>
      <c r="AGI1" s="12"/>
      <c r="AGJ1" s="12"/>
      <c r="AGK1" s="12"/>
      <c r="AGL1" s="12"/>
      <c r="AGM1" s="12"/>
      <c r="AGN1" s="12"/>
      <c r="AGO1" s="12"/>
      <c r="AGP1" s="12"/>
      <c r="AGQ1" s="12"/>
      <c r="AGR1" s="12"/>
      <c r="AGS1" s="12"/>
      <c r="AGT1" s="12"/>
      <c r="AGU1" s="12"/>
      <c r="AGV1" s="12"/>
      <c r="AGW1" s="12"/>
      <c r="AGX1" s="12"/>
      <c r="AGY1" s="12"/>
      <c r="AGZ1" s="12"/>
      <c r="AHA1" s="12"/>
      <c r="AHB1" s="12"/>
      <c r="AHC1" s="12"/>
      <c r="AHD1" s="12"/>
      <c r="AHE1" s="12"/>
      <c r="AHF1" s="12"/>
      <c r="AHG1" s="12"/>
      <c r="AHH1" s="12"/>
      <c r="AHI1" s="12"/>
      <c r="AHJ1" s="12"/>
      <c r="AHK1" s="12"/>
      <c r="AHL1" s="12"/>
      <c r="AHM1" s="12"/>
      <c r="AHN1" s="12"/>
      <c r="AHO1" s="12"/>
      <c r="AHP1" s="12"/>
      <c r="AHQ1" s="12"/>
      <c r="AHR1" s="12"/>
      <c r="AHS1" s="12"/>
      <c r="AHT1" s="12"/>
      <c r="AHU1" s="12"/>
      <c r="AHV1" s="12"/>
      <c r="AHW1" s="12"/>
      <c r="AHX1" s="12"/>
      <c r="AHY1" s="12"/>
      <c r="AHZ1" s="12"/>
      <c r="AIA1" s="12"/>
      <c r="AIB1" s="12"/>
      <c r="AIC1" s="12"/>
      <c r="AID1" s="12"/>
      <c r="AIE1" s="12"/>
      <c r="AIF1" s="12"/>
      <c r="AIG1" s="12"/>
      <c r="AIH1" s="12"/>
      <c r="AII1" s="12"/>
      <c r="AIJ1" s="12"/>
      <c r="AIK1" s="12"/>
      <c r="AIL1" s="12"/>
      <c r="AIM1" s="12"/>
      <c r="AIN1" s="12"/>
      <c r="AIO1" s="12"/>
      <c r="AIP1" s="12"/>
      <c r="AIQ1" s="12"/>
      <c r="AIR1" s="12"/>
      <c r="AIS1" s="12"/>
      <c r="AIT1" s="12"/>
      <c r="AIU1" s="12"/>
      <c r="AIV1" s="12"/>
      <c r="AIW1" s="12"/>
      <c r="AIX1" s="12"/>
      <c r="AIY1" s="12"/>
      <c r="AIZ1" s="12"/>
      <c r="AJA1" s="12"/>
      <c r="AJB1" s="12"/>
      <c r="AJC1" s="12"/>
      <c r="AJD1" s="12"/>
      <c r="AJE1" s="12"/>
      <c r="AJF1" s="12"/>
      <c r="AJG1" s="12"/>
      <c r="AJH1" s="12"/>
      <c r="AJI1" s="12"/>
      <c r="AJJ1" s="12"/>
      <c r="AJK1" s="12"/>
      <c r="AJL1" s="12"/>
      <c r="AJM1" s="12"/>
      <c r="AJN1" s="12"/>
      <c r="AJO1" s="12"/>
      <c r="AJP1" s="12"/>
      <c r="AJQ1" s="12"/>
      <c r="AJR1" s="12"/>
      <c r="AJS1" s="12"/>
      <c r="AJT1" s="12"/>
      <c r="AJU1" s="12"/>
      <c r="AJV1" s="12"/>
      <c r="AJW1" s="12"/>
      <c r="AJX1" s="12"/>
      <c r="AJY1" s="12"/>
      <c r="AJZ1" s="12"/>
      <c r="AKA1" s="12"/>
      <c r="AKB1" s="12"/>
      <c r="AKC1" s="12"/>
      <c r="AKD1" s="12"/>
      <c r="AKE1" s="12"/>
      <c r="AKF1" s="12"/>
      <c r="AKG1" s="12"/>
      <c r="AKH1" s="12"/>
      <c r="AKI1" s="12"/>
      <c r="AKJ1" s="12"/>
      <c r="AKK1" s="12"/>
      <c r="AKL1" s="12"/>
      <c r="AKM1" s="12"/>
      <c r="AKN1" s="12"/>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12"/>
      <c r="ALV1" s="12"/>
      <c r="ALW1" s="12"/>
      <c r="ALX1" s="12"/>
      <c r="ALY1" s="12"/>
      <c r="ALZ1" s="12"/>
      <c r="AMA1" s="12"/>
      <c r="AMB1" s="12"/>
      <c r="AMC1" s="12"/>
      <c r="AMD1" s="12"/>
      <c r="AME1" s="12"/>
      <c r="AMF1" s="12"/>
      <c r="AMG1" s="12"/>
      <c r="AMH1" s="12"/>
      <c r="AMI1" s="12"/>
      <c r="AMJ1" s="12"/>
      <c r="AMK1" s="12"/>
      <c r="AML1" s="12"/>
      <c r="AMM1" s="12"/>
      <c r="AMN1" s="12"/>
      <c r="AMO1" s="12"/>
      <c r="AMP1" s="12"/>
      <c r="AMQ1" s="12"/>
      <c r="AMR1" s="12"/>
      <c r="AMS1" s="12"/>
      <c r="AMT1" s="12"/>
      <c r="AMU1" s="12"/>
      <c r="AMV1" s="12"/>
      <c r="AMW1" s="12"/>
      <c r="AMX1" s="12"/>
      <c r="AMY1" s="12"/>
      <c r="AMZ1" s="12"/>
      <c r="ANA1" s="12"/>
      <c r="ANB1" s="12"/>
      <c r="ANC1" s="12"/>
      <c r="AND1" s="12"/>
      <c r="ANE1" s="12"/>
      <c r="ANF1" s="12"/>
      <c r="ANG1" s="12"/>
      <c r="ANH1" s="12"/>
      <c r="ANI1" s="12"/>
      <c r="ANJ1" s="12"/>
      <c r="ANK1" s="12"/>
      <c r="ANL1" s="12"/>
      <c r="ANM1" s="12"/>
      <c r="ANN1" s="12"/>
      <c r="ANO1" s="12"/>
      <c r="ANP1" s="12"/>
      <c r="ANQ1" s="12"/>
      <c r="ANR1" s="12"/>
      <c r="ANS1" s="12"/>
      <c r="ANT1" s="12"/>
      <c r="ANU1" s="12"/>
      <c r="ANV1" s="12"/>
      <c r="ANW1" s="12"/>
      <c r="ANX1" s="12"/>
      <c r="ANY1" s="12"/>
      <c r="ANZ1" s="12"/>
      <c r="AOA1" s="12"/>
      <c r="AOB1" s="12"/>
      <c r="AOC1" s="12"/>
      <c r="AOD1" s="12"/>
      <c r="AOE1" s="12"/>
      <c r="AOF1" s="12"/>
      <c r="AOG1" s="12"/>
      <c r="AOH1" s="12"/>
      <c r="AOI1" s="12"/>
      <c r="AOJ1" s="12"/>
      <c r="AOK1" s="12"/>
      <c r="AOL1" s="12"/>
      <c r="AOM1" s="12"/>
      <c r="AON1" s="12"/>
      <c r="AOO1" s="12"/>
      <c r="AOP1" s="12"/>
      <c r="AOQ1" s="12"/>
      <c r="AOR1" s="12"/>
      <c r="AOS1" s="12"/>
      <c r="AOT1" s="12"/>
      <c r="AOU1" s="12"/>
      <c r="AOV1" s="12"/>
      <c r="AOW1" s="12"/>
      <c r="AOX1" s="12"/>
      <c r="AOY1" s="12"/>
      <c r="AOZ1" s="12"/>
      <c r="APA1" s="12"/>
      <c r="APB1" s="12"/>
      <c r="APC1" s="12"/>
      <c r="APD1" s="12"/>
      <c r="APE1" s="12"/>
      <c r="APF1" s="12"/>
      <c r="APG1" s="12"/>
      <c r="APH1" s="12"/>
      <c r="API1" s="12"/>
      <c r="APJ1" s="12"/>
      <c r="APK1" s="12"/>
      <c r="APL1" s="12"/>
      <c r="APM1" s="12"/>
      <c r="APN1" s="12"/>
      <c r="APO1" s="12"/>
      <c r="APP1" s="12"/>
      <c r="APQ1" s="12"/>
      <c r="APR1" s="12"/>
      <c r="APS1" s="12"/>
      <c r="APT1" s="12"/>
      <c r="APU1" s="12"/>
      <c r="APV1" s="12"/>
      <c r="APW1" s="12"/>
      <c r="APX1" s="12"/>
      <c r="APY1" s="12"/>
      <c r="APZ1" s="12"/>
      <c r="AQA1" s="12"/>
      <c r="AQB1" s="12"/>
      <c r="AQC1" s="12"/>
      <c r="AQD1" s="12"/>
      <c r="AQE1" s="12"/>
      <c r="AQF1" s="12"/>
      <c r="AQG1" s="12"/>
      <c r="AQH1" s="12"/>
      <c r="AQI1" s="12"/>
      <c r="AQJ1" s="12"/>
      <c r="AQK1" s="12"/>
      <c r="AQL1" s="12"/>
      <c r="AQM1" s="12"/>
      <c r="AQN1" s="12"/>
      <c r="AQO1" s="12"/>
      <c r="AQP1" s="12"/>
      <c r="AQQ1" s="12"/>
      <c r="AQR1" s="12"/>
      <c r="AQS1" s="12"/>
      <c r="AQT1" s="12"/>
      <c r="AQU1" s="12"/>
      <c r="AQV1" s="12"/>
      <c r="AQW1" s="12"/>
      <c r="AQX1" s="12"/>
      <c r="AQY1" s="12"/>
      <c r="AQZ1" s="12"/>
      <c r="ARA1" s="12"/>
      <c r="ARB1" s="12"/>
      <c r="ARC1" s="12"/>
      <c r="ARD1" s="12"/>
      <c r="ARE1" s="12"/>
      <c r="ARF1" s="12"/>
      <c r="ARG1" s="12"/>
      <c r="ARH1" s="12"/>
      <c r="ARI1" s="12"/>
      <c r="ARJ1" s="12"/>
      <c r="ARK1" s="12"/>
      <c r="ARL1" s="12"/>
      <c r="ARM1" s="12"/>
      <c r="ARN1" s="12"/>
      <c r="ARO1" s="12"/>
      <c r="ARP1" s="12"/>
      <c r="ARQ1" s="12"/>
      <c r="ARR1" s="12"/>
      <c r="ARS1" s="12"/>
      <c r="ART1" s="12"/>
      <c r="ARU1" s="12"/>
      <c r="ARV1" s="12"/>
      <c r="ARW1" s="12"/>
      <c r="ARX1" s="12"/>
      <c r="ARY1" s="12"/>
      <c r="ARZ1" s="12"/>
      <c r="ASA1" s="12"/>
      <c r="ASB1" s="12"/>
      <c r="ASC1" s="12"/>
      <c r="ASD1" s="12"/>
      <c r="ASE1" s="12"/>
    </row>
    <row r="2">
      <c r="A2" s="3" t="s">
        <v>179</v>
      </c>
      <c r="B2" s="3">
        <v>2000.0</v>
      </c>
      <c r="C2" s="3">
        <v>1998.0</v>
      </c>
      <c r="D2" s="3">
        <v>1998.0</v>
      </c>
      <c r="E2" s="3" t="s">
        <v>19</v>
      </c>
      <c r="F2" s="3" t="s">
        <v>180</v>
      </c>
      <c r="G2" s="3" t="s">
        <v>180</v>
      </c>
      <c r="H2" s="13">
        <v>32.0</v>
      </c>
      <c r="I2" s="3" t="s">
        <v>181</v>
      </c>
      <c r="J2" s="3" t="s">
        <v>182</v>
      </c>
      <c r="K2" s="14" t="s">
        <v>183</v>
      </c>
      <c r="L2" s="3" t="s">
        <v>184</v>
      </c>
      <c r="M2" s="13">
        <v>3.6E7</v>
      </c>
      <c r="N2" s="14" t="s">
        <v>183</v>
      </c>
      <c r="O2" s="3">
        <v>1080.0</v>
      </c>
      <c r="P2" s="3" t="s">
        <v>185</v>
      </c>
      <c r="Q2" s="15" t="s">
        <v>186</v>
      </c>
      <c r="R2" s="15" t="s">
        <v>187</v>
      </c>
      <c r="S2" s="3" t="s">
        <v>188</v>
      </c>
      <c r="T2" s="3" t="s">
        <v>188</v>
      </c>
      <c r="U2" s="3" t="s">
        <v>188</v>
      </c>
      <c r="V2" s="3"/>
      <c r="W2" s="3"/>
      <c r="X2" s="3" t="s">
        <v>189</v>
      </c>
      <c r="Y2" s="3" t="s">
        <v>190</v>
      </c>
    </row>
    <row r="3">
      <c r="A3" s="3" t="s">
        <v>191</v>
      </c>
      <c r="B3" s="3">
        <v>2008.0</v>
      </c>
      <c r="C3" s="3">
        <v>1998.0</v>
      </c>
      <c r="D3" s="3">
        <v>1998.0</v>
      </c>
      <c r="E3" s="3" t="s">
        <v>37</v>
      </c>
      <c r="F3" s="3" t="s">
        <v>180</v>
      </c>
      <c r="G3" s="3" t="s">
        <v>180</v>
      </c>
      <c r="H3" s="13">
        <v>27.0</v>
      </c>
      <c r="I3" s="3" t="s">
        <v>192</v>
      </c>
      <c r="J3" s="3" t="s">
        <v>193</v>
      </c>
      <c r="K3" s="14">
        <v>47.0</v>
      </c>
      <c r="L3" s="3" t="s">
        <v>184</v>
      </c>
      <c r="M3" s="14" t="s">
        <v>183</v>
      </c>
      <c r="N3" s="13">
        <v>1788000.0</v>
      </c>
      <c r="O3" s="3">
        <v>1080.0</v>
      </c>
      <c r="P3" s="3" t="s">
        <v>185</v>
      </c>
      <c r="Q3" s="15" t="s">
        <v>186</v>
      </c>
      <c r="R3" s="15" t="s">
        <v>187</v>
      </c>
      <c r="S3" s="3" t="s">
        <v>188</v>
      </c>
      <c r="T3" s="3" t="s">
        <v>184</v>
      </c>
      <c r="U3" s="3" t="s">
        <v>188</v>
      </c>
      <c r="V3" s="3"/>
      <c r="W3" s="3"/>
      <c r="X3" s="3" t="s">
        <v>194</v>
      </c>
      <c r="Y3" s="3" t="s">
        <v>190</v>
      </c>
    </row>
    <row r="4">
      <c r="A4" s="3" t="s">
        <v>195</v>
      </c>
      <c r="B4" s="3">
        <v>1999.0</v>
      </c>
      <c r="C4" s="3">
        <v>1998.0</v>
      </c>
      <c r="D4" s="3">
        <v>1998.0</v>
      </c>
      <c r="E4" s="3" t="s">
        <v>19</v>
      </c>
      <c r="F4" s="3" t="s">
        <v>180</v>
      </c>
      <c r="G4" s="3" t="s">
        <v>180</v>
      </c>
      <c r="H4" s="13">
        <v>38.0</v>
      </c>
      <c r="I4" s="3" t="s">
        <v>181</v>
      </c>
      <c r="J4" s="3" t="s">
        <v>193</v>
      </c>
      <c r="K4" s="14">
        <v>42.0</v>
      </c>
      <c r="L4" s="3" t="s">
        <v>184</v>
      </c>
      <c r="M4" s="14" t="s">
        <v>183</v>
      </c>
      <c r="N4" s="13">
        <v>5211000.0</v>
      </c>
      <c r="O4" s="3">
        <v>1080.0</v>
      </c>
      <c r="P4" s="3" t="s">
        <v>185</v>
      </c>
      <c r="Q4" s="15" t="s">
        <v>186</v>
      </c>
      <c r="R4" s="15" t="s">
        <v>187</v>
      </c>
      <c r="S4" s="3" t="s">
        <v>188</v>
      </c>
      <c r="T4" s="3" t="s">
        <v>188</v>
      </c>
      <c r="U4" s="3" t="s">
        <v>188</v>
      </c>
      <c r="V4" s="3"/>
      <c r="W4" s="3"/>
      <c r="X4" s="3" t="s">
        <v>196</v>
      </c>
      <c r="Y4" s="3" t="s">
        <v>190</v>
      </c>
    </row>
    <row r="5">
      <c r="A5" s="3" t="s">
        <v>197</v>
      </c>
      <c r="B5" s="3">
        <v>2009.0</v>
      </c>
      <c r="C5" s="3">
        <v>1998.0</v>
      </c>
      <c r="D5" s="3">
        <v>1998.0</v>
      </c>
      <c r="E5" s="3" t="s">
        <v>19</v>
      </c>
      <c r="F5" s="3" t="s">
        <v>180</v>
      </c>
      <c r="G5" s="3" t="s">
        <v>180</v>
      </c>
      <c r="H5" s="13">
        <v>32.0</v>
      </c>
      <c r="I5" s="3" t="s">
        <v>181</v>
      </c>
      <c r="J5" s="3" t="s">
        <v>193</v>
      </c>
      <c r="K5" s="14">
        <v>43.0</v>
      </c>
      <c r="L5" s="3" t="s">
        <v>184</v>
      </c>
      <c r="M5" s="14" t="s">
        <v>183</v>
      </c>
      <c r="N5" s="13">
        <v>148500.0</v>
      </c>
      <c r="O5" s="3">
        <v>1080.0</v>
      </c>
      <c r="P5" s="3" t="s">
        <v>185</v>
      </c>
      <c r="Q5" s="15" t="s">
        <v>186</v>
      </c>
      <c r="R5" s="15" t="s">
        <v>187</v>
      </c>
      <c r="S5" s="3" t="s">
        <v>188</v>
      </c>
      <c r="T5" s="3" t="s">
        <v>188</v>
      </c>
      <c r="U5" s="3" t="s">
        <v>188</v>
      </c>
      <c r="V5" s="3"/>
      <c r="W5" s="3"/>
      <c r="X5" s="3" t="s">
        <v>198</v>
      </c>
      <c r="Y5" s="3" t="s">
        <v>190</v>
      </c>
    </row>
    <row r="6">
      <c r="A6" s="3" t="s">
        <v>199</v>
      </c>
      <c r="B6" s="3">
        <v>2000.0</v>
      </c>
      <c r="C6" s="3">
        <v>1999.0</v>
      </c>
      <c r="D6" s="3">
        <v>1999.0</v>
      </c>
      <c r="E6" s="3" t="s">
        <v>19</v>
      </c>
      <c r="F6" s="3" t="s">
        <v>180</v>
      </c>
      <c r="G6" s="3" t="s">
        <v>180</v>
      </c>
      <c r="H6" s="13">
        <v>58.0</v>
      </c>
      <c r="I6" s="3" t="s">
        <v>181</v>
      </c>
      <c r="J6" s="3" t="s">
        <v>182</v>
      </c>
      <c r="K6" s="14" t="s">
        <v>183</v>
      </c>
      <c r="L6" s="3" t="s">
        <v>184</v>
      </c>
      <c r="M6" s="13">
        <v>7.21E7</v>
      </c>
      <c r="N6" s="14" t="s">
        <v>183</v>
      </c>
      <c r="O6" s="3">
        <v>1080.0</v>
      </c>
      <c r="P6" s="3" t="s">
        <v>185</v>
      </c>
      <c r="Q6" s="15" t="s">
        <v>186</v>
      </c>
      <c r="R6" s="15" t="s">
        <v>187</v>
      </c>
      <c r="S6" s="3" t="s">
        <v>188</v>
      </c>
      <c r="T6" s="3" t="s">
        <v>188</v>
      </c>
      <c r="U6" s="3" t="s">
        <v>188</v>
      </c>
      <c r="V6" s="3"/>
      <c r="W6" s="3"/>
      <c r="X6" s="3" t="s">
        <v>200</v>
      </c>
      <c r="Y6" s="3" t="s">
        <v>201</v>
      </c>
    </row>
    <row r="7">
      <c r="A7" s="3" t="s">
        <v>202</v>
      </c>
      <c r="B7" s="3">
        <v>2001.0</v>
      </c>
      <c r="C7" s="3">
        <v>2000.0</v>
      </c>
      <c r="D7" s="3">
        <v>2000.0</v>
      </c>
      <c r="E7" s="3" t="s">
        <v>38</v>
      </c>
      <c r="F7" s="3" t="s">
        <v>180</v>
      </c>
      <c r="G7" s="3" t="s">
        <v>180</v>
      </c>
      <c r="H7" s="13">
        <v>3.0</v>
      </c>
      <c r="I7" s="3" t="s">
        <v>203</v>
      </c>
      <c r="J7" s="3" t="s">
        <v>182</v>
      </c>
      <c r="K7" s="14" t="s">
        <v>183</v>
      </c>
      <c r="L7" s="3" t="s">
        <v>184</v>
      </c>
      <c r="M7" s="13">
        <v>1629000.0</v>
      </c>
      <c r="N7" s="14" t="s">
        <v>183</v>
      </c>
      <c r="O7" s="3">
        <v>5.0</v>
      </c>
      <c r="P7" s="3" t="s">
        <v>204</v>
      </c>
      <c r="Q7" s="15" t="s">
        <v>186</v>
      </c>
      <c r="R7" s="15" t="s">
        <v>187</v>
      </c>
      <c r="S7" s="3" t="s">
        <v>188</v>
      </c>
      <c r="T7" s="3" t="s">
        <v>188</v>
      </c>
      <c r="U7" s="3" t="s">
        <v>205</v>
      </c>
      <c r="W7" s="3"/>
      <c r="X7" s="3" t="s">
        <v>206</v>
      </c>
      <c r="Y7" s="3" t="s">
        <v>207</v>
      </c>
    </row>
    <row r="8">
      <c r="A8" s="3" t="s">
        <v>208</v>
      </c>
      <c r="B8" s="3">
        <v>2010.0</v>
      </c>
      <c r="C8" s="3">
        <v>2001.0</v>
      </c>
      <c r="D8" s="13">
        <v>2024.0</v>
      </c>
      <c r="E8" s="3" t="s">
        <v>28</v>
      </c>
      <c r="F8" s="3" t="s">
        <v>209</v>
      </c>
      <c r="G8" s="3" t="s">
        <v>209</v>
      </c>
      <c r="H8" s="14" t="s">
        <v>183</v>
      </c>
      <c r="I8" s="3" t="s">
        <v>210</v>
      </c>
      <c r="J8" s="3" t="s">
        <v>98</v>
      </c>
      <c r="K8" s="14" t="s">
        <v>183</v>
      </c>
      <c r="L8" s="3" t="s">
        <v>211</v>
      </c>
      <c r="M8" s="13" t="s">
        <v>212</v>
      </c>
      <c r="N8" s="14" t="s">
        <v>183</v>
      </c>
      <c r="O8" s="3" t="s">
        <v>213</v>
      </c>
      <c r="P8" s="3" t="s">
        <v>185</v>
      </c>
      <c r="Q8" s="15" t="s">
        <v>186</v>
      </c>
      <c r="R8" s="15" t="s">
        <v>214</v>
      </c>
      <c r="S8" s="3" t="s">
        <v>188</v>
      </c>
      <c r="T8" s="3" t="s">
        <v>184</v>
      </c>
      <c r="U8" s="3" t="s">
        <v>188</v>
      </c>
      <c r="V8" s="3"/>
      <c r="W8" s="3"/>
      <c r="X8" s="3" t="s">
        <v>215</v>
      </c>
      <c r="Y8" s="3" t="s">
        <v>213</v>
      </c>
    </row>
    <row r="9">
      <c r="A9" s="3" t="s">
        <v>216</v>
      </c>
      <c r="B9" s="3">
        <v>2010.0</v>
      </c>
      <c r="C9" s="3">
        <v>2007.0</v>
      </c>
      <c r="D9" s="3">
        <v>2007.0</v>
      </c>
      <c r="E9" s="3" t="s">
        <v>29</v>
      </c>
      <c r="F9" s="3" t="s">
        <v>184</v>
      </c>
      <c r="G9" s="3" t="s">
        <v>209</v>
      </c>
      <c r="H9" s="13">
        <v>1.0</v>
      </c>
      <c r="I9" s="3" t="s">
        <v>217</v>
      </c>
      <c r="J9" s="3" t="s">
        <v>98</v>
      </c>
      <c r="K9" s="14" t="s">
        <v>183</v>
      </c>
      <c r="L9" s="3" t="s">
        <v>211</v>
      </c>
      <c r="M9" s="13">
        <v>4.6E7</v>
      </c>
      <c r="N9" s="14" t="s">
        <v>183</v>
      </c>
      <c r="O9" s="3">
        <v>1.1</v>
      </c>
      <c r="P9" s="3" t="s">
        <v>204</v>
      </c>
      <c r="Q9" s="16" t="s">
        <v>183</v>
      </c>
      <c r="R9" s="16" t="s">
        <v>183</v>
      </c>
      <c r="S9" s="3" t="s">
        <v>184</v>
      </c>
      <c r="T9" s="3" t="s">
        <v>184</v>
      </c>
      <c r="U9" s="3" t="s">
        <v>188</v>
      </c>
      <c r="V9" s="3"/>
      <c r="W9" s="3"/>
      <c r="X9" s="3" t="s">
        <v>218</v>
      </c>
      <c r="Y9" s="3" t="s">
        <v>219</v>
      </c>
    </row>
    <row r="10">
      <c r="A10" s="3" t="s">
        <v>220</v>
      </c>
      <c r="B10" s="3">
        <v>2009.0</v>
      </c>
      <c r="C10" s="3">
        <v>2008.0</v>
      </c>
      <c r="D10" s="3">
        <v>2008.0</v>
      </c>
      <c r="E10" s="3" t="s">
        <v>24</v>
      </c>
      <c r="F10" s="3" t="s">
        <v>184</v>
      </c>
      <c r="G10" s="3" t="s">
        <v>209</v>
      </c>
      <c r="H10" s="13">
        <v>1.0</v>
      </c>
      <c r="I10" s="3" t="s">
        <v>221</v>
      </c>
      <c r="J10" s="3" t="s">
        <v>105</v>
      </c>
      <c r="K10" s="14">
        <v>13.0</v>
      </c>
      <c r="L10" s="3" t="s">
        <v>222</v>
      </c>
      <c r="M10" s="13">
        <v>1.42E7</v>
      </c>
      <c r="N10" s="14" t="s">
        <v>183</v>
      </c>
      <c r="O10" s="3">
        <v>154.0</v>
      </c>
      <c r="P10" s="3" t="s">
        <v>204</v>
      </c>
      <c r="Q10" s="15" t="s">
        <v>223</v>
      </c>
      <c r="R10" s="15" t="s">
        <v>223</v>
      </c>
      <c r="S10" s="3" t="s">
        <v>184</v>
      </c>
      <c r="T10" s="3" t="s">
        <v>184</v>
      </c>
      <c r="U10" s="3" t="s">
        <v>188</v>
      </c>
      <c r="V10" s="3"/>
      <c r="W10" s="3"/>
      <c r="X10" s="3" t="s">
        <v>224</v>
      </c>
      <c r="Y10" s="3" t="s">
        <v>225</v>
      </c>
    </row>
    <row r="11">
      <c r="A11" s="3" t="s">
        <v>226</v>
      </c>
      <c r="B11" s="3">
        <v>2020.0</v>
      </c>
      <c r="C11" s="3">
        <v>2009.0</v>
      </c>
      <c r="D11" s="3">
        <v>2009.0</v>
      </c>
      <c r="E11" s="3" t="s">
        <v>30</v>
      </c>
      <c r="F11" s="3" t="s">
        <v>227</v>
      </c>
      <c r="G11" s="3" t="s">
        <v>227</v>
      </c>
      <c r="H11" s="13">
        <v>1.0</v>
      </c>
      <c r="I11" s="3" t="s">
        <v>228</v>
      </c>
      <c r="J11" s="3" t="s">
        <v>104</v>
      </c>
      <c r="K11" s="14">
        <v>194.0</v>
      </c>
      <c r="L11" s="3" t="s">
        <v>184</v>
      </c>
      <c r="M11" s="14" t="s">
        <v>183</v>
      </c>
      <c r="N11" s="13">
        <v>5700.0</v>
      </c>
      <c r="O11" s="14" t="s">
        <v>183</v>
      </c>
      <c r="P11" s="3" t="s">
        <v>229</v>
      </c>
      <c r="Q11" s="15" t="s">
        <v>230</v>
      </c>
      <c r="R11" s="16" t="s">
        <v>183</v>
      </c>
      <c r="S11" s="3" t="s">
        <v>188</v>
      </c>
      <c r="T11" s="3" t="s">
        <v>184</v>
      </c>
      <c r="U11" s="3" t="s">
        <v>188</v>
      </c>
      <c r="V11" s="3"/>
      <c r="W11" s="3"/>
      <c r="X11" s="3" t="s">
        <v>231</v>
      </c>
      <c r="Y11" s="3" t="s">
        <v>229</v>
      </c>
    </row>
    <row r="12">
      <c r="A12" s="3" t="s">
        <v>232</v>
      </c>
      <c r="B12" s="3">
        <v>2009.0</v>
      </c>
      <c r="C12" s="3">
        <v>2009.0</v>
      </c>
      <c r="D12" s="3">
        <v>2009.0</v>
      </c>
      <c r="E12" s="3" t="s">
        <v>17</v>
      </c>
      <c r="F12" s="3" t="s">
        <v>227</v>
      </c>
      <c r="G12" s="3" t="s">
        <v>227</v>
      </c>
      <c r="H12" s="14" t="s">
        <v>183</v>
      </c>
      <c r="I12" s="3" t="s">
        <v>233</v>
      </c>
      <c r="J12" s="3" t="s">
        <v>234</v>
      </c>
      <c r="K12" s="14" t="s">
        <v>183</v>
      </c>
      <c r="L12" s="3" t="s">
        <v>184</v>
      </c>
      <c r="M12" s="13">
        <v>2.44E7</v>
      </c>
      <c r="N12" s="14" t="s">
        <v>183</v>
      </c>
      <c r="O12" s="3">
        <v>32.0</v>
      </c>
      <c r="P12" s="3" t="s">
        <v>185</v>
      </c>
      <c r="Q12" s="15" t="s">
        <v>230</v>
      </c>
      <c r="R12" s="16" t="s">
        <v>183</v>
      </c>
      <c r="S12" s="3" t="s">
        <v>188</v>
      </c>
      <c r="T12" s="3" t="s">
        <v>184</v>
      </c>
      <c r="U12" s="3" t="s">
        <v>205</v>
      </c>
      <c r="V12" s="3"/>
      <c r="W12" s="3"/>
      <c r="X12" s="3" t="s">
        <v>235</v>
      </c>
      <c r="Y12" s="3" t="s">
        <v>236</v>
      </c>
    </row>
    <row r="13">
      <c r="A13" s="3" t="s">
        <v>237</v>
      </c>
      <c r="B13" s="3">
        <v>2011.0</v>
      </c>
      <c r="C13" s="3">
        <v>2004.0</v>
      </c>
      <c r="D13" s="3">
        <v>2010.0</v>
      </c>
      <c r="E13" s="3" t="s">
        <v>21</v>
      </c>
      <c r="F13" s="3" t="s">
        <v>227</v>
      </c>
      <c r="G13" s="3" t="s">
        <v>227</v>
      </c>
      <c r="H13" s="13">
        <v>2.0</v>
      </c>
      <c r="I13" s="3" t="s">
        <v>238</v>
      </c>
      <c r="J13" s="3" t="s">
        <v>98</v>
      </c>
      <c r="K13" s="14" t="s">
        <v>183</v>
      </c>
      <c r="L13" s="3" t="s">
        <v>184</v>
      </c>
      <c r="M13" s="13">
        <v>1.62E8</v>
      </c>
      <c r="N13" s="14" t="s">
        <v>183</v>
      </c>
      <c r="O13" s="14" t="s">
        <v>183</v>
      </c>
      <c r="P13" s="3" t="s">
        <v>229</v>
      </c>
      <c r="Q13" s="15" t="s">
        <v>230</v>
      </c>
      <c r="R13" s="16" t="s">
        <v>183</v>
      </c>
      <c r="S13" s="3" t="s">
        <v>188</v>
      </c>
      <c r="T13" s="3" t="s">
        <v>184</v>
      </c>
      <c r="U13" s="3" t="s">
        <v>188</v>
      </c>
      <c r="V13" s="3"/>
      <c r="W13" s="3"/>
      <c r="X13" s="3" t="s">
        <v>239</v>
      </c>
      <c r="Y13" s="3" t="s">
        <v>229</v>
      </c>
    </row>
    <row r="14">
      <c r="A14" s="3" t="s">
        <v>240</v>
      </c>
      <c r="B14" s="3">
        <v>2011.0</v>
      </c>
      <c r="C14" s="3">
        <v>2011.0</v>
      </c>
      <c r="D14" s="3">
        <v>2011.0</v>
      </c>
      <c r="E14" s="3" t="s">
        <v>21</v>
      </c>
      <c r="F14" s="3" t="s">
        <v>209</v>
      </c>
      <c r="G14" s="3" t="s">
        <v>209</v>
      </c>
      <c r="H14" s="13">
        <v>8.0</v>
      </c>
      <c r="I14" s="3" t="s">
        <v>241</v>
      </c>
      <c r="J14" s="3" t="s">
        <v>242</v>
      </c>
      <c r="K14" s="14" t="s">
        <v>243</v>
      </c>
      <c r="L14" s="3" t="s">
        <v>244</v>
      </c>
      <c r="M14" s="13">
        <v>8.56E8</v>
      </c>
      <c r="N14" s="13">
        <v>2.06E7</v>
      </c>
      <c r="O14" s="3">
        <v>143.0</v>
      </c>
      <c r="P14" s="3" t="s">
        <v>245</v>
      </c>
      <c r="Q14" s="15" t="s">
        <v>186</v>
      </c>
      <c r="R14" s="15" t="s">
        <v>152</v>
      </c>
      <c r="S14" s="3" t="s">
        <v>188</v>
      </c>
      <c r="T14" s="3" t="s">
        <v>184</v>
      </c>
      <c r="U14" s="3" t="s">
        <v>188</v>
      </c>
      <c r="V14" s="3"/>
      <c r="W14" s="3"/>
      <c r="X14" s="3" t="s">
        <v>246</v>
      </c>
      <c r="Y14" s="3" t="s">
        <v>247</v>
      </c>
    </row>
    <row r="15">
      <c r="A15" s="3" t="s">
        <v>248</v>
      </c>
      <c r="B15" s="3">
        <v>2020.0</v>
      </c>
      <c r="C15" s="3">
        <v>2011.0</v>
      </c>
      <c r="D15" s="3">
        <v>2012.0</v>
      </c>
      <c r="E15" s="3" t="s">
        <v>21</v>
      </c>
      <c r="F15" s="3" t="s">
        <v>227</v>
      </c>
      <c r="G15" s="3" t="s">
        <v>209</v>
      </c>
      <c r="H15" s="13">
        <v>8.0</v>
      </c>
      <c r="I15" s="3" t="s">
        <v>249</v>
      </c>
      <c r="J15" s="3" t="s">
        <v>104</v>
      </c>
      <c r="K15" s="14">
        <v>204.0</v>
      </c>
      <c r="L15" s="3" t="s">
        <v>184</v>
      </c>
      <c r="M15" s="14" t="s">
        <v>183</v>
      </c>
      <c r="N15" s="13">
        <v>990000.0</v>
      </c>
      <c r="O15" s="14" t="s">
        <v>183</v>
      </c>
      <c r="P15" s="3" t="s">
        <v>229</v>
      </c>
      <c r="Q15" s="15" t="s">
        <v>250</v>
      </c>
      <c r="R15" s="15" t="s">
        <v>250</v>
      </c>
      <c r="S15" s="3" t="s">
        <v>184</v>
      </c>
      <c r="T15" s="3" t="s">
        <v>184</v>
      </c>
      <c r="U15" s="3" t="s">
        <v>188</v>
      </c>
      <c r="V15" s="3"/>
      <c r="W15" s="3"/>
      <c r="X15" s="3" t="s">
        <v>251</v>
      </c>
      <c r="Y15" s="3" t="s">
        <v>229</v>
      </c>
    </row>
    <row r="16">
      <c r="A16" s="3" t="s">
        <v>252</v>
      </c>
      <c r="B16" s="3">
        <v>2012.0</v>
      </c>
      <c r="C16" s="3">
        <v>2012.0</v>
      </c>
      <c r="D16" s="3">
        <v>2012.0</v>
      </c>
      <c r="E16" s="3" t="s">
        <v>17</v>
      </c>
      <c r="F16" s="3" t="s">
        <v>227</v>
      </c>
      <c r="G16" s="3" t="s">
        <v>227</v>
      </c>
      <c r="H16" s="13">
        <v>5.0</v>
      </c>
      <c r="I16" s="3" t="s">
        <v>253</v>
      </c>
      <c r="J16" s="3" t="s">
        <v>254</v>
      </c>
      <c r="K16" s="14">
        <v>19.0</v>
      </c>
      <c r="L16" s="3" t="s">
        <v>184</v>
      </c>
      <c r="M16" s="13">
        <v>1.2E8</v>
      </c>
      <c r="N16" s="13">
        <v>2500000.0</v>
      </c>
      <c r="O16" s="3">
        <v>168.0</v>
      </c>
      <c r="P16" s="3" t="s">
        <v>204</v>
      </c>
      <c r="Q16" s="15" t="s">
        <v>230</v>
      </c>
      <c r="R16" s="16" t="s">
        <v>183</v>
      </c>
      <c r="S16" s="3" t="s">
        <v>188</v>
      </c>
      <c r="T16" s="3" t="s">
        <v>184</v>
      </c>
      <c r="U16" s="3" t="s">
        <v>188</v>
      </c>
      <c r="V16" s="3"/>
      <c r="W16" s="3"/>
      <c r="X16" s="3" t="s">
        <v>255</v>
      </c>
      <c r="Y16" s="3" t="s">
        <v>256</v>
      </c>
    </row>
    <row r="17">
      <c r="A17" s="3" t="s">
        <v>257</v>
      </c>
      <c r="B17" s="3">
        <v>2015.0</v>
      </c>
      <c r="C17" s="3">
        <v>2013.0</v>
      </c>
      <c r="D17" s="3">
        <v>2013.0</v>
      </c>
      <c r="E17" s="3" t="s">
        <v>40</v>
      </c>
      <c r="F17" s="3" t="s">
        <v>184</v>
      </c>
      <c r="G17" s="3" t="s">
        <v>209</v>
      </c>
      <c r="H17" s="13">
        <v>1.0</v>
      </c>
      <c r="I17" s="3" t="s">
        <v>217</v>
      </c>
      <c r="J17" s="3" t="s">
        <v>98</v>
      </c>
      <c r="K17" s="14" t="s">
        <v>183</v>
      </c>
      <c r="L17" s="3" t="s">
        <v>222</v>
      </c>
      <c r="M17" s="13">
        <v>1.196E8</v>
      </c>
      <c r="N17" s="14" t="s">
        <v>183</v>
      </c>
      <c r="O17" s="3">
        <v>48.0</v>
      </c>
      <c r="P17" s="3" t="s">
        <v>204</v>
      </c>
      <c r="Q17" s="15" t="s">
        <v>250</v>
      </c>
      <c r="R17" s="15" t="s">
        <v>250</v>
      </c>
      <c r="S17" s="3" t="s">
        <v>184</v>
      </c>
      <c r="T17" s="3" t="s">
        <v>184</v>
      </c>
      <c r="U17" s="3" t="s">
        <v>188</v>
      </c>
      <c r="V17" s="3"/>
      <c r="W17" s="3"/>
      <c r="X17" s="3" t="s">
        <v>258</v>
      </c>
      <c r="Y17" s="3" t="s">
        <v>259</v>
      </c>
    </row>
    <row r="18">
      <c r="A18" s="3" t="s">
        <v>260</v>
      </c>
      <c r="B18" s="3">
        <v>2014.0</v>
      </c>
      <c r="C18" s="3">
        <v>2004.0</v>
      </c>
      <c r="D18" s="3">
        <v>2014.0</v>
      </c>
      <c r="E18" s="3" t="s">
        <v>21</v>
      </c>
      <c r="F18" s="3" t="s">
        <v>227</v>
      </c>
      <c r="G18" s="3" t="s">
        <v>261</v>
      </c>
      <c r="H18" s="13">
        <v>16.0</v>
      </c>
      <c r="I18" s="3" t="s">
        <v>249</v>
      </c>
      <c r="J18" s="3" t="s">
        <v>98</v>
      </c>
      <c r="K18" s="14" t="s">
        <v>183</v>
      </c>
      <c r="L18" s="3" t="s">
        <v>184</v>
      </c>
      <c r="M18" s="13">
        <v>1.45E7</v>
      </c>
      <c r="N18" s="14" t="s">
        <v>183</v>
      </c>
      <c r="O18" s="14" t="s">
        <v>183</v>
      </c>
      <c r="P18" s="3" t="s">
        <v>229</v>
      </c>
      <c r="Q18" s="15" t="s">
        <v>250</v>
      </c>
      <c r="R18" s="15" t="s">
        <v>250</v>
      </c>
      <c r="S18" s="3" t="s">
        <v>188</v>
      </c>
      <c r="T18" s="3" t="s">
        <v>188</v>
      </c>
      <c r="U18" s="3" t="s">
        <v>188</v>
      </c>
      <c r="V18" s="3"/>
      <c r="W18" s="3"/>
      <c r="X18" s="3" t="s">
        <v>262</v>
      </c>
      <c r="Y18" s="3" t="s">
        <v>229</v>
      </c>
    </row>
    <row r="19">
      <c r="A19" s="3" t="s">
        <v>263</v>
      </c>
      <c r="B19" s="3">
        <v>2014.0</v>
      </c>
      <c r="C19" s="3">
        <v>2013.0</v>
      </c>
      <c r="D19" s="3">
        <v>2014.0</v>
      </c>
      <c r="E19" s="3" t="s">
        <v>42</v>
      </c>
      <c r="F19" s="3" t="s">
        <v>209</v>
      </c>
      <c r="G19" s="3" t="s">
        <v>209</v>
      </c>
      <c r="H19" s="13">
        <v>1.0</v>
      </c>
      <c r="I19" s="3" t="s">
        <v>264</v>
      </c>
      <c r="J19" s="3" t="s">
        <v>265</v>
      </c>
      <c r="K19" s="14">
        <v>10.0</v>
      </c>
      <c r="L19" s="3" t="s">
        <v>222</v>
      </c>
      <c r="M19" s="14" t="s">
        <v>183</v>
      </c>
      <c r="N19" s="13">
        <v>3.6087E8</v>
      </c>
      <c r="O19" s="3">
        <v>1440.0</v>
      </c>
      <c r="P19" s="3" t="s">
        <v>185</v>
      </c>
      <c r="Q19" s="15" t="s">
        <v>186</v>
      </c>
      <c r="R19" s="15" t="s">
        <v>266</v>
      </c>
      <c r="S19" s="3" t="s">
        <v>188</v>
      </c>
      <c r="T19" s="3" t="s">
        <v>184</v>
      </c>
      <c r="U19" s="3" t="s">
        <v>205</v>
      </c>
      <c r="W19" s="3"/>
      <c r="X19" s="3" t="s">
        <v>267</v>
      </c>
      <c r="Y19" s="3" t="s">
        <v>268</v>
      </c>
    </row>
    <row r="20">
      <c r="A20" s="3" t="s">
        <v>269</v>
      </c>
      <c r="B20" s="3">
        <v>2020.0</v>
      </c>
      <c r="C20" s="3">
        <v>2015.0</v>
      </c>
      <c r="D20" s="3">
        <v>2015.0</v>
      </c>
      <c r="E20" s="3" t="s">
        <v>30</v>
      </c>
      <c r="F20" s="3" t="s">
        <v>270</v>
      </c>
      <c r="G20" s="3" t="s">
        <v>271</v>
      </c>
      <c r="H20" s="13">
        <v>2.0</v>
      </c>
      <c r="I20" s="3" t="s">
        <v>272</v>
      </c>
      <c r="J20" s="3" t="s">
        <v>104</v>
      </c>
      <c r="K20" s="14">
        <v>194.0</v>
      </c>
      <c r="L20" s="3" t="s">
        <v>211</v>
      </c>
      <c r="M20" s="14" t="s">
        <v>183</v>
      </c>
      <c r="N20" s="13">
        <v>394.0</v>
      </c>
      <c r="O20" s="14" t="s">
        <v>183</v>
      </c>
      <c r="P20" s="3" t="s">
        <v>229</v>
      </c>
      <c r="Q20" s="15" t="s">
        <v>230</v>
      </c>
      <c r="R20" s="15" t="s">
        <v>152</v>
      </c>
      <c r="S20" s="3" t="s">
        <v>188</v>
      </c>
      <c r="T20" s="3" t="s">
        <v>184</v>
      </c>
      <c r="U20" s="3" t="s">
        <v>188</v>
      </c>
      <c r="X20" s="3" t="s">
        <v>273</v>
      </c>
      <c r="Y20" s="3" t="s">
        <v>229</v>
      </c>
    </row>
    <row r="21">
      <c r="A21" s="3" t="s">
        <v>274</v>
      </c>
      <c r="B21" s="3">
        <v>2016.0</v>
      </c>
      <c r="C21" s="3">
        <v>2015.0</v>
      </c>
      <c r="D21" s="3">
        <v>2015.0</v>
      </c>
      <c r="E21" s="3" t="s">
        <v>31</v>
      </c>
      <c r="F21" s="3" t="s">
        <v>227</v>
      </c>
      <c r="G21" s="3" t="s">
        <v>227</v>
      </c>
      <c r="H21" s="13">
        <v>15.0</v>
      </c>
      <c r="I21" s="3" t="s">
        <v>275</v>
      </c>
      <c r="J21" s="3" t="s">
        <v>100</v>
      </c>
      <c r="K21" s="14">
        <v>156.0</v>
      </c>
      <c r="L21" s="3" t="s">
        <v>184</v>
      </c>
      <c r="M21" s="13">
        <v>4.237E7</v>
      </c>
      <c r="N21" s="14" t="s">
        <v>183</v>
      </c>
      <c r="O21" s="3">
        <v>108.0</v>
      </c>
      <c r="P21" s="3" t="s">
        <v>204</v>
      </c>
      <c r="Q21" s="15" t="s">
        <v>230</v>
      </c>
      <c r="R21" s="15" t="s">
        <v>276</v>
      </c>
      <c r="S21" s="3" t="s">
        <v>188</v>
      </c>
      <c r="T21" s="3" t="s">
        <v>188</v>
      </c>
      <c r="U21" s="3" t="s">
        <v>188</v>
      </c>
      <c r="V21" s="3"/>
      <c r="W21" s="3"/>
      <c r="X21" s="3" t="s">
        <v>277</v>
      </c>
      <c r="Y21" s="3" t="s">
        <v>278</v>
      </c>
    </row>
    <row r="22">
      <c r="A22" s="3" t="s">
        <v>279</v>
      </c>
      <c r="B22" s="3">
        <v>2011.0</v>
      </c>
      <c r="C22" s="3">
        <v>2006.0</v>
      </c>
      <c r="D22" s="3">
        <v>2015.0</v>
      </c>
      <c r="E22" s="3" t="s">
        <v>32</v>
      </c>
      <c r="F22" s="3" t="s">
        <v>209</v>
      </c>
      <c r="G22" s="3" t="s">
        <v>209</v>
      </c>
      <c r="H22" s="14" t="s">
        <v>183</v>
      </c>
      <c r="I22" s="3" t="s">
        <v>280</v>
      </c>
      <c r="J22" s="3" t="s">
        <v>281</v>
      </c>
      <c r="K22" s="14">
        <v>24.0</v>
      </c>
      <c r="L22" s="3" t="s">
        <v>222</v>
      </c>
      <c r="M22" s="14" t="s">
        <v>183</v>
      </c>
      <c r="N22" s="13">
        <v>8.061E8</v>
      </c>
      <c r="O22" s="3">
        <v>80280.0</v>
      </c>
      <c r="P22" s="3" t="s">
        <v>245</v>
      </c>
      <c r="Q22" s="15" t="s">
        <v>223</v>
      </c>
      <c r="R22" s="15" t="s">
        <v>223</v>
      </c>
      <c r="S22" s="3" t="s">
        <v>184</v>
      </c>
      <c r="T22" s="3" t="s">
        <v>184</v>
      </c>
      <c r="U22" s="3" t="s">
        <v>188</v>
      </c>
      <c r="V22" s="3"/>
      <c r="W22" s="3"/>
      <c r="X22" s="3" t="s">
        <v>282</v>
      </c>
      <c r="Y22" s="3" t="s">
        <v>283</v>
      </c>
    </row>
    <row r="23">
      <c r="A23" s="3" t="s">
        <v>284</v>
      </c>
      <c r="B23" s="3">
        <v>2015.0</v>
      </c>
      <c r="C23" s="3">
        <v>2015.0</v>
      </c>
      <c r="D23" s="3">
        <v>2015.0</v>
      </c>
      <c r="E23" s="3" t="s">
        <v>19</v>
      </c>
      <c r="F23" s="3" t="s">
        <v>180</v>
      </c>
      <c r="G23" s="3" t="s">
        <v>180</v>
      </c>
      <c r="H23" s="13">
        <v>9.0</v>
      </c>
      <c r="I23" s="3" t="s">
        <v>285</v>
      </c>
      <c r="J23" s="3" t="s">
        <v>286</v>
      </c>
      <c r="K23" s="14">
        <v>49.0</v>
      </c>
      <c r="L23" s="3" t="s">
        <v>184</v>
      </c>
      <c r="M23" s="13">
        <v>1.87E8</v>
      </c>
      <c r="N23" s="13">
        <v>2540000.0</v>
      </c>
      <c r="O23" s="3">
        <v>31.0</v>
      </c>
      <c r="P23" s="3" t="s">
        <v>204</v>
      </c>
      <c r="Q23" s="15" t="s">
        <v>230</v>
      </c>
      <c r="R23" s="16" t="s">
        <v>183</v>
      </c>
      <c r="S23" s="3" t="s">
        <v>188</v>
      </c>
      <c r="T23" s="3" t="s">
        <v>188</v>
      </c>
      <c r="U23" s="3" t="s">
        <v>188</v>
      </c>
      <c r="V23" s="3"/>
      <c r="W23" s="3"/>
      <c r="X23" s="3" t="s">
        <v>287</v>
      </c>
      <c r="Y23" s="3" t="s">
        <v>288</v>
      </c>
    </row>
    <row r="24">
      <c r="A24" s="3" t="s">
        <v>289</v>
      </c>
      <c r="B24" s="3">
        <v>2016.0</v>
      </c>
      <c r="C24" s="3">
        <v>2016.0</v>
      </c>
      <c r="D24" s="3">
        <v>2016.0</v>
      </c>
      <c r="E24" s="3" t="s">
        <v>29</v>
      </c>
      <c r="F24" s="3" t="s">
        <v>290</v>
      </c>
      <c r="G24" s="3" t="s">
        <v>290</v>
      </c>
      <c r="H24" s="13">
        <v>4.0</v>
      </c>
      <c r="I24" s="3" t="s">
        <v>217</v>
      </c>
      <c r="J24" s="3" t="s">
        <v>100</v>
      </c>
      <c r="K24" s="14">
        <v>28.0</v>
      </c>
      <c r="L24" s="3" t="s">
        <v>222</v>
      </c>
      <c r="M24" s="13">
        <v>2160000.0</v>
      </c>
      <c r="N24" s="14" t="s">
        <v>183</v>
      </c>
      <c r="O24" s="14" t="s">
        <v>183</v>
      </c>
      <c r="P24" s="3" t="s">
        <v>229</v>
      </c>
      <c r="Q24" s="16" t="s">
        <v>183</v>
      </c>
      <c r="R24" s="16" t="s">
        <v>183</v>
      </c>
      <c r="S24" s="3" t="s">
        <v>229</v>
      </c>
      <c r="T24" s="3" t="s">
        <v>184</v>
      </c>
      <c r="U24" s="3" t="s">
        <v>188</v>
      </c>
      <c r="V24" s="3"/>
      <c r="W24" s="3"/>
      <c r="X24" s="3" t="s">
        <v>291</v>
      </c>
      <c r="Y24" s="3" t="s">
        <v>229</v>
      </c>
    </row>
    <row r="25">
      <c r="A25" s="3" t="s">
        <v>292</v>
      </c>
      <c r="B25" s="3">
        <v>2016.0</v>
      </c>
      <c r="C25" s="3">
        <v>2016.0</v>
      </c>
      <c r="D25" s="3">
        <v>2016.0</v>
      </c>
      <c r="E25" s="3" t="s">
        <v>33</v>
      </c>
      <c r="F25" s="3" t="s">
        <v>209</v>
      </c>
      <c r="G25" s="3" t="s">
        <v>227</v>
      </c>
      <c r="H25" s="14" t="s">
        <v>183</v>
      </c>
      <c r="I25" s="3" t="s">
        <v>293</v>
      </c>
      <c r="J25" s="3" t="s">
        <v>294</v>
      </c>
      <c r="K25" s="14">
        <v>9.0</v>
      </c>
      <c r="L25" s="3" t="s">
        <v>295</v>
      </c>
      <c r="M25" s="14" t="s">
        <v>183</v>
      </c>
      <c r="N25" s="13">
        <v>1.3E8</v>
      </c>
      <c r="O25" s="3">
        <v>696.0</v>
      </c>
      <c r="P25" s="3" t="s">
        <v>204</v>
      </c>
      <c r="Q25" s="15" t="s">
        <v>186</v>
      </c>
      <c r="R25" s="15" t="s">
        <v>153</v>
      </c>
      <c r="S25" s="3" t="s">
        <v>188</v>
      </c>
      <c r="T25" s="3" t="s">
        <v>184</v>
      </c>
      <c r="U25" s="3" t="s">
        <v>205</v>
      </c>
      <c r="V25" s="3"/>
      <c r="W25" s="3"/>
      <c r="X25" s="3" t="s">
        <v>296</v>
      </c>
      <c r="Y25" s="3" t="s">
        <v>297</v>
      </c>
    </row>
    <row r="26">
      <c r="A26" s="3" t="s">
        <v>298</v>
      </c>
      <c r="B26" s="3">
        <v>2017.0</v>
      </c>
      <c r="C26" s="3">
        <v>2016.0</v>
      </c>
      <c r="D26" s="3">
        <v>2016.0</v>
      </c>
      <c r="E26" s="3" t="s">
        <v>44</v>
      </c>
      <c r="F26" s="3" t="s">
        <v>271</v>
      </c>
      <c r="G26" s="3" t="s">
        <v>271</v>
      </c>
      <c r="H26" s="13">
        <v>12.0</v>
      </c>
      <c r="I26" s="3" t="s">
        <v>299</v>
      </c>
      <c r="J26" s="3" t="s">
        <v>182</v>
      </c>
      <c r="K26" s="14" t="s">
        <v>183</v>
      </c>
      <c r="L26" s="3" t="s">
        <v>184</v>
      </c>
      <c r="M26" s="13">
        <v>3770000.0</v>
      </c>
      <c r="N26" s="13" t="s">
        <v>183</v>
      </c>
      <c r="O26" s="3">
        <v>4.18</v>
      </c>
      <c r="P26" s="3" t="s">
        <v>245</v>
      </c>
      <c r="Q26" s="15" t="s">
        <v>230</v>
      </c>
      <c r="R26" s="16" t="s">
        <v>183</v>
      </c>
      <c r="S26" s="3" t="s">
        <v>188</v>
      </c>
      <c r="T26" s="3" t="s">
        <v>184</v>
      </c>
      <c r="U26" s="3" t="s">
        <v>188</v>
      </c>
      <c r="V26" s="3"/>
      <c r="W26" s="3"/>
      <c r="X26" s="3" t="s">
        <v>300</v>
      </c>
      <c r="Y26" s="3" t="s">
        <v>301</v>
      </c>
    </row>
    <row r="27">
      <c r="A27" s="3" t="s">
        <v>302</v>
      </c>
      <c r="B27" s="3">
        <v>2017.0</v>
      </c>
      <c r="C27" s="3">
        <v>2016.0</v>
      </c>
      <c r="D27" s="3">
        <v>2016.0</v>
      </c>
      <c r="E27" s="3" t="s">
        <v>19</v>
      </c>
      <c r="F27" s="3" t="s">
        <v>180</v>
      </c>
      <c r="G27" s="3" t="s">
        <v>180</v>
      </c>
      <c r="H27" s="13">
        <v>7.0</v>
      </c>
      <c r="I27" s="3" t="s">
        <v>285</v>
      </c>
      <c r="J27" s="3" t="s">
        <v>182</v>
      </c>
      <c r="K27" s="14" t="s">
        <v>183</v>
      </c>
      <c r="L27" s="3" t="s">
        <v>184</v>
      </c>
      <c r="M27" s="13">
        <v>1090000.0</v>
      </c>
      <c r="N27" s="13" t="s">
        <v>183</v>
      </c>
      <c r="O27" s="3">
        <v>141.0</v>
      </c>
      <c r="P27" s="3" t="s">
        <v>204</v>
      </c>
      <c r="Q27" s="15" t="s">
        <v>230</v>
      </c>
      <c r="R27" s="16" t="s">
        <v>183</v>
      </c>
      <c r="S27" s="3" t="s">
        <v>188</v>
      </c>
      <c r="T27" s="3" t="s">
        <v>184</v>
      </c>
      <c r="U27" s="3" t="s">
        <v>205</v>
      </c>
      <c r="V27" s="3"/>
      <c r="W27" s="3"/>
      <c r="X27" s="3" t="s">
        <v>303</v>
      </c>
      <c r="Y27" s="3" t="s">
        <v>304</v>
      </c>
    </row>
    <row r="28">
      <c r="A28" s="3" t="s">
        <v>305</v>
      </c>
      <c r="B28" s="3">
        <v>2018.0</v>
      </c>
      <c r="C28" s="3">
        <v>2016.0</v>
      </c>
      <c r="D28" s="3">
        <v>2016.0</v>
      </c>
      <c r="E28" s="3" t="s">
        <v>46</v>
      </c>
      <c r="F28" s="3" t="s">
        <v>209</v>
      </c>
      <c r="G28" s="3" t="s">
        <v>261</v>
      </c>
      <c r="H28" s="13">
        <v>7.0</v>
      </c>
      <c r="I28" s="3" t="s">
        <v>241</v>
      </c>
      <c r="J28" s="3" t="s">
        <v>105</v>
      </c>
      <c r="K28" s="14">
        <v>12.0</v>
      </c>
      <c r="L28" s="3" t="s">
        <v>222</v>
      </c>
      <c r="M28" s="13" t="s">
        <v>183</v>
      </c>
      <c r="N28" s="13">
        <v>1.69E10</v>
      </c>
      <c r="O28" s="3">
        <v>3168.0</v>
      </c>
      <c r="P28" s="3" t="s">
        <v>204</v>
      </c>
      <c r="Q28" s="15" t="s">
        <v>186</v>
      </c>
      <c r="R28" s="15" t="s">
        <v>306</v>
      </c>
      <c r="S28" s="3" t="s">
        <v>188</v>
      </c>
      <c r="T28" s="3" t="s">
        <v>188</v>
      </c>
      <c r="U28" s="3" t="s">
        <v>188</v>
      </c>
      <c r="V28" s="3"/>
      <c r="W28" s="3"/>
      <c r="X28" s="3" t="s">
        <v>307</v>
      </c>
      <c r="Y28" s="3" t="s">
        <v>308</v>
      </c>
    </row>
    <row r="29">
      <c r="A29" s="3" t="s">
        <v>309</v>
      </c>
      <c r="B29" s="3">
        <v>2018.0</v>
      </c>
      <c r="C29" s="3">
        <v>2016.0</v>
      </c>
      <c r="D29" s="3">
        <v>2016.0</v>
      </c>
      <c r="E29" s="3" t="s">
        <v>33</v>
      </c>
      <c r="F29" s="3" t="s">
        <v>209</v>
      </c>
      <c r="G29" s="3" t="s">
        <v>229</v>
      </c>
      <c r="H29" s="14" t="s">
        <v>183</v>
      </c>
      <c r="I29" s="3" t="s">
        <v>293</v>
      </c>
      <c r="J29" s="3" t="s">
        <v>310</v>
      </c>
      <c r="K29" s="14">
        <v>11.0</v>
      </c>
      <c r="L29" s="3" t="s">
        <v>295</v>
      </c>
      <c r="M29" s="13" t="s">
        <v>183</v>
      </c>
      <c r="N29" s="13">
        <v>1.7883E10</v>
      </c>
      <c r="O29" s="3">
        <v>2160.0</v>
      </c>
      <c r="P29" s="3" t="s">
        <v>204</v>
      </c>
      <c r="Q29" s="15" t="s">
        <v>186</v>
      </c>
      <c r="R29" s="15" t="s">
        <v>153</v>
      </c>
      <c r="S29" s="3" t="s">
        <v>188</v>
      </c>
      <c r="T29" s="3" t="s">
        <v>184</v>
      </c>
      <c r="U29" s="3" t="s">
        <v>184</v>
      </c>
      <c r="V29" s="3"/>
      <c r="W29" s="3"/>
      <c r="X29" s="3" t="s">
        <v>311</v>
      </c>
      <c r="Y29" s="3" t="s">
        <v>312</v>
      </c>
    </row>
    <row r="30">
      <c r="A30" s="3" t="s">
        <v>313</v>
      </c>
      <c r="B30" s="3">
        <v>2018.0</v>
      </c>
      <c r="C30" s="3">
        <v>2017.0</v>
      </c>
      <c r="D30" s="3">
        <v>2017.0</v>
      </c>
      <c r="E30" s="3" t="s">
        <v>47</v>
      </c>
      <c r="F30" s="3" t="s">
        <v>209</v>
      </c>
      <c r="G30" s="3" t="s">
        <v>180</v>
      </c>
      <c r="H30" s="13">
        <v>3.0</v>
      </c>
      <c r="I30" s="3" t="s">
        <v>314</v>
      </c>
      <c r="J30" s="3" t="s">
        <v>98</v>
      </c>
      <c r="K30" s="14" t="s">
        <v>183</v>
      </c>
      <c r="L30" s="3" t="s">
        <v>315</v>
      </c>
      <c r="M30" s="13">
        <v>1.93E7</v>
      </c>
      <c r="N30" s="13" t="s">
        <v>183</v>
      </c>
      <c r="O30" s="3">
        <v>199.0</v>
      </c>
      <c r="P30" s="3" t="s">
        <v>204</v>
      </c>
      <c r="Q30" s="15" t="s">
        <v>186</v>
      </c>
      <c r="R30" s="15" t="s">
        <v>152</v>
      </c>
      <c r="S30" s="3" t="s">
        <v>188</v>
      </c>
      <c r="T30" s="3" t="s">
        <v>184</v>
      </c>
      <c r="U30" s="3" t="s">
        <v>188</v>
      </c>
      <c r="V30" s="3"/>
      <c r="W30" s="3"/>
      <c r="X30" s="3" t="s">
        <v>316</v>
      </c>
      <c r="Y30" s="3" t="s">
        <v>317</v>
      </c>
    </row>
    <row r="31">
      <c r="A31" s="3" t="s">
        <v>318</v>
      </c>
      <c r="B31" s="3">
        <v>2018.0</v>
      </c>
      <c r="C31" s="3">
        <v>2017.0</v>
      </c>
      <c r="D31" s="3">
        <v>2017.0</v>
      </c>
      <c r="E31" s="3" t="s">
        <v>17</v>
      </c>
      <c r="F31" s="3" t="s">
        <v>227</v>
      </c>
      <c r="G31" s="3" t="s">
        <v>227</v>
      </c>
      <c r="H31" s="13">
        <v>14.0</v>
      </c>
      <c r="I31" s="3" t="s">
        <v>319</v>
      </c>
      <c r="J31" s="3" t="s">
        <v>254</v>
      </c>
      <c r="K31" s="14">
        <v>79.0</v>
      </c>
      <c r="L31" s="3" t="s">
        <v>184</v>
      </c>
      <c r="M31" s="13">
        <v>5.64E7</v>
      </c>
      <c r="N31" s="13">
        <v>3100000.0</v>
      </c>
      <c r="O31" s="3">
        <v>40.0</v>
      </c>
      <c r="P31" s="3" t="s">
        <v>185</v>
      </c>
      <c r="Q31" s="15" t="s">
        <v>230</v>
      </c>
      <c r="R31" s="16" t="s">
        <v>183</v>
      </c>
      <c r="S31" s="3" t="s">
        <v>188</v>
      </c>
      <c r="T31" s="3" t="s">
        <v>184</v>
      </c>
      <c r="U31" s="3" t="s">
        <v>188</v>
      </c>
      <c r="V31" s="3"/>
      <c r="W31" s="3"/>
      <c r="X31" s="3" t="s">
        <v>320</v>
      </c>
      <c r="Y31" s="3" t="s">
        <v>321</v>
      </c>
    </row>
    <row r="32">
      <c r="A32" s="3" t="s">
        <v>322</v>
      </c>
      <c r="B32" s="3">
        <v>2017.0</v>
      </c>
      <c r="C32" s="3">
        <v>2017.0</v>
      </c>
      <c r="D32" s="3">
        <v>2017.0</v>
      </c>
      <c r="E32" s="3" t="s">
        <v>24</v>
      </c>
      <c r="F32" s="3" t="s">
        <v>270</v>
      </c>
      <c r="G32" s="3" t="s">
        <v>180</v>
      </c>
      <c r="H32" s="13">
        <v>4.0</v>
      </c>
      <c r="I32" s="3" t="s">
        <v>323</v>
      </c>
      <c r="J32" s="3" t="s">
        <v>105</v>
      </c>
      <c r="K32" s="14">
        <v>16.0</v>
      </c>
      <c r="L32" s="3" t="s">
        <v>222</v>
      </c>
      <c r="M32" s="13" t="s">
        <v>183</v>
      </c>
      <c r="N32" s="13">
        <v>3.2E7</v>
      </c>
      <c r="O32" s="3">
        <v>672.0</v>
      </c>
      <c r="P32" s="3" t="s">
        <v>204</v>
      </c>
      <c r="Q32" s="15" t="s">
        <v>230</v>
      </c>
      <c r="R32" s="15" t="s">
        <v>153</v>
      </c>
      <c r="S32" s="3" t="s">
        <v>188</v>
      </c>
      <c r="T32" s="3" t="s">
        <v>184</v>
      </c>
      <c r="U32" s="3" t="s">
        <v>188</v>
      </c>
      <c r="W32" s="3"/>
      <c r="X32" s="3" t="s">
        <v>324</v>
      </c>
      <c r="Y32" s="3" t="s">
        <v>325</v>
      </c>
    </row>
    <row r="33">
      <c r="A33" s="3" t="s">
        <v>326</v>
      </c>
      <c r="B33" s="3">
        <v>2017.0</v>
      </c>
      <c r="C33" s="3">
        <v>2017.0</v>
      </c>
      <c r="D33" s="3">
        <v>2017.0</v>
      </c>
      <c r="E33" s="3" t="s">
        <v>48</v>
      </c>
      <c r="F33" s="3" t="s">
        <v>271</v>
      </c>
      <c r="G33" s="3" t="s">
        <v>271</v>
      </c>
      <c r="H33" s="13">
        <v>1.0</v>
      </c>
      <c r="I33" s="3" t="s">
        <v>327</v>
      </c>
      <c r="J33" s="3" t="s">
        <v>105</v>
      </c>
      <c r="K33" s="14">
        <v>16.0</v>
      </c>
      <c r="L33" s="3" t="s">
        <v>222</v>
      </c>
      <c r="M33" s="13" t="s">
        <v>183</v>
      </c>
      <c r="N33" s="13">
        <v>1.62E7</v>
      </c>
      <c r="O33" s="3">
        <v>336.0</v>
      </c>
      <c r="P33" s="3" t="s">
        <v>204</v>
      </c>
      <c r="Q33" s="15" t="s">
        <v>230</v>
      </c>
      <c r="R33" s="15" t="s">
        <v>153</v>
      </c>
      <c r="S33" s="3" t="s">
        <v>188</v>
      </c>
      <c r="T33" s="3" t="s">
        <v>184</v>
      </c>
      <c r="U33" s="3" t="s">
        <v>188</v>
      </c>
      <c r="V33" s="3"/>
      <c r="W33" s="3"/>
      <c r="X33" s="3" t="s">
        <v>328</v>
      </c>
      <c r="Y33" s="3" t="s">
        <v>329</v>
      </c>
    </row>
    <row r="34">
      <c r="A34" s="3" t="s">
        <v>330</v>
      </c>
      <c r="B34" s="3">
        <v>2021.0</v>
      </c>
      <c r="C34" s="3">
        <v>2017.0</v>
      </c>
      <c r="D34" s="3">
        <v>2017.0</v>
      </c>
      <c r="E34" s="3" t="s">
        <v>17</v>
      </c>
      <c r="F34" s="3" t="s">
        <v>227</v>
      </c>
      <c r="G34" s="3" t="s">
        <v>227</v>
      </c>
      <c r="H34" s="13">
        <v>15.0</v>
      </c>
      <c r="I34" s="3" t="s">
        <v>319</v>
      </c>
      <c r="J34" s="3" t="s">
        <v>104</v>
      </c>
      <c r="K34" s="14">
        <v>91.0</v>
      </c>
      <c r="L34" s="3" t="s">
        <v>184</v>
      </c>
      <c r="M34" s="13" t="s">
        <v>183</v>
      </c>
      <c r="N34" s="13">
        <v>2100000.0</v>
      </c>
      <c r="O34" s="3">
        <v>40.0</v>
      </c>
      <c r="P34" s="3" t="s">
        <v>185</v>
      </c>
      <c r="Q34" s="15" t="s">
        <v>230</v>
      </c>
      <c r="R34" s="16" t="s">
        <v>183</v>
      </c>
      <c r="S34" s="3" t="s">
        <v>188</v>
      </c>
      <c r="T34" s="3" t="s">
        <v>184</v>
      </c>
      <c r="U34" s="3" t="s">
        <v>188</v>
      </c>
      <c r="V34" s="3"/>
      <c r="W34" s="3"/>
      <c r="X34" s="3" t="s">
        <v>331</v>
      </c>
      <c r="Y34" s="3" t="s">
        <v>321</v>
      </c>
    </row>
    <row r="35">
      <c r="A35" s="3" t="s">
        <v>332</v>
      </c>
      <c r="B35" s="3">
        <v>2017.0</v>
      </c>
      <c r="C35" s="3">
        <v>2017.0</v>
      </c>
      <c r="D35" s="3">
        <v>2017.0</v>
      </c>
      <c r="E35" s="3" t="s">
        <v>21</v>
      </c>
      <c r="F35" s="3" t="s">
        <v>271</v>
      </c>
      <c r="G35" s="3" t="s">
        <v>271</v>
      </c>
      <c r="H35" s="13">
        <v>9.0</v>
      </c>
      <c r="I35" s="3" t="s">
        <v>333</v>
      </c>
      <c r="J35" s="3" t="s">
        <v>98</v>
      </c>
      <c r="K35" s="14" t="s">
        <v>183</v>
      </c>
      <c r="L35" s="3" t="s">
        <v>184</v>
      </c>
      <c r="M35" s="13">
        <v>1.06E7</v>
      </c>
      <c r="N35" s="13" t="s">
        <v>183</v>
      </c>
      <c r="O35" s="3">
        <v>1313.0</v>
      </c>
      <c r="P35" s="3" t="s">
        <v>245</v>
      </c>
      <c r="Q35" s="15" t="s">
        <v>230</v>
      </c>
      <c r="R35" s="16" t="s">
        <v>183</v>
      </c>
      <c r="S35" s="3" t="s">
        <v>188</v>
      </c>
      <c r="T35" s="3" t="s">
        <v>184</v>
      </c>
      <c r="U35" s="3" t="s">
        <v>188</v>
      </c>
      <c r="V35" s="3"/>
      <c r="W35" s="3"/>
      <c r="X35" s="3" t="s">
        <v>334</v>
      </c>
      <c r="Y35" s="3" t="s">
        <v>335</v>
      </c>
    </row>
    <row r="36">
      <c r="A36" s="3" t="s">
        <v>336</v>
      </c>
      <c r="B36" s="3">
        <v>2018.0</v>
      </c>
      <c r="C36" s="3">
        <v>2017.0</v>
      </c>
      <c r="D36" s="3">
        <v>2017.0</v>
      </c>
      <c r="E36" s="3" t="s">
        <v>25</v>
      </c>
      <c r="F36" s="3" t="s">
        <v>227</v>
      </c>
      <c r="G36" s="3" t="s">
        <v>261</v>
      </c>
      <c r="H36" s="13">
        <v>1.0</v>
      </c>
      <c r="I36" s="3" t="s">
        <v>337</v>
      </c>
      <c r="J36" s="3" t="s">
        <v>338</v>
      </c>
      <c r="K36" s="14">
        <v>47.0</v>
      </c>
      <c r="L36" s="3" t="s">
        <v>188</v>
      </c>
      <c r="M36" s="13">
        <v>9340000.0</v>
      </c>
      <c r="N36" s="13">
        <v>1720000.0</v>
      </c>
      <c r="O36" s="3">
        <v>11.92</v>
      </c>
      <c r="P36" s="3" t="s">
        <v>245</v>
      </c>
      <c r="Q36" s="15" t="s">
        <v>230</v>
      </c>
      <c r="R36" s="16" t="s">
        <v>183</v>
      </c>
      <c r="S36" s="3" t="s">
        <v>184</v>
      </c>
      <c r="T36" s="3" t="s">
        <v>184</v>
      </c>
      <c r="U36" s="3" t="s">
        <v>188</v>
      </c>
      <c r="V36" s="3"/>
      <c r="W36" s="3"/>
      <c r="X36" s="3" t="s">
        <v>339</v>
      </c>
      <c r="Y36" s="3" t="s">
        <v>340</v>
      </c>
    </row>
    <row r="37">
      <c r="A37" s="3" t="s">
        <v>341</v>
      </c>
      <c r="B37" s="3">
        <v>2021.0</v>
      </c>
      <c r="C37" s="3">
        <v>2017.0</v>
      </c>
      <c r="D37" s="3">
        <v>2017.0</v>
      </c>
      <c r="E37" s="3" t="s">
        <v>17</v>
      </c>
      <c r="F37" s="3" t="s">
        <v>227</v>
      </c>
      <c r="G37" s="3" t="s">
        <v>227</v>
      </c>
      <c r="H37" s="13">
        <v>13.0</v>
      </c>
      <c r="I37" s="3" t="s">
        <v>319</v>
      </c>
      <c r="J37" s="3" t="s">
        <v>104</v>
      </c>
      <c r="K37" s="14">
        <v>83.0</v>
      </c>
      <c r="L37" s="3" t="s">
        <v>184</v>
      </c>
      <c r="M37" s="13" t="s">
        <v>183</v>
      </c>
      <c r="N37" s="13">
        <v>1800000.0</v>
      </c>
      <c r="O37" s="3">
        <v>40.0</v>
      </c>
      <c r="P37" s="3" t="s">
        <v>185</v>
      </c>
      <c r="Q37" s="15" t="s">
        <v>230</v>
      </c>
      <c r="R37" s="16" t="s">
        <v>183</v>
      </c>
      <c r="S37" s="3" t="s">
        <v>188</v>
      </c>
      <c r="T37" s="3" t="s">
        <v>188</v>
      </c>
      <c r="U37" s="3" t="s">
        <v>188</v>
      </c>
      <c r="V37" s="3"/>
      <c r="W37" s="3"/>
      <c r="X37" s="3" t="s">
        <v>342</v>
      </c>
      <c r="Y37" s="3" t="s">
        <v>321</v>
      </c>
    </row>
    <row r="38">
      <c r="A38" s="3" t="s">
        <v>343</v>
      </c>
      <c r="B38" s="3">
        <v>2017.0</v>
      </c>
      <c r="C38" s="3">
        <v>2017.0</v>
      </c>
      <c r="D38" s="3">
        <v>2017.0</v>
      </c>
      <c r="E38" s="3" t="s">
        <v>28</v>
      </c>
      <c r="F38" s="3" t="s">
        <v>227</v>
      </c>
      <c r="G38" s="3" t="s">
        <v>227</v>
      </c>
      <c r="H38" s="13">
        <v>16.0</v>
      </c>
      <c r="I38" s="3" t="s">
        <v>344</v>
      </c>
      <c r="J38" s="3" t="s">
        <v>345</v>
      </c>
      <c r="K38" s="14">
        <v>44.0</v>
      </c>
      <c r="L38" s="3" t="s">
        <v>184</v>
      </c>
      <c r="M38" s="13">
        <v>4.694E8</v>
      </c>
      <c r="N38" s="13" t="s">
        <v>183</v>
      </c>
      <c r="O38" s="3">
        <v>8.0</v>
      </c>
      <c r="P38" s="3" t="s">
        <v>245</v>
      </c>
      <c r="Q38" s="15" t="s">
        <v>346</v>
      </c>
      <c r="R38" s="16" t="s">
        <v>183</v>
      </c>
      <c r="S38" s="3" t="s">
        <v>188</v>
      </c>
      <c r="T38" s="3" t="s">
        <v>188</v>
      </c>
      <c r="U38" s="3" t="s">
        <v>188</v>
      </c>
      <c r="V38" s="3"/>
      <c r="W38" s="3"/>
      <c r="X38" s="3" t="s">
        <v>347</v>
      </c>
      <c r="Y38" s="3" t="s">
        <v>348</v>
      </c>
    </row>
    <row r="39">
      <c r="A39" s="3" t="s">
        <v>349</v>
      </c>
      <c r="B39" s="3">
        <v>2020.0</v>
      </c>
      <c r="C39" s="3">
        <v>2016.0</v>
      </c>
      <c r="D39" s="3">
        <v>2018.0</v>
      </c>
      <c r="E39" s="3" t="s">
        <v>52</v>
      </c>
      <c r="F39" s="3" t="s">
        <v>350</v>
      </c>
      <c r="G39" s="3" t="s">
        <v>350</v>
      </c>
      <c r="H39" s="13">
        <v>18.0</v>
      </c>
      <c r="I39" s="3" t="s">
        <v>181</v>
      </c>
      <c r="J39" s="3" t="s">
        <v>182</v>
      </c>
      <c r="K39" s="14" t="s">
        <v>183</v>
      </c>
      <c r="L39" s="3" t="s">
        <v>229</v>
      </c>
      <c r="M39" s="13">
        <v>3.69E7</v>
      </c>
      <c r="N39" s="13" t="s">
        <v>183</v>
      </c>
      <c r="O39" s="3">
        <v>264.0</v>
      </c>
      <c r="P39" s="3" t="s">
        <v>245</v>
      </c>
      <c r="Q39" s="15" t="s">
        <v>346</v>
      </c>
      <c r="R39" s="15" t="s">
        <v>351</v>
      </c>
      <c r="S39" s="3" t="s">
        <v>188</v>
      </c>
      <c r="T39" s="3" t="s">
        <v>188</v>
      </c>
      <c r="U39" s="3" t="s">
        <v>188</v>
      </c>
      <c r="W39" s="3"/>
      <c r="X39" s="3" t="s">
        <v>352</v>
      </c>
      <c r="Y39" s="3" t="s">
        <v>353</v>
      </c>
    </row>
    <row r="40">
      <c r="A40" s="3" t="s">
        <v>354</v>
      </c>
      <c r="B40" s="3">
        <v>2018.0</v>
      </c>
      <c r="C40" s="3">
        <v>2017.0</v>
      </c>
      <c r="D40" s="3">
        <v>2018.0</v>
      </c>
      <c r="E40" s="3" t="s">
        <v>22</v>
      </c>
      <c r="F40" s="3" t="s">
        <v>227</v>
      </c>
      <c r="G40" s="3" t="s">
        <v>227</v>
      </c>
      <c r="H40" s="13">
        <v>9.0</v>
      </c>
      <c r="I40" s="3" t="s">
        <v>355</v>
      </c>
      <c r="J40" s="3" t="s">
        <v>356</v>
      </c>
      <c r="K40" s="14">
        <v>115.0</v>
      </c>
      <c r="L40" s="3" t="s">
        <v>184</v>
      </c>
      <c r="M40" s="13">
        <v>2770000.0</v>
      </c>
      <c r="N40" s="13" t="s">
        <v>183</v>
      </c>
      <c r="O40" s="3">
        <v>6.83</v>
      </c>
      <c r="P40" s="3" t="s">
        <v>245</v>
      </c>
      <c r="Q40" s="15" t="s">
        <v>230</v>
      </c>
      <c r="R40" s="15" t="s">
        <v>357</v>
      </c>
      <c r="S40" s="3" t="s">
        <v>188</v>
      </c>
      <c r="T40" s="3" t="s">
        <v>184</v>
      </c>
      <c r="U40" s="3" t="s">
        <v>188</v>
      </c>
      <c r="W40" s="3"/>
      <c r="X40" s="3"/>
      <c r="Y40" s="3"/>
    </row>
    <row r="41">
      <c r="A41" s="3" t="s">
        <v>358</v>
      </c>
      <c r="B41" s="3">
        <v>2020.0</v>
      </c>
      <c r="C41" s="3">
        <v>2013.0</v>
      </c>
      <c r="D41" s="3">
        <v>2018.0</v>
      </c>
      <c r="E41" s="3" t="s">
        <v>32</v>
      </c>
      <c r="F41" s="3" t="s">
        <v>209</v>
      </c>
      <c r="G41" s="3" t="s">
        <v>209</v>
      </c>
      <c r="H41" s="13">
        <v>20.0</v>
      </c>
      <c r="I41" s="3" t="s">
        <v>359</v>
      </c>
      <c r="J41" s="3" t="s">
        <v>104</v>
      </c>
      <c r="K41" s="14">
        <v>63.0</v>
      </c>
      <c r="L41" s="3" t="s">
        <v>222</v>
      </c>
      <c r="M41" s="13" t="s">
        <v>183</v>
      </c>
      <c r="N41" s="13">
        <v>484000.0</v>
      </c>
      <c r="O41" s="14" t="s">
        <v>183</v>
      </c>
      <c r="P41" s="3" t="s">
        <v>245</v>
      </c>
      <c r="Q41" s="15" t="s">
        <v>186</v>
      </c>
      <c r="R41" s="15" t="s">
        <v>152</v>
      </c>
      <c r="S41" s="3" t="s">
        <v>188</v>
      </c>
      <c r="T41" s="3" t="s">
        <v>188</v>
      </c>
      <c r="U41" s="3" t="s">
        <v>188</v>
      </c>
      <c r="V41" s="3"/>
      <c r="W41" s="3"/>
      <c r="X41" s="3" t="s">
        <v>360</v>
      </c>
      <c r="Y41" s="3" t="s">
        <v>229</v>
      </c>
    </row>
    <row r="42">
      <c r="A42" s="3" t="s">
        <v>361</v>
      </c>
      <c r="B42" s="3">
        <v>2021.0</v>
      </c>
      <c r="C42" s="3">
        <v>2015.0</v>
      </c>
      <c r="D42" s="3">
        <v>2018.0</v>
      </c>
      <c r="E42" s="3" t="s">
        <v>24</v>
      </c>
      <c r="F42" s="3" t="s">
        <v>180</v>
      </c>
      <c r="G42" s="3" t="s">
        <v>180</v>
      </c>
      <c r="H42" s="13">
        <v>20.0</v>
      </c>
      <c r="I42" s="3" t="s">
        <v>362</v>
      </c>
      <c r="J42" s="3" t="s">
        <v>104</v>
      </c>
      <c r="K42" s="14" t="s">
        <v>363</v>
      </c>
      <c r="L42" s="3" t="s">
        <v>184</v>
      </c>
      <c r="M42" s="13" t="s">
        <v>183</v>
      </c>
      <c r="N42" s="13">
        <v>7.999E7</v>
      </c>
      <c r="O42" s="3">
        <v>1404.0</v>
      </c>
      <c r="P42" s="3" t="s">
        <v>245</v>
      </c>
      <c r="Q42" s="15" t="s">
        <v>250</v>
      </c>
      <c r="R42" s="15" t="s">
        <v>250</v>
      </c>
      <c r="S42" s="3" t="s">
        <v>188</v>
      </c>
      <c r="T42" s="3" t="s">
        <v>184</v>
      </c>
      <c r="U42" s="3" t="s">
        <v>188</v>
      </c>
      <c r="V42" s="3"/>
      <c r="W42" s="3"/>
      <c r="X42" s="3" t="s">
        <v>364</v>
      </c>
      <c r="Y42" s="3" t="s">
        <v>365</v>
      </c>
    </row>
    <row r="43">
      <c r="A43" s="3" t="s">
        <v>366</v>
      </c>
      <c r="B43" s="3">
        <v>2020.0</v>
      </c>
      <c r="C43" s="3">
        <v>2018.0</v>
      </c>
      <c r="D43" s="3">
        <v>2018.0</v>
      </c>
      <c r="E43" s="3" t="s">
        <v>30</v>
      </c>
      <c r="F43" s="3" t="s">
        <v>270</v>
      </c>
      <c r="G43" s="3" t="s">
        <v>271</v>
      </c>
      <c r="H43" s="13">
        <v>2.0</v>
      </c>
      <c r="I43" s="3" t="s">
        <v>367</v>
      </c>
      <c r="J43" s="3" t="s">
        <v>104</v>
      </c>
      <c r="K43" s="14">
        <v>194.0</v>
      </c>
      <c r="L43" s="3" t="s">
        <v>211</v>
      </c>
      <c r="M43" s="13" t="s">
        <v>183</v>
      </c>
      <c r="N43" s="13">
        <v>11400.0</v>
      </c>
      <c r="O43" s="14" t="s">
        <v>183</v>
      </c>
      <c r="P43" s="3" t="s">
        <v>229</v>
      </c>
      <c r="Q43" s="15" t="s">
        <v>230</v>
      </c>
      <c r="R43" s="15" t="s">
        <v>152</v>
      </c>
      <c r="S43" s="3" t="s">
        <v>188</v>
      </c>
      <c r="T43" s="3" t="s">
        <v>184</v>
      </c>
      <c r="U43" s="3" t="s">
        <v>188</v>
      </c>
      <c r="X43" s="3" t="s">
        <v>368</v>
      </c>
      <c r="Y43" s="3" t="s">
        <v>229</v>
      </c>
    </row>
    <row r="44">
      <c r="A44" s="3" t="s">
        <v>369</v>
      </c>
      <c r="B44" s="3">
        <v>2019.0</v>
      </c>
      <c r="C44" s="3">
        <v>2018.0</v>
      </c>
      <c r="D44" s="3">
        <v>2018.0</v>
      </c>
      <c r="E44" s="3" t="s">
        <v>22</v>
      </c>
      <c r="F44" s="3" t="s">
        <v>271</v>
      </c>
      <c r="G44" s="3" t="s">
        <v>271</v>
      </c>
      <c r="H44" s="13">
        <v>10.0</v>
      </c>
      <c r="I44" s="3" t="s">
        <v>275</v>
      </c>
      <c r="J44" s="3" t="s">
        <v>254</v>
      </c>
      <c r="K44" s="14">
        <v>47.0</v>
      </c>
      <c r="L44" s="3" t="s">
        <v>184</v>
      </c>
      <c r="M44" s="13">
        <v>5.498E8</v>
      </c>
      <c r="N44" s="13">
        <v>7.34E7</v>
      </c>
      <c r="O44" s="3">
        <v>480.0</v>
      </c>
      <c r="P44" s="3" t="s">
        <v>204</v>
      </c>
      <c r="Q44" s="15" t="s">
        <v>230</v>
      </c>
      <c r="R44" s="15" t="s">
        <v>357</v>
      </c>
      <c r="S44" s="3" t="s">
        <v>188</v>
      </c>
      <c r="T44" s="3" t="s">
        <v>188</v>
      </c>
      <c r="U44" s="3" t="s">
        <v>188</v>
      </c>
      <c r="V44" s="3"/>
      <c r="W44" s="3"/>
      <c r="X44" s="3" t="s">
        <v>370</v>
      </c>
      <c r="Y44" s="3" t="s">
        <v>371</v>
      </c>
    </row>
    <row r="45">
      <c r="A45" s="3" t="s">
        <v>372</v>
      </c>
      <c r="B45" s="3">
        <v>2018.0</v>
      </c>
      <c r="C45" s="3">
        <v>2018.0</v>
      </c>
      <c r="D45" s="3">
        <v>2018.0</v>
      </c>
      <c r="E45" s="3" t="s">
        <v>26</v>
      </c>
      <c r="F45" s="3" t="s">
        <v>271</v>
      </c>
      <c r="G45" s="3" t="s">
        <v>271</v>
      </c>
      <c r="H45" s="13">
        <v>14.0</v>
      </c>
      <c r="I45" s="3" t="s">
        <v>319</v>
      </c>
      <c r="J45" s="3" t="s">
        <v>338</v>
      </c>
      <c r="K45" s="14">
        <v>84.0</v>
      </c>
      <c r="L45" s="3" t="s">
        <v>184</v>
      </c>
      <c r="M45" s="13">
        <v>1180000.0</v>
      </c>
      <c r="N45" s="13">
        <v>1.62E7</v>
      </c>
      <c r="O45" s="3">
        <v>240.0</v>
      </c>
      <c r="P45" s="3" t="s">
        <v>245</v>
      </c>
      <c r="Q45" s="15" t="s">
        <v>186</v>
      </c>
      <c r="R45" s="16" t="s">
        <v>183</v>
      </c>
      <c r="S45" s="3" t="s">
        <v>188</v>
      </c>
      <c r="T45" s="3" t="s">
        <v>184</v>
      </c>
      <c r="U45" s="3" t="s">
        <v>188</v>
      </c>
      <c r="V45" s="3"/>
      <c r="W45" s="3"/>
      <c r="X45" s="3" t="s">
        <v>373</v>
      </c>
      <c r="Y45" s="3" t="s">
        <v>374</v>
      </c>
    </row>
    <row r="46">
      <c r="A46" s="3" t="s">
        <v>375</v>
      </c>
      <c r="B46" s="3">
        <v>2022.0</v>
      </c>
      <c r="C46" s="3">
        <v>2018.0</v>
      </c>
      <c r="D46" s="3">
        <v>2018.0</v>
      </c>
      <c r="E46" s="3" t="s">
        <v>26</v>
      </c>
      <c r="F46" s="3" t="s">
        <v>271</v>
      </c>
      <c r="G46" s="3" t="s">
        <v>271</v>
      </c>
      <c r="H46" s="13">
        <v>14.0</v>
      </c>
      <c r="I46" s="3" t="s">
        <v>319</v>
      </c>
      <c r="J46" s="3" t="s">
        <v>104</v>
      </c>
      <c r="K46" s="14">
        <v>91.0</v>
      </c>
      <c r="L46" s="3" t="s">
        <v>184</v>
      </c>
      <c r="M46" s="13" t="s">
        <v>183</v>
      </c>
      <c r="N46" s="13">
        <v>6.32E7</v>
      </c>
      <c r="O46" s="3">
        <v>240.0</v>
      </c>
      <c r="P46" s="3" t="s">
        <v>245</v>
      </c>
      <c r="Q46" s="15" t="s">
        <v>186</v>
      </c>
      <c r="R46" s="16" t="s">
        <v>183</v>
      </c>
      <c r="S46" s="3" t="s">
        <v>188</v>
      </c>
      <c r="T46" s="3" t="s">
        <v>184</v>
      </c>
      <c r="U46" s="3" t="s">
        <v>188</v>
      </c>
      <c r="V46" s="3"/>
      <c r="W46" s="3"/>
      <c r="X46" s="3" t="s">
        <v>376</v>
      </c>
      <c r="Y46" s="3" t="s">
        <v>374</v>
      </c>
    </row>
    <row r="47">
      <c r="A47" s="3" t="s">
        <v>377</v>
      </c>
      <c r="B47" s="3">
        <v>2018.0</v>
      </c>
      <c r="C47" s="3">
        <v>2018.0</v>
      </c>
      <c r="D47" s="3">
        <v>2018.0</v>
      </c>
      <c r="E47" s="3" t="s">
        <v>25</v>
      </c>
      <c r="F47" s="3" t="s">
        <v>227</v>
      </c>
      <c r="G47" s="3" t="s">
        <v>227</v>
      </c>
      <c r="H47" s="13">
        <v>10.0</v>
      </c>
      <c r="I47" s="3" t="s">
        <v>275</v>
      </c>
      <c r="J47" s="3" t="s">
        <v>281</v>
      </c>
      <c r="K47" s="14">
        <v>115.0</v>
      </c>
      <c r="L47" s="3" t="s">
        <v>184</v>
      </c>
      <c r="M47" s="13">
        <v>7060000.0</v>
      </c>
      <c r="N47" s="13" t="s">
        <v>183</v>
      </c>
      <c r="O47" s="14" t="s">
        <v>183</v>
      </c>
      <c r="P47" s="3" t="s">
        <v>229</v>
      </c>
      <c r="Q47" s="15" t="s">
        <v>230</v>
      </c>
      <c r="R47" s="15" t="s">
        <v>357</v>
      </c>
      <c r="S47" s="3" t="s">
        <v>188</v>
      </c>
      <c r="T47" s="3" t="s">
        <v>184</v>
      </c>
      <c r="U47" s="3" t="s">
        <v>188</v>
      </c>
      <c r="V47" s="3"/>
      <c r="W47" s="3"/>
      <c r="X47" s="3" t="s">
        <v>378</v>
      </c>
      <c r="Y47" s="3" t="s">
        <v>229</v>
      </c>
    </row>
    <row r="48">
      <c r="A48" s="3" t="s">
        <v>379</v>
      </c>
      <c r="B48" s="3">
        <v>2020.0</v>
      </c>
      <c r="C48" s="3">
        <v>2018.0</v>
      </c>
      <c r="D48" s="3">
        <v>2019.0</v>
      </c>
      <c r="E48" s="3" t="s">
        <v>25</v>
      </c>
      <c r="F48" s="3" t="s">
        <v>209</v>
      </c>
      <c r="G48" s="3" t="s">
        <v>209</v>
      </c>
      <c r="H48" s="13">
        <v>9.0</v>
      </c>
      <c r="I48" s="3" t="s">
        <v>380</v>
      </c>
      <c r="J48" s="3" t="s">
        <v>254</v>
      </c>
      <c r="K48" s="14">
        <v>23.0</v>
      </c>
      <c r="L48" s="3" t="s">
        <v>184</v>
      </c>
      <c r="M48" s="13">
        <v>8.14E8</v>
      </c>
      <c r="N48" s="13">
        <v>3.25E8</v>
      </c>
      <c r="O48" s="3">
        <v>504.0</v>
      </c>
      <c r="P48" s="3" t="s">
        <v>245</v>
      </c>
      <c r="Q48" s="15" t="s">
        <v>230</v>
      </c>
      <c r="R48" s="15" t="s">
        <v>357</v>
      </c>
      <c r="S48" s="3" t="s">
        <v>188</v>
      </c>
      <c r="T48" s="3" t="s">
        <v>184</v>
      </c>
      <c r="U48" s="3" t="s">
        <v>188</v>
      </c>
      <c r="V48" s="3"/>
      <c r="W48" s="3"/>
      <c r="X48" s="3" t="s">
        <v>381</v>
      </c>
      <c r="Y48" s="3" t="s">
        <v>382</v>
      </c>
    </row>
    <row r="49">
      <c r="A49" s="3" t="s">
        <v>383</v>
      </c>
      <c r="B49" s="3">
        <v>2019.0</v>
      </c>
      <c r="C49" s="3">
        <v>2019.0</v>
      </c>
      <c r="D49" s="3">
        <v>2019.0</v>
      </c>
      <c r="E49" s="3" t="s">
        <v>54</v>
      </c>
      <c r="F49" s="3" t="s">
        <v>227</v>
      </c>
      <c r="G49" s="3" t="s">
        <v>227</v>
      </c>
      <c r="H49" s="13">
        <v>12.0</v>
      </c>
      <c r="I49" s="3" t="s">
        <v>217</v>
      </c>
      <c r="J49" s="3" t="s">
        <v>254</v>
      </c>
      <c r="K49" s="14">
        <v>87.0</v>
      </c>
      <c r="L49" s="3" t="s">
        <v>184</v>
      </c>
      <c r="M49" s="13">
        <v>3.12E8</v>
      </c>
      <c r="N49" s="13">
        <v>7.03E7</v>
      </c>
      <c r="O49" s="3">
        <v>15.0</v>
      </c>
      <c r="P49" s="3" t="s">
        <v>204</v>
      </c>
      <c r="Q49" s="15" t="s">
        <v>230</v>
      </c>
      <c r="R49" s="16" t="s">
        <v>183</v>
      </c>
      <c r="S49" s="3" t="s">
        <v>188</v>
      </c>
      <c r="T49" s="3" t="s">
        <v>188</v>
      </c>
      <c r="U49" s="3" t="s">
        <v>188</v>
      </c>
      <c r="V49" s="3"/>
      <c r="W49" s="3"/>
      <c r="X49" s="3" t="s">
        <v>384</v>
      </c>
      <c r="Y49" s="3" t="s">
        <v>385</v>
      </c>
    </row>
    <row r="50">
      <c r="A50" s="3" t="s">
        <v>386</v>
      </c>
      <c r="B50" s="3">
        <v>2022.0</v>
      </c>
      <c r="C50" s="3">
        <v>2019.0</v>
      </c>
      <c r="D50" s="3">
        <v>2019.0</v>
      </c>
      <c r="E50" s="3" t="s">
        <v>17</v>
      </c>
      <c r="F50" s="3" t="s">
        <v>180</v>
      </c>
      <c r="G50" s="3" t="s">
        <v>180</v>
      </c>
      <c r="H50" s="13">
        <v>1.0</v>
      </c>
      <c r="I50" s="3" t="s">
        <v>192</v>
      </c>
      <c r="J50" s="3" t="s">
        <v>254</v>
      </c>
      <c r="K50" s="14">
        <v>84.0</v>
      </c>
      <c r="L50" s="3" t="s">
        <v>184</v>
      </c>
      <c r="M50" s="13">
        <v>5.0E7</v>
      </c>
      <c r="N50" s="13">
        <v>1500000.0</v>
      </c>
      <c r="O50" s="3">
        <v>288.0</v>
      </c>
      <c r="P50" s="3" t="s">
        <v>245</v>
      </c>
      <c r="Q50" s="15" t="s">
        <v>230</v>
      </c>
      <c r="R50" s="16" t="s">
        <v>183</v>
      </c>
      <c r="S50" s="3" t="s">
        <v>188</v>
      </c>
      <c r="T50" s="3" t="s">
        <v>184</v>
      </c>
      <c r="U50" s="3" t="s">
        <v>188</v>
      </c>
      <c r="V50" s="3"/>
      <c r="W50" s="3"/>
      <c r="X50" s="3" t="s">
        <v>387</v>
      </c>
      <c r="Y50" s="3" t="s">
        <v>388</v>
      </c>
    </row>
    <row r="51">
      <c r="A51" s="3" t="s">
        <v>389</v>
      </c>
      <c r="B51" s="3">
        <v>2020.0</v>
      </c>
      <c r="C51" s="3">
        <v>2019.0</v>
      </c>
      <c r="D51" s="3">
        <v>2019.0</v>
      </c>
      <c r="E51" s="3" t="s">
        <v>17</v>
      </c>
      <c r="F51" s="3" t="s">
        <v>271</v>
      </c>
      <c r="G51" s="3" t="s">
        <v>271</v>
      </c>
      <c r="H51" s="13">
        <v>4.0</v>
      </c>
      <c r="I51" s="3" t="s">
        <v>253</v>
      </c>
      <c r="J51" s="3" t="s">
        <v>104</v>
      </c>
      <c r="K51" s="14">
        <v>84.0</v>
      </c>
      <c r="L51" s="3" t="s">
        <v>184</v>
      </c>
      <c r="M51" s="13" t="s">
        <v>183</v>
      </c>
      <c r="N51" s="13">
        <v>517000.0</v>
      </c>
      <c r="O51" s="3">
        <v>216.0</v>
      </c>
      <c r="P51" s="3" t="s">
        <v>204</v>
      </c>
      <c r="Q51" s="15" t="s">
        <v>230</v>
      </c>
      <c r="R51" s="16" t="s">
        <v>183</v>
      </c>
      <c r="S51" s="3" t="s">
        <v>188</v>
      </c>
      <c r="T51" s="3" t="s">
        <v>184</v>
      </c>
      <c r="U51" s="3" t="s">
        <v>188</v>
      </c>
      <c r="V51" s="3"/>
      <c r="W51" s="3"/>
      <c r="X51" s="3" t="s">
        <v>390</v>
      </c>
      <c r="Y51" s="3" t="s">
        <v>391</v>
      </c>
    </row>
    <row r="52">
      <c r="A52" s="3" t="s">
        <v>392</v>
      </c>
      <c r="B52" s="3">
        <v>2019.0</v>
      </c>
      <c r="C52" s="3">
        <v>2019.0</v>
      </c>
      <c r="D52" s="3">
        <v>2019.0</v>
      </c>
      <c r="E52" s="3" t="s">
        <v>22</v>
      </c>
      <c r="F52" s="3" t="s">
        <v>227</v>
      </c>
      <c r="G52" s="3" t="s">
        <v>227</v>
      </c>
      <c r="H52" s="13">
        <v>9.0</v>
      </c>
      <c r="I52" s="3" t="s">
        <v>393</v>
      </c>
      <c r="J52" s="3" t="s">
        <v>98</v>
      </c>
      <c r="K52" s="14" t="s">
        <v>183</v>
      </c>
      <c r="L52" s="3" t="s">
        <v>184</v>
      </c>
      <c r="M52" s="13">
        <v>2990000.0</v>
      </c>
      <c r="N52" s="13" t="s">
        <v>183</v>
      </c>
      <c r="O52" s="3">
        <v>2.02</v>
      </c>
      <c r="P52" s="3" t="s">
        <v>245</v>
      </c>
      <c r="Q52" s="15" t="s">
        <v>230</v>
      </c>
      <c r="R52" s="15" t="s">
        <v>357</v>
      </c>
      <c r="S52" s="3" t="s">
        <v>188</v>
      </c>
      <c r="T52" s="3" t="s">
        <v>184</v>
      </c>
      <c r="U52" s="3" t="s">
        <v>188</v>
      </c>
      <c r="V52" s="3"/>
      <c r="W52" s="3"/>
      <c r="X52" s="3" t="s">
        <v>394</v>
      </c>
      <c r="Y52" s="3" t="s">
        <v>395</v>
      </c>
    </row>
    <row r="53">
      <c r="A53" s="3" t="s">
        <v>396</v>
      </c>
      <c r="B53" s="3">
        <v>2020.0</v>
      </c>
      <c r="C53" s="3">
        <v>2019.0</v>
      </c>
      <c r="D53" s="3">
        <v>2019.0</v>
      </c>
      <c r="E53" s="3" t="s">
        <v>22</v>
      </c>
      <c r="F53" s="3" t="s">
        <v>227</v>
      </c>
      <c r="G53" s="3" t="s">
        <v>227</v>
      </c>
      <c r="H53" s="13">
        <v>8.0</v>
      </c>
      <c r="I53" s="3" t="s">
        <v>393</v>
      </c>
      <c r="J53" s="3" t="s">
        <v>104</v>
      </c>
      <c r="K53" s="14">
        <v>86.0</v>
      </c>
      <c r="L53" s="3" t="s">
        <v>184</v>
      </c>
      <c r="M53" s="13" t="s">
        <v>183</v>
      </c>
      <c r="N53" s="13">
        <v>625700.0</v>
      </c>
      <c r="O53" s="3">
        <v>2.22</v>
      </c>
      <c r="P53" s="3" t="s">
        <v>245</v>
      </c>
      <c r="Q53" s="15" t="s">
        <v>230</v>
      </c>
      <c r="R53" s="15" t="s">
        <v>357</v>
      </c>
      <c r="S53" s="3" t="s">
        <v>188</v>
      </c>
      <c r="T53" s="3" t="s">
        <v>184</v>
      </c>
      <c r="U53" s="3" t="s">
        <v>188</v>
      </c>
      <c r="V53" s="3"/>
      <c r="W53" s="3"/>
      <c r="X53" s="3" t="s">
        <v>397</v>
      </c>
      <c r="Y53" s="3" t="s">
        <v>398</v>
      </c>
    </row>
    <row r="54">
      <c r="A54" s="3" t="s">
        <v>399</v>
      </c>
      <c r="B54" s="3">
        <v>2020.0</v>
      </c>
      <c r="C54" s="3">
        <v>2019.0</v>
      </c>
      <c r="D54" s="3">
        <v>2019.0</v>
      </c>
      <c r="E54" s="3" t="s">
        <v>34</v>
      </c>
      <c r="F54" s="3" t="s">
        <v>180</v>
      </c>
      <c r="G54" s="3" t="s">
        <v>180</v>
      </c>
      <c r="H54" s="13">
        <v>9.0</v>
      </c>
      <c r="I54" s="3" t="s">
        <v>181</v>
      </c>
      <c r="J54" s="3" t="s">
        <v>338</v>
      </c>
      <c r="K54" s="14">
        <v>46.0</v>
      </c>
      <c r="L54" s="3" t="s">
        <v>184</v>
      </c>
      <c r="M54" s="13">
        <v>2.12E8</v>
      </c>
      <c r="N54" s="13">
        <v>2.12E7</v>
      </c>
      <c r="O54" s="3">
        <v>653.0</v>
      </c>
      <c r="P54" s="3" t="s">
        <v>245</v>
      </c>
      <c r="Q54" s="15" t="s">
        <v>230</v>
      </c>
      <c r="R54" s="15" t="s">
        <v>357</v>
      </c>
      <c r="S54" s="3" t="s">
        <v>188</v>
      </c>
      <c r="T54" s="3" t="s">
        <v>184</v>
      </c>
      <c r="U54" s="3" t="s">
        <v>188</v>
      </c>
      <c r="V54" s="3"/>
      <c r="W54" s="3"/>
      <c r="X54" s="3" t="s">
        <v>400</v>
      </c>
      <c r="Y54" s="3" t="s">
        <v>401</v>
      </c>
    </row>
    <row r="55">
      <c r="A55" s="3" t="s">
        <v>402</v>
      </c>
      <c r="B55" s="3">
        <v>2020.0</v>
      </c>
      <c r="C55" s="3">
        <v>2019.0</v>
      </c>
      <c r="D55" s="3">
        <v>2019.0</v>
      </c>
      <c r="E55" s="3" t="s">
        <v>25</v>
      </c>
      <c r="F55" s="3" t="s">
        <v>180</v>
      </c>
      <c r="G55" s="3" t="s">
        <v>180</v>
      </c>
      <c r="H55" s="13">
        <v>3.0</v>
      </c>
      <c r="I55" s="3" t="s">
        <v>403</v>
      </c>
      <c r="J55" s="3" t="s">
        <v>345</v>
      </c>
      <c r="K55" s="14">
        <v>100.0</v>
      </c>
      <c r="L55" s="3" t="s">
        <v>184</v>
      </c>
      <c r="M55" s="13">
        <v>3.74E7</v>
      </c>
      <c r="N55" s="13" t="s">
        <v>183</v>
      </c>
      <c r="O55" s="3">
        <v>251.0</v>
      </c>
      <c r="P55" s="3" t="s">
        <v>204</v>
      </c>
      <c r="Q55" s="15" t="s">
        <v>230</v>
      </c>
      <c r="R55" s="15" t="s">
        <v>357</v>
      </c>
      <c r="S55" s="3" t="s">
        <v>188</v>
      </c>
      <c r="T55" s="3" t="s">
        <v>184</v>
      </c>
      <c r="U55" s="3" t="s">
        <v>188</v>
      </c>
      <c r="V55" s="3"/>
      <c r="W55" s="3"/>
      <c r="X55" s="3" t="s">
        <v>404</v>
      </c>
      <c r="Y55" s="3" t="s">
        <v>405</v>
      </c>
    </row>
    <row r="56">
      <c r="A56" s="3" t="s">
        <v>406</v>
      </c>
      <c r="B56" s="3">
        <v>2021.0</v>
      </c>
      <c r="C56" s="3">
        <v>2019.0</v>
      </c>
      <c r="D56" s="3">
        <v>2019.0</v>
      </c>
      <c r="E56" s="3" t="s">
        <v>59</v>
      </c>
      <c r="F56" s="3" t="s">
        <v>180</v>
      </c>
      <c r="G56" s="3" t="s">
        <v>180</v>
      </c>
      <c r="H56" s="13">
        <v>4.0</v>
      </c>
      <c r="I56" s="3" t="s">
        <v>203</v>
      </c>
      <c r="J56" s="3" t="s">
        <v>104</v>
      </c>
      <c r="K56" s="14">
        <v>49.0</v>
      </c>
      <c r="L56" s="3" t="s">
        <v>184</v>
      </c>
      <c r="M56" s="13" t="s">
        <v>183</v>
      </c>
      <c r="N56" s="13">
        <v>1190000.0</v>
      </c>
      <c r="O56" s="3">
        <v>7.03</v>
      </c>
      <c r="P56" s="3" t="s">
        <v>204</v>
      </c>
      <c r="Q56" s="15" t="s">
        <v>230</v>
      </c>
      <c r="R56" s="15" t="s">
        <v>407</v>
      </c>
      <c r="S56" s="3" t="s">
        <v>188</v>
      </c>
      <c r="T56" s="3" t="s">
        <v>184</v>
      </c>
      <c r="U56" s="3" t="s">
        <v>188</v>
      </c>
      <c r="V56" s="3"/>
      <c r="W56" s="3"/>
      <c r="X56" s="3" t="s">
        <v>408</v>
      </c>
      <c r="Y56" s="3" t="s">
        <v>409</v>
      </c>
    </row>
    <row r="57">
      <c r="A57" s="3" t="s">
        <v>410</v>
      </c>
      <c r="B57" s="3">
        <v>2020.0</v>
      </c>
      <c r="C57" s="3">
        <v>2019.0</v>
      </c>
      <c r="D57" s="3">
        <v>2020.0</v>
      </c>
      <c r="E57" s="3" t="s">
        <v>26</v>
      </c>
      <c r="F57" s="3" t="s">
        <v>209</v>
      </c>
      <c r="G57" s="3" t="s">
        <v>180</v>
      </c>
      <c r="H57" s="13">
        <v>12.0</v>
      </c>
      <c r="I57" s="3" t="s">
        <v>411</v>
      </c>
      <c r="J57" s="3" t="s">
        <v>104</v>
      </c>
      <c r="K57" s="14">
        <v>85.0</v>
      </c>
      <c r="L57" s="3" t="s">
        <v>222</v>
      </c>
      <c r="M57" s="13" t="s">
        <v>183</v>
      </c>
      <c r="N57" s="13">
        <v>3.96E7</v>
      </c>
      <c r="O57" s="3">
        <v>7200.0</v>
      </c>
      <c r="P57" s="3" t="s">
        <v>204</v>
      </c>
      <c r="Q57" s="15" t="s">
        <v>186</v>
      </c>
      <c r="R57" s="15" t="s">
        <v>152</v>
      </c>
      <c r="S57" s="3" t="s">
        <v>188</v>
      </c>
      <c r="T57" s="3" t="s">
        <v>184</v>
      </c>
      <c r="U57" s="3" t="s">
        <v>188</v>
      </c>
      <c r="V57" s="3"/>
      <c r="W57" s="3"/>
      <c r="X57" s="3" t="s">
        <v>412</v>
      </c>
      <c r="Y57" s="3" t="s">
        <v>413</v>
      </c>
    </row>
    <row r="58">
      <c r="A58" s="3" t="s">
        <v>414</v>
      </c>
      <c r="B58" s="3">
        <v>2022.0</v>
      </c>
      <c r="C58" s="3">
        <v>2019.0</v>
      </c>
      <c r="D58" s="3">
        <v>2020.0</v>
      </c>
      <c r="E58" s="3" t="s">
        <v>34</v>
      </c>
      <c r="F58" s="3" t="s">
        <v>227</v>
      </c>
      <c r="G58" s="3" t="s">
        <v>227</v>
      </c>
      <c r="H58" s="13">
        <v>18.0</v>
      </c>
      <c r="I58" s="3" t="s">
        <v>362</v>
      </c>
      <c r="J58" s="3" t="s">
        <v>193</v>
      </c>
      <c r="K58" s="14">
        <v>68.0</v>
      </c>
      <c r="L58" s="3" t="s">
        <v>184</v>
      </c>
      <c r="M58" s="13" t="s">
        <v>183</v>
      </c>
      <c r="N58" s="13">
        <v>820800.0</v>
      </c>
      <c r="O58" s="3">
        <v>151.13</v>
      </c>
      <c r="P58" s="3" t="s">
        <v>245</v>
      </c>
      <c r="Q58" s="15" t="s">
        <v>230</v>
      </c>
      <c r="R58" s="15" t="s">
        <v>357</v>
      </c>
      <c r="S58" s="3" t="s">
        <v>188</v>
      </c>
      <c r="T58" s="3" t="s">
        <v>184</v>
      </c>
      <c r="U58" s="3" t="s">
        <v>188</v>
      </c>
      <c r="V58" s="3"/>
      <c r="W58" s="3"/>
      <c r="X58" s="3" t="s">
        <v>415</v>
      </c>
      <c r="Y58" s="3" t="s">
        <v>416</v>
      </c>
    </row>
    <row r="59">
      <c r="A59" s="3" t="s">
        <v>417</v>
      </c>
      <c r="B59" s="3">
        <v>2020.0</v>
      </c>
      <c r="C59" s="3">
        <v>2020.0</v>
      </c>
      <c r="D59" s="3">
        <v>2020.0</v>
      </c>
      <c r="E59" s="3" t="s">
        <v>29</v>
      </c>
      <c r="F59" s="3" t="s">
        <v>209</v>
      </c>
      <c r="G59" s="3" t="s">
        <v>227</v>
      </c>
      <c r="H59" s="13">
        <v>2.0</v>
      </c>
      <c r="I59" s="3" t="s">
        <v>314</v>
      </c>
      <c r="J59" s="3" t="s">
        <v>100</v>
      </c>
      <c r="K59" s="14">
        <v>12.0</v>
      </c>
      <c r="L59" s="3" t="s">
        <v>418</v>
      </c>
      <c r="M59" s="13">
        <v>1.738E7</v>
      </c>
      <c r="N59" s="13" t="s">
        <v>183</v>
      </c>
      <c r="O59" s="3">
        <v>0.27</v>
      </c>
      <c r="P59" s="3" t="s">
        <v>185</v>
      </c>
      <c r="Q59" s="15" t="s">
        <v>186</v>
      </c>
      <c r="R59" s="15" t="s">
        <v>152</v>
      </c>
      <c r="S59" s="3" t="s">
        <v>188</v>
      </c>
      <c r="T59" s="3" t="s">
        <v>184</v>
      </c>
      <c r="U59" s="3" t="s">
        <v>188</v>
      </c>
      <c r="V59" s="3"/>
      <c r="W59" s="3"/>
      <c r="X59" s="3" t="s">
        <v>419</v>
      </c>
      <c r="Y59" s="3" t="s">
        <v>420</v>
      </c>
    </row>
    <row r="60">
      <c r="A60" s="3" t="s">
        <v>421</v>
      </c>
      <c r="B60" s="3">
        <v>2020.0</v>
      </c>
      <c r="C60" s="3">
        <v>2020.0</v>
      </c>
      <c r="D60" s="3">
        <v>2020.0</v>
      </c>
      <c r="E60" s="3" t="s">
        <v>27</v>
      </c>
      <c r="F60" s="3" t="s">
        <v>180</v>
      </c>
      <c r="G60" s="3" t="s">
        <v>180</v>
      </c>
      <c r="H60" s="13">
        <v>12.0</v>
      </c>
      <c r="I60" s="3" t="s">
        <v>192</v>
      </c>
      <c r="J60" s="3" t="s">
        <v>338</v>
      </c>
      <c r="K60" s="14">
        <v>85.0</v>
      </c>
      <c r="L60" s="3" t="s">
        <v>184</v>
      </c>
      <c r="M60" s="13">
        <v>7.71E7</v>
      </c>
      <c r="N60" s="13">
        <v>86700.0</v>
      </c>
      <c r="O60" s="3">
        <v>40.0</v>
      </c>
      <c r="P60" s="3" t="s">
        <v>185</v>
      </c>
      <c r="Q60" s="15" t="s">
        <v>230</v>
      </c>
      <c r="R60" s="16" t="s">
        <v>183</v>
      </c>
      <c r="S60" s="3" t="s">
        <v>188</v>
      </c>
      <c r="T60" s="3" t="s">
        <v>184</v>
      </c>
      <c r="U60" s="3" t="s">
        <v>188</v>
      </c>
      <c r="V60" s="3"/>
      <c r="W60" s="3"/>
      <c r="X60" s="3" t="s">
        <v>422</v>
      </c>
      <c r="Y60" s="3" t="s">
        <v>321</v>
      </c>
    </row>
    <row r="61">
      <c r="A61" s="3" t="s">
        <v>423</v>
      </c>
      <c r="B61" s="3">
        <v>2020.0</v>
      </c>
      <c r="C61" s="3">
        <v>2020.0</v>
      </c>
      <c r="D61" s="3">
        <v>2020.0</v>
      </c>
      <c r="E61" s="3" t="s">
        <v>35</v>
      </c>
      <c r="F61" s="3" t="s">
        <v>271</v>
      </c>
      <c r="G61" s="3" t="s">
        <v>271</v>
      </c>
      <c r="H61" s="13">
        <v>7.0</v>
      </c>
      <c r="I61" s="3" t="s">
        <v>319</v>
      </c>
      <c r="J61" s="3" t="s">
        <v>254</v>
      </c>
      <c r="K61" s="14">
        <v>84.0</v>
      </c>
      <c r="L61" s="3" t="s">
        <v>184</v>
      </c>
      <c r="M61" s="13">
        <v>1.53E7</v>
      </c>
      <c r="N61" s="13">
        <v>344000.0</v>
      </c>
      <c r="O61" s="3">
        <v>888.0</v>
      </c>
      <c r="P61" s="3" t="s">
        <v>204</v>
      </c>
      <c r="Q61" s="15" t="s">
        <v>230</v>
      </c>
      <c r="R61" s="15" t="s">
        <v>424</v>
      </c>
      <c r="S61" s="3" t="s">
        <v>188</v>
      </c>
      <c r="T61" s="3" t="s">
        <v>184</v>
      </c>
      <c r="U61" s="3" t="s">
        <v>188</v>
      </c>
      <c r="V61" s="3"/>
      <c r="W61" s="3"/>
      <c r="X61" s="3" t="s">
        <v>425</v>
      </c>
      <c r="Y61" s="3" t="s">
        <v>426</v>
      </c>
    </row>
    <row r="62">
      <c r="A62" s="3" t="s">
        <v>427</v>
      </c>
      <c r="B62" s="3">
        <v>2020.0</v>
      </c>
      <c r="C62" s="3">
        <v>2020.0</v>
      </c>
      <c r="D62" s="3">
        <v>2020.0</v>
      </c>
      <c r="E62" s="3" t="s">
        <v>62</v>
      </c>
      <c r="F62" s="3" t="s">
        <v>227</v>
      </c>
      <c r="G62" s="3" t="s">
        <v>227</v>
      </c>
      <c r="H62" s="13">
        <v>3.0</v>
      </c>
      <c r="I62" s="3" t="s">
        <v>428</v>
      </c>
      <c r="J62" s="3" t="s">
        <v>104</v>
      </c>
      <c r="K62" s="14">
        <v>32.0</v>
      </c>
      <c r="L62" s="3" t="s">
        <v>184</v>
      </c>
      <c r="M62" s="13" t="s">
        <v>183</v>
      </c>
      <c r="N62" s="13">
        <v>108000.0</v>
      </c>
      <c r="O62" s="3">
        <v>2.05</v>
      </c>
      <c r="P62" s="3" t="s">
        <v>204</v>
      </c>
      <c r="Q62" s="15" t="s">
        <v>230</v>
      </c>
      <c r="R62" s="15" t="s">
        <v>407</v>
      </c>
      <c r="S62" s="3" t="s">
        <v>188</v>
      </c>
      <c r="T62" s="3" t="s">
        <v>184</v>
      </c>
      <c r="U62" s="3" t="s">
        <v>188</v>
      </c>
      <c r="V62" s="3"/>
      <c r="W62" s="3"/>
      <c r="X62" s="3" t="s">
        <v>429</v>
      </c>
      <c r="Y62" s="3" t="s">
        <v>430</v>
      </c>
    </row>
    <row r="63">
      <c r="A63" s="3" t="s">
        <v>431</v>
      </c>
      <c r="B63" s="3">
        <v>2020.0</v>
      </c>
      <c r="C63" s="3">
        <v>2020.0</v>
      </c>
      <c r="D63" s="3">
        <v>2020.0</v>
      </c>
      <c r="E63" s="3" t="s">
        <v>35</v>
      </c>
      <c r="F63" s="3" t="s">
        <v>271</v>
      </c>
      <c r="G63" s="3" t="s">
        <v>271</v>
      </c>
      <c r="H63" s="13">
        <v>5.0</v>
      </c>
      <c r="I63" s="3" t="s">
        <v>203</v>
      </c>
      <c r="J63" s="3" t="s">
        <v>104</v>
      </c>
      <c r="K63" s="14">
        <v>33.0</v>
      </c>
      <c r="L63" s="3" t="s">
        <v>184</v>
      </c>
      <c r="M63" s="13" t="s">
        <v>183</v>
      </c>
      <c r="N63" s="13">
        <v>5.812E7</v>
      </c>
      <c r="O63" s="3">
        <v>86.0</v>
      </c>
      <c r="P63" s="3" t="s">
        <v>245</v>
      </c>
      <c r="Q63" s="15" t="s">
        <v>230</v>
      </c>
      <c r="R63" s="15" t="s">
        <v>432</v>
      </c>
      <c r="S63" s="3" t="s">
        <v>188</v>
      </c>
      <c r="T63" s="3" t="s">
        <v>188</v>
      </c>
      <c r="U63" s="3" t="s">
        <v>188</v>
      </c>
      <c r="V63" s="3"/>
      <c r="W63" s="3"/>
      <c r="X63" s="3" t="s">
        <v>433</v>
      </c>
      <c r="Y63" s="3" t="s">
        <v>434</v>
      </c>
    </row>
    <row r="64">
      <c r="A64" s="3" t="s">
        <v>435</v>
      </c>
      <c r="B64" s="3">
        <v>2022.0</v>
      </c>
      <c r="C64" s="3">
        <v>2020.0</v>
      </c>
      <c r="D64" s="3">
        <v>2020.0</v>
      </c>
      <c r="E64" s="3" t="s">
        <v>65</v>
      </c>
      <c r="F64" s="3" t="s">
        <v>209</v>
      </c>
      <c r="G64" s="3" t="s">
        <v>209</v>
      </c>
      <c r="H64" s="13">
        <v>13.0</v>
      </c>
      <c r="I64" s="3" t="s">
        <v>436</v>
      </c>
      <c r="J64" s="3" t="s">
        <v>104</v>
      </c>
      <c r="K64" s="14">
        <v>38.0</v>
      </c>
      <c r="L64" s="3" t="s">
        <v>184</v>
      </c>
      <c r="M64" s="13" t="s">
        <v>183</v>
      </c>
      <c r="N64" s="13">
        <v>907800.0</v>
      </c>
      <c r="O64" s="3">
        <v>582.0</v>
      </c>
      <c r="P64" s="3" t="s">
        <v>245</v>
      </c>
      <c r="Q64" s="15" t="s">
        <v>223</v>
      </c>
      <c r="R64" s="15" t="s">
        <v>223</v>
      </c>
      <c r="S64" s="3" t="s">
        <v>184</v>
      </c>
      <c r="T64" s="3" t="s">
        <v>188</v>
      </c>
      <c r="U64" s="3" t="s">
        <v>188</v>
      </c>
      <c r="V64" s="3"/>
      <c r="W64" s="3"/>
      <c r="X64" s="3" t="s">
        <v>437</v>
      </c>
      <c r="Y64" s="3" t="s">
        <v>438</v>
      </c>
    </row>
    <row r="65">
      <c r="A65" s="3" t="s">
        <v>439</v>
      </c>
      <c r="B65" s="3">
        <v>2021.0</v>
      </c>
      <c r="C65" s="3">
        <v>2020.0</v>
      </c>
      <c r="D65" s="3">
        <v>2020.0</v>
      </c>
      <c r="E65" s="3" t="s">
        <v>68</v>
      </c>
      <c r="F65" s="3" t="s">
        <v>227</v>
      </c>
      <c r="G65" s="3" t="s">
        <v>227</v>
      </c>
      <c r="H65" s="13">
        <v>6.0</v>
      </c>
      <c r="I65" s="3" t="s">
        <v>393</v>
      </c>
      <c r="J65" s="3" t="s">
        <v>98</v>
      </c>
      <c r="K65" s="14" t="s">
        <v>183</v>
      </c>
      <c r="L65" s="3" t="s">
        <v>184</v>
      </c>
      <c r="M65" s="13">
        <v>4480000.0</v>
      </c>
      <c r="N65" s="13" t="s">
        <v>183</v>
      </c>
      <c r="O65" s="3">
        <v>3.63</v>
      </c>
      <c r="P65" s="3" t="s">
        <v>245</v>
      </c>
      <c r="Q65" s="15" t="s">
        <v>230</v>
      </c>
      <c r="R65" s="15" t="s">
        <v>440</v>
      </c>
      <c r="S65" s="3" t="s">
        <v>188</v>
      </c>
      <c r="T65" s="3" t="s">
        <v>184</v>
      </c>
      <c r="U65" s="3" t="s">
        <v>188</v>
      </c>
      <c r="V65" s="3"/>
      <c r="W65" s="3"/>
      <c r="X65" s="3" t="s">
        <v>441</v>
      </c>
      <c r="Y65" s="3" t="s">
        <v>442</v>
      </c>
    </row>
    <row r="66">
      <c r="A66" s="3" t="s">
        <v>443</v>
      </c>
      <c r="B66" s="3">
        <v>2021.0</v>
      </c>
      <c r="C66" s="3">
        <v>2020.0</v>
      </c>
      <c r="D66" s="3">
        <v>2020.0</v>
      </c>
      <c r="E66" s="3" t="s">
        <v>17</v>
      </c>
      <c r="F66" s="3" t="s">
        <v>271</v>
      </c>
      <c r="G66" s="3" t="s">
        <v>271</v>
      </c>
      <c r="H66" s="13">
        <v>7.0</v>
      </c>
      <c r="I66" s="3" t="s">
        <v>285</v>
      </c>
      <c r="J66" s="3" t="s">
        <v>104</v>
      </c>
      <c r="K66" s="14">
        <v>48.0</v>
      </c>
      <c r="L66" s="3" t="s">
        <v>222</v>
      </c>
      <c r="M66" s="13" t="s">
        <v>183</v>
      </c>
      <c r="N66" s="13">
        <v>12900.0</v>
      </c>
      <c r="O66" s="3">
        <v>336.0</v>
      </c>
      <c r="P66" s="3" t="s">
        <v>204</v>
      </c>
      <c r="Q66" s="15" t="s">
        <v>230</v>
      </c>
      <c r="R66" s="16" t="s">
        <v>183</v>
      </c>
      <c r="S66" s="3" t="s">
        <v>188</v>
      </c>
      <c r="T66" s="3" t="s">
        <v>188</v>
      </c>
      <c r="U66" s="3" t="s">
        <v>188</v>
      </c>
      <c r="V66" s="3"/>
      <c r="W66" s="3"/>
      <c r="X66" s="3" t="s">
        <v>444</v>
      </c>
      <c r="Y66" s="3" t="s">
        <v>445</v>
      </c>
    </row>
    <row r="67">
      <c r="A67" s="3" t="s">
        <v>446</v>
      </c>
      <c r="B67" s="3">
        <v>2021.0</v>
      </c>
      <c r="C67" s="3">
        <v>2021.0</v>
      </c>
      <c r="D67" s="3">
        <v>2021.0</v>
      </c>
      <c r="E67" s="3" t="s">
        <v>31</v>
      </c>
      <c r="F67" s="3" t="s">
        <v>227</v>
      </c>
      <c r="G67" s="3" t="s">
        <v>227</v>
      </c>
      <c r="H67" s="13">
        <v>13.0</v>
      </c>
      <c r="I67" s="3" t="s">
        <v>447</v>
      </c>
      <c r="J67" s="3" t="s">
        <v>345</v>
      </c>
      <c r="K67" s="14">
        <v>254.0</v>
      </c>
      <c r="L67" s="3" t="s">
        <v>184</v>
      </c>
      <c r="M67" s="13">
        <v>3.7E7</v>
      </c>
      <c r="N67" s="13" t="s">
        <v>183</v>
      </c>
      <c r="O67" s="3">
        <v>2.33</v>
      </c>
      <c r="P67" s="3" t="s">
        <v>245</v>
      </c>
      <c r="Q67" s="15" t="s">
        <v>230</v>
      </c>
      <c r="R67" s="15" t="s">
        <v>276</v>
      </c>
      <c r="S67" s="3" t="s">
        <v>188</v>
      </c>
      <c r="T67" s="3" t="s">
        <v>184</v>
      </c>
      <c r="U67" s="3" t="s">
        <v>188</v>
      </c>
      <c r="V67" s="3"/>
      <c r="W67" s="3"/>
      <c r="X67" s="3" t="s">
        <v>448</v>
      </c>
      <c r="Y67" s="3" t="s">
        <v>449</v>
      </c>
    </row>
    <row r="68">
      <c r="A68" s="3" t="s">
        <v>450</v>
      </c>
      <c r="B68" s="3">
        <v>2021.0</v>
      </c>
      <c r="C68" s="3">
        <v>2021.0</v>
      </c>
      <c r="D68" s="3">
        <v>2021.0</v>
      </c>
      <c r="E68" s="3" t="s">
        <v>71</v>
      </c>
      <c r="F68" s="3" t="s">
        <v>227</v>
      </c>
      <c r="G68" s="3" t="s">
        <v>227</v>
      </c>
      <c r="H68" s="13">
        <v>5.0</v>
      </c>
      <c r="I68" s="3" t="s">
        <v>451</v>
      </c>
      <c r="J68" s="3" t="s">
        <v>104</v>
      </c>
      <c r="K68" s="14">
        <v>88.0</v>
      </c>
      <c r="L68" s="3" t="s">
        <v>184</v>
      </c>
      <c r="M68" s="13" t="s">
        <v>183</v>
      </c>
      <c r="N68" s="13">
        <v>91600.0</v>
      </c>
      <c r="O68" s="13" t="s">
        <v>183</v>
      </c>
      <c r="P68" s="3" t="s">
        <v>229</v>
      </c>
      <c r="Q68" s="15" t="s">
        <v>230</v>
      </c>
      <c r="R68" s="15" t="s">
        <v>357</v>
      </c>
      <c r="S68" s="3" t="s">
        <v>229</v>
      </c>
      <c r="T68" s="3" t="s">
        <v>184</v>
      </c>
      <c r="U68" s="3" t="s">
        <v>188</v>
      </c>
      <c r="V68" s="3"/>
      <c r="W68" s="3"/>
      <c r="X68" s="3" t="s">
        <v>452</v>
      </c>
      <c r="Y68" s="3" t="s">
        <v>229</v>
      </c>
    </row>
    <row r="69">
      <c r="A69" s="3" t="s">
        <v>453</v>
      </c>
      <c r="B69" s="3">
        <v>2021.0</v>
      </c>
      <c r="C69" s="3">
        <v>2021.0</v>
      </c>
      <c r="D69" s="3">
        <v>2021.0</v>
      </c>
      <c r="E69" s="3" t="s">
        <v>27</v>
      </c>
      <c r="F69" s="3" t="s">
        <v>271</v>
      </c>
      <c r="G69" s="3" t="s">
        <v>271</v>
      </c>
      <c r="H69" s="13">
        <v>5.0</v>
      </c>
      <c r="I69" s="3" t="s">
        <v>454</v>
      </c>
      <c r="J69" s="3" t="s">
        <v>234</v>
      </c>
      <c r="K69" s="14" t="s">
        <v>183</v>
      </c>
      <c r="L69" s="3" t="s">
        <v>184</v>
      </c>
      <c r="M69" s="13">
        <v>184000.0</v>
      </c>
      <c r="N69" s="13" t="s">
        <v>183</v>
      </c>
      <c r="O69" s="3">
        <v>2.5</v>
      </c>
      <c r="P69" s="3" t="s">
        <v>204</v>
      </c>
      <c r="Q69" s="15" t="s">
        <v>230</v>
      </c>
      <c r="R69" s="16" t="s">
        <v>183</v>
      </c>
      <c r="S69" s="3" t="s">
        <v>188</v>
      </c>
      <c r="T69" s="3" t="s">
        <v>184</v>
      </c>
      <c r="U69" s="3" t="s">
        <v>205</v>
      </c>
      <c r="V69" s="3"/>
      <c r="W69" s="3"/>
      <c r="X69" s="3" t="s">
        <v>455</v>
      </c>
      <c r="Y69" s="3" t="s">
        <v>456</v>
      </c>
    </row>
    <row r="70">
      <c r="A70" s="3" t="s">
        <v>457</v>
      </c>
      <c r="B70" s="3">
        <v>2022.0</v>
      </c>
      <c r="C70" s="3">
        <v>2021.0</v>
      </c>
      <c r="D70" s="3">
        <v>2021.0</v>
      </c>
      <c r="E70" s="3" t="s">
        <v>73</v>
      </c>
      <c r="F70" s="3" t="s">
        <v>227</v>
      </c>
      <c r="G70" s="3" t="s">
        <v>227</v>
      </c>
      <c r="H70" s="13">
        <v>14.0</v>
      </c>
      <c r="I70" s="3" t="s">
        <v>181</v>
      </c>
      <c r="J70" s="3" t="s">
        <v>345</v>
      </c>
      <c r="K70" s="14">
        <v>63.0</v>
      </c>
      <c r="L70" s="3" t="s">
        <v>184</v>
      </c>
      <c r="M70" s="13">
        <v>2.09E7</v>
      </c>
      <c r="N70" s="13" t="s">
        <v>183</v>
      </c>
      <c r="O70" s="3">
        <v>47.0</v>
      </c>
      <c r="P70" s="3" t="s">
        <v>245</v>
      </c>
      <c r="Q70" s="15" t="s">
        <v>230</v>
      </c>
      <c r="R70" s="15" t="s">
        <v>357</v>
      </c>
      <c r="S70" s="3" t="s">
        <v>188</v>
      </c>
      <c r="T70" s="3" t="s">
        <v>184</v>
      </c>
      <c r="U70" s="3" t="s">
        <v>188</v>
      </c>
      <c r="V70" s="3"/>
      <c r="W70" s="3"/>
      <c r="X70" s="3" t="s">
        <v>458</v>
      </c>
      <c r="Y70" s="3" t="s">
        <v>459</v>
      </c>
    </row>
    <row r="71">
      <c r="A71" s="3" t="s">
        <v>460</v>
      </c>
      <c r="B71" s="3">
        <v>2021.0</v>
      </c>
      <c r="C71" s="3">
        <v>2021.0</v>
      </c>
      <c r="D71" s="3">
        <v>2021.0</v>
      </c>
      <c r="E71" s="3" t="s">
        <v>76</v>
      </c>
      <c r="F71" s="3" t="s">
        <v>261</v>
      </c>
      <c r="G71" s="3" t="s">
        <v>227</v>
      </c>
      <c r="H71" s="13">
        <v>4.0</v>
      </c>
      <c r="I71" s="3" t="s">
        <v>461</v>
      </c>
      <c r="J71" s="3" t="s">
        <v>254</v>
      </c>
      <c r="K71" s="14">
        <v>86.0</v>
      </c>
      <c r="L71" s="3" t="s">
        <v>211</v>
      </c>
      <c r="M71" s="13">
        <v>1.78E7</v>
      </c>
      <c r="N71" s="13">
        <v>555000.0</v>
      </c>
      <c r="O71" s="3">
        <v>38.5</v>
      </c>
      <c r="P71" s="3" t="s">
        <v>245</v>
      </c>
      <c r="Q71" s="15" t="s">
        <v>230</v>
      </c>
      <c r="R71" s="16" t="s">
        <v>183</v>
      </c>
      <c r="S71" s="3" t="s">
        <v>188</v>
      </c>
      <c r="T71" s="3" t="s">
        <v>184</v>
      </c>
      <c r="U71" s="3" t="s">
        <v>188</v>
      </c>
      <c r="W71" s="3"/>
      <c r="X71" s="3" t="s">
        <v>462</v>
      </c>
      <c r="Y71" s="3" t="s">
        <v>463</v>
      </c>
    </row>
    <row r="72">
      <c r="A72" s="3" t="s">
        <v>464</v>
      </c>
      <c r="B72" s="3">
        <v>2023.0</v>
      </c>
      <c r="C72" s="3">
        <v>2021.0</v>
      </c>
      <c r="D72" s="3">
        <v>2021.0</v>
      </c>
      <c r="E72" s="3" t="s">
        <v>17</v>
      </c>
      <c r="F72" s="3" t="s">
        <v>271</v>
      </c>
      <c r="G72" s="3" t="s">
        <v>271</v>
      </c>
      <c r="H72" s="13">
        <v>6.0</v>
      </c>
      <c r="I72" s="3" t="s">
        <v>344</v>
      </c>
      <c r="J72" s="3" t="s">
        <v>104</v>
      </c>
      <c r="K72" s="14">
        <v>78.0</v>
      </c>
      <c r="L72" s="3" t="s">
        <v>418</v>
      </c>
      <c r="M72" s="13" t="s">
        <v>183</v>
      </c>
      <c r="N72" s="13">
        <v>532000.0</v>
      </c>
      <c r="O72" s="13" t="s">
        <v>183</v>
      </c>
      <c r="P72" s="3" t="s">
        <v>229</v>
      </c>
      <c r="Q72" s="15" t="s">
        <v>230</v>
      </c>
      <c r="R72" s="15" t="s">
        <v>465</v>
      </c>
      <c r="S72" s="3" t="s">
        <v>184</v>
      </c>
      <c r="T72" s="3" t="s">
        <v>184</v>
      </c>
      <c r="U72" s="3" t="s">
        <v>188</v>
      </c>
      <c r="V72" s="3"/>
      <c r="W72" s="3"/>
      <c r="X72" s="3" t="s">
        <v>466</v>
      </c>
      <c r="Y72" s="3" t="s">
        <v>229</v>
      </c>
    </row>
    <row r="73">
      <c r="A73" s="3" t="s">
        <v>467</v>
      </c>
      <c r="B73" s="3">
        <v>2023.0</v>
      </c>
      <c r="C73" s="3">
        <v>2021.0</v>
      </c>
      <c r="D73" s="3">
        <v>2021.0</v>
      </c>
      <c r="E73" s="3" t="s">
        <v>27</v>
      </c>
      <c r="F73" s="3" t="s">
        <v>184</v>
      </c>
      <c r="G73" s="3" t="s">
        <v>271</v>
      </c>
      <c r="H73" s="14" t="s">
        <v>183</v>
      </c>
      <c r="I73" s="3" t="s">
        <v>192</v>
      </c>
      <c r="J73" s="3" t="s">
        <v>182</v>
      </c>
      <c r="K73" s="14">
        <v>160.0</v>
      </c>
      <c r="L73" s="3" t="s">
        <v>184</v>
      </c>
      <c r="M73" s="13">
        <v>1.784E8</v>
      </c>
      <c r="N73" s="13" t="s">
        <v>183</v>
      </c>
      <c r="O73" s="3">
        <v>2784.0</v>
      </c>
      <c r="P73" s="3" t="s">
        <v>185</v>
      </c>
      <c r="Q73" s="15" t="s">
        <v>230</v>
      </c>
      <c r="R73" s="16" t="s">
        <v>183</v>
      </c>
      <c r="S73" s="3" t="s">
        <v>184</v>
      </c>
      <c r="T73" s="3" t="s">
        <v>184</v>
      </c>
      <c r="U73" s="3" t="s">
        <v>184</v>
      </c>
      <c r="V73" s="3"/>
      <c r="W73" s="3"/>
      <c r="X73" s="3" t="s">
        <v>468</v>
      </c>
      <c r="Y73" s="3" t="s">
        <v>469</v>
      </c>
    </row>
    <row r="74">
      <c r="A74" s="3" t="s">
        <v>470</v>
      </c>
      <c r="B74" s="3">
        <v>2023.0</v>
      </c>
      <c r="C74" s="3">
        <v>2021.0</v>
      </c>
      <c r="D74" s="3">
        <v>2021.0</v>
      </c>
      <c r="E74" s="3" t="s">
        <v>27</v>
      </c>
      <c r="F74" s="3" t="s">
        <v>271</v>
      </c>
      <c r="G74" s="3" t="s">
        <v>271</v>
      </c>
      <c r="H74" s="13">
        <v>5.0</v>
      </c>
      <c r="I74" s="3" t="s">
        <v>471</v>
      </c>
      <c r="J74" s="3" t="s">
        <v>472</v>
      </c>
      <c r="K74" s="14">
        <v>89.0</v>
      </c>
      <c r="L74" s="3" t="s">
        <v>184</v>
      </c>
      <c r="M74" s="13">
        <v>2.52E8</v>
      </c>
      <c r="N74" s="13">
        <v>6860000.0</v>
      </c>
      <c r="O74" s="3">
        <v>973.0</v>
      </c>
      <c r="P74" s="3" t="s">
        <v>204</v>
      </c>
      <c r="Q74" s="15" t="s">
        <v>230</v>
      </c>
      <c r="R74" s="15" t="s">
        <v>153</v>
      </c>
      <c r="S74" s="3" t="s">
        <v>188</v>
      </c>
      <c r="T74" s="3" t="s">
        <v>184</v>
      </c>
      <c r="U74" s="3" t="s">
        <v>188</v>
      </c>
      <c r="V74" s="3"/>
      <c r="W74" s="3"/>
      <c r="X74" s="3" t="s">
        <v>473</v>
      </c>
      <c r="Y74" s="3" t="s">
        <v>474</v>
      </c>
    </row>
    <row r="75">
      <c r="A75" s="3" t="s">
        <v>475</v>
      </c>
      <c r="B75" s="3">
        <v>2021.0</v>
      </c>
      <c r="C75" s="3">
        <v>2021.0</v>
      </c>
      <c r="D75" s="3">
        <v>2021.0</v>
      </c>
      <c r="E75" s="3" t="s">
        <v>77</v>
      </c>
      <c r="F75" s="3" t="s">
        <v>227</v>
      </c>
      <c r="G75" s="3" t="s">
        <v>227</v>
      </c>
      <c r="H75" s="13">
        <v>4.0</v>
      </c>
      <c r="I75" s="3" t="s">
        <v>217</v>
      </c>
      <c r="J75" s="3" t="s">
        <v>104</v>
      </c>
      <c r="K75" s="14">
        <v>84.0</v>
      </c>
      <c r="L75" s="3" t="s">
        <v>184</v>
      </c>
      <c r="M75" s="13" t="s">
        <v>183</v>
      </c>
      <c r="N75" s="13">
        <v>4500000.0</v>
      </c>
      <c r="O75" s="3">
        <v>2.67</v>
      </c>
      <c r="P75" s="3" t="s">
        <v>185</v>
      </c>
      <c r="Q75" s="15" t="s">
        <v>230</v>
      </c>
      <c r="R75" s="16" t="s">
        <v>183</v>
      </c>
      <c r="S75" s="3" t="s">
        <v>188</v>
      </c>
      <c r="T75" s="3" t="s">
        <v>188</v>
      </c>
      <c r="U75" s="3" t="s">
        <v>188</v>
      </c>
      <c r="V75" s="3"/>
      <c r="W75" s="3"/>
      <c r="X75" s="3" t="s">
        <v>476</v>
      </c>
      <c r="Y75" s="3" t="s">
        <v>477</v>
      </c>
    </row>
    <row r="76">
      <c r="A76" s="3" t="s">
        <v>478</v>
      </c>
      <c r="B76" s="3">
        <v>2022.0</v>
      </c>
      <c r="C76" s="3">
        <v>2021.0</v>
      </c>
      <c r="D76" s="3">
        <v>2022.0</v>
      </c>
      <c r="E76" s="3" t="s">
        <v>79</v>
      </c>
      <c r="F76" s="3" t="s">
        <v>227</v>
      </c>
      <c r="G76" s="3" t="s">
        <v>227</v>
      </c>
      <c r="H76" s="13">
        <v>2.0</v>
      </c>
      <c r="I76" s="3" t="s">
        <v>479</v>
      </c>
      <c r="J76" s="3" t="s">
        <v>356</v>
      </c>
      <c r="K76" s="14">
        <v>48.0</v>
      </c>
      <c r="L76" s="3" t="s">
        <v>184</v>
      </c>
      <c r="M76" s="13">
        <v>1.2E8</v>
      </c>
      <c r="N76" s="13">
        <v>466000.0</v>
      </c>
      <c r="O76" s="3">
        <v>541.0</v>
      </c>
      <c r="P76" s="3" t="s">
        <v>245</v>
      </c>
      <c r="Q76" s="15" t="s">
        <v>230</v>
      </c>
      <c r="R76" s="15" t="s">
        <v>357</v>
      </c>
      <c r="S76" s="3" t="s">
        <v>184</v>
      </c>
      <c r="T76" s="3" t="s">
        <v>184</v>
      </c>
      <c r="U76" s="3" t="s">
        <v>205</v>
      </c>
      <c r="V76" s="3"/>
      <c r="W76" s="3"/>
      <c r="X76" s="3" t="s">
        <v>480</v>
      </c>
      <c r="Y76" s="3" t="s">
        <v>481</v>
      </c>
    </row>
    <row r="77">
      <c r="A77" s="3" t="s">
        <v>482</v>
      </c>
      <c r="B77" s="3">
        <v>2020.0</v>
      </c>
      <c r="C77" s="3">
        <v>2020.0</v>
      </c>
      <c r="D77" s="3">
        <v>2022.0</v>
      </c>
      <c r="E77" s="3" t="s">
        <v>28</v>
      </c>
      <c r="F77" s="3" t="s">
        <v>209</v>
      </c>
      <c r="G77" s="3" t="s">
        <v>209</v>
      </c>
      <c r="H77" s="13">
        <v>2.0</v>
      </c>
      <c r="I77" s="3" t="s">
        <v>293</v>
      </c>
      <c r="J77" s="3" t="s">
        <v>104</v>
      </c>
      <c r="K77" s="14">
        <v>16.0</v>
      </c>
      <c r="L77" s="3" t="s">
        <v>222</v>
      </c>
      <c r="M77" s="13" t="s">
        <v>183</v>
      </c>
      <c r="N77" s="13">
        <v>2.0656E8</v>
      </c>
      <c r="O77" s="3">
        <v>264.0</v>
      </c>
      <c r="P77" s="3" t="s">
        <v>204</v>
      </c>
      <c r="Q77" s="15" t="s">
        <v>186</v>
      </c>
      <c r="R77" s="15" t="s">
        <v>152</v>
      </c>
      <c r="S77" s="3" t="s">
        <v>184</v>
      </c>
      <c r="T77" s="3" t="s">
        <v>184</v>
      </c>
      <c r="U77" s="3" t="s">
        <v>188</v>
      </c>
      <c r="V77" s="3"/>
      <c r="W77" s="3"/>
      <c r="X77" s="3" t="s">
        <v>483</v>
      </c>
      <c r="Y77" s="3" t="s">
        <v>484</v>
      </c>
    </row>
    <row r="78">
      <c r="A78" s="3" t="s">
        <v>485</v>
      </c>
      <c r="B78" s="3">
        <v>2022.0</v>
      </c>
      <c r="C78" s="3">
        <v>2004.0</v>
      </c>
      <c r="D78" s="3">
        <v>2022.0</v>
      </c>
      <c r="E78" s="3" t="s">
        <v>26</v>
      </c>
      <c r="F78" s="3" t="s">
        <v>350</v>
      </c>
      <c r="G78" s="3" t="s">
        <v>350</v>
      </c>
      <c r="H78" s="13">
        <v>115.0</v>
      </c>
      <c r="I78" s="3" t="s">
        <v>486</v>
      </c>
      <c r="J78" s="3" t="s">
        <v>105</v>
      </c>
      <c r="K78" s="14">
        <v>47.0</v>
      </c>
      <c r="L78" s="3" t="s">
        <v>184</v>
      </c>
      <c r="M78" s="13" t="s">
        <v>183</v>
      </c>
      <c r="N78" s="13">
        <v>2.77E7</v>
      </c>
      <c r="O78" s="3">
        <v>552.0</v>
      </c>
      <c r="P78" s="3" t="s">
        <v>204</v>
      </c>
      <c r="Q78" s="15" t="s">
        <v>250</v>
      </c>
      <c r="R78" s="15" t="s">
        <v>250</v>
      </c>
      <c r="S78" s="3" t="s">
        <v>188</v>
      </c>
      <c r="T78" s="3" t="s">
        <v>184</v>
      </c>
      <c r="U78" s="3" t="s">
        <v>188</v>
      </c>
      <c r="V78" s="3"/>
      <c r="W78" s="3"/>
      <c r="X78" s="3" t="s">
        <v>487</v>
      </c>
      <c r="Y78" s="3" t="s">
        <v>488</v>
      </c>
    </row>
    <row r="79">
      <c r="A79" s="3" t="s">
        <v>489</v>
      </c>
      <c r="B79" s="3">
        <v>2023.0</v>
      </c>
      <c r="C79" s="3">
        <v>2021.0</v>
      </c>
      <c r="D79" s="3">
        <v>2022.0</v>
      </c>
      <c r="E79" s="3" t="s">
        <v>17</v>
      </c>
      <c r="F79" s="3" t="s">
        <v>271</v>
      </c>
      <c r="G79" s="3" t="s">
        <v>271</v>
      </c>
      <c r="H79" s="13">
        <v>2.0</v>
      </c>
      <c r="I79" s="3" t="s">
        <v>327</v>
      </c>
      <c r="J79" s="3" t="s">
        <v>104</v>
      </c>
      <c r="K79" s="14">
        <v>23.0</v>
      </c>
      <c r="L79" s="3" t="s">
        <v>184</v>
      </c>
      <c r="M79" s="13" t="s">
        <v>183</v>
      </c>
      <c r="N79" s="13">
        <v>1.856E7</v>
      </c>
      <c r="O79" s="3">
        <v>749.0</v>
      </c>
      <c r="P79" s="3" t="s">
        <v>245</v>
      </c>
      <c r="Q79" s="15" t="s">
        <v>230</v>
      </c>
      <c r="R79" s="16" t="s">
        <v>183</v>
      </c>
      <c r="S79" s="3" t="s">
        <v>188</v>
      </c>
      <c r="T79" s="3" t="s">
        <v>184</v>
      </c>
      <c r="U79" s="3" t="s">
        <v>188</v>
      </c>
      <c r="V79" s="3"/>
      <c r="W79" s="3"/>
      <c r="X79" s="3" t="s">
        <v>490</v>
      </c>
      <c r="Y79" s="3" t="s">
        <v>491</v>
      </c>
    </row>
    <row r="80">
      <c r="A80" s="3" t="s">
        <v>492</v>
      </c>
      <c r="B80" s="3">
        <v>2023.0</v>
      </c>
      <c r="C80" s="3">
        <v>2022.0</v>
      </c>
      <c r="D80" s="3">
        <v>2022.0</v>
      </c>
      <c r="E80" s="3" t="s">
        <v>19</v>
      </c>
      <c r="F80" s="3" t="s">
        <v>271</v>
      </c>
      <c r="G80" s="3" t="s">
        <v>271</v>
      </c>
      <c r="H80" s="13">
        <v>22.0</v>
      </c>
      <c r="I80" s="3" t="s">
        <v>192</v>
      </c>
      <c r="J80" s="3" t="s">
        <v>493</v>
      </c>
      <c r="K80" s="14">
        <v>145.0</v>
      </c>
      <c r="L80" s="3" t="s">
        <v>184</v>
      </c>
      <c r="M80" s="13">
        <v>2.24E8</v>
      </c>
      <c r="N80" s="13">
        <v>3500000.0</v>
      </c>
      <c r="O80" s="3">
        <v>960.0</v>
      </c>
      <c r="P80" s="3" t="s">
        <v>185</v>
      </c>
      <c r="Q80" s="15" t="s">
        <v>230</v>
      </c>
      <c r="R80" s="16" t="s">
        <v>183</v>
      </c>
      <c r="S80" s="3" t="s">
        <v>188</v>
      </c>
      <c r="T80" s="3" t="s">
        <v>184</v>
      </c>
      <c r="U80" s="3" t="s">
        <v>188</v>
      </c>
      <c r="V80" s="3"/>
      <c r="W80" s="3"/>
      <c r="X80" s="3" t="s">
        <v>494</v>
      </c>
      <c r="Y80" s="3" t="s">
        <v>495</v>
      </c>
    </row>
    <row r="81">
      <c r="A81" s="3" t="s">
        <v>496</v>
      </c>
      <c r="B81" s="3">
        <v>2023.0</v>
      </c>
      <c r="C81" s="3">
        <v>2022.0</v>
      </c>
      <c r="D81" s="3">
        <v>2022.0</v>
      </c>
      <c r="E81" s="3" t="s">
        <v>36</v>
      </c>
      <c r="F81" s="3" t="s">
        <v>271</v>
      </c>
      <c r="G81" s="3" t="s">
        <v>271</v>
      </c>
      <c r="H81" s="13">
        <v>5.0</v>
      </c>
      <c r="I81" s="3" t="s">
        <v>275</v>
      </c>
      <c r="J81" s="3" t="s">
        <v>254</v>
      </c>
      <c r="K81" s="14">
        <v>64.0</v>
      </c>
      <c r="L81" s="3" t="s">
        <v>184</v>
      </c>
      <c r="M81" s="13">
        <v>2.52E7</v>
      </c>
      <c r="N81" s="13">
        <v>45700.0</v>
      </c>
      <c r="O81" s="3">
        <v>2.3</v>
      </c>
      <c r="P81" s="3" t="s">
        <v>204</v>
      </c>
      <c r="Q81" s="15" t="s">
        <v>230</v>
      </c>
      <c r="R81" s="15" t="s">
        <v>497</v>
      </c>
      <c r="S81" s="3" t="s">
        <v>188</v>
      </c>
      <c r="T81" s="3" t="s">
        <v>184</v>
      </c>
      <c r="U81" s="3" t="s">
        <v>188</v>
      </c>
      <c r="V81" s="3"/>
      <c r="W81" s="3"/>
      <c r="X81" s="3" t="s">
        <v>498</v>
      </c>
      <c r="Y81" s="3" t="s">
        <v>449</v>
      </c>
    </row>
    <row r="82">
      <c r="A82" s="3" t="s">
        <v>499</v>
      </c>
      <c r="B82" s="3">
        <v>2023.0</v>
      </c>
      <c r="C82" s="3">
        <v>2022.0</v>
      </c>
      <c r="D82" s="3">
        <v>2022.0</v>
      </c>
      <c r="E82" s="3" t="s">
        <v>17</v>
      </c>
      <c r="F82" s="3" t="s">
        <v>180</v>
      </c>
      <c r="G82" s="3" t="s">
        <v>180</v>
      </c>
      <c r="H82" s="13">
        <v>28.0</v>
      </c>
      <c r="I82" s="3" t="s">
        <v>500</v>
      </c>
      <c r="J82" s="3" t="s">
        <v>104</v>
      </c>
      <c r="K82" s="14">
        <v>82.0</v>
      </c>
      <c r="L82" s="3" t="s">
        <v>184</v>
      </c>
      <c r="M82" s="13" t="s">
        <v>183</v>
      </c>
      <c r="N82" s="13">
        <v>103200.0</v>
      </c>
      <c r="O82" s="3">
        <v>720.0</v>
      </c>
      <c r="P82" s="3" t="s">
        <v>245</v>
      </c>
      <c r="Q82" s="15" t="s">
        <v>230</v>
      </c>
      <c r="R82" s="16" t="s">
        <v>183</v>
      </c>
      <c r="S82" s="3" t="s">
        <v>188</v>
      </c>
      <c r="T82" s="3" t="s">
        <v>184</v>
      </c>
      <c r="U82" s="3" t="s">
        <v>188</v>
      </c>
      <c r="V82" s="3"/>
      <c r="W82" s="3"/>
      <c r="X82" s="3" t="s">
        <v>501</v>
      </c>
      <c r="Y82" s="3" t="s">
        <v>502</v>
      </c>
    </row>
    <row r="83">
      <c r="A83" s="3" t="s">
        <v>503</v>
      </c>
      <c r="B83" s="3">
        <v>2021.0</v>
      </c>
      <c r="C83" s="3">
        <v>2022.0</v>
      </c>
      <c r="D83" s="3">
        <v>2022.0</v>
      </c>
      <c r="E83" s="3" t="s">
        <v>24</v>
      </c>
      <c r="F83" s="3" t="s">
        <v>350</v>
      </c>
      <c r="G83" s="3" t="s">
        <v>180</v>
      </c>
      <c r="H83" s="13">
        <v>3.0</v>
      </c>
      <c r="I83" s="3" t="s">
        <v>504</v>
      </c>
      <c r="J83" s="3" t="s">
        <v>104</v>
      </c>
      <c r="K83" s="14">
        <v>31.0</v>
      </c>
      <c r="L83" s="3" t="s">
        <v>229</v>
      </c>
      <c r="M83" s="13" t="s">
        <v>183</v>
      </c>
      <c r="N83" s="13">
        <v>3.01E7</v>
      </c>
      <c r="O83" s="3">
        <v>227.5</v>
      </c>
      <c r="P83" s="3" t="s">
        <v>245</v>
      </c>
      <c r="Q83" s="15" t="s">
        <v>186</v>
      </c>
      <c r="R83" s="15" t="s">
        <v>152</v>
      </c>
      <c r="S83" s="3" t="s">
        <v>188</v>
      </c>
      <c r="T83" s="3" t="s">
        <v>184</v>
      </c>
      <c r="U83" s="3" t="s">
        <v>188</v>
      </c>
      <c r="W83" s="3"/>
      <c r="X83" s="3" t="s">
        <v>505</v>
      </c>
      <c r="Y83" s="3" t="s">
        <v>506</v>
      </c>
    </row>
    <row r="84">
      <c r="A84" s="3" t="s">
        <v>507</v>
      </c>
      <c r="B84" s="3">
        <v>2023.0</v>
      </c>
      <c r="C84" s="3">
        <v>2022.0</v>
      </c>
      <c r="D84" s="3">
        <v>2022.0</v>
      </c>
      <c r="E84" s="3" t="s">
        <v>81</v>
      </c>
      <c r="F84" s="3" t="s">
        <v>271</v>
      </c>
      <c r="G84" s="3" t="s">
        <v>271</v>
      </c>
      <c r="H84" s="13">
        <v>5.0</v>
      </c>
      <c r="I84" s="3" t="s">
        <v>275</v>
      </c>
      <c r="J84" s="3" t="s">
        <v>281</v>
      </c>
      <c r="K84" s="14">
        <v>34.0</v>
      </c>
      <c r="L84" s="3" t="s">
        <v>184</v>
      </c>
      <c r="M84" s="13" t="s">
        <v>183</v>
      </c>
      <c r="N84" s="13">
        <v>37000.0</v>
      </c>
      <c r="O84" s="13" t="s">
        <v>183</v>
      </c>
      <c r="P84" s="3" t="s">
        <v>229</v>
      </c>
      <c r="Q84" s="15" t="s">
        <v>230</v>
      </c>
      <c r="R84" s="15" t="s">
        <v>424</v>
      </c>
      <c r="S84" s="3" t="s">
        <v>188</v>
      </c>
      <c r="T84" s="3" t="s">
        <v>184</v>
      </c>
      <c r="U84" s="3" t="s">
        <v>188</v>
      </c>
      <c r="V84" s="3"/>
      <c r="W84" s="3"/>
      <c r="X84" s="3" t="s">
        <v>508</v>
      </c>
      <c r="Y84" s="3" t="s">
        <v>229</v>
      </c>
    </row>
    <row r="85">
      <c r="A85" s="3" t="s">
        <v>509</v>
      </c>
      <c r="B85" s="3">
        <v>2023.0</v>
      </c>
      <c r="C85" s="3">
        <v>2022.0</v>
      </c>
      <c r="D85" s="3">
        <v>2023.0</v>
      </c>
      <c r="E85" s="3" t="s">
        <v>22</v>
      </c>
      <c r="F85" s="3" t="s">
        <v>227</v>
      </c>
      <c r="G85" s="3" t="s">
        <v>227</v>
      </c>
      <c r="H85" s="13">
        <v>33.0</v>
      </c>
      <c r="I85" s="3" t="s">
        <v>362</v>
      </c>
      <c r="J85" s="3" t="s">
        <v>356</v>
      </c>
      <c r="K85" s="14">
        <v>47.0</v>
      </c>
      <c r="L85" s="3" t="s">
        <v>184</v>
      </c>
      <c r="M85" s="13">
        <v>4.493E9</v>
      </c>
      <c r="N85" s="13">
        <v>4.67E7</v>
      </c>
      <c r="O85" s="3">
        <v>4680.0</v>
      </c>
      <c r="P85" s="3" t="s">
        <v>245</v>
      </c>
      <c r="Q85" s="15" t="s">
        <v>346</v>
      </c>
      <c r="R85" s="15" t="s">
        <v>357</v>
      </c>
      <c r="S85" s="3" t="s">
        <v>188</v>
      </c>
      <c r="T85" s="3" t="s">
        <v>184</v>
      </c>
      <c r="U85" s="3" t="s">
        <v>184</v>
      </c>
      <c r="V85" s="3"/>
      <c r="W85" s="3"/>
      <c r="X85" s="3" t="s">
        <v>510</v>
      </c>
      <c r="Y85" s="3" t="s">
        <v>511</v>
      </c>
    </row>
    <row r="86">
      <c r="A86" s="3" t="s">
        <v>512</v>
      </c>
      <c r="B86" s="3">
        <v>2023.0</v>
      </c>
      <c r="C86" s="3">
        <v>2022.0</v>
      </c>
      <c r="D86" s="3">
        <v>2023.0</v>
      </c>
      <c r="E86" s="3" t="s">
        <v>17</v>
      </c>
      <c r="F86" s="3" t="s">
        <v>227</v>
      </c>
      <c r="G86" s="3" t="s">
        <v>227</v>
      </c>
      <c r="H86" s="13">
        <v>26.0</v>
      </c>
      <c r="I86" s="3" t="s">
        <v>513</v>
      </c>
      <c r="J86" s="3" t="s">
        <v>254</v>
      </c>
      <c r="K86" s="14">
        <v>86.0</v>
      </c>
      <c r="L86" s="3" t="s">
        <v>184</v>
      </c>
      <c r="M86" s="13">
        <v>4.36E7</v>
      </c>
      <c r="N86" s="13">
        <v>8700000.0</v>
      </c>
      <c r="O86" s="3">
        <v>765.0</v>
      </c>
      <c r="P86" s="3" t="s">
        <v>245</v>
      </c>
      <c r="Q86" s="15" t="s">
        <v>230</v>
      </c>
      <c r="R86" s="16" t="s">
        <v>183</v>
      </c>
      <c r="S86" s="3" t="s">
        <v>188</v>
      </c>
      <c r="T86" s="3" t="s">
        <v>184</v>
      </c>
      <c r="U86" s="3" t="s">
        <v>188</v>
      </c>
      <c r="V86" s="3"/>
      <c r="W86" s="3"/>
      <c r="X86" s="3" t="s">
        <v>514</v>
      </c>
      <c r="Y86" s="3" t="s">
        <v>515</v>
      </c>
    </row>
    <row r="87">
      <c r="A87" s="3" t="s">
        <v>516</v>
      </c>
      <c r="B87" s="3">
        <v>2023.0</v>
      </c>
      <c r="C87" s="3">
        <v>2023.0</v>
      </c>
      <c r="D87" s="3">
        <v>2023.0</v>
      </c>
      <c r="E87" s="3" t="s">
        <v>83</v>
      </c>
      <c r="F87" s="3" t="s">
        <v>209</v>
      </c>
      <c r="G87" s="3" t="s">
        <v>227</v>
      </c>
      <c r="H87" s="13">
        <v>3.0</v>
      </c>
      <c r="I87" s="3" t="s">
        <v>323</v>
      </c>
      <c r="J87" s="3" t="s">
        <v>104</v>
      </c>
      <c r="K87" s="14">
        <v>19.0</v>
      </c>
      <c r="L87" s="3" t="s">
        <v>229</v>
      </c>
      <c r="M87" s="13" t="s">
        <v>183</v>
      </c>
      <c r="N87" s="13">
        <v>1.512E7</v>
      </c>
      <c r="O87" s="3">
        <v>1740.0</v>
      </c>
      <c r="P87" s="3" t="s">
        <v>245</v>
      </c>
      <c r="Q87" s="15" t="s">
        <v>186</v>
      </c>
      <c r="R87" s="15" t="s">
        <v>153</v>
      </c>
      <c r="S87" s="3" t="s">
        <v>188</v>
      </c>
      <c r="T87" s="3" t="s">
        <v>184</v>
      </c>
      <c r="U87" s="3" t="s">
        <v>188</v>
      </c>
      <c r="V87" s="3"/>
      <c r="W87" s="3"/>
      <c r="X87" s="3" t="s">
        <v>517</v>
      </c>
      <c r="Y87" s="3" t="s">
        <v>518</v>
      </c>
    </row>
    <row r="88">
      <c r="A88" s="3" t="s">
        <v>519</v>
      </c>
      <c r="B88" s="3">
        <v>2023.0</v>
      </c>
      <c r="C88" s="3">
        <v>2023.0</v>
      </c>
      <c r="D88" s="3">
        <v>2023.0</v>
      </c>
      <c r="E88" s="3" t="s">
        <v>84</v>
      </c>
      <c r="F88" s="3" t="s">
        <v>271</v>
      </c>
      <c r="G88" s="3" t="s">
        <v>271</v>
      </c>
      <c r="H88" s="13">
        <v>11.0</v>
      </c>
      <c r="I88" s="3" t="s">
        <v>520</v>
      </c>
      <c r="J88" s="3" t="s">
        <v>254</v>
      </c>
      <c r="K88" s="14">
        <v>83.0</v>
      </c>
      <c r="L88" s="3" t="s">
        <v>184</v>
      </c>
      <c r="M88" s="13">
        <v>4.49E8</v>
      </c>
      <c r="N88" s="13">
        <v>6167000.0</v>
      </c>
      <c r="O88" s="3">
        <v>414.0</v>
      </c>
      <c r="P88" s="3" t="s">
        <v>245</v>
      </c>
      <c r="Q88" s="15" t="s">
        <v>186</v>
      </c>
      <c r="R88" s="15" t="s">
        <v>306</v>
      </c>
      <c r="S88" s="3" t="s">
        <v>188</v>
      </c>
      <c r="T88" s="3" t="s">
        <v>188</v>
      </c>
      <c r="U88" s="3" t="s">
        <v>188</v>
      </c>
      <c r="V88" s="3"/>
      <c r="W88" s="3"/>
      <c r="X88" s="3" t="s">
        <v>521</v>
      </c>
      <c r="Y88" s="3" t="s">
        <v>522</v>
      </c>
    </row>
    <row r="89">
      <c r="A89" s="3" t="s">
        <v>523</v>
      </c>
      <c r="B89" s="3">
        <v>2023.0</v>
      </c>
      <c r="C89" s="3">
        <v>2023.0</v>
      </c>
      <c r="D89" s="3">
        <v>2023.0</v>
      </c>
      <c r="E89" s="3" t="s">
        <v>85</v>
      </c>
      <c r="F89" s="3" t="s">
        <v>227</v>
      </c>
      <c r="G89" s="3" t="s">
        <v>227</v>
      </c>
      <c r="H89" s="13">
        <v>4.0</v>
      </c>
      <c r="I89" s="3" t="s">
        <v>428</v>
      </c>
      <c r="J89" s="3" t="s">
        <v>254</v>
      </c>
      <c r="K89" s="14">
        <v>84.0</v>
      </c>
      <c r="L89" s="3" t="s">
        <v>184</v>
      </c>
      <c r="M89" s="13">
        <v>1.763E8</v>
      </c>
      <c r="N89" s="13">
        <v>136600.0</v>
      </c>
      <c r="O89" s="3">
        <v>10.1</v>
      </c>
      <c r="P89" s="3" t="s">
        <v>245</v>
      </c>
      <c r="Q89" s="15" t="s">
        <v>230</v>
      </c>
      <c r="R89" s="15" t="s">
        <v>497</v>
      </c>
      <c r="S89" s="3" t="s">
        <v>188</v>
      </c>
      <c r="T89" s="3" t="s">
        <v>184</v>
      </c>
      <c r="U89" s="3" t="s">
        <v>188</v>
      </c>
      <c r="V89" s="3"/>
      <c r="W89" s="3"/>
      <c r="X89" s="3" t="s">
        <v>524</v>
      </c>
      <c r="Y89" s="3" t="s">
        <v>525</v>
      </c>
    </row>
    <row r="90">
      <c r="A90" s="3" t="s">
        <v>526</v>
      </c>
      <c r="B90" s="3">
        <v>2023.0</v>
      </c>
      <c r="C90" s="3">
        <v>2023.0</v>
      </c>
      <c r="D90" s="3">
        <v>2023.0</v>
      </c>
      <c r="E90" s="3" t="s">
        <v>36</v>
      </c>
      <c r="F90" s="3" t="s">
        <v>180</v>
      </c>
      <c r="G90" s="3" t="s">
        <v>180</v>
      </c>
      <c r="H90" s="13">
        <v>6.0</v>
      </c>
      <c r="I90" s="3" t="s">
        <v>527</v>
      </c>
      <c r="J90" s="3" t="s">
        <v>254</v>
      </c>
      <c r="K90" s="14">
        <v>64.0</v>
      </c>
      <c r="L90" s="3" t="s">
        <v>184</v>
      </c>
      <c r="M90" s="13">
        <v>4700000.0</v>
      </c>
      <c r="N90" s="13">
        <v>68700.0</v>
      </c>
      <c r="O90" s="3">
        <v>1.5</v>
      </c>
      <c r="P90" s="3" t="s">
        <v>204</v>
      </c>
      <c r="Q90" s="15" t="s">
        <v>230</v>
      </c>
      <c r="R90" s="15" t="s">
        <v>497</v>
      </c>
      <c r="S90" s="3" t="s">
        <v>184</v>
      </c>
      <c r="T90" s="3" t="s">
        <v>184</v>
      </c>
      <c r="U90" s="3" t="s">
        <v>188</v>
      </c>
      <c r="V90" s="3"/>
      <c r="W90" s="3"/>
      <c r="X90" s="3" t="s">
        <v>528</v>
      </c>
      <c r="Y90" s="3" t="s">
        <v>529</v>
      </c>
    </row>
    <row r="91">
      <c r="K91" s="11"/>
      <c r="L91" s="3"/>
    </row>
    <row r="92">
      <c r="K92" s="11"/>
      <c r="L92" s="3"/>
    </row>
    <row r="93">
      <c r="K93" s="11"/>
      <c r="L93" s="3"/>
    </row>
    <row r="94">
      <c r="K94" s="11"/>
      <c r="L94" s="3"/>
    </row>
    <row r="95">
      <c r="K95" s="11"/>
      <c r="L95" s="3"/>
    </row>
    <row r="96">
      <c r="K96" s="11"/>
      <c r="L96" s="3"/>
    </row>
    <row r="97">
      <c r="K97" s="11"/>
      <c r="L97" s="3"/>
    </row>
    <row r="98">
      <c r="K98" s="11"/>
      <c r="L98" s="3"/>
    </row>
    <row r="99">
      <c r="K99" s="11"/>
      <c r="L99" s="3"/>
    </row>
    <row r="100">
      <c r="K100" s="11"/>
      <c r="L100" s="3"/>
    </row>
    <row r="101">
      <c r="K101" s="11"/>
      <c r="L101" s="3"/>
    </row>
    <row r="102">
      <c r="K102" s="11"/>
      <c r="L102" s="3"/>
    </row>
    <row r="103">
      <c r="K103" s="11"/>
      <c r="L103" s="3"/>
    </row>
    <row r="104">
      <c r="K104" s="11"/>
      <c r="L104" s="3"/>
    </row>
    <row r="105">
      <c r="K105" s="11"/>
      <c r="L105" s="3"/>
    </row>
    <row r="106">
      <c r="K106" s="11"/>
      <c r="L106" s="3"/>
    </row>
    <row r="107">
      <c r="K107" s="11"/>
      <c r="L107" s="3"/>
    </row>
    <row r="108">
      <c r="K108" s="11"/>
      <c r="L108" s="3"/>
    </row>
    <row r="109">
      <c r="K109" s="11"/>
      <c r="L109" s="3"/>
    </row>
    <row r="110">
      <c r="K110" s="11"/>
      <c r="L110" s="3"/>
    </row>
    <row r="111">
      <c r="K111" s="11"/>
      <c r="L111" s="3"/>
    </row>
    <row r="112">
      <c r="K112" s="11"/>
      <c r="L112" s="3"/>
    </row>
    <row r="113">
      <c r="K113" s="11"/>
      <c r="L113" s="3"/>
    </row>
    <row r="114">
      <c r="K114" s="11"/>
      <c r="L114" s="3"/>
    </row>
    <row r="115">
      <c r="K115" s="11"/>
      <c r="L115" s="3"/>
    </row>
    <row r="116">
      <c r="K116" s="11"/>
      <c r="L116" s="3"/>
    </row>
    <row r="117">
      <c r="K117" s="11"/>
      <c r="L117" s="3"/>
    </row>
    <row r="118">
      <c r="K118" s="11"/>
      <c r="L118" s="3"/>
    </row>
    <row r="119">
      <c r="K119" s="11"/>
      <c r="L119" s="3"/>
    </row>
    <row r="120">
      <c r="K120" s="11"/>
      <c r="L120" s="3"/>
    </row>
    <row r="121">
      <c r="K121" s="11"/>
      <c r="L121" s="3"/>
    </row>
    <row r="122">
      <c r="K122" s="11"/>
      <c r="L122" s="3"/>
    </row>
    <row r="123">
      <c r="K123" s="11"/>
      <c r="L123" s="3"/>
    </row>
    <row r="124">
      <c r="K124" s="11"/>
      <c r="L124" s="3"/>
    </row>
    <row r="125">
      <c r="K125" s="11"/>
      <c r="L125" s="3"/>
    </row>
    <row r="126">
      <c r="K126" s="11"/>
      <c r="L126" s="3"/>
    </row>
    <row r="127">
      <c r="K127" s="11"/>
      <c r="L127" s="3"/>
    </row>
    <row r="128">
      <c r="K128" s="11"/>
      <c r="L128" s="3"/>
    </row>
    <row r="129">
      <c r="K129" s="11"/>
      <c r="L129" s="3"/>
    </row>
    <row r="130">
      <c r="K130" s="11"/>
      <c r="L130" s="3"/>
    </row>
    <row r="131">
      <c r="K131" s="11"/>
      <c r="L131" s="3"/>
    </row>
    <row r="132">
      <c r="K132" s="11"/>
      <c r="L132" s="3"/>
    </row>
    <row r="133">
      <c r="K133" s="11"/>
      <c r="L133" s="3"/>
    </row>
    <row r="134">
      <c r="K134" s="11"/>
      <c r="L134" s="3"/>
    </row>
    <row r="135">
      <c r="K135" s="11"/>
      <c r="L135" s="3"/>
    </row>
    <row r="136">
      <c r="K136" s="11"/>
      <c r="L136" s="3"/>
    </row>
    <row r="137">
      <c r="K137" s="11"/>
      <c r="L137" s="3"/>
    </row>
    <row r="138">
      <c r="K138" s="11"/>
      <c r="L138" s="3"/>
    </row>
    <row r="139">
      <c r="K139" s="11"/>
      <c r="L139" s="3"/>
    </row>
    <row r="140">
      <c r="K140" s="11"/>
      <c r="L140" s="3"/>
    </row>
    <row r="141">
      <c r="K141" s="11"/>
      <c r="L141" s="3"/>
    </row>
    <row r="142">
      <c r="K142" s="11"/>
      <c r="L142" s="3"/>
    </row>
    <row r="143">
      <c r="K143" s="11"/>
      <c r="L143" s="3"/>
    </row>
    <row r="144">
      <c r="K144" s="11"/>
      <c r="L144" s="3"/>
    </row>
    <row r="145">
      <c r="K145" s="11"/>
      <c r="L145" s="3"/>
    </row>
    <row r="146">
      <c r="K146" s="11"/>
      <c r="L146" s="3"/>
    </row>
    <row r="147">
      <c r="K147" s="11"/>
      <c r="L147" s="3"/>
    </row>
    <row r="148">
      <c r="K148" s="11"/>
      <c r="L148" s="3"/>
    </row>
    <row r="149">
      <c r="K149" s="11"/>
      <c r="L149" s="3"/>
    </row>
    <row r="150">
      <c r="K150" s="11"/>
      <c r="L150" s="3"/>
    </row>
    <row r="151">
      <c r="K151" s="11"/>
      <c r="L151" s="3"/>
    </row>
    <row r="152">
      <c r="K152" s="11"/>
      <c r="L152" s="3"/>
    </row>
    <row r="153">
      <c r="K153" s="11"/>
      <c r="L153" s="3"/>
    </row>
    <row r="154">
      <c r="K154" s="11"/>
      <c r="L154" s="3"/>
    </row>
    <row r="155">
      <c r="K155" s="11"/>
      <c r="L155" s="3"/>
    </row>
    <row r="156">
      <c r="K156" s="11"/>
      <c r="L156" s="3"/>
    </row>
    <row r="157">
      <c r="K157" s="11"/>
      <c r="L157" s="3"/>
    </row>
    <row r="158">
      <c r="K158" s="11"/>
      <c r="L158" s="3"/>
    </row>
    <row r="159">
      <c r="K159" s="11"/>
      <c r="L159" s="3"/>
    </row>
    <row r="160">
      <c r="K160" s="11"/>
      <c r="L160" s="3"/>
    </row>
    <row r="161">
      <c r="K161" s="11"/>
      <c r="L161" s="3"/>
    </row>
    <row r="162">
      <c r="K162" s="11"/>
      <c r="L162" s="3"/>
    </row>
    <row r="163">
      <c r="K163" s="11"/>
      <c r="L163" s="3"/>
    </row>
    <row r="164">
      <c r="K164" s="11"/>
      <c r="L164" s="3"/>
    </row>
    <row r="165">
      <c r="K165" s="11"/>
      <c r="L165" s="3"/>
    </row>
    <row r="166">
      <c r="K166" s="11"/>
      <c r="L166" s="3"/>
    </row>
    <row r="167">
      <c r="K167" s="11"/>
      <c r="L167" s="3"/>
    </row>
    <row r="168">
      <c r="K168" s="11"/>
      <c r="L168" s="3"/>
    </row>
    <row r="169">
      <c r="K169" s="11"/>
      <c r="L169" s="3"/>
    </row>
    <row r="170">
      <c r="K170" s="11"/>
      <c r="L170" s="3"/>
    </row>
    <row r="171">
      <c r="K171" s="11"/>
      <c r="L171" s="3"/>
    </row>
    <row r="172">
      <c r="K172" s="11"/>
    </row>
    <row r="173">
      <c r="K173" s="11"/>
    </row>
    <row r="174">
      <c r="K174" s="11"/>
    </row>
    <row r="175">
      <c r="K175" s="11"/>
    </row>
    <row r="176">
      <c r="K176" s="11"/>
    </row>
    <row r="177">
      <c r="K177" s="11"/>
    </row>
    <row r="178">
      <c r="K178" s="11"/>
    </row>
    <row r="179">
      <c r="K179" s="11"/>
    </row>
    <row r="180">
      <c r="K180" s="11"/>
    </row>
    <row r="181">
      <c r="K181" s="11"/>
    </row>
    <row r="182">
      <c r="K182" s="11"/>
    </row>
    <row r="183">
      <c r="K183" s="11"/>
    </row>
    <row r="184">
      <c r="K184" s="11"/>
    </row>
    <row r="185">
      <c r="K185" s="11"/>
    </row>
    <row r="186">
      <c r="K186" s="11"/>
    </row>
    <row r="187">
      <c r="K187" s="11"/>
    </row>
    <row r="188">
      <c r="K188" s="11"/>
    </row>
    <row r="189">
      <c r="K189" s="11"/>
    </row>
    <row r="190">
      <c r="K190" s="11"/>
    </row>
    <row r="191">
      <c r="K191" s="11"/>
    </row>
    <row r="192">
      <c r="K192" s="11"/>
    </row>
    <row r="193">
      <c r="K193" s="11"/>
    </row>
    <row r="194">
      <c r="K194" s="11"/>
    </row>
    <row r="195">
      <c r="K195" s="11"/>
    </row>
    <row r="196">
      <c r="K196" s="11"/>
    </row>
    <row r="197">
      <c r="K197" s="11"/>
    </row>
    <row r="198">
      <c r="K198" s="11"/>
    </row>
    <row r="199">
      <c r="K199" s="11"/>
    </row>
    <row r="200">
      <c r="K200" s="11"/>
    </row>
    <row r="201">
      <c r="K201" s="11"/>
    </row>
    <row r="202">
      <c r="K202" s="11"/>
    </row>
    <row r="203">
      <c r="K203" s="11"/>
    </row>
    <row r="204">
      <c r="K204" s="11"/>
    </row>
    <row r="205">
      <c r="K205" s="11"/>
    </row>
    <row r="206">
      <c r="K206" s="11"/>
    </row>
    <row r="207">
      <c r="K207" s="11"/>
    </row>
    <row r="208">
      <c r="K208" s="11"/>
    </row>
    <row r="209">
      <c r="K209" s="11"/>
    </row>
    <row r="210">
      <c r="K210" s="11"/>
    </row>
    <row r="211">
      <c r="K211" s="11"/>
    </row>
    <row r="212">
      <c r="K212" s="11"/>
    </row>
    <row r="213">
      <c r="K213" s="11"/>
    </row>
    <row r="214">
      <c r="K214" s="11"/>
    </row>
    <row r="215">
      <c r="K215" s="11"/>
    </row>
    <row r="216">
      <c r="K216" s="11"/>
    </row>
    <row r="217">
      <c r="K217" s="11"/>
    </row>
    <row r="218">
      <c r="K218" s="11"/>
    </row>
    <row r="219">
      <c r="K219" s="11"/>
    </row>
    <row r="220">
      <c r="K220" s="11"/>
    </row>
    <row r="221">
      <c r="K221" s="11"/>
    </row>
    <row r="222">
      <c r="K222" s="11"/>
    </row>
    <row r="223">
      <c r="K223" s="11"/>
    </row>
    <row r="224">
      <c r="K224" s="11"/>
    </row>
    <row r="225">
      <c r="K225" s="11"/>
    </row>
    <row r="226">
      <c r="K226" s="11"/>
    </row>
    <row r="227">
      <c r="K227" s="11"/>
    </row>
    <row r="228">
      <c r="K228" s="11"/>
    </row>
    <row r="229">
      <c r="K229" s="11"/>
    </row>
    <row r="230">
      <c r="K230" s="11"/>
    </row>
    <row r="231">
      <c r="K231" s="11"/>
    </row>
    <row r="232">
      <c r="K232" s="11"/>
    </row>
    <row r="233">
      <c r="K233" s="11"/>
    </row>
    <row r="234">
      <c r="K234" s="11"/>
    </row>
    <row r="235">
      <c r="K235" s="11"/>
    </row>
    <row r="236">
      <c r="K236" s="11"/>
    </row>
    <row r="237">
      <c r="K237" s="11"/>
    </row>
    <row r="238">
      <c r="K238" s="11"/>
    </row>
    <row r="239">
      <c r="K239" s="11"/>
    </row>
    <row r="240">
      <c r="K240" s="11"/>
    </row>
    <row r="241">
      <c r="K241" s="11"/>
    </row>
    <row r="242">
      <c r="K242" s="11"/>
    </row>
    <row r="243">
      <c r="K243" s="11"/>
    </row>
    <row r="244">
      <c r="K244" s="11"/>
    </row>
    <row r="245">
      <c r="K245" s="11"/>
    </row>
    <row r="246">
      <c r="K246" s="11"/>
    </row>
    <row r="247">
      <c r="K247" s="11"/>
    </row>
    <row r="248">
      <c r="K248" s="11"/>
    </row>
    <row r="249">
      <c r="K249" s="11"/>
    </row>
    <row r="250">
      <c r="K250" s="11"/>
    </row>
    <row r="251">
      <c r="K251" s="11"/>
    </row>
    <row r="252">
      <c r="K252" s="11"/>
    </row>
    <row r="253">
      <c r="K253" s="11"/>
    </row>
    <row r="254">
      <c r="K254" s="11"/>
    </row>
    <row r="255">
      <c r="K255" s="11"/>
    </row>
    <row r="256">
      <c r="K256" s="11"/>
    </row>
    <row r="257">
      <c r="K257" s="11"/>
    </row>
    <row r="258">
      <c r="K258" s="11"/>
    </row>
    <row r="259">
      <c r="K259" s="11"/>
    </row>
    <row r="260">
      <c r="K260" s="11"/>
    </row>
    <row r="261">
      <c r="K261" s="11"/>
    </row>
    <row r="262">
      <c r="K262" s="11"/>
    </row>
    <row r="263">
      <c r="K263" s="11"/>
    </row>
    <row r="264">
      <c r="K264" s="11"/>
    </row>
    <row r="265">
      <c r="K265" s="11"/>
    </row>
    <row r="266">
      <c r="K266" s="11"/>
    </row>
    <row r="267">
      <c r="K267" s="11"/>
    </row>
    <row r="268">
      <c r="K268" s="11"/>
    </row>
    <row r="269">
      <c r="K269" s="11"/>
    </row>
    <row r="270">
      <c r="K270" s="11"/>
    </row>
    <row r="271">
      <c r="K271" s="11"/>
    </row>
    <row r="272">
      <c r="K272" s="11"/>
    </row>
    <row r="273">
      <c r="K273" s="11"/>
    </row>
    <row r="274">
      <c r="K274" s="11"/>
    </row>
    <row r="275">
      <c r="K275" s="11"/>
    </row>
    <row r="276">
      <c r="K276" s="11"/>
    </row>
    <row r="277">
      <c r="K277" s="11"/>
    </row>
    <row r="278">
      <c r="K278" s="11"/>
    </row>
    <row r="279">
      <c r="K279" s="11"/>
    </row>
    <row r="280">
      <c r="K280" s="11"/>
    </row>
    <row r="281">
      <c r="K281" s="11"/>
    </row>
    <row r="282">
      <c r="K282" s="11"/>
    </row>
    <row r="283">
      <c r="K283" s="11"/>
    </row>
    <row r="284">
      <c r="K284" s="11"/>
    </row>
    <row r="285">
      <c r="K285" s="11"/>
    </row>
    <row r="286">
      <c r="K286" s="11"/>
    </row>
    <row r="287">
      <c r="K287" s="11"/>
    </row>
    <row r="288">
      <c r="K288" s="11"/>
    </row>
    <row r="289">
      <c r="K289" s="11"/>
    </row>
    <row r="290">
      <c r="K290" s="11"/>
    </row>
    <row r="291">
      <c r="K291" s="11"/>
    </row>
    <row r="292">
      <c r="K292" s="11"/>
    </row>
    <row r="293">
      <c r="K293" s="11"/>
    </row>
    <row r="294">
      <c r="K294" s="11"/>
    </row>
    <row r="295">
      <c r="K295" s="11"/>
    </row>
    <row r="296">
      <c r="K296" s="11"/>
    </row>
    <row r="297">
      <c r="K297" s="11"/>
    </row>
    <row r="298">
      <c r="K298" s="11"/>
    </row>
    <row r="299">
      <c r="K299" s="11"/>
    </row>
    <row r="300">
      <c r="K300" s="11"/>
    </row>
    <row r="301">
      <c r="K301" s="11"/>
    </row>
    <row r="302">
      <c r="K302" s="11"/>
    </row>
    <row r="303">
      <c r="K303" s="11"/>
    </row>
    <row r="304">
      <c r="K304" s="11"/>
    </row>
    <row r="305">
      <c r="K305" s="11"/>
    </row>
    <row r="306">
      <c r="K306" s="11"/>
    </row>
    <row r="307">
      <c r="K307" s="11"/>
    </row>
    <row r="308">
      <c r="K308" s="11"/>
    </row>
    <row r="309">
      <c r="K309" s="11"/>
    </row>
    <row r="310">
      <c r="K310" s="11"/>
    </row>
    <row r="311">
      <c r="K311" s="11"/>
    </row>
    <row r="312">
      <c r="K312" s="11"/>
    </row>
    <row r="313">
      <c r="K313" s="11"/>
    </row>
    <row r="314">
      <c r="K314" s="11"/>
    </row>
    <row r="315">
      <c r="K315" s="11"/>
    </row>
    <row r="316">
      <c r="K316" s="11"/>
    </row>
    <row r="317">
      <c r="K317" s="11"/>
    </row>
    <row r="318">
      <c r="K318" s="11"/>
    </row>
    <row r="319">
      <c r="K319" s="11"/>
    </row>
    <row r="320">
      <c r="K320" s="11"/>
    </row>
    <row r="321">
      <c r="K321" s="11"/>
    </row>
    <row r="322">
      <c r="K322" s="11"/>
    </row>
    <row r="323">
      <c r="K323" s="11"/>
    </row>
    <row r="324">
      <c r="K324" s="11"/>
    </row>
    <row r="325">
      <c r="K325" s="11"/>
    </row>
    <row r="326">
      <c r="K326" s="11"/>
    </row>
    <row r="327">
      <c r="K327" s="11"/>
    </row>
    <row r="328">
      <c r="K328" s="11"/>
    </row>
    <row r="329">
      <c r="K329" s="11"/>
    </row>
    <row r="330">
      <c r="K330" s="11"/>
    </row>
    <row r="331">
      <c r="K331" s="11"/>
    </row>
    <row r="332">
      <c r="K332" s="11"/>
    </row>
    <row r="333">
      <c r="K333" s="11"/>
    </row>
    <row r="334">
      <c r="K334" s="11"/>
    </row>
    <row r="335">
      <c r="K335" s="11"/>
    </row>
    <row r="336">
      <c r="K336" s="11"/>
    </row>
    <row r="337">
      <c r="K337" s="11"/>
    </row>
    <row r="338">
      <c r="K338" s="11"/>
    </row>
    <row r="339">
      <c r="K339" s="11"/>
    </row>
    <row r="340">
      <c r="K340" s="11"/>
    </row>
    <row r="341">
      <c r="K341" s="11"/>
    </row>
    <row r="342">
      <c r="K342" s="11"/>
    </row>
    <row r="343">
      <c r="K343" s="11"/>
    </row>
    <row r="344">
      <c r="K344" s="11"/>
    </row>
    <row r="345">
      <c r="K345" s="11"/>
    </row>
    <row r="346">
      <c r="K346" s="11"/>
    </row>
    <row r="347">
      <c r="K347" s="11"/>
    </row>
    <row r="348">
      <c r="K348" s="11"/>
    </row>
    <row r="349">
      <c r="K349" s="11"/>
    </row>
    <row r="350">
      <c r="K350" s="11"/>
    </row>
    <row r="351">
      <c r="K351" s="11"/>
    </row>
    <row r="352">
      <c r="K352" s="11"/>
    </row>
    <row r="353">
      <c r="K353" s="11"/>
    </row>
    <row r="354">
      <c r="K354" s="11"/>
    </row>
    <row r="355">
      <c r="K355" s="11"/>
    </row>
    <row r="356">
      <c r="K356" s="11"/>
    </row>
    <row r="357">
      <c r="K357" s="11"/>
    </row>
    <row r="358">
      <c r="K358" s="11"/>
    </row>
    <row r="359">
      <c r="K359" s="11"/>
    </row>
    <row r="360">
      <c r="K360" s="11"/>
    </row>
    <row r="361">
      <c r="K361" s="11"/>
    </row>
    <row r="362">
      <c r="K362" s="11"/>
    </row>
    <row r="363">
      <c r="K363" s="11"/>
    </row>
    <row r="364">
      <c r="K364" s="11"/>
    </row>
    <row r="365">
      <c r="K365" s="11"/>
    </row>
    <row r="366">
      <c r="K366" s="11"/>
    </row>
    <row r="367">
      <c r="K367" s="11"/>
    </row>
    <row r="368">
      <c r="K368" s="11"/>
    </row>
    <row r="369">
      <c r="K369" s="11"/>
    </row>
    <row r="370">
      <c r="K370" s="11"/>
    </row>
    <row r="371">
      <c r="K371" s="11"/>
    </row>
    <row r="372">
      <c r="K372" s="11"/>
    </row>
    <row r="373">
      <c r="K373" s="11"/>
    </row>
    <row r="374">
      <c r="K374" s="11"/>
    </row>
    <row r="375">
      <c r="K375" s="11"/>
    </row>
    <row r="376">
      <c r="K376" s="11"/>
    </row>
    <row r="377">
      <c r="K377" s="11"/>
    </row>
    <row r="378">
      <c r="K378" s="11"/>
    </row>
    <row r="379">
      <c r="K379" s="11"/>
    </row>
    <row r="380">
      <c r="K380" s="11"/>
    </row>
    <row r="381">
      <c r="K381" s="11"/>
    </row>
    <row r="382">
      <c r="K382" s="11"/>
    </row>
    <row r="383">
      <c r="K383" s="11"/>
    </row>
    <row r="384">
      <c r="K384" s="11"/>
    </row>
    <row r="385">
      <c r="K385" s="11"/>
    </row>
    <row r="386">
      <c r="K386" s="11"/>
    </row>
    <row r="387">
      <c r="K387" s="11"/>
    </row>
    <row r="388">
      <c r="K388" s="11"/>
    </row>
    <row r="389">
      <c r="K389" s="11"/>
    </row>
    <row r="390">
      <c r="K390" s="11"/>
    </row>
    <row r="391">
      <c r="K391" s="11"/>
    </row>
    <row r="392">
      <c r="K392" s="11"/>
    </row>
    <row r="393">
      <c r="K393" s="11"/>
    </row>
    <row r="394">
      <c r="K394" s="11"/>
    </row>
    <row r="395">
      <c r="K395" s="11"/>
    </row>
    <row r="396">
      <c r="K396" s="11"/>
    </row>
    <row r="397">
      <c r="K397" s="11"/>
    </row>
    <row r="398">
      <c r="K398" s="11"/>
    </row>
    <row r="399">
      <c r="K399" s="11"/>
    </row>
    <row r="400">
      <c r="K400" s="11"/>
    </row>
    <row r="401">
      <c r="K401" s="11"/>
    </row>
    <row r="402">
      <c r="K402" s="11"/>
    </row>
    <row r="403">
      <c r="K403" s="11"/>
    </row>
    <row r="404">
      <c r="K404" s="11"/>
    </row>
    <row r="405">
      <c r="K405" s="11"/>
    </row>
    <row r="406">
      <c r="K406" s="11"/>
    </row>
    <row r="407">
      <c r="K407" s="11"/>
    </row>
    <row r="408">
      <c r="K408" s="11"/>
    </row>
    <row r="409">
      <c r="K409" s="11"/>
    </row>
    <row r="410">
      <c r="K410" s="11"/>
    </row>
    <row r="411">
      <c r="K411" s="11"/>
    </row>
    <row r="412">
      <c r="K412" s="11"/>
    </row>
    <row r="413">
      <c r="K413" s="11"/>
    </row>
    <row r="414">
      <c r="K414" s="11"/>
    </row>
    <row r="415">
      <c r="K415" s="11"/>
    </row>
    <row r="416">
      <c r="K416" s="11"/>
    </row>
    <row r="417">
      <c r="K417" s="11"/>
    </row>
    <row r="418">
      <c r="K418" s="11"/>
    </row>
    <row r="419">
      <c r="K419" s="11"/>
    </row>
    <row r="420">
      <c r="K420" s="11"/>
    </row>
    <row r="421">
      <c r="K421" s="11"/>
    </row>
    <row r="422">
      <c r="K422" s="11"/>
    </row>
    <row r="423">
      <c r="K423" s="11"/>
    </row>
    <row r="424">
      <c r="K424" s="11"/>
    </row>
    <row r="425">
      <c r="K425" s="11"/>
    </row>
    <row r="426">
      <c r="K426" s="11"/>
    </row>
    <row r="427">
      <c r="K427" s="11"/>
    </row>
    <row r="428">
      <c r="K428" s="11"/>
    </row>
    <row r="429">
      <c r="K429" s="11"/>
    </row>
    <row r="430">
      <c r="K430" s="11"/>
    </row>
    <row r="431">
      <c r="K431" s="11"/>
    </row>
    <row r="432">
      <c r="K432" s="11"/>
    </row>
    <row r="433">
      <c r="K433" s="11"/>
    </row>
    <row r="434">
      <c r="K434" s="11"/>
    </row>
    <row r="435">
      <c r="K435" s="11"/>
    </row>
    <row r="436">
      <c r="K436" s="11"/>
    </row>
    <row r="437">
      <c r="K437" s="11"/>
    </row>
    <row r="438">
      <c r="K438" s="11"/>
    </row>
    <row r="439">
      <c r="K439" s="11"/>
    </row>
    <row r="440">
      <c r="K440" s="11"/>
    </row>
    <row r="441">
      <c r="K441" s="11"/>
    </row>
    <row r="442">
      <c r="K442" s="11"/>
    </row>
    <row r="443">
      <c r="K443" s="11"/>
    </row>
    <row r="444">
      <c r="K444" s="11"/>
    </row>
    <row r="445">
      <c r="K445" s="11"/>
    </row>
    <row r="446">
      <c r="K446" s="11"/>
    </row>
    <row r="447">
      <c r="K447" s="11"/>
    </row>
    <row r="448">
      <c r="K448" s="11"/>
    </row>
    <row r="449">
      <c r="K449" s="11"/>
    </row>
    <row r="450">
      <c r="K450" s="11"/>
    </row>
    <row r="451">
      <c r="K451" s="11"/>
    </row>
    <row r="452">
      <c r="K452" s="11"/>
    </row>
    <row r="453">
      <c r="K453" s="11"/>
    </row>
    <row r="454">
      <c r="K454" s="11"/>
    </row>
    <row r="455">
      <c r="K455" s="11"/>
    </row>
    <row r="456">
      <c r="K456" s="11"/>
    </row>
    <row r="457">
      <c r="K457" s="11"/>
    </row>
    <row r="458">
      <c r="K458" s="11"/>
    </row>
    <row r="459">
      <c r="K459" s="11"/>
    </row>
    <row r="460">
      <c r="K460" s="11"/>
    </row>
    <row r="461">
      <c r="K461" s="11"/>
    </row>
    <row r="462">
      <c r="K462" s="11"/>
    </row>
    <row r="463">
      <c r="K463" s="11"/>
    </row>
    <row r="464">
      <c r="K464" s="11"/>
    </row>
    <row r="465">
      <c r="K465" s="11"/>
    </row>
    <row r="466">
      <c r="K466" s="11"/>
    </row>
    <row r="467">
      <c r="K467" s="11"/>
    </row>
    <row r="468">
      <c r="K468" s="11"/>
    </row>
    <row r="469">
      <c r="K469" s="11"/>
    </row>
    <row r="470">
      <c r="K470" s="11"/>
    </row>
    <row r="471">
      <c r="K471" s="11"/>
    </row>
    <row r="472">
      <c r="K472" s="11"/>
    </row>
    <row r="473">
      <c r="K473" s="11"/>
    </row>
    <row r="474">
      <c r="K474" s="11"/>
    </row>
    <row r="475">
      <c r="K475" s="11"/>
    </row>
    <row r="476">
      <c r="K476" s="11"/>
    </row>
    <row r="477">
      <c r="K477" s="11"/>
    </row>
    <row r="478">
      <c r="K478" s="11"/>
    </row>
    <row r="479">
      <c r="K479" s="11"/>
    </row>
    <row r="480">
      <c r="K480" s="11"/>
    </row>
    <row r="481">
      <c r="K481" s="11"/>
    </row>
    <row r="482">
      <c r="K482" s="11"/>
    </row>
    <row r="483">
      <c r="K483" s="11"/>
    </row>
    <row r="484">
      <c r="K484" s="11"/>
    </row>
    <row r="485">
      <c r="K485" s="11"/>
    </row>
    <row r="486">
      <c r="K486" s="11"/>
    </row>
    <row r="487">
      <c r="K487" s="11"/>
    </row>
    <row r="488">
      <c r="K488" s="11"/>
    </row>
    <row r="489">
      <c r="K489" s="11"/>
    </row>
    <row r="490">
      <c r="K490" s="11"/>
    </row>
    <row r="491">
      <c r="K491" s="11"/>
    </row>
    <row r="492">
      <c r="K492" s="11"/>
    </row>
    <row r="493">
      <c r="K493" s="11"/>
    </row>
    <row r="494">
      <c r="K494" s="11"/>
    </row>
    <row r="495">
      <c r="K495" s="11"/>
    </row>
    <row r="496">
      <c r="K496" s="11"/>
    </row>
    <row r="497">
      <c r="K497" s="11"/>
    </row>
    <row r="498">
      <c r="K498" s="11"/>
    </row>
    <row r="499">
      <c r="K499" s="11"/>
    </row>
    <row r="500">
      <c r="K500" s="11"/>
    </row>
    <row r="501">
      <c r="K501" s="11"/>
    </row>
    <row r="502">
      <c r="K502" s="11"/>
    </row>
    <row r="503">
      <c r="K503" s="11"/>
    </row>
    <row r="504">
      <c r="K504" s="11"/>
    </row>
    <row r="505">
      <c r="K505" s="11"/>
    </row>
    <row r="506">
      <c r="K506" s="11"/>
    </row>
    <row r="507">
      <c r="K507" s="11"/>
    </row>
    <row r="508">
      <c r="K508" s="11"/>
    </row>
    <row r="509">
      <c r="K509" s="11"/>
    </row>
    <row r="510">
      <c r="K510" s="11"/>
    </row>
    <row r="511">
      <c r="K511" s="11"/>
    </row>
    <row r="512">
      <c r="K512" s="11"/>
    </row>
    <row r="513">
      <c r="K513" s="11"/>
    </row>
    <row r="514">
      <c r="K514" s="11"/>
    </row>
    <row r="515">
      <c r="K515" s="11"/>
    </row>
    <row r="516">
      <c r="K516" s="11"/>
    </row>
    <row r="517">
      <c r="K517" s="11"/>
    </row>
    <row r="518">
      <c r="K518" s="11"/>
    </row>
    <row r="519">
      <c r="K519" s="11"/>
    </row>
    <row r="520">
      <c r="K520" s="11"/>
    </row>
    <row r="521">
      <c r="K521" s="11"/>
    </row>
    <row r="522">
      <c r="K522" s="11"/>
    </row>
    <row r="523">
      <c r="K523" s="11"/>
    </row>
    <row r="524">
      <c r="K524" s="11"/>
    </row>
    <row r="525">
      <c r="K525" s="11"/>
    </row>
    <row r="526">
      <c r="K526" s="11"/>
    </row>
    <row r="527">
      <c r="K527" s="11"/>
    </row>
    <row r="528">
      <c r="K528" s="11"/>
    </row>
    <row r="529">
      <c r="K529" s="11"/>
    </row>
    <row r="530">
      <c r="K530" s="11"/>
    </row>
    <row r="531">
      <c r="K531" s="11"/>
    </row>
    <row r="532">
      <c r="K532" s="11"/>
    </row>
    <row r="533">
      <c r="K533" s="11"/>
    </row>
    <row r="534">
      <c r="K534" s="11"/>
    </row>
    <row r="535">
      <c r="K535" s="11"/>
    </row>
    <row r="536">
      <c r="K536" s="11"/>
    </row>
    <row r="537">
      <c r="K537" s="11"/>
    </row>
    <row r="538">
      <c r="K538" s="11"/>
    </row>
    <row r="539">
      <c r="K539" s="11"/>
    </row>
    <row r="540">
      <c r="K540" s="11"/>
    </row>
    <row r="541">
      <c r="K541" s="11"/>
    </row>
    <row r="542">
      <c r="K542" s="11"/>
    </row>
    <row r="543">
      <c r="K543" s="11"/>
    </row>
    <row r="544">
      <c r="K544" s="11"/>
    </row>
    <row r="545">
      <c r="K545" s="11"/>
    </row>
    <row r="546">
      <c r="K546" s="11"/>
    </row>
    <row r="547">
      <c r="K547" s="11"/>
    </row>
    <row r="548">
      <c r="K548" s="11"/>
    </row>
    <row r="549">
      <c r="K549" s="11"/>
    </row>
    <row r="550">
      <c r="K550" s="11"/>
    </row>
    <row r="551">
      <c r="K551" s="11"/>
    </row>
    <row r="552">
      <c r="K552" s="11"/>
    </row>
    <row r="553">
      <c r="K553" s="11"/>
    </row>
    <row r="554">
      <c r="K554" s="11"/>
    </row>
    <row r="555">
      <c r="K555" s="11"/>
    </row>
    <row r="556">
      <c r="K556" s="11"/>
    </row>
    <row r="557">
      <c r="K557" s="11"/>
    </row>
    <row r="558">
      <c r="K558" s="11"/>
    </row>
    <row r="559">
      <c r="K559" s="11"/>
    </row>
    <row r="560">
      <c r="K560" s="11"/>
    </row>
    <row r="561">
      <c r="K561" s="11"/>
    </row>
    <row r="562">
      <c r="K562" s="11"/>
    </row>
    <row r="563">
      <c r="K563" s="11"/>
    </row>
    <row r="564">
      <c r="K564" s="11"/>
    </row>
    <row r="565">
      <c r="K565" s="11"/>
    </row>
    <row r="566">
      <c r="K566" s="11"/>
    </row>
    <row r="567">
      <c r="K567" s="11"/>
    </row>
    <row r="568">
      <c r="K568" s="11"/>
    </row>
    <row r="569">
      <c r="K569" s="11"/>
    </row>
    <row r="570">
      <c r="K570" s="11"/>
    </row>
    <row r="571">
      <c r="K571" s="11"/>
    </row>
    <row r="572">
      <c r="K572" s="11"/>
    </row>
    <row r="573">
      <c r="K573" s="11"/>
    </row>
    <row r="574">
      <c r="K574" s="11"/>
    </row>
    <row r="575">
      <c r="K575" s="11"/>
    </row>
    <row r="576">
      <c r="K576" s="11"/>
    </row>
    <row r="577">
      <c r="K577" s="11"/>
    </row>
    <row r="578">
      <c r="K578" s="11"/>
    </row>
    <row r="579">
      <c r="K579" s="11"/>
    </row>
    <row r="580">
      <c r="K580" s="11"/>
    </row>
    <row r="581">
      <c r="K581" s="11"/>
    </row>
    <row r="582">
      <c r="K582" s="11"/>
    </row>
    <row r="583">
      <c r="K583" s="11"/>
    </row>
    <row r="584">
      <c r="K584" s="11"/>
    </row>
    <row r="585">
      <c r="K585" s="11"/>
    </row>
    <row r="586">
      <c r="K586" s="11"/>
    </row>
    <row r="587">
      <c r="K587" s="11"/>
    </row>
    <row r="588">
      <c r="K588" s="11"/>
    </row>
    <row r="589">
      <c r="K589" s="11"/>
    </row>
    <row r="590">
      <c r="K590" s="11"/>
    </row>
    <row r="591">
      <c r="K591" s="11"/>
    </row>
    <row r="592">
      <c r="K592" s="11"/>
    </row>
    <row r="593">
      <c r="K593" s="11"/>
    </row>
    <row r="594">
      <c r="K594" s="11"/>
    </row>
    <row r="595">
      <c r="K595" s="11"/>
    </row>
    <row r="596">
      <c r="K596" s="11"/>
    </row>
    <row r="597">
      <c r="K597" s="11"/>
    </row>
    <row r="598">
      <c r="K598" s="11"/>
    </row>
    <row r="599">
      <c r="K599" s="11"/>
    </row>
    <row r="600">
      <c r="K600" s="11"/>
    </row>
    <row r="601">
      <c r="K601" s="11"/>
    </row>
    <row r="602">
      <c r="K602" s="11"/>
    </row>
    <row r="603">
      <c r="K603" s="11"/>
    </row>
    <row r="604">
      <c r="K604" s="11"/>
    </row>
    <row r="605">
      <c r="K605" s="11"/>
    </row>
    <row r="606">
      <c r="K606" s="11"/>
    </row>
    <row r="607">
      <c r="K607" s="11"/>
    </row>
    <row r="608">
      <c r="K608" s="11"/>
    </row>
    <row r="609">
      <c r="K609" s="11"/>
    </row>
    <row r="610">
      <c r="K610" s="11"/>
    </row>
    <row r="611">
      <c r="K611" s="11"/>
    </row>
    <row r="612">
      <c r="K612" s="11"/>
    </row>
    <row r="613">
      <c r="K613" s="11"/>
    </row>
    <row r="614">
      <c r="K614" s="11"/>
    </row>
    <row r="615">
      <c r="K615" s="11"/>
    </row>
    <row r="616">
      <c r="K616" s="11"/>
    </row>
    <row r="617">
      <c r="K617" s="11"/>
    </row>
    <row r="618">
      <c r="K618" s="11"/>
    </row>
    <row r="619">
      <c r="K619" s="11"/>
    </row>
    <row r="620">
      <c r="K620" s="11"/>
    </row>
    <row r="621">
      <c r="K621" s="11"/>
    </row>
    <row r="622">
      <c r="K622" s="11"/>
    </row>
    <row r="623">
      <c r="K623" s="11"/>
    </row>
    <row r="624">
      <c r="K624" s="11"/>
    </row>
    <row r="625">
      <c r="K625" s="11"/>
    </row>
    <row r="626">
      <c r="K626" s="11"/>
    </row>
    <row r="627">
      <c r="K627" s="11"/>
    </row>
    <row r="628">
      <c r="K628" s="11"/>
    </row>
    <row r="629">
      <c r="K629" s="11"/>
    </row>
    <row r="630">
      <c r="K630" s="11"/>
    </row>
    <row r="631">
      <c r="K631" s="11"/>
    </row>
    <row r="632">
      <c r="K632" s="11"/>
    </row>
    <row r="633">
      <c r="K633" s="11"/>
    </row>
    <row r="634">
      <c r="K634" s="11"/>
    </row>
    <row r="635">
      <c r="K635" s="11"/>
    </row>
    <row r="636">
      <c r="K636" s="11"/>
    </row>
    <row r="637">
      <c r="K637" s="11"/>
    </row>
    <row r="638">
      <c r="K638" s="11"/>
    </row>
    <row r="639">
      <c r="K639" s="11"/>
    </row>
    <row r="640">
      <c r="K640" s="11"/>
    </row>
    <row r="641">
      <c r="K641" s="11"/>
    </row>
    <row r="642">
      <c r="K642" s="11"/>
    </row>
    <row r="643">
      <c r="K643" s="11"/>
    </row>
    <row r="644">
      <c r="K644" s="11"/>
    </row>
    <row r="645">
      <c r="K645" s="11"/>
    </row>
    <row r="646">
      <c r="K646" s="11"/>
    </row>
    <row r="647">
      <c r="K647" s="11"/>
    </row>
    <row r="648">
      <c r="K648" s="11"/>
    </row>
    <row r="649">
      <c r="K649" s="11"/>
    </row>
    <row r="650">
      <c r="K650" s="11"/>
    </row>
    <row r="651">
      <c r="K651" s="11"/>
    </row>
    <row r="652">
      <c r="K652" s="11"/>
    </row>
    <row r="653">
      <c r="K653" s="11"/>
    </row>
    <row r="654">
      <c r="K654" s="11"/>
    </row>
    <row r="655">
      <c r="K655" s="11"/>
    </row>
    <row r="656">
      <c r="K656" s="11"/>
    </row>
    <row r="657">
      <c r="K657" s="11"/>
    </row>
    <row r="658">
      <c r="K658" s="11"/>
    </row>
    <row r="659">
      <c r="K659" s="11"/>
    </row>
    <row r="660">
      <c r="K660" s="11"/>
    </row>
    <row r="661">
      <c r="K661" s="11"/>
    </row>
    <row r="662">
      <c r="K662" s="11"/>
    </row>
    <row r="663">
      <c r="K663" s="11"/>
    </row>
    <row r="664">
      <c r="K664" s="11"/>
    </row>
    <row r="665">
      <c r="K665" s="11"/>
    </row>
    <row r="666">
      <c r="K666" s="11"/>
    </row>
    <row r="667">
      <c r="K667" s="11"/>
    </row>
    <row r="668">
      <c r="K668" s="11"/>
    </row>
    <row r="669">
      <c r="K669" s="11"/>
    </row>
    <row r="670">
      <c r="K670" s="11"/>
    </row>
    <row r="671">
      <c r="K671" s="11"/>
    </row>
    <row r="672">
      <c r="K672" s="11"/>
    </row>
    <row r="673">
      <c r="K673" s="11"/>
    </row>
    <row r="674">
      <c r="K674" s="11"/>
    </row>
    <row r="675">
      <c r="K675" s="11"/>
    </row>
    <row r="676">
      <c r="K676" s="11"/>
    </row>
    <row r="677">
      <c r="K677" s="11"/>
    </row>
    <row r="678">
      <c r="K678" s="11"/>
    </row>
    <row r="679">
      <c r="K679" s="11"/>
    </row>
    <row r="680">
      <c r="K680" s="11"/>
    </row>
    <row r="681">
      <c r="K681" s="11"/>
    </row>
    <row r="682">
      <c r="K682" s="11"/>
    </row>
    <row r="683">
      <c r="K683" s="11"/>
    </row>
    <row r="684">
      <c r="K684" s="11"/>
    </row>
    <row r="685">
      <c r="K685" s="11"/>
    </row>
    <row r="686">
      <c r="K686" s="11"/>
    </row>
    <row r="687">
      <c r="K687" s="11"/>
    </row>
    <row r="688">
      <c r="K688" s="11"/>
    </row>
    <row r="689">
      <c r="K689" s="11"/>
    </row>
    <row r="690">
      <c r="K690" s="11"/>
    </row>
    <row r="691">
      <c r="K691" s="11"/>
    </row>
    <row r="692">
      <c r="K692" s="11"/>
    </row>
    <row r="693">
      <c r="K693" s="11"/>
    </row>
    <row r="694">
      <c r="K694" s="11"/>
    </row>
    <row r="695">
      <c r="K695" s="11"/>
    </row>
    <row r="696">
      <c r="K696" s="11"/>
    </row>
    <row r="697">
      <c r="K697" s="11"/>
    </row>
    <row r="698">
      <c r="K698" s="11"/>
    </row>
    <row r="699">
      <c r="K699" s="11"/>
    </row>
    <row r="700">
      <c r="K700" s="11"/>
    </row>
    <row r="701">
      <c r="K701" s="11"/>
    </row>
    <row r="702">
      <c r="K702" s="11"/>
    </row>
    <row r="703">
      <c r="K703" s="11"/>
    </row>
    <row r="704">
      <c r="K704" s="11"/>
    </row>
    <row r="705">
      <c r="K705" s="11"/>
    </row>
    <row r="706">
      <c r="K706" s="11"/>
    </row>
    <row r="707">
      <c r="K707" s="11"/>
    </row>
    <row r="708">
      <c r="K708" s="11"/>
    </row>
    <row r="709">
      <c r="K709" s="11"/>
    </row>
    <row r="710">
      <c r="K710" s="11"/>
    </row>
    <row r="711">
      <c r="K711" s="11"/>
    </row>
    <row r="712">
      <c r="K712" s="11"/>
    </row>
    <row r="713">
      <c r="K713" s="11"/>
    </row>
    <row r="714">
      <c r="K714" s="11"/>
    </row>
    <row r="715">
      <c r="K715" s="11"/>
    </row>
    <row r="716">
      <c r="K716" s="11"/>
    </row>
    <row r="717">
      <c r="K717" s="11"/>
    </row>
    <row r="718">
      <c r="K718" s="11"/>
    </row>
    <row r="719">
      <c r="K719" s="11"/>
    </row>
    <row r="720">
      <c r="K720" s="11"/>
    </row>
    <row r="721">
      <c r="K721" s="11"/>
    </row>
    <row r="722">
      <c r="K722" s="11"/>
    </row>
    <row r="723">
      <c r="K723" s="11"/>
    </row>
    <row r="724">
      <c r="K724" s="11"/>
    </row>
    <row r="725">
      <c r="K725" s="11"/>
    </row>
    <row r="726">
      <c r="K726" s="11"/>
    </row>
    <row r="727">
      <c r="K727" s="11"/>
    </row>
    <row r="728">
      <c r="K728" s="11"/>
    </row>
    <row r="729">
      <c r="K729" s="11"/>
    </row>
    <row r="730">
      <c r="K730" s="11"/>
    </row>
    <row r="731">
      <c r="K731" s="11"/>
    </row>
    <row r="732">
      <c r="K732" s="11"/>
    </row>
    <row r="733">
      <c r="K733" s="11"/>
    </row>
    <row r="734">
      <c r="K734" s="11"/>
    </row>
    <row r="735">
      <c r="K735" s="11"/>
    </row>
    <row r="736">
      <c r="K736" s="11"/>
    </row>
    <row r="737">
      <c r="K737" s="11"/>
    </row>
    <row r="738">
      <c r="K738" s="11"/>
    </row>
    <row r="739">
      <c r="K739" s="11"/>
    </row>
    <row r="740">
      <c r="K740" s="11"/>
    </row>
    <row r="741">
      <c r="K741" s="11"/>
    </row>
    <row r="742">
      <c r="K742" s="11"/>
    </row>
    <row r="743">
      <c r="K743" s="11"/>
    </row>
    <row r="744">
      <c r="K744" s="11"/>
    </row>
    <row r="745">
      <c r="K745" s="11"/>
    </row>
    <row r="746">
      <c r="K746" s="11"/>
    </row>
    <row r="747">
      <c r="K747" s="11"/>
    </row>
    <row r="748">
      <c r="K748" s="11"/>
    </row>
    <row r="749">
      <c r="K749" s="11"/>
    </row>
    <row r="750">
      <c r="K750" s="11"/>
    </row>
    <row r="751">
      <c r="K751" s="11"/>
    </row>
    <row r="752">
      <c r="K752" s="11"/>
    </row>
    <row r="753">
      <c r="K753" s="11"/>
    </row>
    <row r="754">
      <c r="K754" s="11"/>
    </row>
    <row r="755">
      <c r="K755" s="11"/>
    </row>
    <row r="756">
      <c r="K756" s="11"/>
    </row>
    <row r="757">
      <c r="K757" s="11"/>
    </row>
    <row r="758">
      <c r="K758" s="11"/>
    </row>
    <row r="759">
      <c r="K759" s="11"/>
    </row>
    <row r="760">
      <c r="K760" s="11"/>
    </row>
    <row r="761">
      <c r="K761" s="11"/>
    </row>
    <row r="762">
      <c r="K762" s="11"/>
    </row>
    <row r="763">
      <c r="K763" s="11"/>
    </row>
    <row r="764">
      <c r="K764" s="11"/>
    </row>
    <row r="765">
      <c r="K765" s="11"/>
    </row>
    <row r="766">
      <c r="K766" s="11"/>
    </row>
    <row r="767">
      <c r="K767" s="11"/>
    </row>
    <row r="768">
      <c r="K768" s="11"/>
    </row>
    <row r="769">
      <c r="K769" s="11"/>
    </row>
    <row r="770">
      <c r="K770" s="11"/>
    </row>
    <row r="771">
      <c r="K771" s="11"/>
    </row>
    <row r="772">
      <c r="K772" s="11"/>
    </row>
    <row r="773">
      <c r="K773" s="11"/>
    </row>
    <row r="774">
      <c r="K774" s="11"/>
    </row>
    <row r="775">
      <c r="K775" s="11"/>
    </row>
    <row r="776">
      <c r="K776" s="11"/>
    </row>
    <row r="777">
      <c r="K777" s="11"/>
    </row>
    <row r="778">
      <c r="K778" s="11"/>
    </row>
    <row r="779">
      <c r="K779" s="11"/>
    </row>
    <row r="780">
      <c r="K780" s="11"/>
    </row>
    <row r="781">
      <c r="K781" s="11"/>
    </row>
    <row r="782">
      <c r="K782" s="11"/>
    </row>
    <row r="783">
      <c r="K783" s="11"/>
    </row>
    <row r="784">
      <c r="K784" s="11"/>
    </row>
    <row r="785">
      <c r="K785" s="11"/>
    </row>
    <row r="786">
      <c r="K786" s="11"/>
    </row>
    <row r="787">
      <c r="K787" s="11"/>
    </row>
    <row r="788">
      <c r="K788" s="11"/>
    </row>
    <row r="789">
      <c r="K789" s="11"/>
    </row>
    <row r="790">
      <c r="K790" s="11"/>
    </row>
    <row r="791">
      <c r="K791" s="11"/>
    </row>
    <row r="792">
      <c r="K792" s="11"/>
    </row>
    <row r="793">
      <c r="K793" s="11"/>
    </row>
    <row r="794">
      <c r="K794" s="11"/>
    </row>
    <row r="795">
      <c r="K795" s="11"/>
    </row>
    <row r="796">
      <c r="K796" s="11"/>
    </row>
    <row r="797">
      <c r="K797" s="11"/>
    </row>
    <row r="798">
      <c r="K798" s="11"/>
    </row>
    <row r="799">
      <c r="K799" s="11"/>
    </row>
    <row r="800">
      <c r="K800" s="11"/>
    </row>
    <row r="801">
      <c r="K801" s="11"/>
    </row>
    <row r="802">
      <c r="K802" s="11"/>
    </row>
    <row r="803">
      <c r="K803" s="11"/>
    </row>
    <row r="804">
      <c r="K804" s="11"/>
    </row>
    <row r="805">
      <c r="K805" s="11"/>
    </row>
    <row r="806">
      <c r="K806" s="11"/>
    </row>
    <row r="807">
      <c r="K807" s="11"/>
    </row>
    <row r="808">
      <c r="K808" s="11"/>
    </row>
    <row r="809">
      <c r="K809" s="11"/>
    </row>
    <row r="810">
      <c r="K810" s="11"/>
    </row>
    <row r="811">
      <c r="K811" s="11"/>
    </row>
    <row r="812">
      <c r="K812" s="11"/>
    </row>
    <row r="813">
      <c r="K813" s="11"/>
    </row>
    <row r="814">
      <c r="K814" s="11"/>
    </row>
    <row r="815">
      <c r="K815" s="11"/>
    </row>
    <row r="816">
      <c r="K816" s="11"/>
    </row>
    <row r="817">
      <c r="K817" s="11"/>
    </row>
    <row r="818">
      <c r="K818" s="11"/>
    </row>
    <row r="819">
      <c r="K819" s="11"/>
    </row>
    <row r="820">
      <c r="K820" s="11"/>
    </row>
    <row r="821">
      <c r="K821" s="11"/>
    </row>
    <row r="822">
      <c r="K822" s="11"/>
    </row>
    <row r="823">
      <c r="K823" s="11"/>
    </row>
    <row r="824">
      <c r="K824" s="11"/>
    </row>
    <row r="825">
      <c r="K825" s="11"/>
    </row>
    <row r="826">
      <c r="K826" s="11"/>
    </row>
    <row r="827">
      <c r="K827" s="11"/>
    </row>
    <row r="828">
      <c r="K828" s="11"/>
    </row>
    <row r="829">
      <c r="K829" s="11"/>
    </row>
    <row r="830">
      <c r="K830" s="11"/>
    </row>
    <row r="831">
      <c r="K831" s="11"/>
    </row>
    <row r="832">
      <c r="K832" s="11"/>
    </row>
    <row r="833">
      <c r="K833" s="11"/>
    </row>
    <row r="834">
      <c r="K834" s="11"/>
    </row>
    <row r="835">
      <c r="K835" s="11"/>
    </row>
    <row r="836">
      <c r="K836" s="11"/>
    </row>
    <row r="837">
      <c r="K837" s="11"/>
    </row>
    <row r="838">
      <c r="K838" s="11"/>
    </row>
    <row r="839">
      <c r="K839" s="11"/>
    </row>
    <row r="840">
      <c r="K840" s="11"/>
    </row>
    <row r="841">
      <c r="K841" s="11"/>
    </row>
    <row r="842">
      <c r="K842" s="11"/>
    </row>
    <row r="843">
      <c r="K843" s="11"/>
    </row>
    <row r="844">
      <c r="K844" s="11"/>
    </row>
    <row r="845">
      <c r="K845" s="11"/>
    </row>
    <row r="846">
      <c r="K846" s="11"/>
    </row>
    <row r="847">
      <c r="K847" s="11"/>
    </row>
    <row r="848">
      <c r="K848" s="11"/>
    </row>
    <row r="849">
      <c r="K849" s="11"/>
    </row>
    <row r="850">
      <c r="K850" s="11"/>
    </row>
    <row r="851">
      <c r="K851" s="11"/>
    </row>
    <row r="852">
      <c r="K852" s="11"/>
    </row>
    <row r="853">
      <c r="K853" s="11"/>
    </row>
    <row r="854">
      <c r="K854" s="11"/>
    </row>
    <row r="855">
      <c r="K855" s="11"/>
    </row>
    <row r="856">
      <c r="K856" s="11"/>
    </row>
    <row r="857">
      <c r="K857" s="11"/>
    </row>
    <row r="858">
      <c r="K858" s="11"/>
    </row>
    <row r="859">
      <c r="K859" s="11"/>
    </row>
    <row r="860">
      <c r="K860" s="11"/>
    </row>
    <row r="861">
      <c r="K861" s="11"/>
    </row>
    <row r="862">
      <c r="K862" s="11"/>
    </row>
    <row r="863">
      <c r="K863" s="11"/>
    </row>
    <row r="864">
      <c r="K864" s="11"/>
    </row>
    <row r="865">
      <c r="K865" s="11"/>
    </row>
    <row r="866">
      <c r="K866" s="11"/>
    </row>
    <row r="867">
      <c r="K867" s="11"/>
    </row>
    <row r="868">
      <c r="K868" s="11"/>
    </row>
    <row r="869">
      <c r="K869" s="11"/>
    </row>
    <row r="870">
      <c r="K870" s="11"/>
    </row>
    <row r="871">
      <c r="K871" s="11"/>
    </row>
    <row r="872">
      <c r="K872" s="11"/>
    </row>
    <row r="873">
      <c r="K873" s="11"/>
    </row>
    <row r="874">
      <c r="K874" s="11"/>
    </row>
    <row r="875">
      <c r="K875" s="11"/>
    </row>
    <row r="876">
      <c r="K876" s="11"/>
    </row>
    <row r="877">
      <c r="K877" s="11"/>
    </row>
    <row r="878">
      <c r="K878" s="11"/>
    </row>
    <row r="879">
      <c r="K879" s="11"/>
    </row>
    <row r="880">
      <c r="K880" s="11"/>
    </row>
    <row r="881">
      <c r="K881" s="11"/>
    </row>
    <row r="882">
      <c r="K882" s="11"/>
    </row>
    <row r="883">
      <c r="K883" s="11"/>
    </row>
    <row r="884">
      <c r="K884" s="11"/>
    </row>
    <row r="885">
      <c r="K885" s="11"/>
    </row>
    <row r="886">
      <c r="K886" s="11"/>
    </row>
    <row r="887">
      <c r="K887" s="11"/>
    </row>
    <row r="888">
      <c r="K888" s="11"/>
    </row>
    <row r="889">
      <c r="K889" s="11"/>
    </row>
    <row r="890">
      <c r="K890" s="11"/>
    </row>
    <row r="891">
      <c r="K891" s="11"/>
    </row>
    <row r="892">
      <c r="K892" s="11"/>
    </row>
    <row r="893">
      <c r="K893" s="11"/>
    </row>
    <row r="894">
      <c r="K894" s="11"/>
    </row>
    <row r="895">
      <c r="K895" s="11"/>
    </row>
    <row r="896">
      <c r="K896" s="11"/>
    </row>
    <row r="897">
      <c r="K897" s="11"/>
    </row>
    <row r="898">
      <c r="K898" s="11"/>
    </row>
    <row r="899">
      <c r="K899" s="11"/>
    </row>
    <row r="900">
      <c r="K900" s="11"/>
    </row>
    <row r="901">
      <c r="K901" s="11"/>
    </row>
    <row r="902">
      <c r="K902" s="11"/>
    </row>
    <row r="903">
      <c r="K903" s="11"/>
    </row>
    <row r="904">
      <c r="K904" s="11"/>
    </row>
    <row r="905">
      <c r="K905" s="11"/>
    </row>
    <row r="906">
      <c r="K906" s="11"/>
    </row>
    <row r="907">
      <c r="K907" s="11"/>
    </row>
    <row r="908">
      <c r="K908" s="11"/>
    </row>
    <row r="909">
      <c r="K909" s="11"/>
    </row>
    <row r="910">
      <c r="K910" s="11"/>
    </row>
    <row r="911">
      <c r="K911" s="11"/>
    </row>
    <row r="912">
      <c r="K912" s="11"/>
    </row>
    <row r="913">
      <c r="K913" s="11"/>
    </row>
    <row r="914">
      <c r="K914" s="11"/>
    </row>
    <row r="915">
      <c r="K915" s="11"/>
    </row>
    <row r="916">
      <c r="K916" s="11"/>
    </row>
    <row r="917">
      <c r="K917" s="11"/>
    </row>
    <row r="918">
      <c r="K918" s="11"/>
    </row>
    <row r="919">
      <c r="K919" s="11"/>
    </row>
    <row r="920">
      <c r="K920" s="11"/>
    </row>
    <row r="921">
      <c r="K921" s="11"/>
    </row>
    <row r="922">
      <c r="K922" s="11"/>
    </row>
    <row r="923">
      <c r="K923" s="11"/>
    </row>
    <row r="924">
      <c r="K924" s="11"/>
    </row>
    <row r="925">
      <c r="K925" s="11"/>
    </row>
    <row r="926">
      <c r="K926" s="11"/>
    </row>
    <row r="927">
      <c r="K927" s="11"/>
    </row>
    <row r="928">
      <c r="K928" s="11"/>
    </row>
    <row r="929">
      <c r="K929" s="11"/>
    </row>
    <row r="930">
      <c r="K930" s="11"/>
    </row>
    <row r="931">
      <c r="K931" s="11"/>
    </row>
    <row r="932">
      <c r="K932" s="11"/>
    </row>
    <row r="933">
      <c r="K933" s="11"/>
    </row>
    <row r="934">
      <c r="K934" s="11"/>
    </row>
    <row r="935">
      <c r="K935" s="11"/>
    </row>
    <row r="936">
      <c r="K936" s="11"/>
    </row>
    <row r="937">
      <c r="K937" s="11"/>
    </row>
    <row r="938">
      <c r="K938" s="11"/>
    </row>
    <row r="939">
      <c r="K939" s="11"/>
    </row>
    <row r="940">
      <c r="K940" s="11"/>
    </row>
    <row r="941">
      <c r="K941" s="11"/>
    </row>
    <row r="942">
      <c r="K942" s="11"/>
    </row>
    <row r="943">
      <c r="K943" s="11"/>
    </row>
    <row r="944">
      <c r="K944" s="11"/>
    </row>
    <row r="945">
      <c r="K945" s="11"/>
    </row>
    <row r="946">
      <c r="K946" s="11"/>
    </row>
    <row r="947">
      <c r="K947" s="11"/>
    </row>
    <row r="948">
      <c r="K948" s="11"/>
    </row>
    <row r="949">
      <c r="K949" s="11"/>
    </row>
    <row r="950">
      <c r="K950" s="11"/>
    </row>
    <row r="951">
      <c r="K951" s="11"/>
    </row>
    <row r="952">
      <c r="K952" s="11"/>
    </row>
    <row r="953">
      <c r="K953" s="11"/>
    </row>
    <row r="954">
      <c r="K954" s="11"/>
    </row>
    <row r="955">
      <c r="K955" s="11"/>
    </row>
    <row r="956">
      <c r="K956" s="11"/>
    </row>
    <row r="957">
      <c r="K957" s="11"/>
    </row>
    <row r="958">
      <c r="K958" s="11"/>
    </row>
    <row r="959">
      <c r="K959" s="11"/>
    </row>
    <row r="960">
      <c r="K960" s="11"/>
    </row>
    <row r="961">
      <c r="K961" s="11"/>
    </row>
    <row r="962">
      <c r="K962" s="11"/>
    </row>
    <row r="963">
      <c r="K963" s="11"/>
    </row>
    <row r="964">
      <c r="K964" s="11"/>
    </row>
    <row r="965">
      <c r="K965" s="11"/>
    </row>
    <row r="966">
      <c r="K966" s="11"/>
    </row>
    <row r="967">
      <c r="K967" s="11"/>
    </row>
    <row r="968">
      <c r="K968" s="11"/>
    </row>
    <row r="969">
      <c r="K969" s="11"/>
    </row>
    <row r="970">
      <c r="K970" s="11"/>
    </row>
    <row r="971">
      <c r="K971" s="11"/>
    </row>
    <row r="972">
      <c r="K972" s="11"/>
    </row>
    <row r="973">
      <c r="K973" s="11"/>
    </row>
    <row r="974">
      <c r="K974" s="11"/>
    </row>
    <row r="975">
      <c r="K975" s="11"/>
    </row>
    <row r="976">
      <c r="K976" s="11"/>
    </row>
    <row r="977">
      <c r="K977" s="11"/>
    </row>
    <row r="978">
      <c r="K978" s="11"/>
    </row>
    <row r="979">
      <c r="K979" s="11"/>
    </row>
    <row r="980">
      <c r="K980" s="11"/>
    </row>
    <row r="981">
      <c r="K981" s="11"/>
    </row>
    <row r="982">
      <c r="K982" s="11"/>
    </row>
    <row r="983">
      <c r="K983" s="11"/>
    </row>
    <row r="984">
      <c r="K984" s="11"/>
    </row>
    <row r="985">
      <c r="K985" s="11"/>
    </row>
    <row r="986">
      <c r="K986" s="11"/>
    </row>
    <row r="987">
      <c r="K987" s="11"/>
    </row>
    <row r="988">
      <c r="K988" s="11"/>
    </row>
    <row r="989">
      <c r="K989" s="11"/>
    </row>
    <row r="990">
      <c r="K990" s="11"/>
    </row>
    <row r="991">
      <c r="K991" s="11"/>
    </row>
    <row r="992">
      <c r="K992" s="11"/>
    </row>
    <row r="993">
      <c r="K993" s="11"/>
    </row>
    <row r="994">
      <c r="K994" s="11"/>
    </row>
    <row r="995">
      <c r="K995" s="11"/>
    </row>
    <row r="996">
      <c r="K996" s="11"/>
    </row>
    <row r="997">
      <c r="K997" s="11"/>
    </row>
    <row r="998">
      <c r="K998" s="11"/>
    </row>
    <row r="999">
      <c r="K999" s="11"/>
    </row>
    <row r="1000">
      <c r="K1000" s="11"/>
    </row>
    <row r="1001">
      <c r="K1001" s="11"/>
    </row>
  </sheetData>
  <dataValidations>
    <dataValidation type="list" allowBlank="1" showErrorMessage="1" sqref="G2:G90">
      <formula1>"emul-pv,emul-pv ,real,emul-p,real,emul-p,emul-v,synth,n.s.,real ,real,emul-pv,emul-o"</formula1>
    </dataValidation>
    <dataValidation type="list" allowBlank="1" showErrorMessage="1" sqref="P2:P90">
      <formula1>"periodic,contiguous,n.s.,discontiguous"</formula1>
    </dataValidation>
    <dataValidation type="list" allowBlank="1" showErrorMessage="1" sqref="T2:T90">
      <formula1>"yes,no"</formula1>
    </dataValidation>
    <dataValidation type="list" allowBlank="1" showErrorMessage="1" sqref="Q2:Q90">
      <formula1>"large,n/a,honeypot,small,mixed,medium"</formula1>
    </dataValidation>
    <dataValidation type="list" allowBlank="1" showErrorMessage="1" sqref="R2:R90">
      <formula1>"military,internet backbone,n/a,honeypot,academic,mixed,academic honeypot,wireless,enterprise,ISP,enterprise cloud,IoT,IIoT,SDN,SDN IoT,VoIP,P2P,industrial"</formula1>
    </dataValidation>
    <dataValidation type="list" allowBlank="1" showErrorMessage="1" sqref="S2:S90">
      <formula1>"yes,no,n.s.,n. s."</formula1>
    </dataValidation>
    <dataValidation type="list" allowBlank="1" showErrorMessage="1" sqref="L2:L90">
      <formula1>"no,IPs,payload,IPs,payload,No,IPs,time,names,IPs,MACs,yes,n.s.,IPs,time,n. s.,n. s"</formula1>
    </dataValidation>
    <dataValidation type="list" allowBlank="1" showErrorMessage="1" sqref="F2:F90">
      <formula1>"emul-pv,real,no,emul-p,real,emul-v,synth,emul-v,real,emul-pv,real,emul-p"</formula1>
    </dataValidation>
    <dataValidation type="list" allowBlank="1" showErrorMessage="1" sqref="U2:U90">
      <formula1>"yes,indir.,no"</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t="s">
        <v>530</v>
      </c>
      <c r="B1" s="17" t="s">
        <v>6</v>
      </c>
      <c r="C1" s="17" t="s">
        <v>531</v>
      </c>
      <c r="D1" s="17" t="s">
        <v>532</v>
      </c>
      <c r="E1" s="17" t="s">
        <v>96</v>
      </c>
      <c r="F1" s="17" t="s">
        <v>176</v>
      </c>
      <c r="G1" s="17" t="s">
        <v>533</v>
      </c>
      <c r="H1" s="17" t="s">
        <v>534</v>
      </c>
    </row>
    <row r="2">
      <c r="A2" s="18" t="s">
        <v>535</v>
      </c>
      <c r="B2" s="18">
        <v>1998.0</v>
      </c>
      <c r="C2" s="18" t="s">
        <v>536</v>
      </c>
      <c r="D2" s="19" t="s">
        <v>537</v>
      </c>
      <c r="E2" s="18" t="s">
        <v>106</v>
      </c>
      <c r="F2" s="18" t="s">
        <v>538</v>
      </c>
      <c r="G2" s="18" t="s">
        <v>539</v>
      </c>
      <c r="H2" s="18" t="s">
        <v>540</v>
      </c>
    </row>
    <row r="3">
      <c r="A3" s="18" t="s">
        <v>541</v>
      </c>
      <c r="B3" s="18">
        <v>1998.0</v>
      </c>
      <c r="C3" s="19" t="s">
        <v>542</v>
      </c>
      <c r="D3" s="18" t="s">
        <v>536</v>
      </c>
      <c r="E3" s="18" t="s">
        <v>543</v>
      </c>
      <c r="F3" s="18" t="s">
        <v>544</v>
      </c>
      <c r="G3" s="18" t="s">
        <v>545</v>
      </c>
      <c r="H3" s="18" t="s">
        <v>546</v>
      </c>
    </row>
    <row r="4">
      <c r="A4" s="18" t="s">
        <v>547</v>
      </c>
      <c r="B4" s="18">
        <v>1999.0</v>
      </c>
      <c r="C4" s="19" t="s">
        <v>548</v>
      </c>
      <c r="D4" s="19" t="s">
        <v>549</v>
      </c>
      <c r="E4" s="18" t="s">
        <v>550</v>
      </c>
      <c r="F4" s="18" t="s">
        <v>551</v>
      </c>
      <c r="G4" s="18" t="s">
        <v>552</v>
      </c>
      <c r="H4" s="18" t="s">
        <v>553</v>
      </c>
    </row>
    <row r="5">
      <c r="A5" s="20" t="s">
        <v>554</v>
      </c>
      <c r="B5" s="18">
        <v>2000.0</v>
      </c>
      <c r="C5" s="18" t="s">
        <v>536</v>
      </c>
      <c r="D5" s="19" t="s">
        <v>555</v>
      </c>
      <c r="E5" s="18" t="s">
        <v>97</v>
      </c>
      <c r="F5" s="18" t="s">
        <v>538</v>
      </c>
      <c r="G5" s="18" t="s">
        <v>545</v>
      </c>
      <c r="H5" s="18" t="s">
        <v>556</v>
      </c>
    </row>
    <row r="6">
      <c r="A6" s="18" t="s">
        <v>557</v>
      </c>
      <c r="B6" s="18">
        <v>2001.0</v>
      </c>
      <c r="C6" s="18" t="s">
        <v>536</v>
      </c>
      <c r="D6" s="18" t="s">
        <v>532</v>
      </c>
      <c r="E6" s="18" t="s">
        <v>97</v>
      </c>
      <c r="F6" s="18" t="s">
        <v>544</v>
      </c>
      <c r="G6" s="18" t="s">
        <v>545</v>
      </c>
      <c r="H6" s="18" t="s">
        <v>558</v>
      </c>
    </row>
    <row r="7">
      <c r="A7" s="18" t="s">
        <v>559</v>
      </c>
      <c r="B7" s="18">
        <v>2004.0</v>
      </c>
      <c r="C7" s="18" t="s">
        <v>536</v>
      </c>
      <c r="D7" s="19" t="s">
        <v>560</v>
      </c>
      <c r="E7" s="18" t="s">
        <v>97</v>
      </c>
      <c r="F7" s="18" t="s">
        <v>538</v>
      </c>
      <c r="G7" s="18" t="s">
        <v>539</v>
      </c>
      <c r="H7" s="18" t="s">
        <v>561</v>
      </c>
    </row>
    <row r="8">
      <c r="A8" s="20" t="s">
        <v>562</v>
      </c>
      <c r="B8" s="18">
        <v>2005.0</v>
      </c>
      <c r="C8" s="19" t="s">
        <v>563</v>
      </c>
      <c r="D8" s="19" t="s">
        <v>564</v>
      </c>
      <c r="E8" s="18" t="s">
        <v>97</v>
      </c>
      <c r="F8" s="18" t="s">
        <v>538</v>
      </c>
      <c r="G8" s="18" t="s">
        <v>539</v>
      </c>
      <c r="H8" s="18" t="s">
        <v>565</v>
      </c>
    </row>
    <row r="9">
      <c r="A9" s="18" t="s">
        <v>566</v>
      </c>
      <c r="B9" s="18">
        <v>2005.0</v>
      </c>
      <c r="C9" s="19" t="s">
        <v>567</v>
      </c>
      <c r="D9" s="19" t="s">
        <v>568</v>
      </c>
      <c r="E9" s="18" t="s">
        <v>281</v>
      </c>
      <c r="F9" s="18" t="s">
        <v>538</v>
      </c>
      <c r="G9" s="18" t="s">
        <v>539</v>
      </c>
      <c r="H9" s="18" t="s">
        <v>569</v>
      </c>
    </row>
    <row r="10">
      <c r="A10" s="18" t="s">
        <v>570</v>
      </c>
      <c r="B10" s="18">
        <v>2006.0</v>
      </c>
      <c r="C10" s="19" t="s">
        <v>571</v>
      </c>
      <c r="D10" s="18" t="s">
        <v>536</v>
      </c>
      <c r="E10" s="18" t="s">
        <v>293</v>
      </c>
      <c r="F10" s="18" t="s">
        <v>544</v>
      </c>
      <c r="G10" s="18" t="s">
        <v>545</v>
      </c>
      <c r="H10" s="18" t="s">
        <v>572</v>
      </c>
    </row>
    <row r="11">
      <c r="A11" s="18" t="s">
        <v>573</v>
      </c>
      <c r="B11" s="18">
        <v>2009.0</v>
      </c>
      <c r="C11" s="19" t="s">
        <v>574</v>
      </c>
      <c r="D11" s="19" t="s">
        <v>575</v>
      </c>
      <c r="E11" s="18" t="s">
        <v>97</v>
      </c>
      <c r="F11" s="18" t="s">
        <v>576</v>
      </c>
      <c r="G11" s="18" t="s">
        <v>539</v>
      </c>
      <c r="H11" s="18" t="s">
        <v>577</v>
      </c>
    </row>
    <row r="12">
      <c r="A12" s="18" t="s">
        <v>578</v>
      </c>
      <c r="B12" s="18">
        <v>2009.0</v>
      </c>
      <c r="C12" s="19" t="s">
        <v>579</v>
      </c>
      <c r="D12" s="19" t="s">
        <v>580</v>
      </c>
      <c r="E12" s="18" t="s">
        <v>97</v>
      </c>
      <c r="F12" s="18" t="s">
        <v>576</v>
      </c>
      <c r="G12" s="18" t="s">
        <v>539</v>
      </c>
      <c r="H12" s="18" t="s">
        <v>581</v>
      </c>
    </row>
    <row r="13">
      <c r="A13" s="18" t="s">
        <v>582</v>
      </c>
      <c r="B13" s="18">
        <v>2009.0</v>
      </c>
      <c r="C13" s="19" t="s">
        <v>583</v>
      </c>
      <c r="D13" s="19" t="s">
        <v>584</v>
      </c>
      <c r="E13" s="18" t="s">
        <v>585</v>
      </c>
      <c r="F13" s="18" t="s">
        <v>544</v>
      </c>
      <c r="G13" s="18" t="s">
        <v>539</v>
      </c>
      <c r="H13" s="18" t="s">
        <v>586</v>
      </c>
    </row>
    <row r="14">
      <c r="A14" s="18" t="s">
        <v>587</v>
      </c>
      <c r="B14" s="18">
        <v>2009.0</v>
      </c>
      <c r="C14" s="18" t="s">
        <v>536</v>
      </c>
      <c r="D14" s="18" t="s">
        <v>536</v>
      </c>
      <c r="E14" s="18" t="s">
        <v>293</v>
      </c>
      <c r="F14" s="18" t="s">
        <v>293</v>
      </c>
      <c r="G14" s="18" t="s">
        <v>545</v>
      </c>
    </row>
    <row r="15">
      <c r="A15" s="18" t="s">
        <v>588</v>
      </c>
      <c r="B15" s="18">
        <v>2010.0</v>
      </c>
      <c r="C15" s="18" t="s">
        <v>536</v>
      </c>
      <c r="D15" s="19" t="s">
        <v>589</v>
      </c>
      <c r="E15" s="18" t="s">
        <v>590</v>
      </c>
      <c r="F15" s="18" t="s">
        <v>544</v>
      </c>
      <c r="G15" s="18" t="s">
        <v>539</v>
      </c>
      <c r="H15" s="18" t="s">
        <v>591</v>
      </c>
    </row>
    <row r="16">
      <c r="A16" s="18" t="s">
        <v>592</v>
      </c>
      <c r="B16" s="18">
        <v>2010.0</v>
      </c>
      <c r="C16" s="19" t="s">
        <v>593</v>
      </c>
      <c r="D16" s="18" t="s">
        <v>536</v>
      </c>
      <c r="E16" s="18" t="s">
        <v>293</v>
      </c>
      <c r="F16" s="18" t="s">
        <v>544</v>
      </c>
      <c r="G16" s="18" t="s">
        <v>594</v>
      </c>
      <c r="H16" s="18" t="s">
        <v>595</v>
      </c>
    </row>
    <row r="17">
      <c r="A17" s="18" t="s">
        <v>596</v>
      </c>
      <c r="B17" s="18">
        <v>2011.0</v>
      </c>
      <c r="C17" s="19" t="s">
        <v>597</v>
      </c>
      <c r="D17" s="18" t="s">
        <v>536</v>
      </c>
      <c r="E17" s="18" t="s">
        <v>543</v>
      </c>
      <c r="F17" s="18" t="s">
        <v>544</v>
      </c>
      <c r="G17" s="18" t="s">
        <v>545</v>
      </c>
    </row>
    <row r="18">
      <c r="A18" s="18" t="s">
        <v>598</v>
      </c>
      <c r="B18" s="18">
        <v>2011.0</v>
      </c>
      <c r="C18" s="18" t="s">
        <v>536</v>
      </c>
      <c r="D18" s="19" t="s">
        <v>599</v>
      </c>
      <c r="E18" s="18" t="s">
        <v>600</v>
      </c>
      <c r="F18" s="18" t="s">
        <v>601</v>
      </c>
      <c r="G18" s="18" t="s">
        <v>602</v>
      </c>
      <c r="H18" s="18" t="s">
        <v>603</v>
      </c>
    </row>
    <row r="19">
      <c r="A19" s="18" t="s">
        <v>604</v>
      </c>
      <c r="B19" s="18">
        <v>2012.0</v>
      </c>
      <c r="C19" s="19" t="s">
        <v>605</v>
      </c>
      <c r="D19" s="19" t="s">
        <v>606</v>
      </c>
      <c r="E19" s="18" t="s">
        <v>607</v>
      </c>
      <c r="F19" s="18" t="s">
        <v>608</v>
      </c>
      <c r="G19" s="18" t="s">
        <v>602</v>
      </c>
      <c r="H19" s="18" t="s">
        <v>609</v>
      </c>
    </row>
    <row r="20">
      <c r="A20" s="20" t="s">
        <v>610</v>
      </c>
      <c r="B20" s="18">
        <v>2013.0</v>
      </c>
      <c r="C20" s="19" t="s">
        <v>611</v>
      </c>
      <c r="D20" s="19" t="s">
        <v>612</v>
      </c>
      <c r="E20" s="18" t="s">
        <v>590</v>
      </c>
      <c r="F20" s="18" t="s">
        <v>544</v>
      </c>
      <c r="G20" s="18" t="s">
        <v>539</v>
      </c>
      <c r="H20" s="18" t="s">
        <v>613</v>
      </c>
    </row>
    <row r="21">
      <c r="A21" s="18" t="s">
        <v>614</v>
      </c>
      <c r="B21" s="18" t="s">
        <v>615</v>
      </c>
      <c r="C21" s="19" t="s">
        <v>616</v>
      </c>
      <c r="D21" s="19" t="s">
        <v>617</v>
      </c>
      <c r="E21" s="18" t="s">
        <v>590</v>
      </c>
      <c r="F21" s="18" t="s">
        <v>544</v>
      </c>
      <c r="G21" s="18" t="s">
        <v>539</v>
      </c>
      <c r="H21" s="18" t="s">
        <v>618</v>
      </c>
    </row>
    <row r="22">
      <c r="A22" s="18" t="s">
        <v>619</v>
      </c>
      <c r="B22" s="18">
        <v>2014.0</v>
      </c>
      <c r="C22" s="19" t="s">
        <v>620</v>
      </c>
      <c r="D22" s="18" t="s">
        <v>536</v>
      </c>
      <c r="E22" s="18" t="s">
        <v>621</v>
      </c>
      <c r="F22" s="18" t="s">
        <v>293</v>
      </c>
      <c r="G22" s="18" t="s">
        <v>545</v>
      </c>
      <c r="H22" s="18" t="s">
        <v>622</v>
      </c>
    </row>
    <row r="23">
      <c r="A23" s="18" t="s">
        <v>623</v>
      </c>
      <c r="B23" s="18">
        <v>2014.0</v>
      </c>
      <c r="C23" s="19" t="s">
        <v>624</v>
      </c>
      <c r="D23" s="18" t="s">
        <v>536</v>
      </c>
      <c r="E23" s="18" t="s">
        <v>625</v>
      </c>
      <c r="F23" s="18" t="s">
        <v>544</v>
      </c>
      <c r="G23" s="18" t="s">
        <v>545</v>
      </c>
    </row>
    <row r="24">
      <c r="A24" s="18" t="s">
        <v>626</v>
      </c>
      <c r="B24" s="18">
        <v>2014.0</v>
      </c>
      <c r="C24" s="19" t="s">
        <v>627</v>
      </c>
      <c r="D24" s="18" t="s">
        <v>536</v>
      </c>
      <c r="E24" s="18" t="s">
        <v>625</v>
      </c>
      <c r="F24" s="18" t="s">
        <v>544</v>
      </c>
      <c r="G24" s="18" t="s">
        <v>545</v>
      </c>
    </row>
    <row r="25">
      <c r="A25" s="18" t="s">
        <v>628</v>
      </c>
      <c r="B25" s="18" t="s">
        <v>629</v>
      </c>
      <c r="C25" s="21" t="s">
        <v>630</v>
      </c>
      <c r="D25" s="19" t="s">
        <v>631</v>
      </c>
      <c r="E25" s="18" t="s">
        <v>621</v>
      </c>
      <c r="F25" s="18" t="s">
        <v>544</v>
      </c>
      <c r="G25" s="18" t="s">
        <v>539</v>
      </c>
      <c r="H25" s="18" t="s">
        <v>632</v>
      </c>
    </row>
    <row r="26">
      <c r="A26" s="18" t="s">
        <v>633</v>
      </c>
      <c r="B26" s="18">
        <v>2015.0</v>
      </c>
      <c r="C26" s="19" t="s">
        <v>634</v>
      </c>
      <c r="D26" s="18" t="s">
        <v>536</v>
      </c>
      <c r="E26" s="18" t="s">
        <v>635</v>
      </c>
      <c r="F26" s="18" t="s">
        <v>544</v>
      </c>
      <c r="G26" s="18" t="s">
        <v>545</v>
      </c>
    </row>
    <row r="27">
      <c r="A27" s="18" t="s">
        <v>636</v>
      </c>
      <c r="B27" s="18">
        <v>2015.0</v>
      </c>
      <c r="C27" s="18" t="s">
        <v>536</v>
      </c>
      <c r="D27" s="19" t="s">
        <v>637</v>
      </c>
      <c r="E27" s="18" t="s">
        <v>638</v>
      </c>
      <c r="F27" s="18" t="s">
        <v>538</v>
      </c>
      <c r="G27" s="18" t="s">
        <v>545</v>
      </c>
      <c r="H27" s="18" t="s">
        <v>639</v>
      </c>
    </row>
    <row r="28">
      <c r="A28" s="18" t="s">
        <v>640</v>
      </c>
      <c r="B28" s="18">
        <v>2015.0</v>
      </c>
      <c r="C28" s="22" t="s">
        <v>641</v>
      </c>
      <c r="D28" s="18" t="s">
        <v>536</v>
      </c>
      <c r="E28" s="18" t="s">
        <v>635</v>
      </c>
      <c r="F28" s="18" t="s">
        <v>544</v>
      </c>
      <c r="G28" s="18" t="s">
        <v>545</v>
      </c>
      <c r="H28" s="18" t="s">
        <v>642</v>
      </c>
    </row>
    <row r="29">
      <c r="A29" s="18" t="s">
        <v>643</v>
      </c>
      <c r="B29" s="18">
        <v>2015.0</v>
      </c>
      <c r="C29" s="19" t="s">
        <v>644</v>
      </c>
      <c r="D29" s="19" t="s">
        <v>645</v>
      </c>
      <c r="E29" s="18" t="s">
        <v>590</v>
      </c>
      <c r="F29" s="18" t="s">
        <v>544</v>
      </c>
      <c r="G29" s="18" t="s">
        <v>539</v>
      </c>
      <c r="H29" s="18" t="s">
        <v>646</v>
      </c>
    </row>
    <row r="30">
      <c r="A30" s="18" t="s">
        <v>647</v>
      </c>
      <c r="B30" s="18" t="s">
        <v>648</v>
      </c>
      <c r="C30" s="19" t="s">
        <v>649</v>
      </c>
      <c r="D30" s="19" t="s">
        <v>650</v>
      </c>
      <c r="E30" s="18" t="s">
        <v>651</v>
      </c>
      <c r="F30" s="18" t="s">
        <v>544</v>
      </c>
      <c r="G30" s="18" t="s">
        <v>539</v>
      </c>
      <c r="H30" s="18" t="s">
        <v>652</v>
      </c>
    </row>
    <row r="31">
      <c r="A31" s="18" t="s">
        <v>653</v>
      </c>
      <c r="B31" s="18">
        <v>2016.0</v>
      </c>
      <c r="C31" s="19" t="s">
        <v>654</v>
      </c>
      <c r="D31" s="18" t="s">
        <v>536</v>
      </c>
      <c r="E31" s="18" t="s">
        <v>293</v>
      </c>
      <c r="F31" s="18" t="s">
        <v>544</v>
      </c>
      <c r="G31" s="18" t="s">
        <v>655</v>
      </c>
      <c r="H31" s="18" t="s">
        <v>656</v>
      </c>
    </row>
    <row r="32">
      <c r="A32" s="18" t="s">
        <v>657</v>
      </c>
      <c r="B32" s="18">
        <v>2016.0</v>
      </c>
      <c r="C32" s="22" t="s">
        <v>658</v>
      </c>
      <c r="D32" s="19" t="s">
        <v>659</v>
      </c>
      <c r="E32" s="18" t="s">
        <v>660</v>
      </c>
      <c r="F32" s="18" t="s">
        <v>661</v>
      </c>
      <c r="G32" s="18" t="s">
        <v>545</v>
      </c>
      <c r="H32" s="18" t="s">
        <v>662</v>
      </c>
    </row>
    <row r="33">
      <c r="A33" s="18" t="s">
        <v>663</v>
      </c>
      <c r="B33" s="18">
        <v>2016.0</v>
      </c>
      <c r="C33" s="19" t="s">
        <v>664</v>
      </c>
      <c r="D33" s="19" t="s">
        <v>665</v>
      </c>
      <c r="E33" s="18" t="s">
        <v>97</v>
      </c>
      <c r="F33" s="18" t="s">
        <v>544</v>
      </c>
      <c r="G33" s="18" t="s">
        <v>539</v>
      </c>
      <c r="H33" s="18" t="s">
        <v>666</v>
      </c>
    </row>
    <row r="34">
      <c r="A34" s="18" t="s">
        <v>667</v>
      </c>
      <c r="B34" s="18">
        <v>2016.0</v>
      </c>
      <c r="C34" s="19" t="s">
        <v>668</v>
      </c>
      <c r="D34" s="19" t="s">
        <v>669</v>
      </c>
      <c r="E34" s="18" t="s">
        <v>670</v>
      </c>
      <c r="F34" s="18" t="s">
        <v>544</v>
      </c>
      <c r="G34" s="18" t="s">
        <v>539</v>
      </c>
      <c r="H34" s="18" t="s">
        <v>671</v>
      </c>
    </row>
    <row r="35">
      <c r="A35" s="18" t="s">
        <v>672</v>
      </c>
      <c r="B35" s="18">
        <v>2016.0</v>
      </c>
      <c r="C35" s="19" t="s">
        <v>673</v>
      </c>
      <c r="D35" s="18" t="s">
        <v>536</v>
      </c>
      <c r="E35" s="18" t="s">
        <v>625</v>
      </c>
      <c r="F35" s="18" t="s">
        <v>188</v>
      </c>
      <c r="G35" s="18" t="s">
        <v>545</v>
      </c>
      <c r="H35" s="18" t="s">
        <v>674</v>
      </c>
    </row>
    <row r="36">
      <c r="A36" s="18" t="s">
        <v>675</v>
      </c>
      <c r="B36" s="18" t="s">
        <v>676</v>
      </c>
      <c r="C36" s="22" t="s">
        <v>536</v>
      </c>
      <c r="D36" s="19" t="s">
        <v>677</v>
      </c>
      <c r="E36" s="18" t="s">
        <v>678</v>
      </c>
      <c r="F36" s="18" t="s">
        <v>651</v>
      </c>
      <c r="G36" s="18" t="s">
        <v>539</v>
      </c>
      <c r="H36" s="18" t="s">
        <v>679</v>
      </c>
    </row>
    <row r="37">
      <c r="A37" s="18" t="s">
        <v>680</v>
      </c>
      <c r="B37" s="18">
        <v>2017.0</v>
      </c>
      <c r="C37" s="19" t="s">
        <v>681</v>
      </c>
      <c r="D37" s="18" t="s">
        <v>536</v>
      </c>
      <c r="E37" s="18" t="s">
        <v>590</v>
      </c>
      <c r="F37" s="18" t="s">
        <v>544</v>
      </c>
      <c r="G37" s="18" t="s">
        <v>545</v>
      </c>
      <c r="H37" s="18" t="s">
        <v>682</v>
      </c>
    </row>
    <row r="38">
      <c r="A38" s="18" t="s">
        <v>683</v>
      </c>
      <c r="B38" s="18" t="s">
        <v>684</v>
      </c>
      <c r="C38" s="19" t="s">
        <v>685</v>
      </c>
      <c r="D38" s="19" t="s">
        <v>686</v>
      </c>
      <c r="E38" s="18" t="s">
        <v>621</v>
      </c>
      <c r="F38" s="18" t="s">
        <v>188</v>
      </c>
      <c r="G38" s="18" t="s">
        <v>539</v>
      </c>
      <c r="H38" s="18" t="s">
        <v>687</v>
      </c>
    </row>
    <row r="39">
      <c r="A39" s="18" t="s">
        <v>688</v>
      </c>
      <c r="B39" s="18">
        <v>2018.0</v>
      </c>
      <c r="C39" s="19" t="s">
        <v>689</v>
      </c>
      <c r="D39" s="18" t="s">
        <v>532</v>
      </c>
      <c r="E39" s="18" t="s">
        <v>106</v>
      </c>
      <c r="F39" s="18" t="s">
        <v>544</v>
      </c>
      <c r="G39" s="18" t="s">
        <v>539</v>
      </c>
      <c r="H39" s="18" t="s">
        <v>690</v>
      </c>
    </row>
    <row r="40">
      <c r="A40" s="18" t="s">
        <v>691</v>
      </c>
      <c r="B40" s="18">
        <v>2018.0</v>
      </c>
      <c r="C40" s="19" t="s">
        <v>692</v>
      </c>
      <c r="D40" s="18" t="s">
        <v>536</v>
      </c>
      <c r="E40" s="18" t="s">
        <v>621</v>
      </c>
      <c r="F40" s="18" t="s">
        <v>544</v>
      </c>
      <c r="G40" s="18" t="s">
        <v>602</v>
      </c>
      <c r="H40" s="18" t="s">
        <v>693</v>
      </c>
    </row>
    <row r="41">
      <c r="A41" s="18" t="s">
        <v>694</v>
      </c>
      <c r="B41" s="18">
        <v>2018.0</v>
      </c>
      <c r="C41" s="19" t="s">
        <v>695</v>
      </c>
      <c r="D41" s="19" t="s">
        <v>696</v>
      </c>
      <c r="E41" s="18" t="s">
        <v>697</v>
      </c>
      <c r="F41" s="18" t="s">
        <v>544</v>
      </c>
      <c r="G41" s="18" t="s">
        <v>539</v>
      </c>
      <c r="H41" s="18" t="s">
        <v>698</v>
      </c>
    </row>
    <row r="42">
      <c r="A42" s="18" t="s">
        <v>699</v>
      </c>
      <c r="B42" s="18">
        <v>2018.0</v>
      </c>
      <c r="C42" s="19" t="s">
        <v>700</v>
      </c>
      <c r="D42" s="18" t="s">
        <v>536</v>
      </c>
      <c r="E42" s="18" t="s">
        <v>701</v>
      </c>
      <c r="F42" s="18" t="s">
        <v>544</v>
      </c>
      <c r="G42" s="18" t="s">
        <v>545</v>
      </c>
      <c r="H42" s="18" t="s">
        <v>702</v>
      </c>
    </row>
    <row r="43">
      <c r="A43" s="17" t="s">
        <v>703</v>
      </c>
      <c r="B43" s="18">
        <v>2018.0</v>
      </c>
      <c r="C43" s="19" t="s">
        <v>704</v>
      </c>
      <c r="D43" s="19" t="s">
        <v>705</v>
      </c>
      <c r="E43" s="18" t="s">
        <v>621</v>
      </c>
      <c r="F43" s="18" t="s">
        <v>544</v>
      </c>
      <c r="G43" s="18" t="s">
        <v>539</v>
      </c>
      <c r="H43" s="18" t="s">
        <v>706</v>
      </c>
    </row>
    <row r="44">
      <c r="A44" s="18" t="s">
        <v>707</v>
      </c>
      <c r="B44" s="18" t="s">
        <v>708</v>
      </c>
      <c r="C44" s="19" t="s">
        <v>709</v>
      </c>
      <c r="D44" s="19" t="s">
        <v>710</v>
      </c>
      <c r="E44" s="18" t="s">
        <v>701</v>
      </c>
      <c r="F44" s="18" t="s">
        <v>544</v>
      </c>
      <c r="G44" s="18" t="s">
        <v>711</v>
      </c>
      <c r="H44" s="18" t="s">
        <v>712</v>
      </c>
    </row>
    <row r="45">
      <c r="A45" s="18" t="s">
        <v>713</v>
      </c>
      <c r="B45" s="18">
        <v>2019.0</v>
      </c>
      <c r="C45" s="19" t="s">
        <v>714</v>
      </c>
      <c r="D45" s="18" t="s">
        <v>715</v>
      </c>
      <c r="E45" s="18" t="s">
        <v>716</v>
      </c>
      <c r="F45" s="18" t="s">
        <v>544</v>
      </c>
      <c r="G45" s="18" t="s">
        <v>539</v>
      </c>
      <c r="H45" s="18" t="s">
        <v>717</v>
      </c>
    </row>
    <row r="46">
      <c r="A46" s="18" t="s">
        <v>718</v>
      </c>
      <c r="B46" s="18">
        <v>2019.0</v>
      </c>
      <c r="C46" s="21" t="s">
        <v>719</v>
      </c>
      <c r="D46" s="18" t="s">
        <v>536</v>
      </c>
      <c r="E46" s="18" t="s">
        <v>293</v>
      </c>
      <c r="F46" s="18" t="s">
        <v>293</v>
      </c>
      <c r="G46" s="18" t="s">
        <v>545</v>
      </c>
      <c r="H46" s="18" t="s">
        <v>720</v>
      </c>
    </row>
    <row r="47">
      <c r="A47" s="20" t="s">
        <v>721</v>
      </c>
      <c r="B47" s="18">
        <v>2019.0</v>
      </c>
      <c r="C47" s="18" t="s">
        <v>536</v>
      </c>
      <c r="D47" s="19" t="s">
        <v>722</v>
      </c>
      <c r="E47" s="18" t="s">
        <v>723</v>
      </c>
      <c r="F47" s="18" t="s">
        <v>724</v>
      </c>
      <c r="G47" s="18" t="s">
        <v>539</v>
      </c>
      <c r="H47" s="18" t="s">
        <v>725</v>
      </c>
    </row>
    <row r="48">
      <c r="A48" s="18" t="s">
        <v>726</v>
      </c>
      <c r="B48" s="18">
        <v>2019.0</v>
      </c>
      <c r="C48" s="19" t="s">
        <v>727</v>
      </c>
      <c r="D48" s="19" t="s">
        <v>728</v>
      </c>
      <c r="E48" s="18" t="s">
        <v>621</v>
      </c>
      <c r="F48" s="18" t="s">
        <v>544</v>
      </c>
      <c r="G48" s="18" t="s">
        <v>539</v>
      </c>
      <c r="H48" s="18" t="s">
        <v>729</v>
      </c>
    </row>
    <row r="49">
      <c r="A49" s="18" t="s">
        <v>730</v>
      </c>
      <c r="B49" s="18">
        <v>2019.0</v>
      </c>
      <c r="C49" s="19" t="s">
        <v>731</v>
      </c>
      <c r="D49" s="18" t="s">
        <v>536</v>
      </c>
      <c r="E49" s="18" t="s">
        <v>701</v>
      </c>
      <c r="F49" s="18" t="s">
        <v>544</v>
      </c>
      <c r="G49" s="18" t="s">
        <v>545</v>
      </c>
      <c r="H49" s="23" t="s">
        <v>732</v>
      </c>
    </row>
    <row r="50">
      <c r="A50" s="18" t="s">
        <v>733</v>
      </c>
      <c r="B50" s="18">
        <v>2020.0</v>
      </c>
      <c r="C50" s="19" t="s">
        <v>734</v>
      </c>
      <c r="D50" s="19" t="s">
        <v>735</v>
      </c>
      <c r="E50" s="18" t="s">
        <v>736</v>
      </c>
      <c r="F50" s="18" t="s">
        <v>544</v>
      </c>
      <c r="G50" s="18" t="s">
        <v>539</v>
      </c>
      <c r="H50" s="18" t="s">
        <v>737</v>
      </c>
    </row>
    <row r="51">
      <c r="A51" s="18" t="s">
        <v>738</v>
      </c>
      <c r="B51" s="18">
        <v>2020.0</v>
      </c>
      <c r="C51" s="19" t="s">
        <v>739</v>
      </c>
      <c r="D51" s="19" t="s">
        <v>740</v>
      </c>
      <c r="E51" s="18" t="s">
        <v>97</v>
      </c>
      <c r="F51" s="18" t="s">
        <v>544</v>
      </c>
      <c r="G51" s="18" t="s">
        <v>539</v>
      </c>
      <c r="H51" s="18" t="s">
        <v>741</v>
      </c>
    </row>
    <row r="52">
      <c r="A52" s="18" t="s">
        <v>742</v>
      </c>
      <c r="B52" s="18">
        <v>2020.0</v>
      </c>
      <c r="C52" s="19" t="s">
        <v>743</v>
      </c>
      <c r="D52" s="19" t="s">
        <v>744</v>
      </c>
      <c r="E52" s="18" t="s">
        <v>745</v>
      </c>
      <c r="F52" s="18" t="s">
        <v>544</v>
      </c>
      <c r="G52" s="18" t="s">
        <v>539</v>
      </c>
      <c r="H52" s="18" t="s">
        <v>746</v>
      </c>
    </row>
    <row r="53">
      <c r="A53" s="18" t="s">
        <v>747</v>
      </c>
      <c r="B53" s="18">
        <v>2020.0</v>
      </c>
      <c r="C53" s="19" t="s">
        <v>748</v>
      </c>
      <c r="D53" s="19" t="s">
        <v>749</v>
      </c>
      <c r="E53" s="18" t="s">
        <v>750</v>
      </c>
      <c r="F53" s="18" t="s">
        <v>544</v>
      </c>
      <c r="G53" s="18" t="s">
        <v>539</v>
      </c>
      <c r="H53" s="18" t="s">
        <v>751</v>
      </c>
    </row>
    <row r="54">
      <c r="A54" s="18" t="s">
        <v>752</v>
      </c>
      <c r="B54" s="18">
        <v>2020.0</v>
      </c>
      <c r="C54" s="19" t="s">
        <v>753</v>
      </c>
      <c r="D54" s="19" t="s">
        <v>754</v>
      </c>
      <c r="E54" s="18" t="s">
        <v>750</v>
      </c>
      <c r="F54" s="18" t="s">
        <v>544</v>
      </c>
      <c r="G54" s="18" t="s">
        <v>539</v>
      </c>
      <c r="H54" s="18" t="s">
        <v>751</v>
      </c>
    </row>
    <row r="55">
      <c r="A55" s="18" t="s">
        <v>755</v>
      </c>
      <c r="B55" s="18">
        <v>2020.0</v>
      </c>
      <c r="C55" s="18" t="s">
        <v>536</v>
      </c>
      <c r="D55" s="19" t="s">
        <v>756</v>
      </c>
      <c r="E55" s="18" t="s">
        <v>590</v>
      </c>
      <c r="F55" s="18" t="s">
        <v>544</v>
      </c>
      <c r="G55" s="18" t="s">
        <v>539</v>
      </c>
      <c r="H55" s="18" t="s">
        <v>757</v>
      </c>
    </row>
    <row r="56">
      <c r="A56" s="18" t="s">
        <v>758</v>
      </c>
      <c r="B56" s="18">
        <v>2021.0</v>
      </c>
      <c r="C56" s="19" t="s">
        <v>759</v>
      </c>
      <c r="D56" s="19" t="s">
        <v>760</v>
      </c>
      <c r="E56" s="18" t="s">
        <v>590</v>
      </c>
      <c r="F56" s="18" t="s">
        <v>544</v>
      </c>
      <c r="G56" s="18" t="s">
        <v>761</v>
      </c>
      <c r="H56" s="18" t="s">
        <v>762</v>
      </c>
    </row>
    <row r="57">
      <c r="A57" s="18" t="s">
        <v>763</v>
      </c>
      <c r="B57" s="18">
        <v>2021.0</v>
      </c>
      <c r="C57" s="19" t="s">
        <v>764</v>
      </c>
      <c r="D57" s="19" t="s">
        <v>765</v>
      </c>
      <c r="E57" s="18" t="s">
        <v>766</v>
      </c>
      <c r="F57" s="18" t="s">
        <v>544</v>
      </c>
      <c r="G57" s="18" t="s">
        <v>539</v>
      </c>
      <c r="H57" s="18" t="s">
        <v>767</v>
      </c>
    </row>
    <row r="58">
      <c r="A58" s="18" t="s">
        <v>768</v>
      </c>
      <c r="B58" s="18">
        <v>2021.0</v>
      </c>
      <c r="C58" s="19" t="s">
        <v>769</v>
      </c>
      <c r="D58" s="18" t="s">
        <v>536</v>
      </c>
      <c r="E58" s="18" t="s">
        <v>651</v>
      </c>
      <c r="F58" s="18" t="s">
        <v>544</v>
      </c>
      <c r="G58" s="18" t="s">
        <v>545</v>
      </c>
      <c r="H58" s="18" t="s">
        <v>770</v>
      </c>
    </row>
    <row r="59">
      <c r="A59" s="18" t="s">
        <v>771</v>
      </c>
      <c r="B59" s="18">
        <v>2021.0</v>
      </c>
      <c r="C59" s="19" t="s">
        <v>772</v>
      </c>
      <c r="D59" s="18" t="s">
        <v>536</v>
      </c>
      <c r="E59" s="18" t="s">
        <v>590</v>
      </c>
      <c r="F59" s="18" t="s">
        <v>544</v>
      </c>
      <c r="G59" s="18" t="s">
        <v>545</v>
      </c>
      <c r="H59" s="18" t="s">
        <v>773</v>
      </c>
    </row>
    <row r="60">
      <c r="A60" s="18" t="s">
        <v>774</v>
      </c>
      <c r="B60" s="18">
        <v>2021.0</v>
      </c>
      <c r="C60" s="19" t="s">
        <v>775</v>
      </c>
      <c r="D60" s="19" t="s">
        <v>776</v>
      </c>
      <c r="E60" s="18" t="s">
        <v>777</v>
      </c>
      <c r="F60" s="18" t="s">
        <v>538</v>
      </c>
      <c r="G60" s="18" t="s">
        <v>539</v>
      </c>
      <c r="H60" s="18" t="s">
        <v>778</v>
      </c>
    </row>
    <row r="61">
      <c r="A61" s="18" t="s">
        <v>779</v>
      </c>
      <c r="B61" s="18">
        <v>2021.0</v>
      </c>
      <c r="C61" s="19" t="s">
        <v>780</v>
      </c>
      <c r="D61" s="19" t="s">
        <v>781</v>
      </c>
      <c r="E61" s="18" t="s">
        <v>750</v>
      </c>
      <c r="F61" s="18" t="s">
        <v>544</v>
      </c>
      <c r="G61" s="18" t="s">
        <v>782</v>
      </c>
      <c r="H61" s="18" t="s">
        <v>783</v>
      </c>
    </row>
    <row r="62">
      <c r="A62" s="18" t="s">
        <v>784</v>
      </c>
      <c r="B62" s="18">
        <v>2021.0</v>
      </c>
      <c r="C62" s="19" t="s">
        <v>785</v>
      </c>
      <c r="D62" s="18" t="s">
        <v>536</v>
      </c>
      <c r="E62" s="18" t="s">
        <v>651</v>
      </c>
      <c r="F62" s="18" t="s">
        <v>651</v>
      </c>
      <c r="G62" s="18" t="s">
        <v>545</v>
      </c>
      <c r="H62" s="18" t="s">
        <v>786</v>
      </c>
    </row>
    <row r="63">
      <c r="A63" s="18" t="s">
        <v>787</v>
      </c>
      <c r="B63" s="18">
        <v>2021.0</v>
      </c>
      <c r="C63" s="19" t="s">
        <v>788</v>
      </c>
      <c r="D63" s="19" t="s">
        <v>789</v>
      </c>
      <c r="E63" s="18" t="s">
        <v>590</v>
      </c>
      <c r="F63" s="18" t="s">
        <v>544</v>
      </c>
      <c r="G63" s="18" t="s">
        <v>539</v>
      </c>
      <c r="H63" s="18" t="s">
        <v>790</v>
      </c>
    </row>
    <row r="64">
      <c r="A64" s="18" t="s">
        <v>791</v>
      </c>
      <c r="B64" s="18">
        <v>2021.0</v>
      </c>
      <c r="C64" s="19" t="s">
        <v>792</v>
      </c>
      <c r="D64" s="18" t="s">
        <v>536</v>
      </c>
      <c r="E64" s="18" t="s">
        <v>590</v>
      </c>
      <c r="F64" s="18" t="s">
        <v>544</v>
      </c>
      <c r="G64" s="18" t="s">
        <v>545</v>
      </c>
      <c r="H64" s="18" t="s">
        <v>793</v>
      </c>
    </row>
    <row r="65">
      <c r="A65" s="18" t="s">
        <v>794</v>
      </c>
      <c r="B65" s="18">
        <v>2022.0</v>
      </c>
      <c r="C65" s="19" t="s">
        <v>795</v>
      </c>
      <c r="D65" s="19" t="s">
        <v>796</v>
      </c>
      <c r="E65" s="18" t="s">
        <v>750</v>
      </c>
      <c r="F65" s="18" t="s">
        <v>544</v>
      </c>
      <c r="G65" s="18" t="s">
        <v>539</v>
      </c>
      <c r="H65" s="18" t="s">
        <v>797</v>
      </c>
    </row>
    <row r="66">
      <c r="A66" s="18" t="s">
        <v>798</v>
      </c>
      <c r="B66" s="18">
        <v>2022.0</v>
      </c>
      <c r="C66" s="19" t="s">
        <v>799</v>
      </c>
      <c r="D66" s="19" t="s">
        <v>800</v>
      </c>
      <c r="E66" s="18" t="s">
        <v>638</v>
      </c>
      <c r="F66" s="18" t="s">
        <v>544</v>
      </c>
      <c r="G66" s="18" t="s">
        <v>545</v>
      </c>
      <c r="H66" s="18" t="s">
        <v>801</v>
      </c>
    </row>
    <row r="67">
      <c r="A67" s="18" t="s">
        <v>802</v>
      </c>
      <c r="B67" s="18">
        <v>2022.0</v>
      </c>
      <c r="C67" s="19" t="s">
        <v>803</v>
      </c>
      <c r="D67" s="19" t="s">
        <v>804</v>
      </c>
      <c r="E67" s="18" t="s">
        <v>625</v>
      </c>
      <c r="F67" s="18" t="s">
        <v>544</v>
      </c>
      <c r="G67" s="18" t="s">
        <v>539</v>
      </c>
      <c r="H67" s="18" t="s">
        <v>805</v>
      </c>
    </row>
    <row r="68">
      <c r="A68" s="18" t="s">
        <v>806</v>
      </c>
      <c r="B68" s="18">
        <v>2022.0</v>
      </c>
      <c r="C68" s="19" t="s">
        <v>807</v>
      </c>
      <c r="D68" s="19" t="s">
        <v>808</v>
      </c>
      <c r="E68" s="18" t="s">
        <v>651</v>
      </c>
      <c r="F68" s="18" t="s">
        <v>651</v>
      </c>
      <c r="G68" s="18" t="s">
        <v>545</v>
      </c>
      <c r="H68" s="18" t="s">
        <v>809</v>
      </c>
    </row>
    <row r="69">
      <c r="A69" s="18" t="s">
        <v>810</v>
      </c>
      <c r="B69" s="18">
        <v>2022.0</v>
      </c>
      <c r="C69" s="19" t="s">
        <v>811</v>
      </c>
      <c r="D69" s="18" t="s">
        <v>536</v>
      </c>
      <c r="E69" s="18" t="s">
        <v>651</v>
      </c>
      <c r="F69" s="18" t="s">
        <v>544</v>
      </c>
      <c r="G69" s="18" t="s">
        <v>545</v>
      </c>
      <c r="H69" s="18" t="s">
        <v>812</v>
      </c>
    </row>
    <row r="70">
      <c r="A70" s="18" t="s">
        <v>813</v>
      </c>
      <c r="B70" s="18">
        <v>2022.0</v>
      </c>
      <c r="C70" s="19" t="s">
        <v>814</v>
      </c>
      <c r="D70" s="19" t="s">
        <v>815</v>
      </c>
      <c r="E70" s="18" t="s">
        <v>590</v>
      </c>
      <c r="F70" s="18" t="s">
        <v>544</v>
      </c>
      <c r="G70" s="18" t="s">
        <v>545</v>
      </c>
      <c r="H70" s="23" t="s">
        <v>816</v>
      </c>
    </row>
    <row r="71">
      <c r="A71" s="18" t="s">
        <v>817</v>
      </c>
      <c r="B71" s="18">
        <v>2022.0</v>
      </c>
      <c r="C71" s="19" t="s">
        <v>818</v>
      </c>
      <c r="D71" s="18" t="s">
        <v>536</v>
      </c>
      <c r="E71" s="18" t="s">
        <v>590</v>
      </c>
      <c r="F71" s="18" t="s">
        <v>544</v>
      </c>
      <c r="G71" s="18" t="s">
        <v>545</v>
      </c>
      <c r="H71" s="18" t="s">
        <v>819</v>
      </c>
    </row>
    <row r="72">
      <c r="A72" s="18" t="s">
        <v>820</v>
      </c>
      <c r="B72" s="18" t="s">
        <v>821</v>
      </c>
      <c r="C72" s="19" t="s">
        <v>822</v>
      </c>
      <c r="D72" s="19" t="s">
        <v>823</v>
      </c>
      <c r="E72" s="18" t="s">
        <v>824</v>
      </c>
      <c r="F72" s="18" t="s">
        <v>544</v>
      </c>
      <c r="G72" s="18" t="s">
        <v>545</v>
      </c>
      <c r="H72" s="18" t="s">
        <v>825</v>
      </c>
    </row>
    <row r="73">
      <c r="A73" s="17" t="s">
        <v>826</v>
      </c>
      <c r="B73" s="18">
        <v>2023.0</v>
      </c>
      <c r="C73" s="19" t="s">
        <v>827</v>
      </c>
      <c r="D73" s="19" t="s">
        <v>828</v>
      </c>
      <c r="E73" s="18" t="s">
        <v>590</v>
      </c>
      <c r="F73" s="18" t="s">
        <v>544</v>
      </c>
      <c r="G73" s="18" t="s">
        <v>539</v>
      </c>
      <c r="H73" s="18" t="s">
        <v>829</v>
      </c>
    </row>
    <row r="74">
      <c r="A74" s="18" t="s">
        <v>830</v>
      </c>
      <c r="B74" s="18">
        <v>2023.0</v>
      </c>
      <c r="C74" s="19" t="s">
        <v>831</v>
      </c>
      <c r="D74" s="19" t="s">
        <v>832</v>
      </c>
      <c r="E74" s="18" t="s">
        <v>590</v>
      </c>
      <c r="F74" s="18" t="s">
        <v>544</v>
      </c>
      <c r="G74" s="18" t="s">
        <v>539</v>
      </c>
      <c r="H74" s="18" t="s">
        <v>833</v>
      </c>
    </row>
    <row r="75">
      <c r="A75" s="18" t="s">
        <v>834</v>
      </c>
      <c r="B75" s="18">
        <v>2023.0</v>
      </c>
      <c r="C75" s="19" t="s">
        <v>835</v>
      </c>
      <c r="D75" s="19" t="s">
        <v>836</v>
      </c>
      <c r="E75" s="18" t="s">
        <v>837</v>
      </c>
      <c r="F75" s="18" t="s">
        <v>544</v>
      </c>
      <c r="G75" s="18" t="s">
        <v>539</v>
      </c>
      <c r="H75" s="18" t="s">
        <v>838</v>
      </c>
    </row>
    <row r="76">
      <c r="A76" s="18" t="s">
        <v>839</v>
      </c>
      <c r="B76" s="18">
        <v>2023.0</v>
      </c>
      <c r="C76" s="19" t="s">
        <v>840</v>
      </c>
      <c r="D76" s="18" t="s">
        <v>536</v>
      </c>
      <c r="E76" s="18" t="s">
        <v>841</v>
      </c>
      <c r="F76" s="18" t="s">
        <v>651</v>
      </c>
      <c r="G76" s="18" t="s">
        <v>539</v>
      </c>
      <c r="H76" s="18" t="s">
        <v>842</v>
      </c>
    </row>
  </sheetData>
  <hyperlinks>
    <hyperlink r:id="rId1" ref="D2"/>
    <hyperlink r:id="rId2" ref="C3"/>
    <hyperlink r:id="rId3" ref="C4"/>
    <hyperlink r:id="rId4" ref="D4"/>
    <hyperlink r:id="rId5" ref="D5"/>
    <hyperlink r:id="rId6" ref="D7"/>
    <hyperlink r:id="rId7" ref="C8"/>
    <hyperlink r:id="rId8" ref="D8"/>
    <hyperlink r:id="rId9" ref="C9"/>
    <hyperlink r:id="rId10" ref="D9"/>
    <hyperlink r:id="rId11" ref="C10"/>
    <hyperlink r:id="rId12" ref="C11"/>
    <hyperlink r:id="rId13" ref="D11"/>
    <hyperlink r:id="rId14" ref="C12"/>
    <hyperlink r:id="rId15" ref="D12"/>
    <hyperlink r:id="rId16" ref="C13"/>
    <hyperlink r:id="rId17" ref="D13"/>
    <hyperlink r:id="rId18" ref="D15"/>
    <hyperlink r:id="rId19" ref="C16"/>
    <hyperlink r:id="rId20" ref="C17"/>
    <hyperlink r:id="rId21" ref="D18"/>
    <hyperlink r:id="rId22" ref="C19"/>
    <hyperlink r:id="rId23" ref="D19"/>
    <hyperlink r:id="rId24" ref="C20"/>
    <hyperlink r:id="rId25" ref="D20"/>
    <hyperlink r:id="rId26" ref="C21"/>
    <hyperlink r:id="rId27" ref="D21"/>
    <hyperlink r:id="rId28" ref="C22"/>
    <hyperlink r:id="rId29" ref="C23"/>
    <hyperlink r:id="rId30" ref="C24"/>
    <hyperlink r:id="rId31" ref="C25"/>
    <hyperlink r:id="rId32" ref="D25"/>
    <hyperlink r:id="rId33" ref="C26"/>
    <hyperlink r:id="rId34" ref="D27"/>
    <hyperlink r:id="rId35" ref="C29"/>
    <hyperlink r:id="rId36" ref="D29"/>
    <hyperlink r:id="rId37" ref="C30"/>
    <hyperlink r:id="rId38" ref="D30"/>
    <hyperlink r:id="rId39" ref="C31"/>
    <hyperlink r:id="rId40" ref="D32"/>
    <hyperlink r:id="rId41" ref="C33"/>
    <hyperlink r:id="rId42" ref="D33"/>
    <hyperlink r:id="rId43" ref="C34"/>
    <hyperlink r:id="rId44" ref="D34"/>
    <hyperlink r:id="rId45" ref="C35"/>
    <hyperlink r:id="rId46" ref="D36"/>
    <hyperlink r:id="rId47" ref="C37"/>
    <hyperlink r:id="rId48" ref="C38"/>
    <hyperlink r:id="rId49" ref="D38"/>
    <hyperlink r:id="rId50" ref="C39"/>
    <hyperlink r:id="rId51" ref="C40"/>
    <hyperlink r:id="rId52" ref="C41"/>
    <hyperlink r:id="rId53" ref="D41"/>
    <hyperlink r:id="rId54" ref="C42"/>
    <hyperlink r:id="rId55" ref="C43"/>
    <hyperlink r:id="rId56" ref="D43"/>
    <hyperlink r:id="rId57" ref="C44"/>
    <hyperlink r:id="rId58" ref="D44"/>
    <hyperlink r:id="rId59" ref="C45"/>
    <hyperlink r:id="rId60" ref="C46"/>
    <hyperlink r:id="rId61" ref="D47"/>
    <hyperlink r:id="rId62" ref="C48"/>
    <hyperlink r:id="rId63" ref="D48"/>
    <hyperlink r:id="rId64" ref="C49"/>
    <hyperlink r:id="rId65" ref="H49"/>
    <hyperlink r:id="rId66" ref="C50"/>
    <hyperlink r:id="rId67" ref="D50"/>
    <hyperlink r:id="rId68" ref="C51"/>
    <hyperlink r:id="rId69" ref="D51"/>
    <hyperlink r:id="rId70" ref="C52"/>
    <hyperlink r:id="rId71" ref="D52"/>
    <hyperlink r:id="rId72" ref="C53"/>
    <hyperlink r:id="rId73" ref="D53"/>
    <hyperlink r:id="rId74" ref="C54"/>
    <hyperlink r:id="rId75" ref="D54"/>
    <hyperlink r:id="rId76" ref="D55"/>
    <hyperlink r:id="rId77" ref="C56"/>
    <hyperlink r:id="rId78" ref="D56"/>
    <hyperlink r:id="rId79" ref="C57"/>
    <hyperlink r:id="rId80" ref="D57"/>
    <hyperlink r:id="rId81" ref="C58"/>
    <hyperlink r:id="rId82" ref="C59"/>
    <hyperlink r:id="rId83" ref="C60"/>
    <hyperlink r:id="rId84" ref="D60"/>
    <hyperlink r:id="rId85" ref="C61"/>
    <hyperlink r:id="rId86" ref="D61"/>
    <hyperlink r:id="rId87" ref="C62"/>
    <hyperlink r:id="rId88" ref="C63"/>
    <hyperlink r:id="rId89" ref="D63"/>
    <hyperlink r:id="rId90" ref="C64"/>
    <hyperlink r:id="rId91" ref="C65"/>
    <hyperlink r:id="rId92" ref="D65"/>
    <hyperlink r:id="rId93" ref="C66"/>
    <hyperlink r:id="rId94" ref="D66"/>
    <hyperlink r:id="rId95" ref="C67"/>
    <hyperlink r:id="rId96" ref="D67"/>
    <hyperlink r:id="rId97" ref="C68"/>
    <hyperlink r:id="rId98" ref="D68"/>
    <hyperlink r:id="rId99" ref="C69"/>
    <hyperlink r:id="rId100" ref="C70"/>
    <hyperlink r:id="rId101" ref="D70"/>
    <hyperlink r:id="rId102" ref="H70"/>
    <hyperlink r:id="rId103" ref="C71"/>
    <hyperlink r:id="rId104" ref="C72"/>
    <hyperlink r:id="rId105" ref="D72"/>
    <hyperlink r:id="rId106" ref="C73"/>
    <hyperlink r:id="rId107" ref="D73"/>
    <hyperlink r:id="rId108" ref="C74"/>
    <hyperlink r:id="rId109" ref="D74"/>
    <hyperlink r:id="rId110" ref="C75"/>
    <hyperlink r:id="rId111" ref="D75"/>
    <hyperlink r:id="rId112" ref="C76"/>
  </hyperlinks>
  <drawing r:id="rId113"/>
</worksheet>
</file>