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esktop\Estacao_meteorologica\Estacao_Meteorologica\"/>
    </mc:Choice>
  </mc:AlternateContent>
  <xr:revisionPtr revIDLastSave="0" documentId="8_{375EC815-5555-4ECC-9E12-E33E76291F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6" i="1"/>
  <c r="E49" i="1"/>
  <c r="H49" i="1"/>
  <c r="I49" i="1"/>
  <c r="H45" i="1"/>
  <c r="I38" i="1"/>
  <c r="I36" i="1"/>
  <c r="J36" i="1"/>
  <c r="G36" i="1"/>
  <c r="R5" i="1"/>
  <c r="R6" i="1"/>
  <c r="R7" i="1"/>
  <c r="R8" i="1"/>
  <c r="R9" i="1"/>
  <c r="R4" i="1"/>
  <c r="L4" i="1"/>
  <c r="M4" i="1" l="1"/>
  <c r="K4" i="1" l="1"/>
  <c r="J67" i="1"/>
  <c r="J66" i="1"/>
  <c r="J65" i="1"/>
  <c r="J64" i="1"/>
  <c r="J63" i="1"/>
  <c r="J62" i="1"/>
  <c r="J68" i="1" s="1"/>
  <c r="D16" i="1" l="1"/>
  <c r="D36" i="1" l="1"/>
  <c r="D17" i="1"/>
  <c r="D18" i="1"/>
  <c r="D19" i="1"/>
  <c r="D20" i="1"/>
  <c r="D21" i="1"/>
  <c r="L9" i="1"/>
  <c r="M9" i="1" s="1"/>
  <c r="F21" i="1" s="1"/>
  <c r="L8" i="1"/>
  <c r="M8" i="1" s="1"/>
  <c r="F20" i="1" s="1"/>
  <c r="L7" i="1"/>
  <c r="M7" i="1" s="1"/>
  <c r="F19" i="1" s="1"/>
  <c r="L6" i="1"/>
  <c r="M6" i="1" s="1"/>
  <c r="F18" i="1" s="1"/>
  <c r="L5" i="1"/>
  <c r="M5" i="1" s="1"/>
  <c r="F17" i="1" s="1"/>
  <c r="F16" i="1"/>
  <c r="K9" i="1"/>
  <c r="E21" i="1" s="1"/>
  <c r="E41" i="1" s="1"/>
  <c r="K8" i="1"/>
  <c r="E20" i="1" s="1"/>
  <c r="E40" i="1" s="1"/>
  <c r="K7" i="1"/>
  <c r="E19" i="1" s="1"/>
  <c r="E39" i="1" s="1"/>
  <c r="K6" i="1"/>
  <c r="E18" i="1" s="1"/>
  <c r="E38" i="1" s="1"/>
  <c r="K5" i="1"/>
  <c r="E17" i="1" s="1"/>
  <c r="E37" i="1" s="1"/>
  <c r="E16" i="1"/>
  <c r="E36" i="1" s="1"/>
  <c r="K36" i="1" l="1"/>
  <c r="G40" i="1"/>
  <c r="I40" i="1" s="1"/>
  <c r="G66" i="1"/>
  <c r="G63" i="1"/>
  <c r="G37" i="1"/>
  <c r="I37" i="1" s="1"/>
  <c r="G67" i="1"/>
  <c r="G41" i="1"/>
  <c r="I41" i="1" s="1"/>
  <c r="G62" i="1"/>
  <c r="H62" i="1"/>
  <c r="D49" i="1"/>
  <c r="G64" i="1"/>
  <c r="G38" i="1"/>
  <c r="G39" i="1"/>
  <c r="I39" i="1" s="1"/>
  <c r="G65" i="1"/>
  <c r="H64" i="1"/>
  <c r="D38" i="1"/>
  <c r="H67" i="1"/>
  <c r="D41" i="1"/>
  <c r="H63" i="1"/>
  <c r="D37" i="1"/>
  <c r="H66" i="1"/>
  <c r="D40" i="1"/>
  <c r="H65" i="1"/>
  <c r="D39" i="1"/>
  <c r="J41" i="1"/>
  <c r="D54" i="1"/>
  <c r="J38" i="1"/>
  <c r="D51" i="1"/>
  <c r="J37" i="1"/>
  <c r="D50" i="1"/>
  <c r="E43" i="1"/>
  <c r="J40" i="1"/>
  <c r="D53" i="1"/>
  <c r="J39" i="1"/>
  <c r="D52" i="1"/>
  <c r="H39" i="1" l="1"/>
  <c r="K39" i="1"/>
  <c r="H38" i="1"/>
  <c r="K38" i="1"/>
  <c r="H37" i="1"/>
  <c r="K37" i="1"/>
  <c r="H40" i="1"/>
  <c r="K40" i="1"/>
  <c r="H41" i="1"/>
  <c r="K41" i="1"/>
  <c r="K66" i="1"/>
  <c r="I66" i="1"/>
  <c r="K67" i="1"/>
  <c r="I67" i="1"/>
  <c r="G42" i="1"/>
  <c r="G68" i="1"/>
  <c r="H68" i="1"/>
  <c r="K62" i="1"/>
  <c r="I62" i="1"/>
  <c r="K65" i="1"/>
  <c r="I65" i="1"/>
  <c r="K63" i="1"/>
  <c r="I63" i="1"/>
  <c r="K64" i="1"/>
  <c r="I64" i="1"/>
  <c r="I42" i="1"/>
  <c r="J42" i="1"/>
  <c r="H42" i="1" l="1"/>
  <c r="I68" i="1"/>
  <c r="K68" i="1"/>
  <c r="K42" i="1"/>
  <c r="I56" i="1" l="1"/>
  <c r="E53" i="1" s="1"/>
  <c r="E51" i="1" l="1"/>
  <c r="E52" i="1"/>
  <c r="E54" i="1"/>
  <c r="E50" i="1"/>
</calcChain>
</file>

<file path=xl/sharedStrings.xml><?xml version="1.0" encoding="utf-8"?>
<sst xmlns="http://schemas.openxmlformats.org/spreadsheetml/2006/main" count="49" uniqueCount="40">
  <si>
    <t>Medições da Temperatura</t>
  </si>
  <si>
    <t>Calibração do LM35</t>
  </si>
  <si>
    <t>X</t>
  </si>
  <si>
    <t>Y</t>
  </si>
  <si>
    <r>
      <t>Sx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</si>
  <si>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r>
      <t>Sx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C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</si>
  <si>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Sy (cm)</t>
  </si>
  <si>
    <r>
      <t>Sxy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C.cm)</t>
    </r>
  </si>
  <si>
    <r>
      <t>Δ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C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:</t>
    </r>
  </si>
  <si>
    <t xml:space="preserve"> f -1 (y) = 4,6792.y - 8,7631</t>
  </si>
  <si>
    <t xml:space="preserve">nro de leituras (n) : </t>
  </si>
  <si>
    <r>
      <t>Ssigma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</si>
  <si>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t>Ssigma</t>
  </si>
  <si>
    <t>Sy (V)</t>
  </si>
  <si>
    <r>
      <t>Sxy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C.V)</t>
    </r>
  </si>
  <si>
    <t>Incerteza  Padrão</t>
  </si>
  <si>
    <t xml:space="preserve">Desvio Padrão </t>
  </si>
  <si>
    <t>Incerteza tipoA(V)</t>
  </si>
  <si>
    <t xml:space="preserve">Incerteza Padrão </t>
  </si>
  <si>
    <t>DHT22 (UR%)</t>
  </si>
  <si>
    <t>URmed(UR%)</t>
  </si>
  <si>
    <t>Incerteza tipoB(UR%)</t>
  </si>
  <si>
    <t>Incerteza tipoB(T)</t>
  </si>
  <si>
    <t>dU/dT</t>
  </si>
  <si>
    <t>UR(%) padrão</t>
  </si>
  <si>
    <r>
      <t>T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 padrão</t>
    </r>
  </si>
  <si>
    <t>Solução salina</t>
  </si>
  <si>
    <t>KOH</t>
  </si>
  <si>
    <t>Kac</t>
  </si>
  <si>
    <t>MgCl2</t>
  </si>
  <si>
    <t>Ca(NO3)2</t>
  </si>
  <si>
    <t>NaCl</t>
  </si>
  <si>
    <t>KCl</t>
  </si>
  <si>
    <t>1/a (%/%)</t>
  </si>
  <si>
    <t>-b/a (%)</t>
  </si>
  <si>
    <t>a (%/%)</t>
  </si>
  <si>
    <t>b (%)</t>
  </si>
  <si>
    <r>
      <rPr>
        <b/>
        <sz val="12"/>
        <color theme="1"/>
        <rFont val="Calibri"/>
        <family val="2"/>
        <scheme val="minor"/>
      </rPr>
      <t xml:space="preserve">UR(%) DHT22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padrão  :</t>
    </r>
    <r>
      <rPr>
        <sz val="12"/>
        <color theme="1"/>
        <rFont val="Calibri"/>
        <family val="2"/>
        <scheme val="minor"/>
      </rPr>
      <t xml:space="preserve">  f 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(y) = (1/a).y - (b/a)</t>
    </r>
  </si>
  <si>
    <r>
      <t xml:space="preserve">UR(%) padrão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DHT22:</t>
    </r>
    <r>
      <rPr>
        <sz val="12"/>
        <color theme="1"/>
        <rFont val="Calibri"/>
        <family val="2"/>
        <scheme val="minor"/>
      </rPr>
      <t xml:space="preserve"> f (x) = a.x + b</t>
    </r>
  </si>
  <si>
    <t>MMq Umidade.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</si>
</sst>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"/>
    <numFmt numFmtId="166" formatCode="0.00000000000"/>
    <numFmt numFmtId="167" formatCode="0.000000000000"/>
    <numFmt numFmtId="168" formatCode="0.0000000000000"/>
    <numFmt numFmtId="169" formatCode="0.000000000"/>
    <numFmt numFmtId="170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0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7" fillId="2" borderId="1" xfId="1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64" fontId="0" fillId="6" borderId="6" xfId="0" applyNumberForma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9" fontId="0" fillId="0" borderId="6" xfId="0" applyNumberFormat="1" applyFill="1" applyBorder="1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10" fillId="4" borderId="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21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14639187777972E-3"/>
                  <c:y val="-0.1383622546743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2.0102100498317195</c:v>
                  </c:pt>
                  <c:pt idx="1">
                    <c:v>2.0003333155585179</c:v>
                  </c:pt>
                  <c:pt idx="2">
                    <c:v>2.012530193010226</c:v>
                  </c:pt>
                  <c:pt idx="3">
                    <c:v>2.514040572464971</c:v>
                  </c:pt>
                  <c:pt idx="4">
                    <c:v>2.002043400572969</c:v>
                  </c:pt>
                  <c:pt idx="5">
                    <c:v>2.0040542241499688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2.0102100498317195</c:v>
                  </c:pt>
                  <c:pt idx="1">
                    <c:v>2.0003333155585179</c:v>
                  </c:pt>
                  <c:pt idx="2">
                    <c:v>2.012530193010226</c:v>
                  </c:pt>
                  <c:pt idx="3">
                    <c:v>2.514040572464971</c:v>
                  </c:pt>
                  <c:pt idx="4">
                    <c:v>2.002043400572969</c:v>
                  </c:pt>
                  <c:pt idx="5">
                    <c:v>2.0040542241499688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Plan1!$D$16:$D$21</c:f>
              <c:numCache>
                <c:formatCode>0.00</c:formatCode>
                <c:ptCount val="6"/>
                <c:pt idx="0">
                  <c:v>7.9</c:v>
                </c:pt>
                <c:pt idx="1">
                  <c:v>23</c:v>
                </c:pt>
                <c:pt idx="2">
                  <c:v>32.9</c:v>
                </c:pt>
                <c:pt idx="3">
                  <c:v>53.6</c:v>
                </c:pt>
                <c:pt idx="4">
                  <c:v>75.099999999999994</c:v>
                </c:pt>
                <c:pt idx="5">
                  <c:v>85.18</c:v>
                </c:pt>
              </c:numCache>
            </c:numRef>
          </c:xVal>
          <c:yVal>
            <c:numRef>
              <c:f>Plan1!$E$16:$E$21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D-4E4B-99E8-09810237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6320"/>
        <c:axId val="-782240128"/>
      </c:scatterChart>
      <c:valAx>
        <c:axId val="-7822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128"/>
        <c:crosses val="autoZero"/>
        <c:crossBetween val="midCat"/>
      </c:valAx>
      <c:valAx>
        <c:axId val="-7822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21FF6B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2.0102100498317195</c:v>
                  </c:pt>
                  <c:pt idx="1">
                    <c:v>2.0003333155585179</c:v>
                  </c:pt>
                  <c:pt idx="2">
                    <c:v>2.012530193010226</c:v>
                  </c:pt>
                  <c:pt idx="3">
                    <c:v>2.514040572464971</c:v>
                  </c:pt>
                  <c:pt idx="4">
                    <c:v>2.002043400572969</c:v>
                  </c:pt>
                  <c:pt idx="5">
                    <c:v>2.0040542241499688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2.0102100498317195</c:v>
                  </c:pt>
                  <c:pt idx="1">
                    <c:v>2.0003333155585179</c:v>
                  </c:pt>
                  <c:pt idx="2">
                    <c:v>2.012530193010226</c:v>
                  </c:pt>
                  <c:pt idx="3">
                    <c:v>2.514040572464971</c:v>
                  </c:pt>
                  <c:pt idx="4">
                    <c:v>2.002043400572969</c:v>
                  </c:pt>
                  <c:pt idx="5">
                    <c:v>2.0040542241499688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Plan1!$D$49:$D$54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xVal>
          <c:yVal>
            <c:numRef>
              <c:f>Plan1!$E$49:$E$54</c:f>
              <c:numCache>
                <c:formatCode>0.0000</c:formatCode>
                <c:ptCount val="6"/>
                <c:pt idx="0">
                  <c:v>9.6981190489752187</c:v>
                </c:pt>
                <c:pt idx="1">
                  <c:v>20.810918454736012</c:v>
                </c:pt>
                <c:pt idx="2">
                  <c:v>31.433704658353026</c:v>
                </c:pt>
                <c:pt idx="3">
                  <c:v>57.561908615519755</c:v>
                </c:pt>
                <c:pt idx="4">
                  <c:v>74.60736786152134</c:v>
                </c:pt>
                <c:pt idx="5">
                  <c:v>85.020148407076732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43A4-94A0-5D481BF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9584"/>
        <c:axId val="-782240672"/>
      </c:scatterChart>
      <c:valAx>
        <c:axId val="-7822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672"/>
        <c:crosses val="autoZero"/>
        <c:crossBetween val="midCat"/>
      </c:valAx>
      <c:valAx>
        <c:axId val="-782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14</xdr:row>
      <xdr:rowOff>2778</xdr:rowOff>
    </xdr:from>
    <xdr:to>
      <xdr:col>21</xdr:col>
      <xdr:colOff>203597</xdr:colOff>
      <xdr:row>32</xdr:row>
      <xdr:rowOff>9921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521891</xdr:colOff>
      <xdr:row>40</xdr:row>
      <xdr:rowOff>171251</xdr:rowOff>
    </xdr:from>
    <xdr:to>
      <xdr:col>23</xdr:col>
      <xdr:colOff>252016</xdr:colOff>
      <xdr:row>53</xdr:row>
      <xdr:rowOff>146248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68"/>
  <sheetViews>
    <sheetView tabSelected="1" topLeftCell="A10" zoomScale="70" zoomScaleNormal="70" workbookViewId="0">
      <selection activeCell="I56" sqref="I56"/>
    </sheetView>
  </sheetViews>
  <sheetFormatPr defaultRowHeight="14.5" x14ac:dyDescent="0.35"/>
  <cols>
    <col min="2" max="2" width="21.90625" customWidth="1"/>
    <col min="3" max="3" width="16.453125" customWidth="1"/>
    <col min="4" max="4" width="21.26953125" customWidth="1"/>
    <col min="5" max="5" width="13.1796875" customWidth="1"/>
    <col min="7" max="7" width="13.7265625" customWidth="1"/>
    <col min="8" max="8" width="19.54296875" customWidth="1"/>
    <col min="9" max="9" width="26.26953125" customWidth="1"/>
    <col min="11" max="11" width="23.54296875" customWidth="1"/>
    <col min="12" max="12" width="17.6328125" customWidth="1"/>
    <col min="13" max="13" width="15.81640625" customWidth="1"/>
    <col min="14" max="14" width="22.1796875" customWidth="1"/>
    <col min="15" max="15" width="18.7265625" customWidth="1"/>
  </cols>
  <sheetData>
    <row r="2" spans="2:25" ht="20.25" customHeight="1" thickBot="1" x14ac:dyDescent="0.5">
      <c r="D2" s="42" t="s">
        <v>0</v>
      </c>
      <c r="E2" s="42"/>
      <c r="F2" s="42"/>
      <c r="G2" s="42"/>
      <c r="H2" s="42"/>
      <c r="I2" s="42"/>
      <c r="J2" s="42"/>
    </row>
    <row r="3" spans="2:25" ht="48.75" customHeight="1" thickBot="1" x14ac:dyDescent="0.4">
      <c r="B3" s="1" t="s">
        <v>26</v>
      </c>
      <c r="C3" s="1" t="s">
        <v>25</v>
      </c>
      <c r="D3" s="1" t="s">
        <v>24</v>
      </c>
      <c r="E3" s="43" t="s">
        <v>19</v>
      </c>
      <c r="F3" s="44"/>
      <c r="G3" s="44"/>
      <c r="H3" s="44"/>
      <c r="I3" s="44"/>
      <c r="J3" s="45"/>
      <c r="K3" s="5" t="s">
        <v>20</v>
      </c>
      <c r="L3" s="37" t="s">
        <v>16</v>
      </c>
      <c r="M3" s="38" t="s">
        <v>17</v>
      </c>
      <c r="N3" s="38" t="s">
        <v>21</v>
      </c>
      <c r="O3" s="38" t="s">
        <v>22</v>
      </c>
      <c r="P3" s="37" t="s">
        <v>23</v>
      </c>
      <c r="Q3" s="37"/>
      <c r="R3" s="38" t="s">
        <v>18</v>
      </c>
    </row>
    <row r="4" spans="2:25" x14ac:dyDescent="0.35">
      <c r="B4" s="2" t="s">
        <v>27</v>
      </c>
      <c r="C4" s="2">
        <v>25.9</v>
      </c>
      <c r="D4" s="2">
        <v>7.9</v>
      </c>
      <c r="E4" s="3">
        <v>12.1</v>
      </c>
      <c r="F4" s="3">
        <v>12.1</v>
      </c>
      <c r="G4" s="3">
        <v>12</v>
      </c>
      <c r="H4" s="3">
        <v>11.9</v>
      </c>
      <c r="I4" s="3">
        <v>12</v>
      </c>
      <c r="J4" s="3">
        <v>12</v>
      </c>
      <c r="K4" s="4">
        <f>AVERAGE(E4:J4)</f>
        <v>12.016666666666666</v>
      </c>
      <c r="L4">
        <f>_xlfn.STDEV.S(E4:J4)</f>
        <v>7.527726527090782E-2</v>
      </c>
      <c r="M4">
        <f>L4/SQRT(6)</f>
        <v>3.0731814857642845E-2</v>
      </c>
      <c r="N4">
        <v>2</v>
      </c>
      <c r="O4">
        <v>2</v>
      </c>
      <c r="P4">
        <v>0.1</v>
      </c>
      <c r="R4">
        <f>SQRT(M4^2 +N4^2+(P4 * O4)^2)</f>
        <v>2.0102100498317195</v>
      </c>
      <c r="Y4" s="4"/>
    </row>
    <row r="5" spans="2:25" x14ac:dyDescent="0.35">
      <c r="B5" s="2" t="s">
        <v>28</v>
      </c>
      <c r="C5" s="2">
        <v>24</v>
      </c>
      <c r="D5" s="2">
        <v>23</v>
      </c>
      <c r="E5" s="3">
        <v>22.7</v>
      </c>
      <c r="F5" s="3">
        <v>22.6</v>
      </c>
      <c r="G5" s="3">
        <v>22.5</v>
      </c>
      <c r="H5" s="3">
        <v>22.7</v>
      </c>
      <c r="I5" s="3">
        <v>22.6</v>
      </c>
      <c r="J5" s="3">
        <v>22.5</v>
      </c>
      <c r="K5" s="4">
        <f>AVERAGE(E5:J5)</f>
        <v>22.599999999999998</v>
      </c>
      <c r="L5">
        <f t="shared" ref="L5:L9" si="0">_xlfn.STDEV.S(E5:J5)</f>
        <v>8.9442719099991269E-2</v>
      </c>
      <c r="M5">
        <f t="shared" ref="M5:M9" si="1">L5/SQRT(6)</f>
        <v>3.6514837167010948E-2</v>
      </c>
      <c r="N5">
        <v>2</v>
      </c>
      <c r="O5">
        <v>2</v>
      </c>
      <c r="P5">
        <v>1E-4</v>
      </c>
      <c r="R5">
        <f t="shared" ref="R5:R9" si="2">SQRT(M5^2 +N5^2+(P5 * O5)^2)</f>
        <v>2.0003333155585179</v>
      </c>
      <c r="Y5" s="4"/>
    </row>
    <row r="6" spans="2:25" x14ac:dyDescent="0.35">
      <c r="B6" s="2" t="s">
        <v>29</v>
      </c>
      <c r="C6" s="2">
        <v>20.8</v>
      </c>
      <c r="D6" s="2">
        <v>32.9</v>
      </c>
      <c r="E6" s="3">
        <v>32.6</v>
      </c>
      <c r="F6" s="3">
        <v>32.9</v>
      </c>
      <c r="G6" s="3">
        <v>33</v>
      </c>
      <c r="H6" s="3">
        <v>32.799999999999997</v>
      </c>
      <c r="I6" s="3">
        <v>32.700000000000003</v>
      </c>
      <c r="J6" s="3">
        <v>32.299999999999997</v>
      </c>
      <c r="K6" s="4">
        <f t="shared" ref="K6:K9" si="3">AVERAGE(E6:J6)</f>
        <v>32.716666666666669</v>
      </c>
      <c r="L6">
        <f t="shared" si="0"/>
        <v>0.24832774042918937</v>
      </c>
      <c r="M6">
        <f t="shared" si="1"/>
        <v>0.10137937550497049</v>
      </c>
      <c r="N6">
        <v>2</v>
      </c>
      <c r="O6">
        <v>2</v>
      </c>
      <c r="P6">
        <v>0.1</v>
      </c>
      <c r="R6">
        <f t="shared" si="2"/>
        <v>2.012530193010226</v>
      </c>
      <c r="Y6" s="4"/>
    </row>
    <row r="7" spans="2:25" x14ac:dyDescent="0.35">
      <c r="B7" s="2" t="s">
        <v>30</v>
      </c>
      <c r="C7" s="2">
        <v>23</v>
      </c>
      <c r="D7" s="2">
        <v>53.6</v>
      </c>
      <c r="E7" s="3">
        <v>57.6</v>
      </c>
      <c r="F7" s="3">
        <v>57.4</v>
      </c>
      <c r="G7" s="3">
        <v>57.3</v>
      </c>
      <c r="H7" s="3">
        <v>57.6</v>
      </c>
      <c r="I7" s="3">
        <v>57.7</v>
      </c>
      <c r="J7" s="3">
        <v>58</v>
      </c>
      <c r="K7" s="4">
        <f t="shared" si="3"/>
        <v>57.6</v>
      </c>
      <c r="L7">
        <f t="shared" si="0"/>
        <v>0.24494897427831896</v>
      </c>
      <c r="M7">
        <f t="shared" si="1"/>
        <v>0.10000000000000048</v>
      </c>
      <c r="N7">
        <v>2</v>
      </c>
      <c r="O7">
        <v>2</v>
      </c>
      <c r="P7">
        <v>0.76</v>
      </c>
      <c r="R7">
        <f t="shared" si="2"/>
        <v>2.514040572464971</v>
      </c>
      <c r="Y7" s="4"/>
    </row>
    <row r="8" spans="2:25" x14ac:dyDescent="0.35">
      <c r="B8" s="2" t="s">
        <v>31</v>
      </c>
      <c r="C8" s="2">
        <v>23.5</v>
      </c>
      <c r="D8" s="2">
        <v>75.099999999999994</v>
      </c>
      <c r="E8" s="3">
        <v>73.8</v>
      </c>
      <c r="F8" s="3">
        <v>73.900000000000006</v>
      </c>
      <c r="G8" s="3">
        <v>74</v>
      </c>
      <c r="H8" s="3">
        <v>73.8</v>
      </c>
      <c r="I8" s="3">
        <v>73.7</v>
      </c>
      <c r="J8" s="3">
        <v>73.8</v>
      </c>
      <c r="K8" s="4">
        <f t="shared" si="3"/>
        <v>73.833333333333329</v>
      </c>
      <c r="L8">
        <f t="shared" si="0"/>
        <v>0.10327955589886501</v>
      </c>
      <c r="M8">
        <f t="shared" si="1"/>
        <v>4.2163702135578622E-2</v>
      </c>
      <c r="N8">
        <v>2</v>
      </c>
      <c r="O8">
        <v>2</v>
      </c>
      <c r="P8">
        <v>0.04</v>
      </c>
      <c r="R8">
        <f t="shared" si="2"/>
        <v>2.002043400572969</v>
      </c>
      <c r="Y8" s="4"/>
    </row>
    <row r="9" spans="2:25" x14ac:dyDescent="0.35">
      <c r="B9" s="2" t="s">
        <v>32</v>
      </c>
      <c r="C9" s="2">
        <v>23</v>
      </c>
      <c r="D9" s="2">
        <v>85.18</v>
      </c>
      <c r="E9" s="3">
        <v>83.7</v>
      </c>
      <c r="F9" s="3">
        <v>83.8</v>
      </c>
      <c r="G9" s="3">
        <v>83.6</v>
      </c>
      <c r="H9" s="3">
        <v>83.7</v>
      </c>
      <c r="I9" s="3">
        <v>83.8</v>
      </c>
      <c r="J9" s="3">
        <v>83.9</v>
      </c>
      <c r="K9" s="4">
        <f t="shared" si="3"/>
        <v>83.75</v>
      </c>
      <c r="L9">
        <f t="shared" si="0"/>
        <v>0.10488088481701732</v>
      </c>
      <c r="M9">
        <f t="shared" si="1"/>
        <v>4.2817441928884654E-2</v>
      </c>
      <c r="N9">
        <v>2</v>
      </c>
      <c r="O9">
        <v>2</v>
      </c>
      <c r="P9">
        <v>0.06</v>
      </c>
      <c r="R9">
        <f t="shared" si="2"/>
        <v>2.0040542241499688</v>
      </c>
      <c r="Y9" s="4"/>
    </row>
    <row r="14" spans="2:25" ht="19" thickBot="1" x14ac:dyDescent="0.5">
      <c r="D14" s="42" t="s">
        <v>1</v>
      </c>
      <c r="E14" s="42"/>
      <c r="F14" s="42"/>
      <c r="G14" s="42"/>
      <c r="H14" s="42"/>
      <c r="I14" s="42"/>
      <c r="J14" s="42"/>
    </row>
    <row r="15" spans="2:25" ht="29.25" customHeight="1" thickBot="1" x14ac:dyDescent="0.4">
      <c r="D15" s="1" t="s">
        <v>24</v>
      </c>
      <c r="E15" s="5" t="s">
        <v>20</v>
      </c>
      <c r="F15" s="7" t="s">
        <v>15</v>
      </c>
    </row>
    <row r="16" spans="2:25" x14ac:dyDescent="0.35">
      <c r="D16" s="6">
        <f>D4</f>
        <v>7.9</v>
      </c>
      <c r="E16" s="4">
        <f>K4</f>
        <v>12.016666666666666</v>
      </c>
      <c r="F16">
        <f>R4</f>
        <v>2.0102100498317195</v>
      </c>
    </row>
    <row r="17" spans="4:6" x14ac:dyDescent="0.35">
      <c r="D17" s="6">
        <f t="shared" ref="D17:D21" si="4">D5</f>
        <v>23</v>
      </c>
      <c r="E17" s="4">
        <f>K5</f>
        <v>22.599999999999998</v>
      </c>
      <c r="F17">
        <f t="shared" ref="F17:F21" si="5">R5</f>
        <v>2.0003333155585179</v>
      </c>
    </row>
    <row r="18" spans="4:6" x14ac:dyDescent="0.35">
      <c r="D18" s="6">
        <f t="shared" si="4"/>
        <v>32.9</v>
      </c>
      <c r="E18" s="4">
        <f t="shared" ref="E18:E21" si="6">K6</f>
        <v>32.716666666666669</v>
      </c>
      <c r="F18">
        <f t="shared" si="5"/>
        <v>2.012530193010226</v>
      </c>
    </row>
    <row r="19" spans="4:6" x14ac:dyDescent="0.35">
      <c r="D19" s="6">
        <f t="shared" si="4"/>
        <v>53.6</v>
      </c>
      <c r="E19" s="4">
        <f t="shared" si="6"/>
        <v>57.6</v>
      </c>
      <c r="F19">
        <f t="shared" si="5"/>
        <v>2.514040572464971</v>
      </c>
    </row>
    <row r="20" spans="4:6" x14ac:dyDescent="0.35">
      <c r="D20" s="6">
        <f t="shared" si="4"/>
        <v>75.099999999999994</v>
      </c>
      <c r="E20" s="4">
        <f t="shared" si="6"/>
        <v>73.833333333333329</v>
      </c>
      <c r="F20">
        <f t="shared" si="5"/>
        <v>2.002043400572969</v>
      </c>
    </row>
    <row r="21" spans="4:6" x14ac:dyDescent="0.35">
      <c r="D21" s="6">
        <f t="shared" si="4"/>
        <v>85.18</v>
      </c>
      <c r="E21" s="4">
        <f t="shared" si="6"/>
        <v>83.75</v>
      </c>
      <c r="F21">
        <f t="shared" si="5"/>
        <v>2.0040542241499688</v>
      </c>
    </row>
    <row r="34" spans="4:11" ht="15" thickBot="1" x14ac:dyDescent="0.4">
      <c r="D34" s="8" t="s">
        <v>2</v>
      </c>
      <c r="E34" s="8" t="s">
        <v>3</v>
      </c>
      <c r="F34" s="8"/>
      <c r="G34" s="9"/>
      <c r="H34" s="10"/>
      <c r="I34" s="10"/>
      <c r="J34" s="10"/>
      <c r="K34" s="10"/>
    </row>
    <row r="35" spans="4:11" ht="18" thickBot="1" x14ac:dyDescent="0.4">
      <c r="D35" s="1" t="s">
        <v>24</v>
      </c>
      <c r="E35" s="5" t="s">
        <v>20</v>
      </c>
      <c r="F35" s="11"/>
      <c r="G35" s="12" t="s">
        <v>12</v>
      </c>
      <c r="H35" s="12" t="s">
        <v>4</v>
      </c>
      <c r="I35" s="12" t="s">
        <v>5</v>
      </c>
      <c r="J35" s="12" t="s">
        <v>13</v>
      </c>
      <c r="K35" s="12" t="s">
        <v>14</v>
      </c>
    </row>
    <row r="36" spans="4:11" x14ac:dyDescent="0.35">
      <c r="D36" s="32">
        <f>D16</f>
        <v>7.9</v>
      </c>
      <c r="E36" s="39">
        <f>E16</f>
        <v>12.016666666666666</v>
      </c>
      <c r="F36" s="14"/>
      <c r="G36">
        <f>1/(F16^2)</f>
        <v>0.24746690130195087</v>
      </c>
      <c r="H36" s="33">
        <f>D36/F16^2</f>
        <v>1.9549885202854118</v>
      </c>
      <c r="I36" s="15">
        <f>D16^2*G36</f>
        <v>15.444409310254755</v>
      </c>
      <c r="J36" s="15">
        <f>E36/F16^2</f>
        <v>2.9737272639784424</v>
      </c>
      <c r="K36" s="15">
        <f>D36*E36/F16^2</f>
        <v>23.492445385429697</v>
      </c>
    </row>
    <row r="37" spans="4:11" x14ac:dyDescent="0.35">
      <c r="D37" s="32">
        <f t="shared" ref="D37:E41" si="7">D17</f>
        <v>23</v>
      </c>
      <c r="E37" s="39">
        <f t="shared" si="7"/>
        <v>22.599999999999998</v>
      </c>
      <c r="F37" s="14"/>
      <c r="G37">
        <f t="shared" ref="G37:G41" si="8">1/(F17^2)</f>
        <v>0.24991669193685415</v>
      </c>
      <c r="H37" s="33">
        <f t="shared" ref="H37:H41" si="9">D37/F17^2</f>
        <v>5.7480839145476459</v>
      </c>
      <c r="I37" s="15">
        <f t="shared" ref="I37:I41" si="10">D17^2*G37</f>
        <v>132.20593003459584</v>
      </c>
      <c r="J37" s="15">
        <f t="shared" ref="J37:J41" si="11">E37/F17^2</f>
        <v>5.6481172377729036</v>
      </c>
      <c r="K37" s="15">
        <f t="shared" ref="K37:K41" si="12">D37*E37/F17^2</f>
        <v>129.90669646877677</v>
      </c>
    </row>
    <row r="38" spans="4:11" x14ac:dyDescent="0.35">
      <c r="D38" s="32">
        <f t="shared" si="7"/>
        <v>32.9</v>
      </c>
      <c r="E38" s="39">
        <f t="shared" si="7"/>
        <v>32.716666666666669</v>
      </c>
      <c r="F38" s="14"/>
      <c r="G38">
        <f t="shared" si="8"/>
        <v>0.24689664632055416</v>
      </c>
      <c r="H38" s="33">
        <f t="shared" si="9"/>
        <v>8.1228996639462316</v>
      </c>
      <c r="I38" s="15">
        <f>D18^2*G38</f>
        <v>267.24339894383098</v>
      </c>
      <c r="J38" s="15">
        <f t="shared" si="11"/>
        <v>8.0776352787874632</v>
      </c>
      <c r="K38" s="15">
        <f t="shared" si="12"/>
        <v>265.75420067210757</v>
      </c>
    </row>
    <row r="39" spans="4:11" x14ac:dyDescent="0.35">
      <c r="D39" s="32">
        <f t="shared" si="7"/>
        <v>53.6</v>
      </c>
      <c r="E39" s="39">
        <f t="shared" si="7"/>
        <v>57.6</v>
      </c>
      <c r="F39" s="14"/>
      <c r="G39">
        <f t="shared" si="8"/>
        <v>0.15821783431428393</v>
      </c>
      <c r="H39" s="33">
        <f t="shared" si="9"/>
        <v>8.4804759192456185</v>
      </c>
      <c r="I39" s="15">
        <f t="shared" si="10"/>
        <v>454.55350927156519</v>
      </c>
      <c r="J39" s="15">
        <f t="shared" si="11"/>
        <v>9.1133472565027542</v>
      </c>
      <c r="K39" s="15">
        <f t="shared" si="12"/>
        <v>488.47541294854761</v>
      </c>
    </row>
    <row r="40" spans="4:11" x14ac:dyDescent="0.35">
      <c r="D40" s="13">
        <f t="shared" si="7"/>
        <v>75.099999999999994</v>
      </c>
      <c r="E40" s="39">
        <f t="shared" si="7"/>
        <v>73.833333333333329</v>
      </c>
      <c r="F40" s="14"/>
      <c r="G40">
        <f t="shared" si="8"/>
        <v>0.24948993169520089</v>
      </c>
      <c r="H40" s="33">
        <f t="shared" si="9"/>
        <v>18.736693870309587</v>
      </c>
      <c r="I40" s="15">
        <f t="shared" si="10"/>
        <v>1407.1257096602499</v>
      </c>
      <c r="J40" s="15">
        <f t="shared" si="11"/>
        <v>18.420673290162334</v>
      </c>
      <c r="K40" s="15">
        <f t="shared" si="12"/>
        <v>1383.3925640911909</v>
      </c>
    </row>
    <row r="41" spans="4:11" ht="15" thickBot="1" x14ac:dyDescent="0.4">
      <c r="D41" s="13">
        <f t="shared" si="7"/>
        <v>85.18</v>
      </c>
      <c r="E41" s="39">
        <f t="shared" si="7"/>
        <v>83.75</v>
      </c>
      <c r="F41" s="14"/>
      <c r="G41">
        <f t="shared" si="8"/>
        <v>0.24898951754131152</v>
      </c>
      <c r="H41" s="33">
        <f t="shared" si="9"/>
        <v>21.208927104168918</v>
      </c>
      <c r="I41" s="15">
        <f t="shared" si="10"/>
        <v>1806.5764107331086</v>
      </c>
      <c r="J41" s="15">
        <f t="shared" si="11"/>
        <v>20.852872094084841</v>
      </c>
      <c r="K41" s="15">
        <f t="shared" si="12"/>
        <v>1776.2476449741469</v>
      </c>
    </row>
    <row r="42" spans="4:11" ht="16" thickBot="1" x14ac:dyDescent="0.4">
      <c r="D42" s="9"/>
      <c r="E42" s="9"/>
      <c r="F42" s="9"/>
      <c r="G42" s="36">
        <f>SUM(G36:G41)</f>
        <v>1.4009775231101556</v>
      </c>
      <c r="H42" s="17">
        <f>SUM(H36:H41)</f>
        <v>64.252068992503411</v>
      </c>
      <c r="I42" s="18">
        <f>SUM(I36:I41)</f>
        <v>4083.1493679536052</v>
      </c>
      <c r="J42" s="18">
        <f>SUM(J36:J41)</f>
        <v>65.086372421288743</v>
      </c>
      <c r="K42" s="19">
        <f>SUM(K36:K41)</f>
        <v>4067.2689645401997</v>
      </c>
    </row>
    <row r="43" spans="4:11" x14ac:dyDescent="0.35">
      <c r="D43" s="25" t="s">
        <v>10</v>
      </c>
      <c r="E43" s="26">
        <f>COUNT(E36:E41)</f>
        <v>6</v>
      </c>
    </row>
    <row r="44" spans="4:11" ht="17.5" x14ac:dyDescent="0.35">
      <c r="H44" s="20" t="s">
        <v>8</v>
      </c>
      <c r="I44" s="21"/>
      <c r="K44" s="22"/>
    </row>
    <row r="45" spans="4:11" x14ac:dyDescent="0.35">
      <c r="H45" s="9">
        <f>G42*I42-H42^2</f>
        <v>1592.0721181870204</v>
      </c>
      <c r="I45" s="22"/>
      <c r="K45" s="22"/>
    </row>
    <row r="46" spans="4:11" ht="15.5" x14ac:dyDescent="0.35">
      <c r="H46" s="46" t="s">
        <v>38</v>
      </c>
      <c r="I46" s="46"/>
      <c r="J46" s="46"/>
      <c r="K46" s="46"/>
    </row>
    <row r="47" spans="4:11" x14ac:dyDescent="0.35">
      <c r="D47" s="27" t="s">
        <v>2</v>
      </c>
      <c r="E47" s="27" t="s">
        <v>3</v>
      </c>
    </row>
    <row r="48" spans="4:11" ht="29" x14ac:dyDescent="0.35">
      <c r="D48" s="5" t="s">
        <v>20</v>
      </c>
      <c r="E48" s="28" t="s">
        <v>39</v>
      </c>
      <c r="H48" s="20" t="s">
        <v>35</v>
      </c>
      <c r="I48" s="20" t="s">
        <v>36</v>
      </c>
    </row>
    <row r="49" spans="4:11" ht="15.5" x14ac:dyDescent="0.35">
      <c r="D49" s="39">
        <f>E36</f>
        <v>12.016666666666666</v>
      </c>
      <c r="E49" s="29">
        <f>$H$56*D49+$I$56</f>
        <v>9.6981190489752187</v>
      </c>
      <c r="H49" s="35">
        <f>(1/H45)*(G42*K42-H42*J42)</f>
        <v>0.95235529292889154</v>
      </c>
      <c r="I49" s="34">
        <f>(1/H45)*(I42*J42-H42*K42)</f>
        <v>2.7806116589206082</v>
      </c>
      <c r="J49" s="47"/>
      <c r="K49" s="48"/>
    </row>
    <row r="50" spans="4:11" x14ac:dyDescent="0.35">
      <c r="D50" s="39">
        <f t="shared" ref="D50:D54" si="13">E37</f>
        <v>22.599999999999998</v>
      </c>
      <c r="E50" s="29">
        <f t="shared" ref="E50:E54" si="14">$H$56*D50+$I$56</f>
        <v>20.810918454736012</v>
      </c>
    </row>
    <row r="51" spans="4:11" x14ac:dyDescent="0.35">
      <c r="D51" s="39">
        <f t="shared" si="13"/>
        <v>32.716666666666669</v>
      </c>
      <c r="E51" s="29">
        <f t="shared" si="14"/>
        <v>31.433704658353026</v>
      </c>
    </row>
    <row r="52" spans="4:11" x14ac:dyDescent="0.35">
      <c r="D52" s="39">
        <f t="shared" si="13"/>
        <v>57.6</v>
      </c>
      <c r="E52" s="29">
        <f t="shared" si="14"/>
        <v>57.561908615519755</v>
      </c>
    </row>
    <row r="53" spans="4:11" ht="17.5" x14ac:dyDescent="0.35">
      <c r="D53" s="39">
        <f t="shared" si="13"/>
        <v>73.833333333333329</v>
      </c>
      <c r="E53" s="29">
        <f t="shared" si="14"/>
        <v>74.60736786152134</v>
      </c>
      <c r="H53" s="49" t="s">
        <v>37</v>
      </c>
      <c r="I53" s="49"/>
      <c r="J53" s="49"/>
      <c r="K53" s="49"/>
    </row>
    <row r="54" spans="4:11" x14ac:dyDescent="0.35">
      <c r="D54" s="39">
        <f t="shared" si="13"/>
        <v>83.75</v>
      </c>
      <c r="E54" s="29">
        <f t="shared" si="14"/>
        <v>85.020148407076732</v>
      </c>
    </row>
    <row r="55" spans="4:11" ht="15.5" x14ac:dyDescent="0.35">
      <c r="H55" s="23" t="s">
        <v>33</v>
      </c>
      <c r="I55" s="24" t="s">
        <v>34</v>
      </c>
    </row>
    <row r="56" spans="4:11" ht="15.5" x14ac:dyDescent="0.35">
      <c r="E56">
        <v>99.625718693830393</v>
      </c>
      <c r="H56" s="31">
        <f xml:space="preserve"> 1/H49</f>
        <v>1.0500282903081066</v>
      </c>
      <c r="I56" s="30">
        <f xml:space="preserve"> -I49/H49</f>
        <v>-2.919720906227194</v>
      </c>
      <c r="J56" s="40" t="s">
        <v>9</v>
      </c>
      <c r="K56" s="41"/>
    </row>
    <row r="57" spans="4:11" x14ac:dyDescent="0.35">
      <c r="E57">
        <v>5.7542346897863098E-2</v>
      </c>
    </row>
    <row r="58" spans="4:11" x14ac:dyDescent="0.35">
      <c r="H58" s="31"/>
    </row>
    <row r="61" spans="4:11" ht="17.5" x14ac:dyDescent="0.35">
      <c r="G61" s="12" t="s">
        <v>11</v>
      </c>
      <c r="H61" s="12" t="s">
        <v>4</v>
      </c>
      <c r="I61" s="12" t="s">
        <v>5</v>
      </c>
      <c r="J61" s="12" t="s">
        <v>6</v>
      </c>
      <c r="K61" s="12" t="s">
        <v>7</v>
      </c>
    </row>
    <row r="62" spans="4:11" x14ac:dyDescent="0.35">
      <c r="G62">
        <f>1/F16^2</f>
        <v>0.24746690130195087</v>
      </c>
      <c r="H62" s="33">
        <f>D16/F16^2</f>
        <v>1.9549885202854118</v>
      </c>
      <c r="I62" s="15">
        <f>H62^2</f>
        <v>3.8219801144477441</v>
      </c>
      <c r="J62" s="15">
        <f>E62</f>
        <v>0</v>
      </c>
      <c r="K62" s="15">
        <f>H62*J62</f>
        <v>0</v>
      </c>
    </row>
    <row r="63" spans="4:11" x14ac:dyDescent="0.35">
      <c r="G63">
        <f t="shared" ref="G63:G67" si="15">1/F17^2</f>
        <v>0.24991669193685415</v>
      </c>
      <c r="H63" s="33">
        <f t="shared" ref="H63:H67" si="16">D17/F17^2</f>
        <v>5.7480839145476459</v>
      </c>
      <c r="I63" s="15">
        <f t="shared" ref="I63:I67" si="17">H63^2</f>
        <v>33.040468688681386</v>
      </c>
      <c r="J63" s="15">
        <f t="shared" ref="J63:J67" si="18">E63</f>
        <v>0</v>
      </c>
      <c r="K63" s="15">
        <f t="shared" ref="K63:K67" si="19">H63*J63</f>
        <v>0</v>
      </c>
    </row>
    <row r="64" spans="4:11" x14ac:dyDescent="0.35">
      <c r="G64">
        <f t="shared" si="15"/>
        <v>0.24689664632055416</v>
      </c>
      <c r="H64" s="33">
        <f t="shared" si="16"/>
        <v>8.1228996639462316</v>
      </c>
      <c r="I64" s="15">
        <f t="shared" si="17"/>
        <v>65.981498950537798</v>
      </c>
      <c r="J64" s="15">
        <f t="shared" si="18"/>
        <v>0</v>
      </c>
      <c r="K64" s="15">
        <f t="shared" si="19"/>
        <v>0</v>
      </c>
    </row>
    <row r="65" spans="7:11" x14ac:dyDescent="0.35">
      <c r="G65">
        <f t="shared" si="15"/>
        <v>0.15821783431428393</v>
      </c>
      <c r="H65" s="33">
        <f t="shared" si="16"/>
        <v>8.4804759192456185</v>
      </c>
      <c r="I65" s="15">
        <f t="shared" si="17"/>
        <v>71.918471816904812</v>
      </c>
      <c r="J65" s="15">
        <f t="shared" si="18"/>
        <v>0</v>
      </c>
      <c r="K65" s="15">
        <f t="shared" si="19"/>
        <v>0</v>
      </c>
    </row>
    <row r="66" spans="7:11" x14ac:dyDescent="0.35">
      <c r="G66">
        <f t="shared" si="15"/>
        <v>0.24948993169520089</v>
      </c>
      <c r="H66" s="33">
        <f t="shared" si="16"/>
        <v>18.736693870309587</v>
      </c>
      <c r="I66" s="15">
        <f t="shared" si="17"/>
        <v>351.06369718969682</v>
      </c>
      <c r="J66" s="15">
        <f t="shared" si="18"/>
        <v>0</v>
      </c>
      <c r="K66" s="15">
        <f t="shared" si="19"/>
        <v>0</v>
      </c>
    </row>
    <row r="67" spans="7:11" ht="15" thickBot="1" x14ac:dyDescent="0.4">
      <c r="G67">
        <f t="shared" si="15"/>
        <v>0.24898951754131152</v>
      </c>
      <c r="H67" s="33">
        <f t="shared" si="16"/>
        <v>21.208927104168918</v>
      </c>
      <c r="I67" s="16">
        <f t="shared" si="17"/>
        <v>449.81858890995096</v>
      </c>
      <c r="J67" s="16">
        <f t="shared" si="18"/>
        <v>0</v>
      </c>
      <c r="K67" s="16">
        <f t="shared" si="19"/>
        <v>0</v>
      </c>
    </row>
    <row r="68" spans="7:11" ht="16" thickBot="1" x14ac:dyDescent="0.4">
      <c r="G68">
        <f>SUM(G62:G67)</f>
        <v>1.4009775231101556</v>
      </c>
      <c r="H68" s="17">
        <f>SUM(H62:H67)</f>
        <v>64.252068992503411</v>
      </c>
      <c r="I68" s="18">
        <f>SUM(I62:I67)</f>
        <v>975.64470567021954</v>
      </c>
      <c r="J68" s="18">
        <f>SUM(J62:J67)</f>
        <v>0</v>
      </c>
      <c r="K68" s="19">
        <f>SUM(K62:K67)</f>
        <v>0</v>
      </c>
    </row>
  </sheetData>
  <mergeCells count="7">
    <mergeCell ref="J56:K56"/>
    <mergeCell ref="D2:J2"/>
    <mergeCell ref="E3:J3"/>
    <mergeCell ref="D14:J14"/>
    <mergeCell ref="H46:K46"/>
    <mergeCell ref="J49:K49"/>
    <mergeCell ref="H53:K5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K5:L9 K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Gabriel Valentim</cp:lastModifiedBy>
  <dcterms:created xsi:type="dcterms:W3CDTF">2021-05-27T19:47:15Z</dcterms:created>
  <dcterms:modified xsi:type="dcterms:W3CDTF">2021-06-01T20:56:00Z</dcterms:modified>
</cp:coreProperties>
</file>