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bri\Desktop\Estacao_meteorologica\Estacao_Meteorologica\"/>
    </mc:Choice>
  </mc:AlternateContent>
  <xr:revisionPtr revIDLastSave="0" documentId="13_ncr:1_{D06960B0-7B47-4848-AFEA-09F04E42D0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N4" i="1"/>
  <c r="J4" i="1"/>
  <c r="K4" i="1" s="1"/>
  <c r="I4" i="1" l="1"/>
  <c r="H67" i="1"/>
  <c r="H66" i="1"/>
  <c r="H65" i="1"/>
  <c r="H64" i="1"/>
  <c r="H63" i="1"/>
  <c r="H62" i="1"/>
  <c r="H68" i="1" s="1"/>
  <c r="L5" i="1" l="1"/>
  <c r="L6" i="1"/>
  <c r="L7" i="1"/>
  <c r="L8" i="1"/>
  <c r="L9" i="1"/>
  <c r="L4" i="1"/>
  <c r="B16" i="1"/>
  <c r="B36" i="1" l="1"/>
  <c r="AC9" i="1"/>
  <c r="AD9" i="1" s="1"/>
  <c r="AG9" i="1" s="1"/>
  <c r="AB9" i="1"/>
  <c r="AC8" i="1"/>
  <c r="AD8" i="1" s="1"/>
  <c r="AG8" i="1" s="1"/>
  <c r="AB8" i="1"/>
  <c r="AC7" i="1"/>
  <c r="AD7" i="1" s="1"/>
  <c r="AG7" i="1" s="1"/>
  <c r="AB7" i="1"/>
  <c r="AC6" i="1"/>
  <c r="AD6" i="1" s="1"/>
  <c r="AG6" i="1" s="1"/>
  <c r="AB6" i="1"/>
  <c r="AC5" i="1"/>
  <c r="AD5" i="1" s="1"/>
  <c r="AG5" i="1" s="1"/>
  <c r="AB5" i="1"/>
  <c r="AC4" i="1"/>
  <c r="AD4" i="1" s="1"/>
  <c r="AG4" i="1" s="1"/>
  <c r="AB4" i="1"/>
  <c r="C21" i="1"/>
  <c r="C41" i="1" s="1"/>
  <c r="B17" i="1"/>
  <c r="B18" i="1"/>
  <c r="B19" i="1"/>
  <c r="B20" i="1"/>
  <c r="B21" i="1"/>
  <c r="J9" i="1"/>
  <c r="K9" i="1" s="1"/>
  <c r="N9" i="1" s="1"/>
  <c r="D21" i="1" s="1"/>
  <c r="J8" i="1"/>
  <c r="K8" i="1" s="1"/>
  <c r="N8" i="1" s="1"/>
  <c r="D20" i="1" s="1"/>
  <c r="J7" i="1"/>
  <c r="K7" i="1" s="1"/>
  <c r="N7" i="1" s="1"/>
  <c r="D19" i="1" s="1"/>
  <c r="J6" i="1"/>
  <c r="K6" i="1" s="1"/>
  <c r="N6" i="1" s="1"/>
  <c r="D18" i="1" s="1"/>
  <c r="J5" i="1"/>
  <c r="K5" i="1" s="1"/>
  <c r="N5" i="1" s="1"/>
  <c r="D17" i="1" s="1"/>
  <c r="D16" i="1"/>
  <c r="I9" i="1"/>
  <c r="I8" i="1"/>
  <c r="C20" i="1" s="1"/>
  <c r="C40" i="1" s="1"/>
  <c r="I7" i="1"/>
  <c r="C19" i="1" s="1"/>
  <c r="C39" i="1" s="1"/>
  <c r="I6" i="1"/>
  <c r="C18" i="1" s="1"/>
  <c r="C38" i="1" s="1"/>
  <c r="I5" i="1"/>
  <c r="C17" i="1" s="1"/>
  <c r="C37" i="1" s="1"/>
  <c r="C16" i="1"/>
  <c r="C36" i="1" s="1"/>
  <c r="G40" i="1" l="1"/>
  <c r="G37" i="1"/>
  <c r="I36" i="1"/>
  <c r="F36" i="1"/>
  <c r="E40" i="1"/>
  <c r="E66" i="1"/>
  <c r="E63" i="1"/>
  <c r="E37" i="1"/>
  <c r="E67" i="1"/>
  <c r="E41" i="1"/>
  <c r="G41" i="1" s="1"/>
  <c r="E62" i="1"/>
  <c r="G36" i="1"/>
  <c r="F62" i="1"/>
  <c r="H36" i="1"/>
  <c r="B49" i="1"/>
  <c r="E64" i="1"/>
  <c r="E38" i="1"/>
  <c r="G38" i="1" s="1"/>
  <c r="E39" i="1"/>
  <c r="G39" i="1" s="1"/>
  <c r="E65" i="1"/>
  <c r="F64" i="1"/>
  <c r="B38" i="1"/>
  <c r="F67" i="1"/>
  <c r="B41" i="1"/>
  <c r="F63" i="1"/>
  <c r="B37" i="1"/>
  <c r="F66" i="1"/>
  <c r="B40" i="1"/>
  <c r="F65" i="1"/>
  <c r="B39" i="1"/>
  <c r="H41" i="1"/>
  <c r="B54" i="1"/>
  <c r="H38" i="1"/>
  <c r="B51" i="1"/>
  <c r="H37" i="1"/>
  <c r="B50" i="1"/>
  <c r="C43" i="1"/>
  <c r="H40" i="1"/>
  <c r="B53" i="1"/>
  <c r="H39" i="1"/>
  <c r="B52" i="1"/>
  <c r="F39" i="1" l="1"/>
  <c r="I39" i="1"/>
  <c r="F38" i="1"/>
  <c r="I38" i="1"/>
  <c r="F37" i="1"/>
  <c r="I37" i="1"/>
  <c r="F40" i="1"/>
  <c r="F42" i="1" s="1"/>
  <c r="I40" i="1"/>
  <c r="F41" i="1"/>
  <c r="I41" i="1"/>
  <c r="I66" i="1"/>
  <c r="G66" i="1"/>
  <c r="I67" i="1"/>
  <c r="G67" i="1"/>
  <c r="E42" i="1"/>
  <c r="E68" i="1"/>
  <c r="F68" i="1"/>
  <c r="I62" i="1"/>
  <c r="G62" i="1"/>
  <c r="I65" i="1"/>
  <c r="G65" i="1"/>
  <c r="I63" i="1"/>
  <c r="G63" i="1"/>
  <c r="I64" i="1"/>
  <c r="G64" i="1"/>
  <c r="G42" i="1"/>
  <c r="H42" i="1"/>
  <c r="G68" i="1" l="1"/>
  <c r="I68" i="1"/>
  <c r="F45" i="1"/>
  <c r="I42" i="1"/>
  <c r="G49" i="1" l="1"/>
  <c r="F49" i="1"/>
  <c r="F56" i="1" s="1"/>
  <c r="G56" i="1" l="1"/>
  <c r="C53" i="1" s="1"/>
  <c r="C51" i="1" l="1"/>
  <c r="C49" i="1"/>
  <c r="C52" i="1"/>
  <c r="C54" i="1"/>
  <c r="C50" i="1"/>
</calcChain>
</file>

<file path=xl/sharedStrings.xml><?xml version="1.0" encoding="utf-8"?>
<sst xmlns="http://schemas.openxmlformats.org/spreadsheetml/2006/main" count="44" uniqueCount="33">
  <si>
    <t>Medições da Temperatura</t>
  </si>
  <si>
    <r>
      <t>T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C)</t>
    </r>
  </si>
  <si>
    <t>LM35 (V)</t>
  </si>
  <si>
    <t>Vmed(V)</t>
  </si>
  <si>
    <t>Calibração do LM35</t>
  </si>
  <si>
    <t>X</t>
  </si>
  <si>
    <t>Y</t>
  </si>
  <si>
    <t>Temp.  [°C]</t>
  </si>
  <si>
    <r>
      <t>Sx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C)</t>
    </r>
  </si>
  <si>
    <r>
      <t>Sx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 xml:space="preserve">C 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</si>
  <si>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Sy (cm)</t>
  </si>
  <si>
    <r>
      <t>Sxy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C.cm)</t>
    </r>
  </si>
  <si>
    <t>Vmed. [V]</t>
  </si>
  <si>
    <r>
      <t>Δ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 xml:space="preserve">C 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 :</t>
    </r>
  </si>
  <si>
    <r>
      <t xml:space="preserve">Compr. (cm) </t>
    </r>
    <r>
      <rPr>
        <sz val="12"/>
        <color theme="1"/>
        <rFont val="Calibri"/>
        <family val="2"/>
        <scheme val="minor"/>
      </rPr>
      <t>versus</t>
    </r>
    <r>
      <rPr>
        <b/>
        <sz val="12"/>
        <color theme="1"/>
        <rFont val="Calibri"/>
        <family val="2"/>
        <scheme val="minor"/>
      </rPr>
      <t xml:space="preserve"> Temp. (°C) :</t>
    </r>
    <r>
      <rPr>
        <sz val="12"/>
        <color theme="1"/>
        <rFont val="Calibri"/>
        <family val="2"/>
        <scheme val="minor"/>
      </rPr>
      <t xml:space="preserve"> f (x) = a.x + b</t>
    </r>
  </si>
  <si>
    <t>-b/a (°C)</t>
  </si>
  <si>
    <t xml:space="preserve"> f -1 (y) = 4,6792.y - 8,7631</t>
  </si>
  <si>
    <t xml:space="preserve">nro de leituras (n) : </t>
  </si>
  <si>
    <t>MMq Temp. [°C]</t>
  </si>
  <si>
    <r>
      <t>Ssigma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C)</t>
    </r>
  </si>
  <si>
    <r>
      <rPr>
        <b/>
        <sz val="12"/>
        <color theme="1"/>
        <rFont val="Calibri"/>
        <family val="2"/>
        <scheme val="minor"/>
      </rPr>
      <t xml:space="preserve">Temp. (°C) </t>
    </r>
    <r>
      <rPr>
        <sz val="12"/>
        <color theme="1"/>
        <rFont val="Calibri"/>
        <family val="2"/>
        <scheme val="minor"/>
      </rPr>
      <t>versus</t>
    </r>
    <r>
      <rPr>
        <b/>
        <sz val="12"/>
        <color theme="1"/>
        <rFont val="Calibri"/>
        <family val="2"/>
        <scheme val="minor"/>
      </rPr>
      <t xml:space="preserve"> Vmed. (V)  :</t>
    </r>
    <r>
      <rPr>
        <sz val="12"/>
        <color theme="1"/>
        <rFont val="Calibri"/>
        <family val="2"/>
        <scheme val="minor"/>
      </rPr>
      <t xml:space="preserve">  f 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(y) = (1/a).y - (b/a)</t>
    </r>
  </si>
  <si>
    <t>Ssigma</t>
  </si>
  <si>
    <t>Sy (V)</t>
  </si>
  <si>
    <r>
      <t>Sxy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C.V)</t>
    </r>
  </si>
  <si>
    <t>1/a (°C/V)</t>
  </si>
  <si>
    <r>
      <t>a (V/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C)</t>
    </r>
  </si>
  <si>
    <t>b (V)</t>
  </si>
  <si>
    <t>Incerteza  Padrão</t>
  </si>
  <si>
    <t xml:space="preserve">Desvio Padrão </t>
  </si>
  <si>
    <t>Incerteza tipoA(V)</t>
  </si>
  <si>
    <t xml:space="preserve">IB adc (V) (conversor analógico digital) </t>
  </si>
  <si>
    <t>IB LM35</t>
  </si>
  <si>
    <t xml:space="preserve">Incerteza Padrão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</si>
</sst>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"/>
    <numFmt numFmtId="166" formatCode="0.00000000000"/>
    <numFmt numFmtId="167" formatCode="0.000000000000"/>
    <numFmt numFmtId="168" formatCode="0.0000000000000"/>
    <numFmt numFmtId="169" formatCode="0.000000000"/>
    <numFmt numFmtId="170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/>
    <xf numFmtId="0" fontId="7" fillId="2" borderId="1" xfId="1" applyFon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7" borderId="0" xfId="0" quotePrefix="1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164" fontId="0" fillId="6" borderId="6" xfId="0" applyNumberFormat="1" applyFill="1" applyBorder="1" applyAlignment="1">
      <alignment vertical="center" wrapText="1"/>
    </xf>
    <xf numFmtId="164" fontId="0" fillId="0" borderId="6" xfId="0" applyNumberFormat="1" applyFill="1" applyBorder="1" applyAlignment="1">
      <alignment vertic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2" fontId="9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8" fontId="0" fillId="0" borderId="6" xfId="0" applyNumberFormat="1" applyFill="1" applyBorder="1" applyAlignment="1">
      <alignment horizontal="center" vertical="center"/>
    </xf>
    <xf numFmtId="169" fontId="0" fillId="0" borderId="6" xfId="0" applyNumberFormat="1" applyFill="1" applyBorder="1" applyAlignment="1">
      <alignment horizontal="center" vertical="center"/>
    </xf>
    <xf numFmtId="17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left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colors>
    <mruColors>
      <color rgb="FF21FF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714639187777972E-3"/>
                  <c:y val="-0.13836225467432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Plan1!$D$16:$D$21</c:f>
                <c:numCache>
                  <c:formatCode>General</c:formatCode>
                  <c:ptCount val="6"/>
                  <c:pt idx="0">
                    <c:v>5.5043145607490867E-3</c:v>
                  </c:pt>
                  <c:pt idx="1">
                    <c:v>5.5228998930017606E-3</c:v>
                  </c:pt>
                  <c:pt idx="2">
                    <c:v>5.5205002697327034E-3</c:v>
                  </c:pt>
                  <c:pt idx="3">
                    <c:v>5.5043751189704608E-3</c:v>
                  </c:pt>
                  <c:pt idx="4">
                    <c:v>5.4699716539288873E-3</c:v>
                  </c:pt>
                  <c:pt idx="5">
                    <c:v>5.4887896768784769E-3</c:v>
                  </c:pt>
                </c:numCache>
              </c:numRef>
            </c:plus>
            <c:minus>
              <c:numRef>
                <c:f>Plan1!$D$16:$D$21</c:f>
                <c:numCache>
                  <c:formatCode>General</c:formatCode>
                  <c:ptCount val="6"/>
                  <c:pt idx="0">
                    <c:v>5.5043145607490867E-3</c:v>
                  </c:pt>
                  <c:pt idx="1">
                    <c:v>5.5228998930017606E-3</c:v>
                  </c:pt>
                  <c:pt idx="2">
                    <c:v>5.5205002697327034E-3</c:v>
                  </c:pt>
                  <c:pt idx="3">
                    <c:v>5.5043751189704608E-3</c:v>
                  </c:pt>
                  <c:pt idx="4">
                    <c:v>5.4699716539288873E-3</c:v>
                  </c:pt>
                  <c:pt idx="5">
                    <c:v>5.4887896768784769E-3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Plan1!$B$16:$B$21</c:f>
              <c:numCache>
                <c:formatCode>0.00</c:formatCode>
                <c:ptCount val="6"/>
                <c:pt idx="0">
                  <c:v>4.87</c:v>
                </c:pt>
                <c:pt idx="1">
                  <c:v>15.26</c:v>
                </c:pt>
                <c:pt idx="2">
                  <c:v>25.18</c:v>
                </c:pt>
                <c:pt idx="3">
                  <c:v>36.78</c:v>
                </c:pt>
                <c:pt idx="4">
                  <c:v>45.48</c:v>
                </c:pt>
                <c:pt idx="5">
                  <c:v>53.3</c:v>
                </c:pt>
              </c:numCache>
            </c:numRef>
          </c:xVal>
          <c:yVal>
            <c:numRef>
              <c:f>Plan1!$C$16:$C$21</c:f>
              <c:numCache>
                <c:formatCode>0.0000</c:formatCode>
                <c:ptCount val="6"/>
                <c:pt idx="0">
                  <c:v>4.9100000000000005E-2</c:v>
                </c:pt>
                <c:pt idx="1">
                  <c:v>0.15251666666666666</c:v>
                </c:pt>
                <c:pt idx="2">
                  <c:v>0.25163333333333332</c:v>
                </c:pt>
                <c:pt idx="3">
                  <c:v>0.36720000000000003</c:v>
                </c:pt>
                <c:pt idx="4">
                  <c:v>0.45626666666666665</c:v>
                </c:pt>
                <c:pt idx="5">
                  <c:v>0.5353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6D-4E4B-99E8-098102371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2236320"/>
        <c:axId val="-782240128"/>
      </c:scatterChart>
      <c:valAx>
        <c:axId val="-78223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82240128"/>
        <c:crosses val="autoZero"/>
        <c:crossBetween val="midCat"/>
      </c:valAx>
      <c:valAx>
        <c:axId val="-7822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LM35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8223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21FF6B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Plan1!$D$16:$D$21</c:f>
                <c:numCache>
                  <c:formatCode>General</c:formatCode>
                  <c:ptCount val="6"/>
                  <c:pt idx="0">
                    <c:v>5.5043145607490867E-3</c:v>
                  </c:pt>
                  <c:pt idx="1">
                    <c:v>5.5228998930017606E-3</c:v>
                  </c:pt>
                  <c:pt idx="2">
                    <c:v>5.5205002697327034E-3</c:v>
                  </c:pt>
                  <c:pt idx="3">
                    <c:v>5.5043751189704608E-3</c:v>
                  </c:pt>
                  <c:pt idx="4">
                    <c:v>5.4699716539288873E-3</c:v>
                  </c:pt>
                  <c:pt idx="5">
                    <c:v>5.4887896768784769E-3</c:v>
                  </c:pt>
                </c:numCache>
              </c:numRef>
            </c:plus>
            <c:minus>
              <c:numRef>
                <c:f>Plan1!$D$16:$D$21</c:f>
                <c:numCache>
                  <c:formatCode>General</c:formatCode>
                  <c:ptCount val="6"/>
                  <c:pt idx="0">
                    <c:v>5.5043145607490867E-3</c:v>
                  </c:pt>
                  <c:pt idx="1">
                    <c:v>5.5228998930017606E-3</c:v>
                  </c:pt>
                  <c:pt idx="2">
                    <c:v>5.5205002697327034E-3</c:v>
                  </c:pt>
                  <c:pt idx="3">
                    <c:v>5.5043751189704608E-3</c:v>
                  </c:pt>
                  <c:pt idx="4">
                    <c:v>5.4699716539288873E-3</c:v>
                  </c:pt>
                  <c:pt idx="5">
                    <c:v>5.4887896768784769E-3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Plan1!$B$49:$B$54</c:f>
              <c:numCache>
                <c:formatCode>0.0</c:formatCode>
                <c:ptCount val="6"/>
                <c:pt idx="0">
                  <c:v>4.9100000000000005E-2</c:v>
                </c:pt>
                <c:pt idx="1">
                  <c:v>0.15251666666666666</c:v>
                </c:pt>
                <c:pt idx="2">
                  <c:v>0.25163333333333332</c:v>
                </c:pt>
                <c:pt idx="3">
                  <c:v>0.36720000000000003</c:v>
                </c:pt>
                <c:pt idx="4">
                  <c:v>0.45626666666666665</c:v>
                </c:pt>
                <c:pt idx="5">
                  <c:v>0.5353</c:v>
                </c:pt>
              </c:numCache>
            </c:numRef>
          </c:xVal>
          <c:yVal>
            <c:numRef>
              <c:f>Plan1!$C$49:$C$54</c:f>
              <c:numCache>
                <c:formatCode>0.0000</c:formatCode>
                <c:ptCount val="6"/>
                <c:pt idx="0">
                  <c:v>4.9491651347649368</c:v>
                </c:pt>
                <c:pt idx="1">
                  <c:v>15.252124876351896</c:v>
                </c:pt>
                <c:pt idx="2">
                  <c:v>25.126694027555384</c:v>
                </c:pt>
                <c:pt idx="3">
                  <c:v>36.640106251272393</c:v>
                </c:pt>
                <c:pt idx="4">
                  <c:v>45.513436929602882</c:v>
                </c:pt>
                <c:pt idx="5">
                  <c:v>53.387189563705277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5-43A4-94A0-5D481BF7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2239584"/>
        <c:axId val="-782240672"/>
      </c:scatterChart>
      <c:valAx>
        <c:axId val="-7822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/>
                  <a:t>Temperatura [°C]. 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82240672"/>
        <c:crosses val="autoZero"/>
        <c:crossBetween val="midCat"/>
      </c:valAx>
      <c:valAx>
        <c:axId val="-7822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Vmed.[V].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8223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14</xdr:row>
      <xdr:rowOff>2778</xdr:rowOff>
    </xdr:from>
    <xdr:to>
      <xdr:col>17</xdr:col>
      <xdr:colOff>203597</xdr:colOff>
      <xdr:row>32</xdr:row>
      <xdr:rowOff>9921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521891</xdr:colOff>
      <xdr:row>40</xdr:row>
      <xdr:rowOff>171251</xdr:rowOff>
    </xdr:from>
    <xdr:to>
      <xdr:col>19</xdr:col>
      <xdr:colOff>252016</xdr:colOff>
      <xdr:row>53</xdr:row>
      <xdr:rowOff>146248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68"/>
  <sheetViews>
    <sheetView tabSelected="1" topLeftCell="A40" zoomScale="85" zoomScaleNormal="85" workbookViewId="0">
      <selection activeCell="F37" sqref="F37"/>
    </sheetView>
  </sheetViews>
  <sheetFormatPr defaultRowHeight="14.5" x14ac:dyDescent="0.35"/>
  <cols>
    <col min="2" max="2" width="10.54296875" customWidth="1"/>
    <col min="3" max="3" width="11.26953125" customWidth="1"/>
    <col min="5" max="5" width="13.7265625" customWidth="1"/>
    <col min="6" max="6" width="19.54296875" customWidth="1"/>
    <col min="7" max="7" width="26.26953125" customWidth="1"/>
    <col min="9" max="9" width="23.54296875" customWidth="1"/>
    <col min="10" max="10" width="14" customWidth="1"/>
    <col min="11" max="11" width="15.81640625" customWidth="1"/>
    <col min="12" max="12" width="22.1796875" customWidth="1"/>
  </cols>
  <sheetData>
    <row r="2" spans="2:33" ht="20.25" customHeight="1" thickBot="1" x14ac:dyDescent="0.5">
      <c r="B2" s="46" t="s">
        <v>0</v>
      </c>
      <c r="C2" s="46"/>
      <c r="D2" s="46"/>
      <c r="E2" s="46"/>
      <c r="F2" s="46"/>
      <c r="G2" s="46"/>
      <c r="H2" s="46"/>
      <c r="U2" s="46" t="s">
        <v>0</v>
      </c>
      <c r="V2" s="46"/>
      <c r="W2" s="46"/>
      <c r="X2" s="46"/>
      <c r="Y2" s="46"/>
      <c r="Z2" s="46"/>
      <c r="AA2" s="46"/>
    </row>
    <row r="3" spans="2:33" ht="48.75" customHeight="1" thickBot="1" x14ac:dyDescent="0.4">
      <c r="B3" s="1" t="s">
        <v>1</v>
      </c>
      <c r="C3" s="47" t="s">
        <v>2</v>
      </c>
      <c r="D3" s="48"/>
      <c r="E3" s="48"/>
      <c r="F3" s="48"/>
      <c r="G3" s="48"/>
      <c r="H3" s="49"/>
      <c r="I3" s="5" t="s">
        <v>3</v>
      </c>
      <c r="J3" s="42" t="s">
        <v>28</v>
      </c>
      <c r="K3" s="43" t="s">
        <v>29</v>
      </c>
      <c r="L3" s="43" t="s">
        <v>30</v>
      </c>
      <c r="M3" s="42" t="s">
        <v>31</v>
      </c>
      <c r="N3" s="43" t="s">
        <v>32</v>
      </c>
      <c r="U3" s="1" t="s">
        <v>1</v>
      </c>
      <c r="V3" s="47" t="s">
        <v>2</v>
      </c>
      <c r="W3" s="48"/>
      <c r="X3" s="48"/>
      <c r="Y3" s="48"/>
      <c r="Z3" s="48"/>
      <c r="AA3" s="49"/>
      <c r="AB3" s="5" t="s">
        <v>3</v>
      </c>
    </row>
    <row r="4" spans="2:33" x14ac:dyDescent="0.35">
      <c r="B4" s="2">
        <v>4.87</v>
      </c>
      <c r="C4" s="3">
        <v>4.9500000000000002E-2</v>
      </c>
      <c r="D4" s="3">
        <v>5.0499999999999996E-2</v>
      </c>
      <c r="E4" s="3">
        <v>5.16E-2</v>
      </c>
      <c r="F4" s="3">
        <v>4.6199999999999998E-2</v>
      </c>
      <c r="G4" s="3">
        <v>4.9500000000000002E-2</v>
      </c>
      <c r="H4" s="3">
        <v>4.7300000000000002E-2</v>
      </c>
      <c r="I4" s="4">
        <f>AVERAGE(C4:H4)</f>
        <v>4.9100000000000005E-2</v>
      </c>
      <c r="J4">
        <f>_xlfn.STDEV.S(C4:H4)</f>
        <v>2.0089798406156293E-3</v>
      </c>
      <c r="K4">
        <f>J4/SQRT(6)</f>
        <v>8.2016258550769478E-4</v>
      </c>
      <c r="L4">
        <f>(1.1/1023)*2</f>
        <v>2.1505376344086021E-3</v>
      </c>
      <c r="M4">
        <v>5.0000000000000001E-3</v>
      </c>
      <c r="N4">
        <f>SQRT(K4^2 +L4^2+M4^2)</f>
        <v>5.5043145607490867E-3</v>
      </c>
      <c r="U4" s="2">
        <v>4.87</v>
      </c>
      <c r="V4" s="3">
        <v>4.9500000000000002E-2</v>
      </c>
      <c r="W4" s="3">
        <v>5.0499999999999996E-2</v>
      </c>
      <c r="X4" s="3">
        <v>5.16E-2</v>
      </c>
      <c r="Y4" s="3">
        <v>4.6199999999999998E-2</v>
      </c>
      <c r="Z4" s="3">
        <v>4.9500000000000002E-2</v>
      </c>
      <c r="AA4" s="3">
        <v>4.7300000000000002E-2</v>
      </c>
      <c r="AB4" s="4">
        <f t="shared" ref="AB4:AB9" si="0">AVERAGE(V4:AA4)</f>
        <v>4.9100000000000005E-2</v>
      </c>
      <c r="AC4">
        <f t="shared" ref="AC4:AC9" si="1">_xlfn.STDEV.S(V4:AA4)</f>
        <v>2.0089798406156293E-3</v>
      </c>
      <c r="AD4">
        <f>AC4/SQRT(6)</f>
        <v>8.2016258550769478E-4</v>
      </c>
      <c r="AE4">
        <v>2.2000000000000001E-3</v>
      </c>
      <c r="AF4">
        <v>5.0000000000000001E-3</v>
      </c>
      <c r="AG4">
        <f>SQRT(AD4^2 +AE4^2+AF4^2)</f>
        <v>5.5238271756696614E-3</v>
      </c>
    </row>
    <row r="5" spans="2:33" x14ac:dyDescent="0.35">
      <c r="B5" s="2">
        <v>15.26</v>
      </c>
      <c r="C5" s="3">
        <v>0.15160000000000001</v>
      </c>
      <c r="D5" s="3">
        <v>0.15380000000000002</v>
      </c>
      <c r="E5" s="3">
        <v>0.15479999999999999</v>
      </c>
      <c r="F5" s="3">
        <v>0.1484</v>
      </c>
      <c r="G5" s="3">
        <v>0.15380000000000002</v>
      </c>
      <c r="H5" s="3">
        <v>0.1527</v>
      </c>
      <c r="I5" s="4">
        <f>AVERAGE(C5:H5)</f>
        <v>0.15251666666666666</v>
      </c>
      <c r="J5">
        <f t="shared" ref="J5:J9" si="2">_xlfn.STDEV.S(C5:H5)</f>
        <v>2.2947040477296131E-3</v>
      </c>
      <c r="K5">
        <f t="shared" ref="K5:K9" si="3">J5/SQRT(6)</f>
        <v>9.3680900460612129E-4</v>
      </c>
      <c r="L5">
        <f t="shared" ref="L5:L9" si="4">(1.1/1023)*2</f>
        <v>2.1505376344086021E-3</v>
      </c>
      <c r="M5">
        <v>5.0000000000000001E-3</v>
      </c>
      <c r="N5">
        <f t="shared" ref="N5:N9" si="5">SQRT(K5^2 +L5^2+M5^2)</f>
        <v>5.5228998930017606E-3</v>
      </c>
      <c r="U5" s="2">
        <v>15.26</v>
      </c>
      <c r="V5" s="3">
        <v>0.15160000000000001</v>
      </c>
      <c r="W5" s="3">
        <v>0.15380000000000002</v>
      </c>
      <c r="X5" s="3">
        <v>0.15479999999999999</v>
      </c>
      <c r="Y5" s="3">
        <v>0.1484</v>
      </c>
      <c r="Z5" s="3">
        <v>0.15380000000000002</v>
      </c>
      <c r="AA5" s="3">
        <v>0.1527</v>
      </c>
      <c r="AB5" s="4">
        <f t="shared" si="0"/>
        <v>0.15251666666666666</v>
      </c>
      <c r="AC5">
        <f t="shared" si="1"/>
        <v>2.2947040477296131E-3</v>
      </c>
      <c r="AD5">
        <f t="shared" ref="AD5:AD9" si="6">AC5/SQRT(6)</f>
        <v>9.3680900460612129E-4</v>
      </c>
      <c r="AE5">
        <v>2.2000000000000001E-3</v>
      </c>
      <c r="AF5">
        <v>5.0000000000000001E-3</v>
      </c>
      <c r="AG5">
        <f t="shared" ref="AG5:AG9" si="7">SQRT(AD5^2 +AE5^2+AF5^2)</f>
        <v>5.5423470760239402E-3</v>
      </c>
    </row>
    <row r="6" spans="2:33" x14ac:dyDescent="0.35">
      <c r="B6" s="2">
        <v>25.18</v>
      </c>
      <c r="C6" s="3">
        <v>0.25379999999999997</v>
      </c>
      <c r="D6" s="3">
        <v>0.25379999999999997</v>
      </c>
      <c r="E6" s="3">
        <v>0.2495</v>
      </c>
      <c r="F6" s="3">
        <v>0.25159999999999999</v>
      </c>
      <c r="G6" s="3">
        <v>0.25269999999999998</v>
      </c>
      <c r="H6" s="3">
        <v>0.24840000000000001</v>
      </c>
      <c r="I6" s="4">
        <f t="shared" ref="I6:I9" si="8">AVERAGE(C6:H6)</f>
        <v>0.25163333333333332</v>
      </c>
      <c r="J6">
        <f t="shared" si="2"/>
        <v>2.2597935008904228E-3</v>
      </c>
      <c r="K6">
        <f t="shared" si="3"/>
        <v>9.2255683353986327E-4</v>
      </c>
      <c r="L6">
        <f t="shared" si="4"/>
        <v>2.1505376344086021E-3</v>
      </c>
      <c r="M6">
        <v>5.0000000000000001E-3</v>
      </c>
      <c r="N6">
        <f t="shared" si="5"/>
        <v>5.5205002697327034E-3</v>
      </c>
      <c r="U6" s="2">
        <v>25.18</v>
      </c>
      <c r="V6" s="3">
        <v>0.25379999999999997</v>
      </c>
      <c r="W6" s="3">
        <v>0.25379999999999997</v>
      </c>
      <c r="X6" s="3">
        <v>0.2495</v>
      </c>
      <c r="Y6" s="3">
        <v>0.25159999999999999</v>
      </c>
      <c r="Z6" s="3">
        <v>0.25269999999999998</v>
      </c>
      <c r="AA6" s="3">
        <v>0.24840000000000001</v>
      </c>
      <c r="AB6" s="4">
        <f t="shared" si="0"/>
        <v>0.25163333333333332</v>
      </c>
      <c r="AC6">
        <f t="shared" si="1"/>
        <v>2.2597935008904228E-3</v>
      </c>
      <c r="AD6">
        <f t="shared" si="6"/>
        <v>9.2255683353986327E-4</v>
      </c>
      <c r="AE6">
        <v>2.2000000000000001E-3</v>
      </c>
      <c r="AF6">
        <v>5.0000000000000001E-3</v>
      </c>
      <c r="AG6">
        <f t="shared" si="7"/>
        <v>5.5399558762783572E-3</v>
      </c>
    </row>
    <row r="7" spans="2:33" x14ac:dyDescent="0.35">
      <c r="B7" s="2">
        <v>36.78</v>
      </c>
      <c r="C7" s="3">
        <v>0.36880000000000002</v>
      </c>
      <c r="D7" s="3">
        <v>0.36560000000000004</v>
      </c>
      <c r="E7" s="3">
        <v>0.36770000000000003</v>
      </c>
      <c r="F7" s="3">
        <v>0.36670000000000003</v>
      </c>
      <c r="G7" s="3">
        <v>0.36450000000000005</v>
      </c>
      <c r="H7" s="3">
        <v>0.36990000000000001</v>
      </c>
      <c r="I7" s="4">
        <f t="shared" si="8"/>
        <v>0.36720000000000003</v>
      </c>
      <c r="J7">
        <f t="shared" si="2"/>
        <v>2.0099751242241646E-3</v>
      </c>
      <c r="K7">
        <f t="shared" si="3"/>
        <v>8.2056890833940601E-4</v>
      </c>
      <c r="L7">
        <f t="shared" si="4"/>
        <v>2.1505376344086021E-3</v>
      </c>
      <c r="M7">
        <v>5.0000000000000001E-3</v>
      </c>
      <c r="N7">
        <f t="shared" si="5"/>
        <v>5.5043751189704608E-3</v>
      </c>
      <c r="U7" s="2">
        <v>36.78</v>
      </c>
      <c r="V7" s="3">
        <v>0.36880000000000002</v>
      </c>
      <c r="W7" s="3">
        <v>0.36560000000000004</v>
      </c>
      <c r="X7" s="3">
        <v>0.36770000000000003</v>
      </c>
      <c r="Y7" s="3">
        <v>0.36670000000000003</v>
      </c>
      <c r="Z7" s="3">
        <v>0.36450000000000005</v>
      </c>
      <c r="AA7" s="3">
        <v>0.36990000000000001</v>
      </c>
      <c r="AB7" s="4">
        <f t="shared" si="0"/>
        <v>0.36720000000000003</v>
      </c>
      <c r="AC7">
        <f t="shared" si="1"/>
        <v>2.0099751242241646E-3</v>
      </c>
      <c r="AD7">
        <f t="shared" si="6"/>
        <v>8.2056890833940601E-4</v>
      </c>
      <c r="AE7">
        <v>2.2000000000000001E-3</v>
      </c>
      <c r="AF7">
        <v>5.0000000000000001E-3</v>
      </c>
      <c r="AG7">
        <f t="shared" si="7"/>
        <v>5.5238875199747984E-3</v>
      </c>
    </row>
    <row r="8" spans="2:33" x14ac:dyDescent="0.35">
      <c r="B8" s="2">
        <v>45.48</v>
      </c>
      <c r="C8" s="3">
        <v>0.45700000000000002</v>
      </c>
      <c r="D8" s="3">
        <v>0.45810000000000001</v>
      </c>
      <c r="E8" s="3">
        <v>0.45479999999999998</v>
      </c>
      <c r="F8" s="3">
        <v>0.45700000000000002</v>
      </c>
      <c r="G8" s="3">
        <v>0.45479999999999998</v>
      </c>
      <c r="H8" s="3">
        <v>0.45590000000000003</v>
      </c>
      <c r="I8" s="4">
        <f t="shared" si="8"/>
        <v>0.45626666666666665</v>
      </c>
      <c r="J8">
        <f t="shared" si="2"/>
        <v>1.3321661558029086E-3</v>
      </c>
      <c r="K8">
        <f t="shared" si="3"/>
        <v>5.4385455572035371E-4</v>
      </c>
      <c r="L8">
        <f t="shared" si="4"/>
        <v>2.1505376344086021E-3</v>
      </c>
      <c r="M8">
        <v>5.0000000000000001E-3</v>
      </c>
      <c r="N8">
        <f t="shared" si="5"/>
        <v>5.4699716539288873E-3</v>
      </c>
      <c r="U8" s="2">
        <v>45.48</v>
      </c>
      <c r="V8" s="3">
        <v>0.45700000000000002</v>
      </c>
      <c r="W8" s="3">
        <v>0.45810000000000001</v>
      </c>
      <c r="X8" s="3">
        <v>0.45479999999999998</v>
      </c>
      <c r="Y8" s="3">
        <v>0.45700000000000002</v>
      </c>
      <c r="Z8" s="3">
        <v>0.45479999999999998</v>
      </c>
      <c r="AA8" s="3">
        <v>0.45590000000000003</v>
      </c>
      <c r="AB8" s="4">
        <f t="shared" si="0"/>
        <v>0.45626666666666665</v>
      </c>
      <c r="AC8">
        <f t="shared" si="1"/>
        <v>1.3321661558029086E-3</v>
      </c>
      <c r="AD8">
        <f t="shared" si="6"/>
        <v>5.4385455572035371E-4</v>
      </c>
      <c r="AE8">
        <v>2.2000000000000001E-3</v>
      </c>
      <c r="AF8">
        <v>5.0000000000000001E-3</v>
      </c>
      <c r="AG8">
        <f t="shared" si="7"/>
        <v>5.4896063408752535E-3</v>
      </c>
    </row>
    <row r="9" spans="2:33" x14ac:dyDescent="0.35">
      <c r="B9" s="2">
        <v>53.3</v>
      </c>
      <c r="C9" s="3">
        <v>0.53549999999999998</v>
      </c>
      <c r="D9" s="3">
        <v>0.5333</v>
      </c>
      <c r="E9" s="3">
        <v>0.53659999999999997</v>
      </c>
      <c r="F9" s="3">
        <v>0.53549999999999998</v>
      </c>
      <c r="G9" s="3">
        <v>0.5333</v>
      </c>
      <c r="H9" s="3">
        <v>0.53759999999999997</v>
      </c>
      <c r="I9" s="4">
        <f t="shared" si="8"/>
        <v>0.5353</v>
      </c>
      <c r="J9">
        <f t="shared" si="2"/>
        <v>1.7355114519933177E-3</v>
      </c>
      <c r="K9">
        <f t="shared" si="3"/>
        <v>7.0851958335672871E-4</v>
      </c>
      <c r="L9">
        <f t="shared" si="4"/>
        <v>2.1505376344086021E-3</v>
      </c>
      <c r="M9">
        <v>5.0000000000000001E-3</v>
      </c>
      <c r="N9">
        <f t="shared" si="5"/>
        <v>5.4887896768784769E-3</v>
      </c>
      <c r="U9" s="2">
        <v>53.3</v>
      </c>
      <c r="V9" s="3">
        <v>0.53549999999999998</v>
      </c>
      <c r="W9" s="3">
        <v>0.5333</v>
      </c>
      <c r="X9" s="3">
        <v>0.53659999999999997</v>
      </c>
      <c r="Y9" s="3">
        <v>0.53549999999999998</v>
      </c>
      <c r="Z9" s="3">
        <v>0.5333</v>
      </c>
      <c r="AA9" s="3">
        <v>0.53759999999999997</v>
      </c>
      <c r="AB9" s="4">
        <f t="shared" si="0"/>
        <v>0.5353</v>
      </c>
      <c r="AC9">
        <f t="shared" si="1"/>
        <v>1.7355114519933177E-3</v>
      </c>
      <c r="AD9">
        <f t="shared" si="6"/>
        <v>7.0851958335672871E-4</v>
      </c>
      <c r="AE9">
        <v>2.2000000000000001E-3</v>
      </c>
      <c r="AF9">
        <v>5.0000000000000001E-3</v>
      </c>
      <c r="AG9">
        <f t="shared" si="7"/>
        <v>5.508357286886899E-3</v>
      </c>
    </row>
    <row r="14" spans="2:33" ht="19" thickBot="1" x14ac:dyDescent="0.5">
      <c r="B14" s="46" t="s">
        <v>4</v>
      </c>
      <c r="C14" s="46"/>
      <c r="D14" s="46"/>
      <c r="E14" s="46"/>
      <c r="F14" s="46"/>
      <c r="G14" s="46"/>
      <c r="H14" s="46"/>
    </row>
    <row r="15" spans="2:33" ht="29.25" customHeight="1" thickBot="1" x14ac:dyDescent="0.4">
      <c r="B15" s="1" t="s">
        <v>1</v>
      </c>
      <c r="C15" s="8" t="s">
        <v>3</v>
      </c>
      <c r="D15" s="7" t="s">
        <v>27</v>
      </c>
    </row>
    <row r="16" spans="2:33" x14ac:dyDescent="0.35">
      <c r="B16" s="6">
        <f>B4</f>
        <v>4.87</v>
      </c>
      <c r="C16" s="4">
        <f>I4</f>
        <v>4.9100000000000005E-2</v>
      </c>
      <c r="D16">
        <f>N4</f>
        <v>5.5043145607490867E-3</v>
      </c>
    </row>
    <row r="17" spans="2:4" x14ac:dyDescent="0.35">
      <c r="B17" s="6">
        <f t="shared" ref="B17:B21" si="9">B5</f>
        <v>15.26</v>
      </c>
      <c r="C17" s="4">
        <f>I5</f>
        <v>0.15251666666666666</v>
      </c>
      <c r="D17">
        <f t="shared" ref="D17:D21" si="10">N5</f>
        <v>5.5228998930017606E-3</v>
      </c>
    </row>
    <row r="18" spans="2:4" x14ac:dyDescent="0.35">
      <c r="B18" s="6">
        <f t="shared" si="9"/>
        <v>25.18</v>
      </c>
      <c r="C18" s="4">
        <f t="shared" ref="C18:C21" si="11">I6</f>
        <v>0.25163333333333332</v>
      </c>
      <c r="D18">
        <f t="shared" si="10"/>
        <v>5.5205002697327034E-3</v>
      </c>
    </row>
    <row r="19" spans="2:4" x14ac:dyDescent="0.35">
      <c r="B19" s="6">
        <f t="shared" si="9"/>
        <v>36.78</v>
      </c>
      <c r="C19" s="4">
        <f t="shared" si="11"/>
        <v>0.36720000000000003</v>
      </c>
      <c r="D19">
        <f t="shared" si="10"/>
        <v>5.5043751189704608E-3</v>
      </c>
    </row>
    <row r="20" spans="2:4" x14ac:dyDescent="0.35">
      <c r="B20" s="6">
        <f t="shared" si="9"/>
        <v>45.48</v>
      </c>
      <c r="C20" s="4">
        <f t="shared" si="11"/>
        <v>0.45626666666666665</v>
      </c>
      <c r="D20">
        <f t="shared" si="10"/>
        <v>5.4699716539288873E-3</v>
      </c>
    </row>
    <row r="21" spans="2:4" x14ac:dyDescent="0.35">
      <c r="B21" s="6">
        <f t="shared" si="9"/>
        <v>53.3</v>
      </c>
      <c r="C21" s="4">
        <f t="shared" si="11"/>
        <v>0.5353</v>
      </c>
      <c r="D21">
        <f t="shared" si="10"/>
        <v>5.4887896768784769E-3</v>
      </c>
    </row>
    <row r="34" spans="2:9" x14ac:dyDescent="0.35">
      <c r="B34" s="9" t="s">
        <v>5</v>
      </c>
      <c r="C34" s="9" t="s">
        <v>6</v>
      </c>
      <c r="D34" s="9"/>
      <c r="E34" s="10"/>
      <c r="F34" s="11"/>
      <c r="G34" s="11"/>
      <c r="H34" s="11"/>
      <c r="I34" s="11"/>
    </row>
    <row r="35" spans="2:9" ht="17.5" x14ac:dyDescent="0.35">
      <c r="B35" s="12" t="s">
        <v>7</v>
      </c>
      <c r="C35" s="13" t="s">
        <v>12</v>
      </c>
      <c r="D35" s="14"/>
      <c r="E35" s="15" t="s">
        <v>21</v>
      </c>
      <c r="F35" s="15" t="s">
        <v>8</v>
      </c>
      <c r="G35" s="15" t="s">
        <v>9</v>
      </c>
      <c r="H35" s="15" t="s">
        <v>22</v>
      </c>
      <c r="I35" s="15" t="s">
        <v>23</v>
      </c>
    </row>
    <row r="36" spans="2:9" x14ac:dyDescent="0.35">
      <c r="B36" s="37">
        <f>B16</f>
        <v>4.87</v>
      </c>
      <c r="C36" s="17">
        <f>C16</f>
        <v>4.9100000000000005E-2</v>
      </c>
      <c r="D36" s="18"/>
      <c r="E36">
        <f>1/(D16^2)</f>
        <v>33006.046712337105</v>
      </c>
      <c r="F36" s="38">
        <f>B36/D16^2</f>
        <v>160739.44748908171</v>
      </c>
      <c r="G36" s="19">
        <f>B16^2*E36</f>
        <v>782801.10927182797</v>
      </c>
      <c r="H36" s="19">
        <f>C36/D16^2</f>
        <v>1620.5968935757521</v>
      </c>
      <c r="I36" s="19">
        <f>B36*C36/D16^2</f>
        <v>7892.3068717139122</v>
      </c>
    </row>
    <row r="37" spans="2:9" x14ac:dyDescent="0.35">
      <c r="B37" s="37">
        <f t="shared" ref="B37:C41" si="12">B17</f>
        <v>15.26</v>
      </c>
      <c r="C37" s="17">
        <f t="shared" si="12"/>
        <v>0.15251666666666666</v>
      </c>
      <c r="D37" s="18"/>
      <c r="E37">
        <f t="shared" ref="E37:E41" si="13">1/(D17^2)</f>
        <v>32784.280531460972</v>
      </c>
      <c r="F37" s="38">
        <f t="shared" ref="F37:F41" si="14">B37/D17^2</f>
        <v>500288.12091009441</v>
      </c>
      <c r="G37" s="19">
        <f t="shared" ref="G37:G41" si="15">B17^2*E37</f>
        <v>7634396.7250880403</v>
      </c>
      <c r="H37" s="19">
        <f t="shared" ref="H37:H41" si="16">C37/D17^2</f>
        <v>5000.1491857233223</v>
      </c>
      <c r="I37" s="19">
        <f t="shared" ref="I37:I41" si="17">B37*C37/D17^2</f>
        <v>76302.276574137897</v>
      </c>
    </row>
    <row r="38" spans="2:9" x14ac:dyDescent="0.35">
      <c r="B38" s="37">
        <f t="shared" si="12"/>
        <v>25.18</v>
      </c>
      <c r="C38" s="17">
        <f t="shared" si="12"/>
        <v>0.25163333333333332</v>
      </c>
      <c r="D38" s="18"/>
      <c r="E38">
        <f t="shared" si="13"/>
        <v>32812.787737873747</v>
      </c>
      <c r="F38" s="38">
        <f t="shared" si="14"/>
        <v>826225.99523966096</v>
      </c>
      <c r="G38" s="19">
        <f t="shared" si="15"/>
        <v>20804370.56013466</v>
      </c>
      <c r="H38" s="19">
        <f t="shared" si="16"/>
        <v>8256.7911544402978</v>
      </c>
      <c r="I38" s="19">
        <f t="shared" si="17"/>
        <v>207906.00126880666</v>
      </c>
    </row>
    <row r="39" spans="2:9" x14ac:dyDescent="0.35">
      <c r="B39" s="37">
        <f t="shared" si="12"/>
        <v>36.78</v>
      </c>
      <c r="C39" s="17">
        <f t="shared" si="12"/>
        <v>0.36720000000000003</v>
      </c>
      <c r="D39" s="18"/>
      <c r="E39">
        <f t="shared" si="13"/>
        <v>33005.320462237818</v>
      </c>
      <c r="F39" s="38">
        <f t="shared" si="14"/>
        <v>1213935.686601107</v>
      </c>
      <c r="G39" s="19">
        <f t="shared" si="15"/>
        <v>44648554.553188719</v>
      </c>
      <c r="H39" s="19">
        <f t="shared" si="16"/>
        <v>12119.553673733728</v>
      </c>
      <c r="I39" s="19">
        <f t="shared" si="17"/>
        <v>445757.18411992653</v>
      </c>
    </row>
    <row r="40" spans="2:9" x14ac:dyDescent="0.35">
      <c r="B40" s="16">
        <f t="shared" si="12"/>
        <v>45.48</v>
      </c>
      <c r="C40" s="17">
        <f t="shared" si="12"/>
        <v>0.45626666666666665</v>
      </c>
      <c r="D40" s="18"/>
      <c r="E40">
        <f t="shared" si="13"/>
        <v>33421.800957683561</v>
      </c>
      <c r="F40" s="38">
        <f t="shared" si="14"/>
        <v>1520023.5075554482</v>
      </c>
      <c r="G40" s="19">
        <f t="shared" si="15"/>
        <v>69130669.123621777</v>
      </c>
      <c r="H40" s="19">
        <f t="shared" si="16"/>
        <v>15249.253716959085</v>
      </c>
      <c r="I40" s="19">
        <f t="shared" si="17"/>
        <v>693536.0590472992</v>
      </c>
    </row>
    <row r="41" spans="2:9" ht="15" thickBot="1" x14ac:dyDescent="0.4">
      <c r="B41" s="16">
        <f t="shared" si="12"/>
        <v>53.3</v>
      </c>
      <c r="C41" s="17">
        <f t="shared" si="12"/>
        <v>0.5353</v>
      </c>
      <c r="D41" s="18"/>
      <c r="E41">
        <f t="shared" si="13"/>
        <v>33193.024078225048</v>
      </c>
      <c r="F41" s="38">
        <f t="shared" si="14"/>
        <v>1769188.1833693951</v>
      </c>
      <c r="G41" s="19">
        <f t="shared" si="15"/>
        <v>94297730.173588753</v>
      </c>
      <c r="H41" s="19">
        <f t="shared" si="16"/>
        <v>17768.225789073869</v>
      </c>
      <c r="I41" s="19">
        <f t="shared" si="17"/>
        <v>947046.4345576372</v>
      </c>
    </row>
    <row r="42" spans="2:9" ht="16" thickBot="1" x14ac:dyDescent="0.4">
      <c r="B42" s="10"/>
      <c r="C42" s="10"/>
      <c r="D42" s="10"/>
      <c r="E42" s="41">
        <f>SUM(E36:E41)</f>
        <v>198223.26047981824</v>
      </c>
      <c r="F42" s="21">
        <f>SUM(F36:F41)</f>
        <v>5990400.9411647879</v>
      </c>
      <c r="G42" s="22">
        <f>SUM(G36:G41)</f>
        <v>237298522.24489379</v>
      </c>
      <c r="H42" s="22">
        <f>SUM(H36:H41)</f>
        <v>60014.570413506051</v>
      </c>
      <c r="I42" s="23">
        <f>SUM(I36:I41)</f>
        <v>2378440.2624395215</v>
      </c>
    </row>
    <row r="43" spans="2:9" x14ac:dyDescent="0.35">
      <c r="B43" s="29" t="s">
        <v>17</v>
      </c>
      <c r="C43" s="30">
        <f>COUNT(C36:C41)</f>
        <v>6</v>
      </c>
    </row>
    <row r="44" spans="2:9" ht="17.5" x14ac:dyDescent="0.35">
      <c r="F44" s="24" t="s">
        <v>13</v>
      </c>
      <c r="G44" s="25"/>
      <c r="I44" s="26"/>
    </row>
    <row r="45" spans="2:9" x14ac:dyDescent="0.35">
      <c r="F45" s="10">
        <f>E42*G42-F42^2</f>
        <v>11153183350517.547</v>
      </c>
      <c r="G45" s="26"/>
      <c r="I45" s="26"/>
    </row>
    <row r="46" spans="2:9" ht="15.5" x14ac:dyDescent="0.35">
      <c r="F46" s="50" t="s">
        <v>14</v>
      </c>
      <c r="G46" s="50"/>
      <c r="H46" s="50"/>
      <c r="I46" s="50"/>
    </row>
    <row r="47" spans="2:9" x14ac:dyDescent="0.35">
      <c r="B47" s="31" t="s">
        <v>5</v>
      </c>
      <c r="C47" s="31" t="s">
        <v>6</v>
      </c>
    </row>
    <row r="48" spans="2:9" ht="29" x14ac:dyDescent="0.35">
      <c r="B48" s="32" t="s">
        <v>12</v>
      </c>
      <c r="C48" s="33" t="s">
        <v>18</v>
      </c>
      <c r="F48" s="24" t="s">
        <v>25</v>
      </c>
      <c r="G48" s="24" t="s">
        <v>26</v>
      </c>
    </row>
    <row r="49" spans="2:9" ht="15.5" x14ac:dyDescent="0.35">
      <c r="B49" s="17">
        <f>C36</f>
        <v>4.9100000000000005E-2</v>
      </c>
      <c r="C49" s="34">
        <f>$F$56*B49+$G$56</f>
        <v>4.9491651347649368</v>
      </c>
      <c r="F49" s="40">
        <f>1/F45*(E42*I42-F42*H42)</f>
        <v>1.003756874340047E-2</v>
      </c>
      <c r="G49" s="39">
        <f>1/F45*(G42*H42-F42*I42)</f>
        <v>-5.7758526264389722E-4</v>
      </c>
      <c r="H49" s="51"/>
      <c r="I49" s="52"/>
    </row>
    <row r="50" spans="2:9" x14ac:dyDescent="0.35">
      <c r="B50" s="17">
        <f t="shared" ref="B50:B54" si="18">C37</f>
        <v>0.15251666666666666</v>
      </c>
      <c r="C50" s="34">
        <f t="shared" ref="C50:C54" si="19">$F$56*B50+$G$56</f>
        <v>15.252124876351896</v>
      </c>
    </row>
    <row r="51" spans="2:9" x14ac:dyDescent="0.35">
      <c r="B51" s="17">
        <f t="shared" si="18"/>
        <v>0.25163333333333332</v>
      </c>
      <c r="C51" s="34">
        <f t="shared" si="19"/>
        <v>25.126694027555384</v>
      </c>
    </row>
    <row r="52" spans="2:9" x14ac:dyDescent="0.35">
      <c r="B52" s="17">
        <f t="shared" si="18"/>
        <v>0.36720000000000003</v>
      </c>
      <c r="C52" s="34">
        <f t="shared" si="19"/>
        <v>36.640106251272393</v>
      </c>
    </row>
    <row r="53" spans="2:9" ht="17.5" x14ac:dyDescent="0.35">
      <c r="B53" s="17">
        <f t="shared" si="18"/>
        <v>0.45626666666666665</v>
      </c>
      <c r="C53" s="34">
        <f t="shared" si="19"/>
        <v>45.513436929602882</v>
      </c>
      <c r="F53" s="53" t="s">
        <v>20</v>
      </c>
      <c r="G53" s="53"/>
      <c r="H53" s="53"/>
      <c r="I53" s="53"/>
    </row>
    <row r="54" spans="2:9" x14ac:dyDescent="0.35">
      <c r="B54" s="17">
        <f t="shared" si="18"/>
        <v>0.5353</v>
      </c>
      <c r="C54" s="34">
        <f t="shared" si="19"/>
        <v>53.387189563705277</v>
      </c>
    </row>
    <row r="55" spans="2:9" ht="15.5" x14ac:dyDescent="0.35">
      <c r="F55" s="27" t="s">
        <v>24</v>
      </c>
      <c r="G55" s="28" t="s">
        <v>15</v>
      </c>
    </row>
    <row r="56" spans="2:9" ht="15.5" x14ac:dyDescent="0.35">
      <c r="C56">
        <v>99.625718693830393</v>
      </c>
      <c r="F56" s="36">
        <f xml:space="preserve"> 1/F49</f>
        <v>99.625718693830407</v>
      </c>
      <c r="G56" s="35">
        <f xml:space="preserve"> -G49/F49</f>
        <v>5.7542346897863056E-2</v>
      </c>
      <c r="H56" s="44" t="s">
        <v>16</v>
      </c>
      <c r="I56" s="45"/>
    </row>
    <row r="57" spans="2:9" x14ac:dyDescent="0.35">
      <c r="C57">
        <v>5.7542346897863098E-2</v>
      </c>
    </row>
    <row r="58" spans="2:9" x14ac:dyDescent="0.35">
      <c r="F58" s="36"/>
    </row>
    <row r="61" spans="2:9" ht="17.5" x14ac:dyDescent="0.35">
      <c r="E61" s="15" t="s">
        <v>19</v>
      </c>
      <c r="F61" s="15" t="s">
        <v>8</v>
      </c>
      <c r="G61" s="15" t="s">
        <v>9</v>
      </c>
      <c r="H61" s="15" t="s">
        <v>10</v>
      </c>
      <c r="I61" s="15" t="s">
        <v>11</v>
      </c>
    </row>
    <row r="62" spans="2:9" x14ac:dyDescent="0.35">
      <c r="E62">
        <f>1/D16^2</f>
        <v>33006.046712337105</v>
      </c>
      <c r="F62" s="38">
        <f>B16/D16^2</f>
        <v>160739.44748908171</v>
      </c>
      <c r="G62" s="19">
        <f>F62^2</f>
        <v>25837169979.095257</v>
      </c>
      <c r="H62" s="19">
        <f>C62</f>
        <v>0</v>
      </c>
      <c r="I62" s="19">
        <f>F62*H62</f>
        <v>0</v>
      </c>
    </row>
    <row r="63" spans="2:9" x14ac:dyDescent="0.35">
      <c r="E63">
        <f t="shared" ref="E63:E67" si="20">1/D17^2</f>
        <v>32784.280531460972</v>
      </c>
      <c r="F63" s="38">
        <f t="shared" ref="F63:F67" si="21">B17/D17^2</f>
        <v>500288.12091009441</v>
      </c>
      <c r="G63" s="19">
        <f t="shared" ref="G63:G67" si="22">F63^2</f>
        <v>250288203923.75323</v>
      </c>
      <c r="H63" s="19">
        <f t="shared" ref="H63:H67" si="23">C63</f>
        <v>0</v>
      </c>
      <c r="I63" s="19">
        <f t="shared" ref="I63:I67" si="24">F63*H63</f>
        <v>0</v>
      </c>
    </row>
    <row r="64" spans="2:9" x14ac:dyDescent="0.35">
      <c r="E64">
        <f t="shared" si="20"/>
        <v>32812.787737873747</v>
      </c>
      <c r="F64" s="38">
        <f t="shared" si="21"/>
        <v>826225.99523966096</v>
      </c>
      <c r="G64" s="19">
        <f t="shared" si="22"/>
        <v>682649395209.76831</v>
      </c>
      <c r="H64" s="19">
        <f t="shared" si="23"/>
        <v>0</v>
      </c>
      <c r="I64" s="19">
        <f t="shared" si="24"/>
        <v>0</v>
      </c>
    </row>
    <row r="65" spans="5:9" x14ac:dyDescent="0.35">
      <c r="E65">
        <f t="shared" si="20"/>
        <v>33005.320462237818</v>
      </c>
      <c r="F65" s="38">
        <f t="shared" si="21"/>
        <v>1213935.686601107</v>
      </c>
      <c r="G65" s="19">
        <f t="shared" si="22"/>
        <v>1473639851203.7012</v>
      </c>
      <c r="H65" s="19">
        <f t="shared" si="23"/>
        <v>0</v>
      </c>
      <c r="I65" s="19">
        <f t="shared" si="24"/>
        <v>0</v>
      </c>
    </row>
    <row r="66" spans="5:9" x14ac:dyDescent="0.35">
      <c r="E66">
        <f t="shared" si="20"/>
        <v>33421.800957683561</v>
      </c>
      <c r="F66" s="38">
        <f t="shared" si="21"/>
        <v>1520023.5075554482</v>
      </c>
      <c r="G66" s="19">
        <f t="shared" si="22"/>
        <v>2310471463521.168</v>
      </c>
      <c r="H66" s="19">
        <f t="shared" si="23"/>
        <v>0</v>
      </c>
      <c r="I66" s="19">
        <f t="shared" si="24"/>
        <v>0</v>
      </c>
    </row>
    <row r="67" spans="5:9" ht="15" thickBot="1" x14ac:dyDescent="0.4">
      <c r="E67">
        <f t="shared" si="20"/>
        <v>33193.024078225048</v>
      </c>
      <c r="F67" s="38">
        <f t="shared" si="21"/>
        <v>1769188.1833693951</v>
      </c>
      <c r="G67" s="20">
        <f t="shared" si="22"/>
        <v>3130026828173.9004</v>
      </c>
      <c r="H67" s="20">
        <f t="shared" si="23"/>
        <v>0</v>
      </c>
      <c r="I67" s="20">
        <f t="shared" si="24"/>
        <v>0</v>
      </c>
    </row>
    <row r="68" spans="5:9" ht="16" thickBot="1" x14ac:dyDescent="0.4">
      <c r="E68">
        <f>SUM(E62:E67)</f>
        <v>198223.26047981824</v>
      </c>
      <c r="F68" s="21">
        <f>SUM(F62:F67)</f>
        <v>5990400.9411647879</v>
      </c>
      <c r="G68" s="22">
        <f>SUM(G62:G67)</f>
        <v>7872912912011.3867</v>
      </c>
      <c r="H68" s="22">
        <f>SUM(H62:H67)</f>
        <v>0</v>
      </c>
      <c r="I68" s="23">
        <f>SUM(I62:I67)</f>
        <v>0</v>
      </c>
    </row>
  </sheetData>
  <mergeCells count="9">
    <mergeCell ref="H56:I56"/>
    <mergeCell ref="B2:H2"/>
    <mergeCell ref="C3:H3"/>
    <mergeCell ref="B14:H14"/>
    <mergeCell ref="U2:AA2"/>
    <mergeCell ref="V3:AA3"/>
    <mergeCell ref="F46:I46"/>
    <mergeCell ref="H49:I49"/>
    <mergeCell ref="F53:I53"/>
  </mergeCells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I5:J9 I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Gabriel Valentim</cp:lastModifiedBy>
  <dcterms:created xsi:type="dcterms:W3CDTF">2021-05-27T19:47:15Z</dcterms:created>
  <dcterms:modified xsi:type="dcterms:W3CDTF">2021-05-30T19:51:12Z</dcterms:modified>
</cp:coreProperties>
</file>