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8800" windowHeight="12435"/>
  </bookViews>
  <sheets>
    <sheet name="Plan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51" i="1" l="1"/>
  <c r="AB52" i="1"/>
  <c r="AB53" i="1"/>
  <c r="AB54" i="1"/>
  <c r="AB55" i="1"/>
  <c r="AB50" i="1"/>
  <c r="AA42" i="1" l="1"/>
  <c r="AA39" i="1"/>
  <c r="AE39" i="1" s="1"/>
  <c r="AA38" i="1"/>
  <c r="AB22" i="1"/>
  <c r="AB42" i="1" s="1"/>
  <c r="AA22" i="1"/>
  <c r="AB21" i="1"/>
  <c r="AB41" i="1" s="1"/>
  <c r="AA21" i="1"/>
  <c r="AA20" i="1"/>
  <c r="AA19" i="1"/>
  <c r="AA18" i="1"/>
  <c r="AA17" i="1"/>
  <c r="AK10" i="1"/>
  <c r="AI10" i="1"/>
  <c r="AJ10" i="1" s="1"/>
  <c r="AM10" i="1" s="1"/>
  <c r="AC22" i="1" s="1"/>
  <c r="AH10" i="1"/>
  <c r="AK9" i="1"/>
  <c r="AJ9" i="1"/>
  <c r="AM9" i="1" s="1"/>
  <c r="AC21" i="1" s="1"/>
  <c r="AI9" i="1"/>
  <c r="AH9" i="1"/>
  <c r="AK8" i="1"/>
  <c r="AJ8" i="1"/>
  <c r="AM8" i="1" s="1"/>
  <c r="AC20" i="1" s="1"/>
  <c r="AI8" i="1"/>
  <c r="AH8" i="1"/>
  <c r="AB20" i="1" s="1"/>
  <c r="AB40" i="1" s="1"/>
  <c r="AK7" i="1"/>
  <c r="AI7" i="1"/>
  <c r="AJ7" i="1" s="1"/>
  <c r="AM7" i="1" s="1"/>
  <c r="AC19" i="1" s="1"/>
  <c r="AH7" i="1"/>
  <c r="AB19" i="1" s="1"/>
  <c r="AB39" i="1" s="1"/>
  <c r="AK6" i="1"/>
  <c r="AI6" i="1"/>
  <c r="AJ6" i="1" s="1"/>
  <c r="AM6" i="1" s="1"/>
  <c r="AC18" i="1" s="1"/>
  <c r="AH6" i="1"/>
  <c r="AB18" i="1" s="1"/>
  <c r="AB38" i="1" s="1"/>
  <c r="AK5" i="1"/>
  <c r="AI5" i="1"/>
  <c r="AJ5" i="1" s="1"/>
  <c r="AM5" i="1" s="1"/>
  <c r="AC17" i="1" s="1"/>
  <c r="AH5" i="1"/>
  <c r="AB17" i="1" s="1"/>
  <c r="AB37" i="1" s="1"/>
  <c r="AD42" i="1" l="1"/>
  <c r="AF42" i="1" s="1"/>
  <c r="AE42" i="1"/>
  <c r="AD37" i="1"/>
  <c r="AD39" i="1"/>
  <c r="AF39" i="1" s="1"/>
  <c r="AD40" i="1"/>
  <c r="AF40" i="1" s="1"/>
  <c r="AD41" i="1"/>
  <c r="AA55" i="1"/>
  <c r="AG42" i="1"/>
  <c r="AG40" i="1"/>
  <c r="AA53" i="1"/>
  <c r="AA54" i="1"/>
  <c r="AG41" i="1"/>
  <c r="AA52" i="1"/>
  <c r="AG39" i="1"/>
  <c r="AA51" i="1"/>
  <c r="AG38" i="1"/>
  <c r="AB44" i="1"/>
  <c r="AA50" i="1"/>
  <c r="AG37" i="1"/>
  <c r="AD38" i="1"/>
  <c r="AF38" i="1" s="1"/>
  <c r="AE38" i="1"/>
  <c r="AA37" i="1"/>
  <c r="AF37" i="1"/>
  <c r="AH39" i="1"/>
  <c r="AA41" i="1"/>
  <c r="AF41" i="1"/>
  <c r="AH38" i="1"/>
  <c r="AA40" i="1"/>
  <c r="AH42" i="1"/>
  <c r="I37" i="1"/>
  <c r="I36" i="1"/>
  <c r="L4" i="1"/>
  <c r="AF43" i="1" l="1"/>
  <c r="AE37" i="1"/>
  <c r="AE43" i="1" s="1"/>
  <c r="AH37" i="1"/>
  <c r="AE41" i="1"/>
  <c r="AH41" i="1"/>
  <c r="AD43" i="1"/>
  <c r="AE46" i="1" s="1"/>
  <c r="AH40" i="1"/>
  <c r="AE40" i="1"/>
  <c r="AG43" i="1"/>
  <c r="M4" i="1"/>
  <c r="R4" i="1" s="1"/>
  <c r="AH43" i="1" l="1"/>
  <c r="AE50" i="1" s="1"/>
  <c r="AE57" i="1" s="1"/>
  <c r="K4" i="1"/>
  <c r="AF50" i="1" l="1"/>
  <c r="AF57" i="1" s="1"/>
  <c r="D16" i="1"/>
  <c r="D36" i="1" l="1"/>
  <c r="D17" i="1"/>
  <c r="D18" i="1"/>
  <c r="D19" i="1"/>
  <c r="D20" i="1"/>
  <c r="D21" i="1"/>
  <c r="L9" i="1"/>
  <c r="M9" i="1" s="1"/>
  <c r="L8" i="1"/>
  <c r="M8" i="1" s="1"/>
  <c r="L7" i="1"/>
  <c r="M7" i="1" s="1"/>
  <c r="L6" i="1"/>
  <c r="M6" i="1" s="1"/>
  <c r="L5" i="1"/>
  <c r="M5" i="1" s="1"/>
  <c r="F16" i="1"/>
  <c r="K9" i="1"/>
  <c r="E21" i="1" s="1"/>
  <c r="E41" i="1" s="1"/>
  <c r="K8" i="1"/>
  <c r="E20" i="1" s="1"/>
  <c r="E40" i="1" s="1"/>
  <c r="K7" i="1"/>
  <c r="E19" i="1" s="1"/>
  <c r="E39" i="1" s="1"/>
  <c r="K6" i="1"/>
  <c r="E18" i="1" s="1"/>
  <c r="E38" i="1" s="1"/>
  <c r="K5" i="1"/>
  <c r="E17" i="1" s="1"/>
  <c r="E37" i="1" s="1"/>
  <c r="E16" i="1"/>
  <c r="E36" i="1" s="1"/>
  <c r="R8" i="1" l="1"/>
  <c r="F20" i="1" s="1"/>
  <c r="R9" i="1"/>
  <c r="F21" i="1" s="1"/>
  <c r="R5" i="1"/>
  <c r="F17" i="1" s="1"/>
  <c r="R6" i="1"/>
  <c r="F18" i="1" s="1"/>
  <c r="R7" i="1"/>
  <c r="F19" i="1" s="1"/>
  <c r="H36" i="1"/>
  <c r="J36" i="1"/>
  <c r="G36" i="1"/>
  <c r="K36" i="1"/>
  <c r="D49" i="1"/>
  <c r="D38" i="1"/>
  <c r="D41" i="1"/>
  <c r="D37" i="1"/>
  <c r="D40" i="1"/>
  <c r="D39" i="1"/>
  <c r="D54" i="1"/>
  <c r="D51" i="1"/>
  <c r="D50" i="1"/>
  <c r="E43" i="1"/>
  <c r="D53" i="1"/>
  <c r="D52" i="1"/>
  <c r="G41" i="1" l="1"/>
  <c r="I41" i="1" s="1"/>
  <c r="J41" i="1"/>
  <c r="J39" i="1"/>
  <c r="G39" i="1"/>
  <c r="I39" i="1" s="1"/>
  <c r="G38" i="1"/>
  <c r="I38" i="1" s="1"/>
  <c r="J38" i="1"/>
  <c r="J37" i="1"/>
  <c r="J42" i="1" s="1"/>
  <c r="G37" i="1"/>
  <c r="I42" i="1" s="1"/>
  <c r="J40" i="1"/>
  <c r="G40" i="1"/>
  <c r="I40" i="1" s="1"/>
  <c r="H39" i="1"/>
  <c r="K39" i="1"/>
  <c r="H38" i="1"/>
  <c r="K38" i="1"/>
  <c r="H37" i="1"/>
  <c r="K37" i="1"/>
  <c r="H40" i="1"/>
  <c r="K40" i="1"/>
  <c r="H41" i="1"/>
  <c r="K41" i="1"/>
  <c r="G42" i="1" l="1"/>
  <c r="H42" i="1"/>
  <c r="H45" i="1" s="1"/>
  <c r="K42" i="1"/>
  <c r="H49" i="1" l="1"/>
  <c r="H56" i="1" s="1"/>
  <c r="I49" i="1"/>
  <c r="I56" i="1" s="1"/>
  <c r="E53" i="1" s="1"/>
  <c r="E49" i="1" l="1"/>
  <c r="E51" i="1"/>
  <c r="E52" i="1"/>
  <c r="E54" i="1"/>
  <c r="E50" i="1"/>
</calcChain>
</file>

<file path=xl/sharedStrings.xml><?xml version="1.0" encoding="utf-8"?>
<sst xmlns="http://schemas.openxmlformats.org/spreadsheetml/2006/main" count="79" uniqueCount="60">
  <si>
    <t>Medições da Temperatura</t>
  </si>
  <si>
    <t>Calibração do LM35</t>
  </si>
  <si>
    <t>X</t>
  </si>
  <si>
    <t>Y</t>
  </si>
  <si>
    <t xml:space="preserve"> f -1 (y) = 4,6792.y - 8,7631</t>
  </si>
  <si>
    <t xml:space="preserve">nro de leituras (n) : </t>
  </si>
  <si>
    <t xml:space="preserve">Desvio Padrão </t>
  </si>
  <si>
    <t>DHT22 (UR%)</t>
  </si>
  <si>
    <t>URmed(UR%)</t>
  </si>
  <si>
    <t>Incerteza tipoB(T)</t>
  </si>
  <si>
    <t>UR(%) padrão</t>
  </si>
  <si>
    <r>
      <t>T (</t>
    </r>
    <r>
      <rPr>
        <b/>
        <vertAlign val="superscript"/>
        <sz val="12"/>
        <color theme="1"/>
        <rFont val="Calibri"/>
        <family val="2"/>
        <scheme val="minor"/>
      </rPr>
      <t>o</t>
    </r>
    <r>
      <rPr>
        <b/>
        <sz val="12"/>
        <color theme="1"/>
        <rFont val="Calibri"/>
        <family val="2"/>
        <scheme val="minor"/>
      </rPr>
      <t>C) padrão</t>
    </r>
  </si>
  <si>
    <t>Solução salina</t>
  </si>
  <si>
    <t>KOH</t>
  </si>
  <si>
    <t>Kac</t>
  </si>
  <si>
    <t>MgCl2</t>
  </si>
  <si>
    <t>Ca(NO3)2</t>
  </si>
  <si>
    <t>NaCl</t>
  </si>
  <si>
    <t>KCl</t>
  </si>
  <si>
    <t>1/a (%/%)</t>
  </si>
  <si>
    <t>-b/a (%)</t>
  </si>
  <si>
    <t>a (%/%)</t>
  </si>
  <si>
    <t>b (%)</t>
  </si>
  <si>
    <r>
      <rPr>
        <b/>
        <sz val="12"/>
        <color theme="1"/>
        <rFont val="Calibri"/>
        <family val="2"/>
        <scheme val="minor"/>
      </rPr>
      <t xml:space="preserve">UR(%) DHT22 </t>
    </r>
    <r>
      <rPr>
        <sz val="12"/>
        <color theme="1"/>
        <rFont val="Calibri"/>
        <family val="2"/>
        <scheme val="minor"/>
      </rPr>
      <t>versus</t>
    </r>
    <r>
      <rPr>
        <b/>
        <sz val="12"/>
        <color theme="1"/>
        <rFont val="Calibri"/>
        <family val="2"/>
        <scheme val="minor"/>
      </rPr>
      <t xml:space="preserve"> UR(%) padrão  :</t>
    </r>
    <r>
      <rPr>
        <sz val="12"/>
        <color theme="1"/>
        <rFont val="Calibri"/>
        <family val="2"/>
        <scheme val="minor"/>
      </rPr>
      <t xml:space="preserve">  f </t>
    </r>
    <r>
      <rPr>
        <vertAlign val="superscript"/>
        <sz val="12"/>
        <color theme="1"/>
        <rFont val="Calibri"/>
        <family val="2"/>
        <scheme val="minor"/>
      </rPr>
      <t>-1</t>
    </r>
    <r>
      <rPr>
        <sz val="12"/>
        <color theme="1"/>
        <rFont val="Calibri"/>
        <family val="2"/>
        <scheme val="minor"/>
      </rPr>
      <t xml:space="preserve"> (y) = (1/a).y - (b/a)</t>
    </r>
  </si>
  <si>
    <r>
      <t xml:space="preserve">UR(%) padrão </t>
    </r>
    <r>
      <rPr>
        <sz val="12"/>
        <color theme="1"/>
        <rFont val="Calibri"/>
        <family val="2"/>
        <scheme val="minor"/>
      </rPr>
      <t>versus</t>
    </r>
    <r>
      <rPr>
        <b/>
        <sz val="12"/>
        <color theme="1"/>
        <rFont val="Calibri"/>
        <family val="2"/>
        <scheme val="minor"/>
      </rPr>
      <t xml:space="preserve"> UR(%) DHT22:</t>
    </r>
    <r>
      <rPr>
        <sz val="12"/>
        <color theme="1"/>
        <rFont val="Calibri"/>
        <family val="2"/>
        <scheme val="minor"/>
      </rPr>
      <t xml:space="preserve"> f (x) = a.x + b</t>
    </r>
  </si>
  <si>
    <t>MMq Umidade. [%]</t>
  </si>
  <si>
    <t>dU/dT (% / °C)</t>
  </si>
  <si>
    <t xml:space="preserve">Incerteza Padrão ( %) </t>
  </si>
  <si>
    <t>Ssigma(1/(%.%))</t>
  </si>
  <si>
    <t>Sx (1/%)</t>
  </si>
  <si>
    <r>
      <t>Sx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 xml:space="preserve"> (%.% / (%.%))</t>
    </r>
  </si>
  <si>
    <t>Sy (1/%)</t>
  </si>
  <si>
    <t>Sxy (% / %)</t>
  </si>
  <si>
    <r>
      <t xml:space="preserve">Δ (1/% 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) :</t>
    </r>
  </si>
  <si>
    <t>Incerteza tipoA(%)</t>
  </si>
  <si>
    <t>Incerteza tipoB(%)</t>
  </si>
  <si>
    <t>Calibração do DHT-22</t>
  </si>
  <si>
    <r>
      <t>T (</t>
    </r>
    <r>
      <rPr>
        <b/>
        <vertAlign val="superscript"/>
        <sz val="12"/>
        <color theme="1"/>
        <rFont val="Calibri"/>
        <family val="2"/>
        <scheme val="minor"/>
      </rPr>
      <t>o</t>
    </r>
    <r>
      <rPr>
        <b/>
        <sz val="12"/>
        <color theme="1"/>
        <rFont val="Calibri"/>
        <family val="2"/>
        <scheme val="minor"/>
      </rPr>
      <t>C)</t>
    </r>
  </si>
  <si>
    <t>LM35 (V)</t>
  </si>
  <si>
    <t>Vmed(V)</t>
  </si>
  <si>
    <t>Incerteza tipoA(V)</t>
  </si>
  <si>
    <t xml:space="preserve">IB adc (V) (conversor analógico digital) </t>
  </si>
  <si>
    <t>IB LM35</t>
  </si>
  <si>
    <t xml:space="preserve">Incerteza Padrão </t>
  </si>
  <si>
    <t>Incerteza  Padrão</t>
  </si>
  <si>
    <t>Temp.  [°C]</t>
  </si>
  <si>
    <t>Vmed. [V]</t>
  </si>
  <si>
    <t>Ssigma</t>
  </si>
  <si>
    <r>
      <t>Sx (</t>
    </r>
    <r>
      <rPr>
        <b/>
        <vertAlign val="superscript"/>
        <sz val="12"/>
        <color theme="1"/>
        <rFont val="Calibri"/>
        <family val="2"/>
        <scheme val="minor"/>
      </rPr>
      <t>o</t>
    </r>
    <r>
      <rPr>
        <b/>
        <sz val="12"/>
        <color theme="1"/>
        <rFont val="Calibri"/>
        <family val="2"/>
        <scheme val="minor"/>
      </rPr>
      <t>C)</t>
    </r>
  </si>
  <si>
    <r>
      <t>Sx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 xml:space="preserve"> (</t>
    </r>
    <r>
      <rPr>
        <b/>
        <vertAlign val="superscript"/>
        <sz val="12"/>
        <color theme="1"/>
        <rFont val="Calibri"/>
        <family val="2"/>
        <scheme val="minor"/>
      </rPr>
      <t>o</t>
    </r>
    <r>
      <rPr>
        <b/>
        <sz val="12"/>
        <color theme="1"/>
        <rFont val="Calibri"/>
        <family val="2"/>
        <scheme val="minor"/>
      </rPr>
      <t xml:space="preserve">C 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)</t>
    </r>
  </si>
  <si>
    <t>Sy (V)</t>
  </si>
  <si>
    <r>
      <t>Sxy (</t>
    </r>
    <r>
      <rPr>
        <b/>
        <vertAlign val="superscript"/>
        <sz val="12"/>
        <color theme="1"/>
        <rFont val="Calibri"/>
        <family val="2"/>
        <scheme val="minor"/>
      </rPr>
      <t>o</t>
    </r>
    <r>
      <rPr>
        <b/>
        <sz val="12"/>
        <color theme="1"/>
        <rFont val="Calibri"/>
        <family val="2"/>
        <scheme val="minor"/>
      </rPr>
      <t>C.V)</t>
    </r>
  </si>
  <si>
    <r>
      <t>Δ (</t>
    </r>
    <r>
      <rPr>
        <b/>
        <vertAlign val="superscript"/>
        <sz val="12"/>
        <color theme="1"/>
        <rFont val="Calibri"/>
        <family val="2"/>
        <scheme val="minor"/>
      </rPr>
      <t>o</t>
    </r>
    <r>
      <rPr>
        <b/>
        <sz val="12"/>
        <color theme="1"/>
        <rFont val="Calibri"/>
        <family val="2"/>
        <scheme val="minor"/>
      </rPr>
      <t xml:space="preserve">C 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) :</t>
    </r>
  </si>
  <si>
    <r>
      <t xml:space="preserve">Compr. (cm) </t>
    </r>
    <r>
      <rPr>
        <sz val="12"/>
        <color theme="1"/>
        <rFont val="Calibri"/>
        <family val="2"/>
        <scheme val="minor"/>
      </rPr>
      <t>versus</t>
    </r>
    <r>
      <rPr>
        <b/>
        <sz val="12"/>
        <color theme="1"/>
        <rFont val="Calibri"/>
        <family val="2"/>
        <scheme val="minor"/>
      </rPr>
      <t xml:space="preserve"> Temp. (°C) :</t>
    </r>
    <r>
      <rPr>
        <sz val="12"/>
        <color theme="1"/>
        <rFont val="Calibri"/>
        <family val="2"/>
        <scheme val="minor"/>
      </rPr>
      <t xml:space="preserve"> f (x) = a.x + b</t>
    </r>
  </si>
  <si>
    <t>MMq Temp. [°C]</t>
  </si>
  <si>
    <r>
      <t>a (V/</t>
    </r>
    <r>
      <rPr>
        <b/>
        <vertAlign val="superscript"/>
        <sz val="12"/>
        <color theme="1"/>
        <rFont val="Calibri"/>
        <family val="2"/>
        <scheme val="minor"/>
      </rPr>
      <t>o</t>
    </r>
    <r>
      <rPr>
        <b/>
        <sz val="12"/>
        <color theme="1"/>
        <rFont val="Calibri"/>
        <family val="2"/>
        <scheme val="minor"/>
      </rPr>
      <t>C)</t>
    </r>
  </si>
  <si>
    <t>b (V)</t>
  </si>
  <si>
    <r>
      <rPr>
        <b/>
        <sz val="12"/>
        <color theme="1"/>
        <rFont val="Calibri"/>
        <family val="2"/>
        <scheme val="minor"/>
      </rPr>
      <t xml:space="preserve">Temp. (°C) </t>
    </r>
    <r>
      <rPr>
        <sz val="12"/>
        <color theme="1"/>
        <rFont val="Calibri"/>
        <family val="2"/>
        <scheme val="minor"/>
      </rPr>
      <t>versus</t>
    </r>
    <r>
      <rPr>
        <b/>
        <sz val="12"/>
        <color theme="1"/>
        <rFont val="Calibri"/>
        <family val="2"/>
        <scheme val="minor"/>
      </rPr>
      <t xml:space="preserve"> Vmed. (V)  :</t>
    </r>
    <r>
      <rPr>
        <sz val="12"/>
        <color theme="1"/>
        <rFont val="Calibri"/>
        <family val="2"/>
        <scheme val="minor"/>
      </rPr>
      <t xml:space="preserve">  f </t>
    </r>
    <r>
      <rPr>
        <vertAlign val="superscript"/>
        <sz val="12"/>
        <color theme="1"/>
        <rFont val="Calibri"/>
        <family val="2"/>
        <scheme val="minor"/>
      </rPr>
      <t>-1</t>
    </r>
    <r>
      <rPr>
        <sz val="12"/>
        <color theme="1"/>
        <rFont val="Calibri"/>
        <family val="2"/>
        <scheme val="minor"/>
      </rPr>
      <t xml:space="preserve"> (y) = (1/a).y - (b/a)</t>
    </r>
  </si>
  <si>
    <t>1/a (°C/V)</t>
  </si>
  <si>
    <t>-b/a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</si>
</sst>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"/>
    <numFmt numFmtId="165" formatCode="0.0"/>
    <numFmt numFmtId="166" formatCode="0.00000000000"/>
    <numFmt numFmtId="167" formatCode="0.000000000000"/>
    <numFmt numFmtId="168" formatCode="0.0000000000000"/>
    <numFmt numFmtId="169" formatCode="0.000000000"/>
    <numFmt numFmtId="170" formatCode="0.00000"/>
  </numFmts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9">
    <xf numFmtId="0" fontId="0" fillId="0" borderId="0" xfId="0"/>
    <xf numFmtId="0" fontId="5" fillId="4" borderId="2" xfId="0" applyFon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0" xfId="0" applyNumberFormat="1"/>
    <xf numFmtId="0" fontId="7" fillId="2" borderId="1" xfId="1" applyFont="1" applyAlignment="1">
      <alignment horizontal="center"/>
    </xf>
    <xf numFmtId="2" fontId="0" fillId="0" borderId="0" xfId="0" applyNumberFormat="1"/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165" fontId="9" fillId="0" borderId="6" xfId="0" applyNumberFormat="1" applyFont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5" fillId="0" borderId="3" xfId="0" applyNumberFormat="1" applyFont="1" applyFill="1" applyBorder="1" applyAlignment="1">
      <alignment horizontal="center" vertical="center"/>
    </xf>
    <xf numFmtId="165" fontId="5" fillId="0" borderId="4" xfId="0" applyNumberFormat="1" applyFont="1" applyFill="1" applyBorder="1" applyAlignment="1">
      <alignment horizontal="center" vertical="center"/>
    </xf>
    <xf numFmtId="165" fontId="5" fillId="0" borderId="5" xfId="0" applyNumberFormat="1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165" fontId="0" fillId="0" borderId="6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7" borderId="0" xfId="0" applyFont="1" applyFill="1" applyAlignment="1">
      <alignment horizontal="center"/>
    </xf>
    <xf numFmtId="0" fontId="5" fillId="7" borderId="0" xfId="0" quotePrefix="1" applyFont="1" applyFill="1" applyAlignment="1">
      <alignment horizontal="center"/>
    </xf>
    <xf numFmtId="0" fontId="0" fillId="0" borderId="0" xfId="0" applyFill="1" applyAlignment="1">
      <alignment horizontal="right" vertical="center"/>
    </xf>
    <xf numFmtId="0" fontId="0" fillId="0" borderId="6" xfId="0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164" fontId="0" fillId="6" borderId="6" xfId="0" applyNumberFormat="1" applyFill="1" applyBorder="1" applyAlignment="1">
      <alignment vertical="center" wrapText="1"/>
    </xf>
    <xf numFmtId="164" fontId="0" fillId="0" borderId="6" xfId="0" applyNumberFormat="1" applyFill="1" applyBorder="1" applyAlignment="1">
      <alignment vertical="center"/>
    </xf>
    <xf numFmtId="166" fontId="0" fillId="0" borderId="6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2" fontId="9" fillId="0" borderId="6" xfId="0" applyNumberFormat="1" applyFon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168" fontId="0" fillId="0" borderId="6" xfId="0" applyNumberFormat="1" applyFill="1" applyBorder="1" applyAlignment="1">
      <alignment horizontal="center" vertical="center"/>
    </xf>
    <xf numFmtId="169" fontId="0" fillId="0" borderId="6" xfId="0" applyNumberFormat="1" applyFill="1" applyBorder="1" applyAlignment="1">
      <alignment horizontal="center" vertical="center"/>
    </xf>
    <xf numFmtId="17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/>
    </xf>
    <xf numFmtId="0" fontId="7" fillId="2" borderId="1" xfId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0" fontId="0" fillId="8" borderId="6" xfId="0" applyFill="1" applyBorder="1" applyAlignment="1">
      <alignment wrapText="1"/>
    </xf>
    <xf numFmtId="167" fontId="0" fillId="0" borderId="0" xfId="0" applyNumberFormat="1" applyBorder="1" applyAlignment="1">
      <alignment horizontal="center"/>
    </xf>
    <xf numFmtId="0" fontId="0" fillId="0" borderId="0" xfId="0" applyBorder="1"/>
    <xf numFmtId="2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5" fillId="0" borderId="0" xfId="0" applyNumberFormat="1" applyFont="1" applyFill="1" applyBorder="1" applyAlignment="1">
      <alignment horizontal="center" vertical="center"/>
    </xf>
    <xf numFmtId="0" fontId="10" fillId="5" borderId="0" xfId="0" applyFont="1" applyFill="1" applyAlignment="1">
      <alignment horizontal="left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left"/>
    </xf>
    <xf numFmtId="0" fontId="10" fillId="4" borderId="7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</cellXfs>
  <cellStyles count="2">
    <cellStyle name="Entrada" xfId="1" builtinId="20"/>
    <cellStyle name="Normal" xfId="0" builtinId="0"/>
  </cellStyles>
  <dxfs count="0"/>
  <tableStyles count="0" defaultTableStyle="TableStyleMedium2" defaultPivotStyle="PivotStyleLight16"/>
  <colors>
    <mruColors>
      <color rgb="FF21FF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714639187777972E-3"/>
                  <c:y val="-0.138362254674326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Plan1!$F$16:$F$21</c:f>
                <c:numCache>
                  <c:formatCode>General</c:formatCode>
                  <c:ptCount val="6"/>
                  <c:pt idx="0">
                    <c:v>2.0008609258127974</c:v>
                  </c:pt>
                  <c:pt idx="1">
                    <c:v>2.0003333061850799</c:v>
                  </c:pt>
                  <c:pt idx="2">
                    <c:v>2.0031918973922038</c:v>
                  </c:pt>
                  <c:pt idx="3">
                    <c:v>2.0382345301755636</c:v>
                  </c:pt>
                  <c:pt idx="4">
                    <c:v>2.0005443703596724</c:v>
                  </c:pt>
                  <c:pt idx="5">
                    <c:v>2.00068321663709</c:v>
                  </c:pt>
                </c:numCache>
              </c:numRef>
            </c:plus>
            <c:minus>
              <c:numRef>
                <c:f>Plan1!$F$16:$F$21</c:f>
                <c:numCache>
                  <c:formatCode>General</c:formatCode>
                  <c:ptCount val="6"/>
                  <c:pt idx="0">
                    <c:v>2.0008609258127974</c:v>
                  </c:pt>
                  <c:pt idx="1">
                    <c:v>2.0003333061850799</c:v>
                  </c:pt>
                  <c:pt idx="2">
                    <c:v>2.0031918973922038</c:v>
                  </c:pt>
                  <c:pt idx="3">
                    <c:v>2.0382345301755636</c:v>
                  </c:pt>
                  <c:pt idx="4">
                    <c:v>2.0005443703596724</c:v>
                  </c:pt>
                  <c:pt idx="5">
                    <c:v>2.00068321663709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Plan1!$D$16:$D$21</c:f>
              <c:numCache>
                <c:formatCode>0.00</c:formatCode>
                <c:ptCount val="6"/>
                <c:pt idx="0">
                  <c:v>7.9</c:v>
                </c:pt>
                <c:pt idx="1">
                  <c:v>23</c:v>
                </c:pt>
                <c:pt idx="2">
                  <c:v>32.9</c:v>
                </c:pt>
                <c:pt idx="3">
                  <c:v>53.6</c:v>
                </c:pt>
                <c:pt idx="4">
                  <c:v>75.099999999999994</c:v>
                </c:pt>
                <c:pt idx="5">
                  <c:v>85.18</c:v>
                </c:pt>
              </c:numCache>
            </c:numRef>
          </c:xVal>
          <c:yVal>
            <c:numRef>
              <c:f>Plan1!$E$16:$E$21</c:f>
              <c:numCache>
                <c:formatCode>0.0000</c:formatCode>
                <c:ptCount val="6"/>
                <c:pt idx="0">
                  <c:v>12.016666666666666</c:v>
                </c:pt>
                <c:pt idx="1">
                  <c:v>22.599999999999998</c:v>
                </c:pt>
                <c:pt idx="2">
                  <c:v>32.716666666666669</c:v>
                </c:pt>
                <c:pt idx="3">
                  <c:v>57.6</c:v>
                </c:pt>
                <c:pt idx="4">
                  <c:v>73.833333333333329</c:v>
                </c:pt>
                <c:pt idx="5">
                  <c:v>83.75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76D-4E4B-99E8-098102371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7407776"/>
        <c:axId val="-537411584"/>
      </c:scatterChart>
      <c:valAx>
        <c:axId val="-53740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UR%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537411584"/>
        <c:crosses val="autoZero"/>
        <c:crossBetween val="midCat"/>
      </c:valAx>
      <c:valAx>
        <c:axId val="-5374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UR% DHT22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53740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21FF6B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Plan1!$F$16:$F$21</c:f>
                <c:numCache>
                  <c:formatCode>General</c:formatCode>
                  <c:ptCount val="6"/>
                  <c:pt idx="0">
                    <c:v>2.0008609258127974</c:v>
                  </c:pt>
                  <c:pt idx="1">
                    <c:v>2.0003333061850799</c:v>
                  </c:pt>
                  <c:pt idx="2">
                    <c:v>2.0031918973922038</c:v>
                  </c:pt>
                  <c:pt idx="3">
                    <c:v>2.0382345301755636</c:v>
                  </c:pt>
                  <c:pt idx="4">
                    <c:v>2.0005443703596724</c:v>
                  </c:pt>
                  <c:pt idx="5">
                    <c:v>2.00068321663709</c:v>
                  </c:pt>
                </c:numCache>
              </c:numRef>
            </c:plus>
            <c:minus>
              <c:numRef>
                <c:f>Plan1!$F$16:$F$21</c:f>
                <c:numCache>
                  <c:formatCode>General</c:formatCode>
                  <c:ptCount val="6"/>
                  <c:pt idx="0">
                    <c:v>2.0008609258127974</c:v>
                  </c:pt>
                  <c:pt idx="1">
                    <c:v>2.0003333061850799</c:v>
                  </c:pt>
                  <c:pt idx="2">
                    <c:v>2.0031918973922038</c:v>
                  </c:pt>
                  <c:pt idx="3">
                    <c:v>2.0382345301755636</c:v>
                  </c:pt>
                  <c:pt idx="4">
                    <c:v>2.0005443703596724</c:v>
                  </c:pt>
                  <c:pt idx="5">
                    <c:v>2.00068321663709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Plan1!$D$49:$D$54</c:f>
              <c:numCache>
                <c:formatCode>0.0000</c:formatCode>
                <c:ptCount val="6"/>
                <c:pt idx="0">
                  <c:v>12.016666666666666</c:v>
                </c:pt>
                <c:pt idx="1">
                  <c:v>22.599999999999998</c:v>
                </c:pt>
                <c:pt idx="2">
                  <c:v>32.716666666666669</c:v>
                </c:pt>
                <c:pt idx="3">
                  <c:v>57.6</c:v>
                </c:pt>
                <c:pt idx="4">
                  <c:v>73.833333333333329</c:v>
                </c:pt>
                <c:pt idx="5">
                  <c:v>83.75</c:v>
                </c:pt>
              </c:numCache>
            </c:numRef>
          </c:xVal>
          <c:yVal>
            <c:numRef>
              <c:f>Plan1!$E$49:$E$54</c:f>
              <c:numCache>
                <c:formatCode>0.0000</c:formatCode>
                <c:ptCount val="6"/>
                <c:pt idx="0">
                  <c:v>9.5513194889059019</c:v>
                </c:pt>
                <c:pt idx="1">
                  <c:v>20.64206474024909</c:v>
                </c:pt>
                <c:pt idx="2">
                  <c:v>31.243769256099995</c:v>
                </c:pt>
                <c:pt idx="3">
                  <c:v>57.320119902171463</c:v>
                </c:pt>
                <c:pt idx="4">
                  <c:v>74.331751201082113</c:v>
                </c:pt>
                <c:pt idx="5">
                  <c:v>84.72386683029346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35-43A4-94A0-5D481BF73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1593984"/>
        <c:axId val="-651597792"/>
      </c:scatterChart>
      <c:valAx>
        <c:axId val="-65159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aseline="0"/>
                  <a:t>UR% DHT22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51597792"/>
        <c:crosses val="autoZero"/>
        <c:crossBetween val="midCat"/>
      </c:valAx>
      <c:valAx>
        <c:axId val="-6515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UR%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5159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714639187777972E-3"/>
                  <c:y val="-0.138362254674326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[1]Plan1!$D$16:$D$21</c:f>
                <c:numCache>
                  <c:formatCode>General</c:formatCode>
                  <c:ptCount val="6"/>
                  <c:pt idx="0">
                    <c:v>5.5043145607490867E-3</c:v>
                  </c:pt>
                  <c:pt idx="1">
                    <c:v>5.5228998930017606E-3</c:v>
                  </c:pt>
                  <c:pt idx="2">
                    <c:v>5.5205002697327034E-3</c:v>
                  </c:pt>
                  <c:pt idx="3">
                    <c:v>5.5043751189704608E-3</c:v>
                  </c:pt>
                  <c:pt idx="4">
                    <c:v>5.4699716539288873E-3</c:v>
                  </c:pt>
                  <c:pt idx="5">
                    <c:v>5.4887896768784769E-3</c:v>
                  </c:pt>
                </c:numCache>
              </c:numRef>
            </c:plus>
            <c:minus>
              <c:numRef>
                <c:f>[1]Plan1!$D$16:$D$21</c:f>
                <c:numCache>
                  <c:formatCode>General</c:formatCode>
                  <c:ptCount val="6"/>
                  <c:pt idx="0">
                    <c:v>5.5043145607490867E-3</c:v>
                  </c:pt>
                  <c:pt idx="1">
                    <c:v>5.5228998930017606E-3</c:v>
                  </c:pt>
                  <c:pt idx="2">
                    <c:v>5.5205002697327034E-3</c:v>
                  </c:pt>
                  <c:pt idx="3">
                    <c:v>5.5043751189704608E-3</c:v>
                  </c:pt>
                  <c:pt idx="4">
                    <c:v>5.4699716539288873E-3</c:v>
                  </c:pt>
                  <c:pt idx="5">
                    <c:v>5.4887896768784769E-3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[1]Plan1!$B$16:$B$21</c:f>
              <c:numCache>
                <c:formatCode>0.00</c:formatCode>
                <c:ptCount val="6"/>
                <c:pt idx="0">
                  <c:v>4.87</c:v>
                </c:pt>
                <c:pt idx="1">
                  <c:v>15.26</c:v>
                </c:pt>
                <c:pt idx="2">
                  <c:v>25.18</c:v>
                </c:pt>
                <c:pt idx="3">
                  <c:v>36.78</c:v>
                </c:pt>
                <c:pt idx="4">
                  <c:v>45.48</c:v>
                </c:pt>
                <c:pt idx="5">
                  <c:v>53.3</c:v>
                </c:pt>
              </c:numCache>
            </c:numRef>
          </c:xVal>
          <c:yVal>
            <c:numRef>
              <c:f>[1]Plan1!$C$16:$C$21</c:f>
              <c:numCache>
                <c:formatCode>0.0000</c:formatCode>
                <c:ptCount val="6"/>
                <c:pt idx="0">
                  <c:v>4.9100000000000005E-2</c:v>
                </c:pt>
                <c:pt idx="1">
                  <c:v>0.15251666666666666</c:v>
                </c:pt>
                <c:pt idx="2">
                  <c:v>0.25163333333333332</c:v>
                </c:pt>
                <c:pt idx="3">
                  <c:v>0.36720000000000003</c:v>
                </c:pt>
                <c:pt idx="4">
                  <c:v>0.45626666666666665</c:v>
                </c:pt>
                <c:pt idx="5">
                  <c:v>0.5353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1590176"/>
        <c:axId val="-651604320"/>
      </c:scatterChart>
      <c:valAx>
        <c:axId val="-65159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51604320"/>
        <c:crosses val="autoZero"/>
        <c:crossBetween val="midCat"/>
      </c:valAx>
      <c:valAx>
        <c:axId val="-65160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LM35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5159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21FF6B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[1]Plan1!$D$16:$D$21</c:f>
                <c:numCache>
                  <c:formatCode>General</c:formatCode>
                  <c:ptCount val="6"/>
                  <c:pt idx="0">
                    <c:v>5.5043145607490867E-3</c:v>
                  </c:pt>
                  <c:pt idx="1">
                    <c:v>5.5228998930017606E-3</c:v>
                  </c:pt>
                  <c:pt idx="2">
                    <c:v>5.5205002697327034E-3</c:v>
                  </c:pt>
                  <c:pt idx="3">
                    <c:v>5.5043751189704608E-3</c:v>
                  </c:pt>
                  <c:pt idx="4">
                    <c:v>5.4699716539288873E-3</c:v>
                  </c:pt>
                  <c:pt idx="5">
                    <c:v>5.4887896768784769E-3</c:v>
                  </c:pt>
                </c:numCache>
              </c:numRef>
            </c:plus>
            <c:minus>
              <c:numRef>
                <c:f>[1]Plan1!$D$16:$D$21</c:f>
                <c:numCache>
                  <c:formatCode>General</c:formatCode>
                  <c:ptCount val="6"/>
                  <c:pt idx="0">
                    <c:v>5.5043145607490867E-3</c:v>
                  </c:pt>
                  <c:pt idx="1">
                    <c:v>5.5228998930017606E-3</c:v>
                  </c:pt>
                  <c:pt idx="2">
                    <c:v>5.5205002697327034E-3</c:v>
                  </c:pt>
                  <c:pt idx="3">
                    <c:v>5.5043751189704608E-3</c:v>
                  </c:pt>
                  <c:pt idx="4">
                    <c:v>5.4699716539288873E-3</c:v>
                  </c:pt>
                  <c:pt idx="5">
                    <c:v>5.4887896768784769E-3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[1]Plan1!$B$49:$B$54</c:f>
              <c:numCache>
                <c:formatCode>0.0</c:formatCode>
                <c:ptCount val="6"/>
                <c:pt idx="0">
                  <c:v>4.9100000000000005E-2</c:v>
                </c:pt>
                <c:pt idx="1">
                  <c:v>0.15251666666666666</c:v>
                </c:pt>
                <c:pt idx="2">
                  <c:v>0.25163333333333332</c:v>
                </c:pt>
                <c:pt idx="3">
                  <c:v>0.36720000000000003</c:v>
                </c:pt>
                <c:pt idx="4">
                  <c:v>0.45626666666666665</c:v>
                </c:pt>
                <c:pt idx="5">
                  <c:v>0.5353</c:v>
                </c:pt>
              </c:numCache>
            </c:numRef>
          </c:xVal>
          <c:yVal>
            <c:numRef>
              <c:f>[1]Plan1!$C$49:$C$54</c:f>
              <c:numCache>
                <c:formatCode>0.0000</c:formatCode>
                <c:ptCount val="6"/>
                <c:pt idx="0">
                  <c:v>4.9491651347649368</c:v>
                </c:pt>
                <c:pt idx="1">
                  <c:v>15.252124876351896</c:v>
                </c:pt>
                <c:pt idx="2">
                  <c:v>25.126694027555384</c:v>
                </c:pt>
                <c:pt idx="3">
                  <c:v>36.640106251272393</c:v>
                </c:pt>
                <c:pt idx="4">
                  <c:v>45.513436929602882</c:v>
                </c:pt>
                <c:pt idx="5">
                  <c:v>53.387189563705277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19731024"/>
        <c:axId val="-719729936"/>
      </c:scatterChart>
      <c:valAx>
        <c:axId val="-71973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aseline="0"/>
                  <a:t>Temperatura [°C]. 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19729936"/>
        <c:crosses val="autoZero"/>
        <c:crossBetween val="midCat"/>
      </c:valAx>
      <c:valAx>
        <c:axId val="-71972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Vmed.[V].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1973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9526</xdr:colOff>
      <xdr:row>14</xdr:row>
      <xdr:rowOff>2778</xdr:rowOff>
    </xdr:from>
    <xdr:to>
      <xdr:col>21</xdr:col>
      <xdr:colOff>203597</xdr:colOff>
      <xdr:row>32</xdr:row>
      <xdr:rowOff>9921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4819</xdr:colOff>
      <xdr:row>34</xdr:row>
      <xdr:rowOff>7965</xdr:rowOff>
    </xdr:from>
    <xdr:to>
      <xdr:col>20</xdr:col>
      <xdr:colOff>510551</xdr:colOff>
      <xdr:row>47</xdr:row>
      <xdr:rowOff>173463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9526</xdr:colOff>
      <xdr:row>15</xdr:row>
      <xdr:rowOff>2778</xdr:rowOff>
    </xdr:from>
    <xdr:to>
      <xdr:col>42</xdr:col>
      <xdr:colOff>203597</xdr:colOff>
      <xdr:row>33</xdr:row>
      <xdr:rowOff>9921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521891</xdr:colOff>
      <xdr:row>41</xdr:row>
      <xdr:rowOff>171251</xdr:rowOff>
    </xdr:from>
    <xdr:to>
      <xdr:col>44</xdr:col>
      <xdr:colOff>252016</xdr:colOff>
      <xdr:row>54</xdr:row>
      <xdr:rowOff>146248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InstruMed/Calibra&#231;&#227;o%20DHT-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</sheetNames>
    <sheetDataSet>
      <sheetData sheetId="0">
        <row r="16">
          <cell r="B16">
            <v>4.87</v>
          </cell>
          <cell r="C16">
            <v>4.9100000000000005E-2</v>
          </cell>
          <cell r="D16">
            <v>5.5043145607490867E-3</v>
          </cell>
        </row>
        <row r="17">
          <cell r="B17">
            <v>15.26</v>
          </cell>
          <cell r="C17">
            <v>0.15251666666666666</v>
          </cell>
          <cell r="D17">
            <v>5.5228998930017606E-3</v>
          </cell>
        </row>
        <row r="18">
          <cell r="B18">
            <v>25.18</v>
          </cell>
          <cell r="C18">
            <v>0.25163333333333332</v>
          </cell>
          <cell r="D18">
            <v>5.5205002697327034E-3</v>
          </cell>
        </row>
        <row r="19">
          <cell r="B19">
            <v>36.78</v>
          </cell>
          <cell r="C19">
            <v>0.36720000000000003</v>
          </cell>
          <cell r="D19">
            <v>5.5043751189704608E-3</v>
          </cell>
        </row>
        <row r="20">
          <cell r="B20">
            <v>45.48</v>
          </cell>
          <cell r="C20">
            <v>0.45626666666666665</v>
          </cell>
          <cell r="D20">
            <v>5.4699716539288873E-3</v>
          </cell>
        </row>
        <row r="21">
          <cell r="B21">
            <v>53.3</v>
          </cell>
          <cell r="C21">
            <v>0.5353</v>
          </cell>
          <cell r="D21">
            <v>5.4887896768784769E-3</v>
          </cell>
        </row>
        <row r="49">
          <cell r="B49">
            <v>4.9100000000000005E-2</v>
          </cell>
          <cell r="C49">
            <v>4.9491651347649368</v>
          </cell>
        </row>
        <row r="50">
          <cell r="B50">
            <v>0.15251666666666666</v>
          </cell>
          <cell r="C50">
            <v>15.252124876351896</v>
          </cell>
        </row>
        <row r="51">
          <cell r="B51">
            <v>0.25163333333333332</v>
          </cell>
          <cell r="C51">
            <v>25.126694027555384</v>
          </cell>
        </row>
        <row r="52">
          <cell r="B52">
            <v>0.36720000000000003</v>
          </cell>
          <cell r="C52">
            <v>36.640106251272393</v>
          </cell>
        </row>
        <row r="53">
          <cell r="B53">
            <v>0.45626666666666665</v>
          </cell>
          <cell r="C53">
            <v>45.513436929602882</v>
          </cell>
        </row>
        <row r="54">
          <cell r="B54">
            <v>0.5353</v>
          </cell>
          <cell r="C54">
            <v>53.387189563705277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M69"/>
  <sheetViews>
    <sheetView tabSelected="1" topLeftCell="O1" zoomScale="70" zoomScaleNormal="70" workbookViewId="0">
      <selection activeCell="AN60" sqref="AN60"/>
    </sheetView>
  </sheetViews>
  <sheetFormatPr defaultRowHeight="15" x14ac:dyDescent="0.25"/>
  <cols>
    <col min="2" max="2" width="21.85546875" customWidth="1"/>
    <col min="3" max="3" width="16.42578125" customWidth="1"/>
    <col min="4" max="4" width="21.28515625" customWidth="1"/>
    <col min="5" max="5" width="13.140625" customWidth="1"/>
    <col min="6" max="6" width="13.85546875" customWidth="1"/>
    <col min="7" max="7" width="18.140625" customWidth="1"/>
    <col min="8" max="8" width="19.5703125" customWidth="1"/>
    <col min="9" max="9" width="26.28515625" customWidth="1"/>
    <col min="11" max="11" width="23.5703125" customWidth="1"/>
    <col min="12" max="12" width="17.5703125" customWidth="1"/>
    <col min="13" max="13" width="15.85546875" customWidth="1"/>
    <col min="14" max="14" width="22.140625" customWidth="1"/>
    <col min="15" max="15" width="18.7109375" customWidth="1"/>
    <col min="16" max="16" width="13.5703125" customWidth="1"/>
    <col min="18" max="18" width="11.42578125" customWidth="1"/>
    <col min="27" max="27" width="13" customWidth="1"/>
    <col min="28" max="28" width="12.85546875" customWidth="1"/>
    <col min="29" max="29" width="12.5703125" customWidth="1"/>
    <col min="30" max="30" width="15" customWidth="1"/>
    <col min="31" max="31" width="18.5703125" customWidth="1"/>
    <col min="32" max="32" width="22.42578125" customWidth="1"/>
    <col min="34" max="34" width="11.5703125" customWidth="1"/>
    <col min="35" max="35" width="16" customWidth="1"/>
  </cols>
  <sheetData>
    <row r="2" spans="2:39" ht="20.25" customHeight="1" thickBot="1" x14ac:dyDescent="0.35">
      <c r="D2" s="52" t="s">
        <v>0</v>
      </c>
      <c r="E2" s="52"/>
      <c r="F2" s="52"/>
      <c r="G2" s="52"/>
      <c r="H2" s="52"/>
      <c r="I2" s="52"/>
      <c r="J2" s="52"/>
    </row>
    <row r="3" spans="2:39" ht="48.75" customHeight="1" thickBot="1" x14ac:dyDescent="0.35">
      <c r="B3" s="1" t="s">
        <v>12</v>
      </c>
      <c r="C3" s="1" t="s">
        <v>11</v>
      </c>
      <c r="D3" s="1" t="s">
        <v>10</v>
      </c>
      <c r="E3" s="53" t="s">
        <v>7</v>
      </c>
      <c r="F3" s="54"/>
      <c r="G3" s="54"/>
      <c r="H3" s="54"/>
      <c r="I3" s="54"/>
      <c r="J3" s="55"/>
      <c r="K3" s="5" t="s">
        <v>8</v>
      </c>
      <c r="L3" s="35" t="s">
        <v>6</v>
      </c>
      <c r="M3" s="36" t="s">
        <v>34</v>
      </c>
      <c r="N3" s="36" t="s">
        <v>35</v>
      </c>
      <c r="O3" s="36" t="s">
        <v>9</v>
      </c>
      <c r="P3" s="35" t="s">
        <v>26</v>
      </c>
      <c r="Q3" s="35"/>
      <c r="R3" s="36" t="s">
        <v>27</v>
      </c>
      <c r="AA3" s="52" t="s">
        <v>0</v>
      </c>
      <c r="AB3" s="52"/>
      <c r="AC3" s="52"/>
      <c r="AD3" s="52"/>
      <c r="AE3" s="52"/>
      <c r="AF3" s="52"/>
      <c r="AG3" s="52"/>
    </row>
    <row r="4" spans="2:39" ht="90.75" thickBot="1" x14ac:dyDescent="0.3">
      <c r="B4" s="2" t="s">
        <v>13</v>
      </c>
      <c r="C4" s="2">
        <v>25.9</v>
      </c>
      <c r="D4" s="2">
        <v>7.9</v>
      </c>
      <c r="E4" s="3">
        <v>12.1</v>
      </c>
      <c r="F4" s="3">
        <v>12.1</v>
      </c>
      <c r="G4" s="3">
        <v>12</v>
      </c>
      <c r="H4" s="3">
        <v>11.9</v>
      </c>
      <c r="I4" s="3">
        <v>12</v>
      </c>
      <c r="J4" s="3">
        <v>12</v>
      </c>
      <c r="K4" s="4">
        <f>AVERAGE(E4:J4)</f>
        <v>12.016666666666666</v>
      </c>
      <c r="L4">
        <f>_xlfn.STDEV.S(E4:J4)</f>
        <v>7.527726527090782E-2</v>
      </c>
      <c r="M4">
        <f>L4/SQRT(6)</f>
        <v>3.0731814857642845E-2</v>
      </c>
      <c r="N4">
        <v>2</v>
      </c>
      <c r="O4">
        <v>0.5</v>
      </c>
      <c r="P4">
        <v>0.1</v>
      </c>
      <c r="R4">
        <f>SQRT(M4^2 +N4^2+(P4 * O4)^2)</f>
        <v>2.0008609258127974</v>
      </c>
      <c r="Y4" s="4"/>
      <c r="AA4" s="1" t="s">
        <v>37</v>
      </c>
      <c r="AB4" s="53" t="s">
        <v>38</v>
      </c>
      <c r="AC4" s="54"/>
      <c r="AD4" s="54"/>
      <c r="AE4" s="54"/>
      <c r="AF4" s="54"/>
      <c r="AG4" s="55"/>
      <c r="AH4" s="5" t="s">
        <v>39</v>
      </c>
      <c r="AI4" s="35" t="s">
        <v>6</v>
      </c>
      <c r="AJ4" s="36" t="s">
        <v>40</v>
      </c>
      <c r="AK4" s="36" t="s">
        <v>41</v>
      </c>
      <c r="AL4" s="35" t="s">
        <v>42</v>
      </c>
      <c r="AM4" s="36" t="s">
        <v>43</v>
      </c>
    </row>
    <row r="5" spans="2:39" x14ac:dyDescent="0.25">
      <c r="B5" s="2" t="s">
        <v>14</v>
      </c>
      <c r="C5" s="2">
        <v>24</v>
      </c>
      <c r="D5" s="2">
        <v>23</v>
      </c>
      <c r="E5" s="3">
        <v>22.7</v>
      </c>
      <c r="F5" s="3">
        <v>22.6</v>
      </c>
      <c r="G5" s="3">
        <v>22.5</v>
      </c>
      <c r="H5" s="3">
        <v>22.7</v>
      </c>
      <c r="I5" s="3">
        <v>22.6</v>
      </c>
      <c r="J5" s="3">
        <v>22.5</v>
      </c>
      <c r="K5" s="4">
        <f>AVERAGE(E5:J5)</f>
        <v>22.599999999999998</v>
      </c>
      <c r="L5">
        <f t="shared" ref="L5:L9" si="0">_xlfn.STDEV.S(E5:J5)</f>
        <v>8.9442719099991269E-2</v>
      </c>
      <c r="M5">
        <f t="shared" ref="M5:M9" si="1">L5/SQRT(6)</f>
        <v>3.6514837167010948E-2</v>
      </c>
      <c r="N5">
        <v>2</v>
      </c>
      <c r="O5">
        <v>0.5</v>
      </c>
      <c r="P5">
        <v>1E-4</v>
      </c>
      <c r="R5">
        <f t="shared" ref="R5:R9" si="2">SQRT(M5^2 +N5^2+(P5 * O5)^2)</f>
        <v>2.0003333061850799</v>
      </c>
      <c r="Y5" s="4"/>
      <c r="AA5" s="2">
        <v>4.87</v>
      </c>
      <c r="AB5" s="3">
        <v>4.9500000000000002E-2</v>
      </c>
      <c r="AC5" s="3">
        <v>5.0499999999999996E-2</v>
      </c>
      <c r="AD5" s="3">
        <v>5.16E-2</v>
      </c>
      <c r="AE5" s="3">
        <v>4.6199999999999998E-2</v>
      </c>
      <c r="AF5" s="3">
        <v>4.9500000000000002E-2</v>
      </c>
      <c r="AG5" s="3">
        <v>4.7300000000000002E-2</v>
      </c>
      <c r="AH5" s="4">
        <f>AVERAGE(AB5:AG5)</f>
        <v>4.9100000000000005E-2</v>
      </c>
      <c r="AI5">
        <f>_xlfn.STDEV.S(AB5:AG5)</f>
        <v>2.0089798406156293E-3</v>
      </c>
      <c r="AJ5">
        <f>AI5/SQRT(6)</f>
        <v>8.2016258550769478E-4</v>
      </c>
      <c r="AK5">
        <f>(1.1/1023)*2</f>
        <v>2.1505376344086021E-3</v>
      </c>
      <c r="AL5">
        <v>5.0000000000000001E-3</v>
      </c>
      <c r="AM5">
        <f>SQRT(AJ5^2 +AK5^2+AL5^2)</f>
        <v>5.5043145607490867E-3</v>
      </c>
    </row>
    <row r="6" spans="2:39" x14ac:dyDescent="0.25">
      <c r="B6" s="2" t="s">
        <v>15</v>
      </c>
      <c r="C6" s="2">
        <v>20.8</v>
      </c>
      <c r="D6" s="2">
        <v>32.9</v>
      </c>
      <c r="E6" s="3">
        <v>32.6</v>
      </c>
      <c r="F6" s="3">
        <v>32.9</v>
      </c>
      <c r="G6" s="3">
        <v>33</v>
      </c>
      <c r="H6" s="3">
        <v>32.799999999999997</v>
      </c>
      <c r="I6" s="3">
        <v>32.700000000000003</v>
      </c>
      <c r="J6" s="3">
        <v>32.299999999999997</v>
      </c>
      <c r="K6" s="4">
        <f t="shared" ref="K6:K9" si="3">AVERAGE(E6:J6)</f>
        <v>32.716666666666669</v>
      </c>
      <c r="L6">
        <f t="shared" si="0"/>
        <v>0.24832774042918937</v>
      </c>
      <c r="M6">
        <f t="shared" si="1"/>
        <v>0.10137937550497049</v>
      </c>
      <c r="N6">
        <v>2</v>
      </c>
      <c r="O6">
        <v>0.5</v>
      </c>
      <c r="P6">
        <v>0.1</v>
      </c>
      <c r="R6">
        <f t="shared" si="2"/>
        <v>2.0031918973922038</v>
      </c>
      <c r="Y6" s="4"/>
      <c r="AA6" s="2">
        <v>15.26</v>
      </c>
      <c r="AB6" s="3">
        <v>0.15160000000000001</v>
      </c>
      <c r="AC6" s="3">
        <v>0.15380000000000002</v>
      </c>
      <c r="AD6" s="3">
        <v>0.15479999999999999</v>
      </c>
      <c r="AE6" s="3">
        <v>0.1484</v>
      </c>
      <c r="AF6" s="3">
        <v>0.15380000000000002</v>
      </c>
      <c r="AG6" s="3">
        <v>0.1527</v>
      </c>
      <c r="AH6" s="4">
        <f>AVERAGE(AB6:AG6)</f>
        <v>0.15251666666666666</v>
      </c>
      <c r="AI6">
        <f t="shared" ref="AI6:AI10" si="4">_xlfn.STDEV.S(AB6:AG6)</f>
        <v>2.2947040477296131E-3</v>
      </c>
      <c r="AJ6">
        <f t="shared" ref="AJ6:AJ10" si="5">AI6/SQRT(6)</f>
        <v>9.3680900460612129E-4</v>
      </c>
      <c r="AK6">
        <f t="shared" ref="AK6:AK10" si="6">(1.1/1023)*2</f>
        <v>2.1505376344086021E-3</v>
      </c>
      <c r="AL6">
        <v>5.0000000000000001E-3</v>
      </c>
      <c r="AM6">
        <f t="shared" ref="AM6:AM10" si="7">SQRT(AJ6^2 +AK6^2+AL6^2)</f>
        <v>5.5228998930017606E-3</v>
      </c>
    </row>
    <row r="7" spans="2:39" x14ac:dyDescent="0.25">
      <c r="B7" s="2" t="s">
        <v>16</v>
      </c>
      <c r="C7" s="2">
        <v>23</v>
      </c>
      <c r="D7" s="2">
        <v>53.6</v>
      </c>
      <c r="E7" s="3">
        <v>57.6</v>
      </c>
      <c r="F7" s="3">
        <v>57.4</v>
      </c>
      <c r="G7" s="3">
        <v>57.3</v>
      </c>
      <c r="H7" s="3">
        <v>57.6</v>
      </c>
      <c r="I7" s="3">
        <v>57.7</v>
      </c>
      <c r="J7" s="3">
        <v>58</v>
      </c>
      <c r="K7" s="4">
        <f t="shared" si="3"/>
        <v>57.6</v>
      </c>
      <c r="L7">
        <f t="shared" si="0"/>
        <v>0.24494897427831896</v>
      </c>
      <c r="M7">
        <f t="shared" si="1"/>
        <v>0.10000000000000048</v>
      </c>
      <c r="N7">
        <v>2</v>
      </c>
      <c r="O7">
        <v>0.5</v>
      </c>
      <c r="P7">
        <v>0.76</v>
      </c>
      <c r="R7">
        <f t="shared" si="2"/>
        <v>2.0382345301755636</v>
      </c>
      <c r="Y7" s="4"/>
      <c r="AA7" s="2">
        <v>25.18</v>
      </c>
      <c r="AB7" s="3">
        <v>0.25379999999999997</v>
      </c>
      <c r="AC7" s="3">
        <v>0.25379999999999997</v>
      </c>
      <c r="AD7" s="3">
        <v>0.2495</v>
      </c>
      <c r="AE7" s="3">
        <v>0.25159999999999999</v>
      </c>
      <c r="AF7" s="3">
        <v>0.25269999999999998</v>
      </c>
      <c r="AG7" s="3">
        <v>0.24840000000000001</v>
      </c>
      <c r="AH7" s="4">
        <f t="shared" ref="AH7:AH10" si="8">AVERAGE(AB7:AG7)</f>
        <v>0.25163333333333332</v>
      </c>
      <c r="AI7">
        <f t="shared" si="4"/>
        <v>2.2597935008904228E-3</v>
      </c>
      <c r="AJ7">
        <f t="shared" si="5"/>
        <v>9.2255683353986327E-4</v>
      </c>
      <c r="AK7">
        <f t="shared" si="6"/>
        <v>2.1505376344086021E-3</v>
      </c>
      <c r="AL7">
        <v>5.0000000000000001E-3</v>
      </c>
      <c r="AM7">
        <f t="shared" si="7"/>
        <v>5.5205002697327034E-3</v>
      </c>
    </row>
    <row r="8" spans="2:39" x14ac:dyDescent="0.25">
      <c r="B8" s="2" t="s">
        <v>17</v>
      </c>
      <c r="C8" s="2">
        <v>23.5</v>
      </c>
      <c r="D8" s="2">
        <v>75.099999999999994</v>
      </c>
      <c r="E8" s="3">
        <v>73.8</v>
      </c>
      <c r="F8" s="3">
        <v>73.900000000000006</v>
      </c>
      <c r="G8" s="3">
        <v>74</v>
      </c>
      <c r="H8" s="3">
        <v>73.8</v>
      </c>
      <c r="I8" s="3">
        <v>73.7</v>
      </c>
      <c r="J8" s="3">
        <v>73.8</v>
      </c>
      <c r="K8" s="4">
        <f t="shared" si="3"/>
        <v>73.833333333333329</v>
      </c>
      <c r="L8">
        <f t="shared" si="0"/>
        <v>0.10327955589886501</v>
      </c>
      <c r="M8">
        <f t="shared" si="1"/>
        <v>4.2163702135578622E-2</v>
      </c>
      <c r="N8">
        <v>2</v>
      </c>
      <c r="O8">
        <v>0.5</v>
      </c>
      <c r="P8">
        <v>0.04</v>
      </c>
      <c r="R8">
        <f t="shared" si="2"/>
        <v>2.0005443703596724</v>
      </c>
      <c r="Y8" s="4"/>
      <c r="AA8" s="2">
        <v>36.78</v>
      </c>
      <c r="AB8" s="3">
        <v>0.36880000000000002</v>
      </c>
      <c r="AC8" s="3">
        <v>0.36560000000000004</v>
      </c>
      <c r="AD8" s="3">
        <v>0.36770000000000003</v>
      </c>
      <c r="AE8" s="3">
        <v>0.36670000000000003</v>
      </c>
      <c r="AF8" s="3">
        <v>0.36450000000000005</v>
      </c>
      <c r="AG8" s="3">
        <v>0.36990000000000001</v>
      </c>
      <c r="AH8" s="4">
        <f t="shared" si="8"/>
        <v>0.36720000000000003</v>
      </c>
      <c r="AI8">
        <f t="shared" si="4"/>
        <v>2.0099751242241646E-3</v>
      </c>
      <c r="AJ8">
        <f t="shared" si="5"/>
        <v>8.2056890833940601E-4</v>
      </c>
      <c r="AK8">
        <f t="shared" si="6"/>
        <v>2.1505376344086021E-3</v>
      </c>
      <c r="AL8">
        <v>5.0000000000000001E-3</v>
      </c>
      <c r="AM8">
        <f t="shared" si="7"/>
        <v>5.5043751189704608E-3</v>
      </c>
    </row>
    <row r="9" spans="2:39" x14ac:dyDescent="0.25">
      <c r="B9" s="2" t="s">
        <v>18</v>
      </c>
      <c r="C9" s="2">
        <v>23</v>
      </c>
      <c r="D9" s="2">
        <v>85.18</v>
      </c>
      <c r="E9" s="3">
        <v>83.7</v>
      </c>
      <c r="F9" s="3">
        <v>83.8</v>
      </c>
      <c r="G9" s="3">
        <v>83.6</v>
      </c>
      <c r="H9" s="3">
        <v>83.7</v>
      </c>
      <c r="I9" s="3">
        <v>83.8</v>
      </c>
      <c r="J9" s="3">
        <v>83.9</v>
      </c>
      <c r="K9" s="4">
        <f t="shared" si="3"/>
        <v>83.75</v>
      </c>
      <c r="L9">
        <f t="shared" si="0"/>
        <v>0.10488088481701732</v>
      </c>
      <c r="M9">
        <f t="shared" si="1"/>
        <v>4.2817441928884654E-2</v>
      </c>
      <c r="N9">
        <v>2</v>
      </c>
      <c r="O9">
        <v>0.5</v>
      </c>
      <c r="P9">
        <v>0.06</v>
      </c>
      <c r="R9">
        <f t="shared" si="2"/>
        <v>2.00068321663709</v>
      </c>
      <c r="Y9" s="4"/>
      <c r="AA9" s="2">
        <v>45.48</v>
      </c>
      <c r="AB9" s="3">
        <v>0.45700000000000002</v>
      </c>
      <c r="AC9" s="3">
        <v>0.45810000000000001</v>
      </c>
      <c r="AD9" s="3">
        <v>0.45479999999999998</v>
      </c>
      <c r="AE9" s="3">
        <v>0.45700000000000002</v>
      </c>
      <c r="AF9" s="3">
        <v>0.45479999999999998</v>
      </c>
      <c r="AG9" s="3">
        <v>0.45590000000000003</v>
      </c>
      <c r="AH9" s="4">
        <f t="shared" si="8"/>
        <v>0.45626666666666665</v>
      </c>
      <c r="AI9">
        <f t="shared" si="4"/>
        <v>1.3321661558029086E-3</v>
      </c>
      <c r="AJ9">
        <f t="shared" si="5"/>
        <v>5.4385455572035371E-4</v>
      </c>
      <c r="AK9">
        <f t="shared" si="6"/>
        <v>2.1505376344086021E-3</v>
      </c>
      <c r="AL9">
        <v>5.0000000000000001E-3</v>
      </c>
      <c r="AM9">
        <f t="shared" si="7"/>
        <v>5.4699716539288873E-3</v>
      </c>
    </row>
    <row r="10" spans="2:39" x14ac:dyDescent="0.25">
      <c r="AA10" s="2">
        <v>53.3</v>
      </c>
      <c r="AB10" s="3">
        <v>0.53549999999999998</v>
      </c>
      <c r="AC10" s="3">
        <v>0.5333</v>
      </c>
      <c r="AD10" s="3">
        <v>0.53659999999999997</v>
      </c>
      <c r="AE10" s="3">
        <v>0.53549999999999998</v>
      </c>
      <c r="AF10" s="3">
        <v>0.5333</v>
      </c>
      <c r="AG10" s="3">
        <v>0.53759999999999997</v>
      </c>
      <c r="AH10" s="4">
        <f t="shared" si="8"/>
        <v>0.5353</v>
      </c>
      <c r="AI10">
        <f t="shared" si="4"/>
        <v>1.7355114519933177E-3</v>
      </c>
      <c r="AJ10">
        <f t="shared" si="5"/>
        <v>7.0851958335672871E-4</v>
      </c>
      <c r="AK10">
        <f t="shared" si="6"/>
        <v>2.1505376344086021E-3</v>
      </c>
      <c r="AL10">
        <v>5.0000000000000001E-3</v>
      </c>
      <c r="AM10">
        <f t="shared" si="7"/>
        <v>5.4887896768784769E-3</v>
      </c>
    </row>
    <row r="14" spans="2:39" ht="19.5" thickBot="1" x14ac:dyDescent="0.35">
      <c r="D14" s="52" t="s">
        <v>36</v>
      </c>
      <c r="E14" s="52"/>
      <c r="F14" s="52"/>
      <c r="G14" s="52"/>
      <c r="H14" s="52"/>
      <c r="I14" s="52"/>
      <c r="J14" s="52"/>
    </row>
    <row r="15" spans="2:39" ht="29.25" customHeight="1" thickBot="1" x14ac:dyDescent="0.35">
      <c r="D15" s="1" t="s">
        <v>10</v>
      </c>
      <c r="E15" s="5" t="s">
        <v>8</v>
      </c>
      <c r="F15" s="36" t="s">
        <v>27</v>
      </c>
      <c r="AA15" s="52" t="s">
        <v>1</v>
      </c>
      <c r="AB15" s="52"/>
      <c r="AC15" s="52"/>
      <c r="AD15" s="52"/>
      <c r="AE15" s="52"/>
      <c r="AF15" s="52"/>
      <c r="AG15" s="52"/>
    </row>
    <row r="16" spans="2:39" ht="30.75" thickBot="1" x14ac:dyDescent="0.3">
      <c r="D16" s="6">
        <f>D4</f>
        <v>7.9</v>
      </c>
      <c r="E16" s="4">
        <f>K4</f>
        <v>12.016666666666666</v>
      </c>
      <c r="F16">
        <f>R4</f>
        <v>2.0008609258127974</v>
      </c>
      <c r="AA16" s="1" t="s">
        <v>37</v>
      </c>
      <c r="AB16" s="38" t="s">
        <v>39</v>
      </c>
      <c r="AC16" s="39" t="s">
        <v>44</v>
      </c>
    </row>
    <row r="17" spans="4:29" x14ac:dyDescent="0.25">
      <c r="D17" s="6">
        <f t="shared" ref="D17:D21" si="9">D5</f>
        <v>23</v>
      </c>
      <c r="E17" s="4">
        <f>K5</f>
        <v>22.599999999999998</v>
      </c>
      <c r="F17">
        <f t="shared" ref="F17:F21" si="10">R5</f>
        <v>2.0003333061850799</v>
      </c>
      <c r="AA17" s="6">
        <f>AA5</f>
        <v>4.87</v>
      </c>
      <c r="AB17" s="4">
        <f>AH5</f>
        <v>4.9100000000000005E-2</v>
      </c>
      <c r="AC17">
        <f>AM5</f>
        <v>5.5043145607490867E-3</v>
      </c>
    </row>
    <row r="18" spans="4:29" x14ac:dyDescent="0.25">
      <c r="D18" s="6">
        <f t="shared" si="9"/>
        <v>32.9</v>
      </c>
      <c r="E18" s="4">
        <f t="shared" ref="E18:E21" si="11">K6</f>
        <v>32.716666666666669</v>
      </c>
      <c r="F18">
        <f t="shared" si="10"/>
        <v>2.0031918973922038</v>
      </c>
      <c r="AA18" s="6">
        <f t="shared" ref="AA18:AA22" si="12">AA6</f>
        <v>15.26</v>
      </c>
      <c r="AB18" s="4">
        <f>AH6</f>
        <v>0.15251666666666666</v>
      </c>
      <c r="AC18">
        <f t="shared" ref="AC18:AC22" si="13">AM6</f>
        <v>5.5228998930017606E-3</v>
      </c>
    </row>
    <row r="19" spans="4:29" x14ac:dyDescent="0.25">
      <c r="D19" s="6">
        <f t="shared" si="9"/>
        <v>53.6</v>
      </c>
      <c r="E19" s="4">
        <f t="shared" si="11"/>
        <v>57.6</v>
      </c>
      <c r="F19">
        <f t="shared" si="10"/>
        <v>2.0382345301755636</v>
      </c>
      <c r="AA19" s="6">
        <f t="shared" si="12"/>
        <v>25.18</v>
      </c>
      <c r="AB19" s="4">
        <f t="shared" ref="AB19:AB22" si="14">AH7</f>
        <v>0.25163333333333332</v>
      </c>
      <c r="AC19">
        <f t="shared" si="13"/>
        <v>5.5205002697327034E-3</v>
      </c>
    </row>
    <row r="20" spans="4:29" x14ac:dyDescent="0.25">
      <c r="D20" s="6">
        <f t="shared" si="9"/>
        <v>75.099999999999994</v>
      </c>
      <c r="E20" s="4">
        <f t="shared" si="11"/>
        <v>73.833333333333329</v>
      </c>
      <c r="F20">
        <f t="shared" si="10"/>
        <v>2.0005443703596724</v>
      </c>
      <c r="AA20" s="6">
        <f t="shared" si="12"/>
        <v>36.78</v>
      </c>
      <c r="AB20" s="4">
        <f t="shared" si="14"/>
        <v>0.36720000000000003</v>
      </c>
      <c r="AC20">
        <f t="shared" si="13"/>
        <v>5.5043751189704608E-3</v>
      </c>
    </row>
    <row r="21" spans="4:29" x14ac:dyDescent="0.25">
      <c r="D21" s="6">
        <f t="shared" si="9"/>
        <v>85.18</v>
      </c>
      <c r="E21" s="4">
        <f t="shared" si="11"/>
        <v>83.75</v>
      </c>
      <c r="F21">
        <f t="shared" si="10"/>
        <v>2.00068321663709</v>
      </c>
      <c r="AA21" s="6">
        <f t="shared" si="12"/>
        <v>45.48</v>
      </c>
      <c r="AB21" s="4">
        <f t="shared" si="14"/>
        <v>0.45626666666666665</v>
      </c>
      <c r="AC21">
        <f t="shared" si="13"/>
        <v>5.4699716539288873E-3</v>
      </c>
    </row>
    <row r="22" spans="4:29" x14ac:dyDescent="0.25">
      <c r="AA22" s="6">
        <f t="shared" si="12"/>
        <v>53.3</v>
      </c>
      <c r="AB22" s="4">
        <f t="shared" si="14"/>
        <v>0.5353</v>
      </c>
      <c r="AC22">
        <f t="shared" si="13"/>
        <v>5.4887896768784769E-3</v>
      </c>
    </row>
    <row r="34" spans="4:34" ht="15.75" thickBot="1" x14ac:dyDescent="0.3">
      <c r="D34" s="7" t="s">
        <v>2</v>
      </c>
      <c r="E34" s="7" t="s">
        <v>3</v>
      </c>
      <c r="F34" s="7"/>
      <c r="G34" s="8"/>
      <c r="H34" s="9"/>
      <c r="I34" s="9"/>
      <c r="J34" s="9"/>
      <c r="K34" s="9"/>
    </row>
    <row r="35" spans="4:34" ht="18.75" thickBot="1" x14ac:dyDescent="0.3">
      <c r="D35" s="1" t="s">
        <v>10</v>
      </c>
      <c r="E35" s="5" t="s">
        <v>8</v>
      </c>
      <c r="F35" s="10"/>
      <c r="G35" s="11" t="s">
        <v>28</v>
      </c>
      <c r="H35" s="11" t="s">
        <v>29</v>
      </c>
      <c r="I35" s="11" t="s">
        <v>30</v>
      </c>
      <c r="J35" s="11" t="s">
        <v>31</v>
      </c>
      <c r="K35" s="11" t="s">
        <v>32</v>
      </c>
      <c r="AA35" s="7" t="s">
        <v>2</v>
      </c>
      <c r="AB35" s="7" t="s">
        <v>3</v>
      </c>
      <c r="AC35" s="7"/>
      <c r="AD35" s="8"/>
      <c r="AE35" s="9"/>
      <c r="AF35" s="9"/>
      <c r="AG35" s="9"/>
      <c r="AH35" s="9"/>
    </row>
    <row r="36" spans="4:34" ht="18" x14ac:dyDescent="0.25">
      <c r="D36" s="30">
        <f>D16</f>
        <v>7.9</v>
      </c>
      <c r="E36" s="37">
        <f>E16</f>
        <v>12.016666666666666</v>
      </c>
      <c r="F36" s="13"/>
      <c r="G36">
        <f>1/(F16^2)</f>
        <v>0.24978490744081483</v>
      </c>
      <c r="H36" s="31">
        <f>D36/F16^2</f>
        <v>1.9733007687824373</v>
      </c>
      <c r="I36" s="14">
        <f>D16^2*G36</f>
        <v>15.589076073381255</v>
      </c>
      <c r="J36" s="14">
        <f>E36/F16^2</f>
        <v>3.0015819710804581</v>
      </c>
      <c r="K36" s="14">
        <f>D36*E36/F16^2</f>
        <v>23.712497571535618</v>
      </c>
      <c r="AA36" s="40" t="s">
        <v>45</v>
      </c>
      <c r="AB36" s="41" t="s">
        <v>46</v>
      </c>
      <c r="AC36" s="10"/>
      <c r="AD36" s="11" t="s">
        <v>47</v>
      </c>
      <c r="AE36" s="11" t="s">
        <v>48</v>
      </c>
      <c r="AF36" s="11" t="s">
        <v>49</v>
      </c>
      <c r="AG36" s="11" t="s">
        <v>50</v>
      </c>
      <c r="AH36" s="11" t="s">
        <v>51</v>
      </c>
    </row>
    <row r="37" spans="4:34" x14ac:dyDescent="0.25">
      <c r="D37" s="30">
        <f t="shared" ref="D37:E41" si="15">D17</f>
        <v>23</v>
      </c>
      <c r="E37" s="37">
        <f t="shared" si="15"/>
        <v>22.599999999999998</v>
      </c>
      <c r="F37" s="13"/>
      <c r="G37">
        <f t="shared" ref="G37:G41" si="16">1/(F17^2)</f>
        <v>0.24991669427904245</v>
      </c>
      <c r="H37" s="31">
        <f t="shared" ref="H37:H41" si="17">D37/F17^2</f>
        <v>5.7480839684179763</v>
      </c>
      <c r="I37" s="14">
        <f>D17^2*G37</f>
        <v>132.20593127361346</v>
      </c>
      <c r="J37" s="14">
        <f t="shared" ref="J37:J41" si="18">E37/F17^2</f>
        <v>5.6481172907063586</v>
      </c>
      <c r="K37" s="14">
        <f t="shared" ref="K37:K41" si="19">D37*E37/F17^2</f>
        <v>129.90669768624625</v>
      </c>
      <c r="AA37" s="30">
        <f>AA17</f>
        <v>4.87</v>
      </c>
      <c r="AB37" s="42">
        <f>AB17</f>
        <v>4.9100000000000005E-2</v>
      </c>
      <c r="AC37" s="13"/>
      <c r="AD37">
        <f>1/(AC17^2)</f>
        <v>33006.046712337105</v>
      </c>
      <c r="AE37" s="31">
        <f>AA37/AC17^2</f>
        <v>160739.44748908171</v>
      </c>
      <c r="AF37" s="14">
        <f>AA17^2*AD37</f>
        <v>782801.10927182797</v>
      </c>
      <c r="AG37" s="14">
        <f>AB37/AC17^2</f>
        <v>1620.5968935757521</v>
      </c>
      <c r="AH37" s="14">
        <f>AA37*AB37/AC17^2</f>
        <v>7892.3068717139122</v>
      </c>
    </row>
    <row r="38" spans="4:34" x14ac:dyDescent="0.25">
      <c r="D38" s="30">
        <f t="shared" si="15"/>
        <v>32.9</v>
      </c>
      <c r="E38" s="37">
        <f t="shared" si="15"/>
        <v>32.716666666666669</v>
      </c>
      <c r="F38" s="13"/>
      <c r="G38">
        <f t="shared" si="16"/>
        <v>0.2492039318842586</v>
      </c>
      <c r="H38" s="31">
        <f t="shared" si="17"/>
        <v>8.1988093589921078</v>
      </c>
      <c r="I38" s="14">
        <f>D18^2*G38</f>
        <v>269.74082791084032</v>
      </c>
      <c r="J38" s="14">
        <f t="shared" si="18"/>
        <v>8.1531219714799938</v>
      </c>
      <c r="K38" s="14">
        <f t="shared" si="19"/>
        <v>268.23771286169182</v>
      </c>
      <c r="AA38" s="30">
        <f t="shared" ref="AA38:AB42" si="20">AA18</f>
        <v>15.26</v>
      </c>
      <c r="AB38" s="42">
        <f t="shared" si="20"/>
        <v>0.15251666666666666</v>
      </c>
      <c r="AC38" s="13"/>
      <c r="AD38">
        <f t="shared" ref="AD38:AD42" si="21">1/(AC18^2)</f>
        <v>32784.280531460972</v>
      </c>
      <c r="AE38" s="31">
        <f t="shared" ref="AE38:AE42" si="22">AA38/AC18^2</f>
        <v>500288.12091009441</v>
      </c>
      <c r="AF38" s="14">
        <f t="shared" ref="AF38:AF42" si="23">AA18^2*AD38</f>
        <v>7634396.7250880403</v>
      </c>
      <c r="AG38" s="14">
        <f t="shared" ref="AG38:AG42" si="24">AB38/AC18^2</f>
        <v>5000.1491857233223</v>
      </c>
      <c r="AH38" s="14">
        <f t="shared" ref="AH38:AH42" si="25">AA38*AB38/AC18^2</f>
        <v>76302.276574137897</v>
      </c>
    </row>
    <row r="39" spans="4:34" x14ac:dyDescent="0.25">
      <c r="D39" s="30">
        <f t="shared" si="15"/>
        <v>53.6</v>
      </c>
      <c r="E39" s="37">
        <f t="shared" si="15"/>
        <v>57.6</v>
      </c>
      <c r="F39" s="13"/>
      <c r="G39">
        <f t="shared" si="16"/>
        <v>0.24070864625457347</v>
      </c>
      <c r="H39" s="31">
        <f t="shared" si="17"/>
        <v>12.901983439245138</v>
      </c>
      <c r="I39" s="14">
        <f t="shared" ref="I39:I41" si="26">D19^2*G39</f>
        <v>691.5463123435394</v>
      </c>
      <c r="J39" s="14">
        <f t="shared" si="18"/>
        <v>13.864818024263432</v>
      </c>
      <c r="K39" s="14">
        <f t="shared" si="19"/>
        <v>743.15424610052003</v>
      </c>
      <c r="AA39" s="30">
        <f t="shared" si="20"/>
        <v>25.18</v>
      </c>
      <c r="AB39" s="42">
        <f t="shared" si="20"/>
        <v>0.25163333333333332</v>
      </c>
      <c r="AC39" s="13"/>
      <c r="AD39">
        <f t="shared" si="21"/>
        <v>32812.787737873747</v>
      </c>
      <c r="AE39" s="31">
        <f t="shared" si="22"/>
        <v>826225.99523966096</v>
      </c>
      <c r="AF39" s="14">
        <f t="shared" si="23"/>
        <v>20804370.56013466</v>
      </c>
      <c r="AG39" s="14">
        <f t="shared" si="24"/>
        <v>8256.7911544402978</v>
      </c>
      <c r="AH39" s="14">
        <f t="shared" si="25"/>
        <v>207906.00126880666</v>
      </c>
    </row>
    <row r="40" spans="4:34" x14ac:dyDescent="0.25">
      <c r="D40" s="12">
        <f t="shared" si="15"/>
        <v>75.099999999999994</v>
      </c>
      <c r="E40" s="37">
        <f t="shared" si="15"/>
        <v>73.833333333333329</v>
      </c>
      <c r="F40" s="13"/>
      <c r="G40">
        <f t="shared" si="16"/>
        <v>0.24986396295350308</v>
      </c>
      <c r="H40" s="31">
        <f t="shared" si="17"/>
        <v>18.764783617808082</v>
      </c>
      <c r="I40" s="14">
        <f t="shared" si="26"/>
        <v>1409.2352496973867</v>
      </c>
      <c r="J40" s="14">
        <f t="shared" si="18"/>
        <v>18.448289264733642</v>
      </c>
      <c r="K40" s="14">
        <f t="shared" si="19"/>
        <v>1385.4665237814966</v>
      </c>
      <c r="AA40" s="30">
        <f t="shared" si="20"/>
        <v>36.78</v>
      </c>
      <c r="AB40" s="42">
        <f t="shared" si="20"/>
        <v>0.36720000000000003</v>
      </c>
      <c r="AC40" s="13"/>
      <c r="AD40">
        <f t="shared" si="21"/>
        <v>33005.320462237818</v>
      </c>
      <c r="AE40" s="31">
        <f t="shared" si="22"/>
        <v>1213935.686601107</v>
      </c>
      <c r="AF40" s="14">
        <f t="shared" si="23"/>
        <v>44648554.553188719</v>
      </c>
      <c r="AG40" s="14">
        <f t="shared" si="24"/>
        <v>12119.553673733728</v>
      </c>
      <c r="AH40" s="14">
        <f t="shared" si="25"/>
        <v>445757.18411992653</v>
      </c>
    </row>
    <row r="41" spans="4:34" ht="15.75" thickBot="1" x14ac:dyDescent="0.3">
      <c r="D41" s="12">
        <f t="shared" si="15"/>
        <v>85.18</v>
      </c>
      <c r="E41" s="37">
        <f t="shared" si="15"/>
        <v>83.75</v>
      </c>
      <c r="F41" s="13"/>
      <c r="G41">
        <f t="shared" si="16"/>
        <v>0.24982928332306256</v>
      </c>
      <c r="H41" s="31">
        <f t="shared" si="17"/>
        <v>21.280458353458471</v>
      </c>
      <c r="I41" s="14">
        <f t="shared" si="26"/>
        <v>1812.6694425475928</v>
      </c>
      <c r="J41" s="14">
        <f t="shared" si="18"/>
        <v>20.923202478306489</v>
      </c>
      <c r="K41" s="14">
        <f t="shared" si="19"/>
        <v>1782.238387102147</v>
      </c>
      <c r="AA41" s="12">
        <f t="shared" si="20"/>
        <v>45.48</v>
      </c>
      <c r="AB41" s="42">
        <f t="shared" si="20"/>
        <v>0.45626666666666665</v>
      </c>
      <c r="AC41" s="13"/>
      <c r="AD41">
        <f t="shared" si="21"/>
        <v>33421.800957683561</v>
      </c>
      <c r="AE41" s="31">
        <f t="shared" si="22"/>
        <v>1520023.5075554482</v>
      </c>
      <c r="AF41" s="14">
        <f t="shared" si="23"/>
        <v>69130669.123621777</v>
      </c>
      <c r="AG41" s="14">
        <f t="shared" si="24"/>
        <v>15249.253716959085</v>
      </c>
      <c r="AH41" s="14">
        <f t="shared" si="25"/>
        <v>693536.0590472992</v>
      </c>
    </row>
    <row r="42" spans="4:34" ht="16.5" thickBot="1" x14ac:dyDescent="0.3">
      <c r="D42" s="8"/>
      <c r="E42" s="8"/>
      <c r="F42" s="8"/>
      <c r="G42" s="34">
        <f>SUM(G36:G41)</f>
        <v>1.489307426135255</v>
      </c>
      <c r="H42" s="15">
        <f>SUM(H36:H41)</f>
        <v>68.867419506704209</v>
      </c>
      <c r="I42" s="16">
        <f>SUM(I36:I41)</f>
        <v>4330.9868398463541</v>
      </c>
      <c r="J42" s="16">
        <f>SUM(J36:J41)</f>
        <v>70.039131000570379</v>
      </c>
      <c r="K42" s="17">
        <f>SUM(K36:K41)</f>
        <v>4332.7160651036374</v>
      </c>
      <c r="AA42" s="12">
        <f t="shared" si="20"/>
        <v>53.3</v>
      </c>
      <c r="AB42" s="42">
        <f t="shared" si="20"/>
        <v>0.5353</v>
      </c>
      <c r="AC42" s="13"/>
      <c r="AD42">
        <f t="shared" si="21"/>
        <v>33193.024078225048</v>
      </c>
      <c r="AE42" s="31">
        <f t="shared" si="22"/>
        <v>1769188.1833693951</v>
      </c>
      <c r="AF42" s="14">
        <f t="shared" si="23"/>
        <v>94297730.173588753</v>
      </c>
      <c r="AG42" s="14">
        <f t="shared" si="24"/>
        <v>17768.225789073869</v>
      </c>
      <c r="AH42" s="14">
        <f t="shared" si="25"/>
        <v>947046.4345576372</v>
      </c>
    </row>
    <row r="43" spans="4:34" ht="16.5" thickBot="1" x14ac:dyDescent="0.3">
      <c r="D43" s="23" t="s">
        <v>5</v>
      </c>
      <c r="E43" s="24">
        <f>COUNT(E36:E41)</f>
        <v>6</v>
      </c>
      <c r="AA43" s="8"/>
      <c r="AB43" s="8"/>
      <c r="AC43" s="8"/>
      <c r="AD43" s="34">
        <f>SUM(AD37:AD42)</f>
        <v>198223.26047981824</v>
      </c>
      <c r="AE43" s="15">
        <f>SUM(AE37:AE42)</f>
        <v>5990400.9411647879</v>
      </c>
      <c r="AF43" s="16">
        <f>SUM(AF37:AF42)</f>
        <v>237298522.24489379</v>
      </c>
      <c r="AG43" s="16">
        <f>SUM(AG37:AG42)</f>
        <v>60014.570413506051</v>
      </c>
      <c r="AH43" s="17">
        <f>SUM(AH37:AH42)</f>
        <v>2378440.2624395215</v>
      </c>
    </row>
    <row r="44" spans="4:34" ht="18" x14ac:dyDescent="0.25">
      <c r="H44" s="18" t="s">
        <v>33</v>
      </c>
      <c r="I44" s="19"/>
      <c r="K44" s="20"/>
      <c r="AA44" s="23" t="s">
        <v>5</v>
      </c>
      <c r="AB44" s="24">
        <f>COUNT(AB37:AB42)</f>
        <v>6</v>
      </c>
    </row>
    <row r="45" spans="4:34" ht="18" x14ac:dyDescent="0.25">
      <c r="H45" s="8">
        <f>G42*I42-H42^2</f>
        <v>1707.4493935648525</v>
      </c>
      <c r="I45" s="20"/>
      <c r="K45" s="20"/>
      <c r="AE45" s="18" t="s">
        <v>52</v>
      </c>
      <c r="AF45" s="19"/>
      <c r="AH45" s="20"/>
    </row>
    <row r="46" spans="4:34" ht="15.75" x14ac:dyDescent="0.25">
      <c r="H46" s="56" t="s">
        <v>24</v>
      </c>
      <c r="I46" s="56"/>
      <c r="J46" s="56"/>
      <c r="K46" s="56"/>
      <c r="AE46" s="8">
        <f>AD43*AF43-AE43^2</f>
        <v>11153183350517.547</v>
      </c>
      <c r="AF46" s="20"/>
      <c r="AH46" s="20"/>
    </row>
    <row r="47" spans="4:34" ht="15.75" x14ac:dyDescent="0.25">
      <c r="D47" s="25" t="s">
        <v>2</v>
      </c>
      <c r="E47" s="25" t="s">
        <v>3</v>
      </c>
      <c r="AE47" s="56" t="s">
        <v>53</v>
      </c>
      <c r="AF47" s="56"/>
      <c r="AG47" s="56"/>
      <c r="AH47" s="56"/>
    </row>
    <row r="48" spans="4:34" ht="30" x14ac:dyDescent="0.25">
      <c r="D48" s="5" t="s">
        <v>8</v>
      </c>
      <c r="E48" s="26" t="s">
        <v>25</v>
      </c>
      <c r="H48" s="18" t="s">
        <v>21</v>
      </c>
      <c r="I48" s="18" t="s">
        <v>22</v>
      </c>
      <c r="AA48" s="25" t="s">
        <v>2</v>
      </c>
      <c r="AB48" s="25" t="s">
        <v>3</v>
      </c>
    </row>
    <row r="49" spans="4:34" ht="30" x14ac:dyDescent="0.25">
      <c r="D49" s="37">
        <f>E36</f>
        <v>12.016666666666666</v>
      </c>
      <c r="E49" s="27">
        <f>$H$56*D49+$I$56</f>
        <v>9.5513194889059019</v>
      </c>
      <c r="H49" s="33">
        <f>(1/H45)*(G42*K42-H42*J42)</f>
        <v>0.954249069245513</v>
      </c>
      <c r="I49" s="32">
        <f>(1/H45)*(I42*J42-H42*K42)</f>
        <v>2.9023289343116794</v>
      </c>
      <c r="J49" s="57"/>
      <c r="K49" s="58"/>
      <c r="AA49" s="43" t="s">
        <v>46</v>
      </c>
      <c r="AB49" s="26" t="s">
        <v>54</v>
      </c>
      <c r="AE49" s="18" t="s">
        <v>55</v>
      </c>
      <c r="AF49" s="18" t="s">
        <v>56</v>
      </c>
    </row>
    <row r="50" spans="4:34" ht="15.75" x14ac:dyDescent="0.25">
      <c r="D50" s="37">
        <f t="shared" ref="D50:D54" si="27">E37</f>
        <v>22.599999999999998</v>
      </c>
      <c r="E50" s="27">
        <f t="shared" ref="E50:E54" si="28">$H$56*D50+$I$56</f>
        <v>20.64206474024909</v>
      </c>
      <c r="AA50" s="42">
        <f>AB37</f>
        <v>4.9100000000000005E-2</v>
      </c>
      <c r="AB50" s="27">
        <f>$AE$57*AA50+$AF$57</f>
        <v>4.9491651347649368</v>
      </c>
      <c r="AE50" s="33">
        <f>1/AE46*(AD43*AH43-AE43*AG43)</f>
        <v>1.003756874340047E-2</v>
      </c>
      <c r="AF50" s="32">
        <f>1/AE46*(AF43*AG43-AE43*AH43)</f>
        <v>-5.7758526264389722E-4</v>
      </c>
      <c r="AG50" s="57"/>
      <c r="AH50" s="58"/>
    </row>
    <row r="51" spans="4:34" x14ac:dyDescent="0.25">
      <c r="D51" s="37">
        <f t="shared" si="27"/>
        <v>32.716666666666669</v>
      </c>
      <c r="E51" s="27">
        <f t="shared" si="28"/>
        <v>31.243769256099995</v>
      </c>
      <c r="AA51" s="42">
        <f t="shared" ref="AA51:AA55" si="29">AB38</f>
        <v>0.15251666666666666</v>
      </c>
      <c r="AB51" s="27">
        <f t="shared" ref="AB51:AB55" si="30">$AE$57*AA51+$AF$57</f>
        <v>15.252124876351896</v>
      </c>
    </row>
    <row r="52" spans="4:34" x14ac:dyDescent="0.25">
      <c r="D52" s="37">
        <f t="shared" si="27"/>
        <v>57.6</v>
      </c>
      <c r="E52" s="27">
        <f t="shared" si="28"/>
        <v>57.320119902171463</v>
      </c>
      <c r="AA52" s="42">
        <f t="shared" si="29"/>
        <v>0.25163333333333332</v>
      </c>
      <c r="AB52" s="27">
        <f t="shared" si="30"/>
        <v>25.126694027555384</v>
      </c>
    </row>
    <row r="53" spans="4:34" ht="18" x14ac:dyDescent="0.25">
      <c r="D53" s="37">
        <f t="shared" si="27"/>
        <v>73.833333333333329</v>
      </c>
      <c r="E53" s="27">
        <f t="shared" si="28"/>
        <v>74.331751201082113</v>
      </c>
      <c r="H53" s="49" t="s">
        <v>23</v>
      </c>
      <c r="I53" s="49"/>
      <c r="J53" s="49"/>
      <c r="K53" s="49"/>
      <c r="AA53" s="42">
        <f t="shared" si="29"/>
        <v>0.36720000000000003</v>
      </c>
      <c r="AB53" s="27">
        <f t="shared" si="30"/>
        <v>36.640106251272393</v>
      </c>
    </row>
    <row r="54" spans="4:34" ht="18" x14ac:dyDescent="0.25">
      <c r="D54" s="37">
        <f t="shared" si="27"/>
        <v>83.75</v>
      </c>
      <c r="E54" s="27">
        <f t="shared" si="28"/>
        <v>84.72386683029346</v>
      </c>
      <c r="AA54" s="42">
        <f t="shared" si="29"/>
        <v>0.45626666666666665</v>
      </c>
      <c r="AB54" s="27">
        <f t="shared" si="30"/>
        <v>45.513436929602882</v>
      </c>
      <c r="AE54" s="49" t="s">
        <v>57</v>
      </c>
      <c r="AF54" s="49"/>
      <c r="AG54" s="49"/>
      <c r="AH54" s="49"/>
    </row>
    <row r="55" spans="4:34" ht="15.75" x14ac:dyDescent="0.25">
      <c r="H55" s="21" t="s">
        <v>19</v>
      </c>
      <c r="I55" s="22" t="s">
        <v>20</v>
      </c>
      <c r="AA55" s="42">
        <f t="shared" si="29"/>
        <v>0.5353</v>
      </c>
      <c r="AB55" s="27">
        <f t="shared" si="30"/>
        <v>53.387189563705277</v>
      </c>
    </row>
    <row r="56" spans="4:34" ht="15.75" x14ac:dyDescent="0.25">
      <c r="E56">
        <v>99.625718693830393</v>
      </c>
      <c r="H56" s="29">
        <f xml:space="preserve"> 1/H49</f>
        <v>1.0479444331977819</v>
      </c>
      <c r="I56" s="28">
        <f xml:space="preserve"> -I49/H49</f>
        <v>-3.0414794500207751</v>
      </c>
      <c r="J56" s="50" t="s">
        <v>4</v>
      </c>
      <c r="K56" s="51"/>
      <c r="AE56" s="21" t="s">
        <v>58</v>
      </c>
      <c r="AF56" s="22" t="s">
        <v>59</v>
      </c>
    </row>
    <row r="57" spans="4:34" ht="15.75" x14ac:dyDescent="0.25">
      <c r="E57">
        <v>5.7542346897863098E-2</v>
      </c>
      <c r="AB57">
        <v>99.625718693830393</v>
      </c>
      <c r="AE57" s="29">
        <f xml:space="preserve"> 1/AE50</f>
        <v>99.625718693830407</v>
      </c>
      <c r="AF57" s="28">
        <f xml:space="preserve"> -AF50/AE50</f>
        <v>5.7542346897863056E-2</v>
      </c>
      <c r="AG57" s="50" t="s">
        <v>4</v>
      </c>
      <c r="AH57" s="51"/>
    </row>
    <row r="58" spans="4:34" x14ac:dyDescent="0.25">
      <c r="H58" s="29"/>
      <c r="AB58">
        <v>5.7542346897863098E-2</v>
      </c>
    </row>
    <row r="59" spans="4:34" x14ac:dyDescent="0.25">
      <c r="AE59" s="44"/>
    </row>
    <row r="63" spans="4:34" x14ac:dyDescent="0.25">
      <c r="AD63" s="45"/>
      <c r="AE63" s="46"/>
      <c r="AF63" s="47"/>
      <c r="AG63" s="47"/>
      <c r="AH63" s="47"/>
    </row>
    <row r="64" spans="4:34" x14ac:dyDescent="0.25">
      <c r="AD64" s="45"/>
      <c r="AE64" s="46"/>
      <c r="AF64" s="47"/>
      <c r="AG64" s="47"/>
      <c r="AH64" s="47"/>
    </row>
    <row r="65" spans="30:34" x14ac:dyDescent="0.25">
      <c r="AD65" s="45"/>
      <c r="AE65" s="46"/>
      <c r="AF65" s="47"/>
      <c r="AG65" s="47"/>
      <c r="AH65" s="47"/>
    </row>
    <row r="66" spans="30:34" x14ac:dyDescent="0.25">
      <c r="AD66" s="45"/>
      <c r="AE66" s="46"/>
      <c r="AF66" s="47"/>
      <c r="AG66" s="47"/>
      <c r="AH66" s="47"/>
    </row>
    <row r="67" spans="30:34" x14ac:dyDescent="0.25">
      <c r="AD67" s="45"/>
      <c r="AE67" s="46"/>
      <c r="AF67" s="47"/>
      <c r="AG67" s="47"/>
      <c r="AH67" s="47"/>
    </row>
    <row r="68" spans="30:34" x14ac:dyDescent="0.25">
      <c r="AD68" s="45"/>
      <c r="AE68" s="46"/>
      <c r="AF68" s="47"/>
      <c r="AG68" s="47"/>
      <c r="AH68" s="47"/>
    </row>
    <row r="69" spans="30:34" ht="15.75" x14ac:dyDescent="0.25">
      <c r="AD69" s="45"/>
      <c r="AE69" s="48"/>
      <c r="AF69" s="48"/>
      <c r="AG69" s="48"/>
      <c r="AH69" s="48"/>
    </row>
  </sheetData>
  <mergeCells count="14">
    <mergeCell ref="J56:K56"/>
    <mergeCell ref="D2:J2"/>
    <mergeCell ref="E3:J3"/>
    <mergeCell ref="D14:J14"/>
    <mergeCell ref="H46:K46"/>
    <mergeCell ref="J49:K49"/>
    <mergeCell ref="H53:K53"/>
    <mergeCell ref="AE54:AH54"/>
    <mergeCell ref="AG57:AH57"/>
    <mergeCell ref="AA3:AG3"/>
    <mergeCell ref="AB4:AG4"/>
    <mergeCell ref="AA15:AG15"/>
    <mergeCell ref="AE47:AH47"/>
    <mergeCell ref="AG50:AH50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K5:L9 K4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2021-05-27T19:47:15Z</dcterms:created>
  <dcterms:modified xsi:type="dcterms:W3CDTF">2021-06-02T18:12:57Z</dcterms:modified>
</cp:coreProperties>
</file>