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VRAC\MACRO 2023\"/>
    </mc:Choice>
  </mc:AlternateContent>
  <bookViews>
    <workbookView xWindow="0" yWindow="0" windowWidth="20490" windowHeight="7620" activeTab="2"/>
  </bookViews>
  <sheets>
    <sheet name="DONNEES FINANCIERES MENSUELLES" sheetId="3" r:id="rId1"/>
    <sheet name="CR" sheetId="4" r:id="rId2"/>
    <sheet name="2022" sheetId="5" r:id="rId3"/>
  </sheets>
  <externalReferences>
    <externalReference r:id="rId4"/>
    <externalReference r:id="rId5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" i="5" l="1"/>
  <c r="U6" i="5"/>
  <c r="U7" i="5"/>
  <c r="U8" i="5"/>
  <c r="U9" i="5"/>
  <c r="U10" i="5"/>
  <c r="U11" i="5"/>
  <c r="U12" i="5"/>
  <c r="U13" i="5"/>
  <c r="U14" i="5"/>
  <c r="U15" i="5"/>
  <c r="U4" i="5"/>
  <c r="N75" i="5"/>
  <c r="M75" i="5"/>
  <c r="N74" i="5" s="1"/>
  <c r="L75" i="5"/>
  <c r="K75" i="5"/>
  <c r="J75" i="5"/>
  <c r="K74" i="5" s="1"/>
  <c r="K76" i="5" s="1"/>
  <c r="I75" i="5"/>
  <c r="I76" i="5" s="1"/>
  <c r="H75" i="5"/>
  <c r="G75" i="5"/>
  <c r="F75" i="5"/>
  <c r="E75" i="5"/>
  <c r="F74" i="5" s="1"/>
  <c r="D75" i="5"/>
  <c r="C75" i="5"/>
  <c r="C76" i="5" s="1"/>
  <c r="M74" i="5"/>
  <c r="L74" i="5"/>
  <c r="L77" i="5" s="1"/>
  <c r="I74" i="5"/>
  <c r="H74" i="5"/>
  <c r="H77" i="5" s="1"/>
  <c r="G74" i="5"/>
  <c r="G76" i="5" s="1"/>
  <c r="E74" i="5"/>
  <c r="D74" i="5"/>
  <c r="D76" i="5" s="1"/>
  <c r="N63" i="5"/>
  <c r="M63" i="5"/>
  <c r="N52" i="5" s="1"/>
  <c r="L63" i="5"/>
  <c r="M52" i="5" s="1"/>
  <c r="K63" i="5"/>
  <c r="J63" i="5"/>
  <c r="I63" i="5"/>
  <c r="H63" i="5"/>
  <c r="G63" i="5"/>
  <c r="F63" i="5"/>
  <c r="E63" i="5"/>
  <c r="D63" i="5"/>
  <c r="C63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N59" i="5"/>
  <c r="M59" i="5"/>
  <c r="L59" i="5"/>
  <c r="K59" i="5"/>
  <c r="J59" i="5"/>
  <c r="I59" i="5"/>
  <c r="H59" i="5"/>
  <c r="G59" i="5"/>
  <c r="F59" i="5"/>
  <c r="E59" i="5"/>
  <c r="D59" i="5"/>
  <c r="C59" i="5"/>
  <c r="F58" i="5"/>
  <c r="N55" i="5"/>
  <c r="M55" i="5"/>
  <c r="L55" i="5"/>
  <c r="K55" i="5"/>
  <c r="J55" i="5"/>
  <c r="I55" i="5"/>
  <c r="H55" i="5"/>
  <c r="G55" i="5"/>
  <c r="F55" i="5"/>
  <c r="E55" i="5"/>
  <c r="D55" i="5"/>
  <c r="C55" i="5"/>
  <c r="O54" i="5"/>
  <c r="L52" i="5"/>
  <c r="C52" i="5"/>
  <c r="O52" i="5" s="1"/>
  <c r="N51" i="5"/>
  <c r="M51" i="5"/>
  <c r="L51" i="5"/>
  <c r="K51" i="5"/>
  <c r="J51" i="5"/>
  <c r="I51" i="5"/>
  <c r="H51" i="5"/>
  <c r="G51" i="5"/>
  <c r="F51" i="5"/>
  <c r="E51" i="5"/>
  <c r="D51" i="5"/>
  <c r="C51" i="5"/>
  <c r="I42" i="5"/>
  <c r="N14" i="5"/>
  <c r="N58" i="5" s="1"/>
  <c r="M14" i="5"/>
  <c r="L14" i="5"/>
  <c r="K14" i="5"/>
  <c r="J14" i="5"/>
  <c r="J58" i="5" s="1"/>
  <c r="I14" i="5"/>
  <c r="I58" i="5" s="1"/>
  <c r="H14" i="5"/>
  <c r="H29" i="5" s="1"/>
  <c r="G14" i="5"/>
  <c r="F14" i="5"/>
  <c r="E14" i="5"/>
  <c r="E58" i="5" s="1"/>
  <c r="D14" i="5"/>
  <c r="C14" i="5"/>
  <c r="N12" i="5"/>
  <c r="N56" i="5" s="1"/>
  <c r="M12" i="5"/>
  <c r="M56" i="5" s="1"/>
  <c r="L12" i="5"/>
  <c r="K12" i="5"/>
  <c r="J12" i="5"/>
  <c r="J56" i="5" s="1"/>
  <c r="I12" i="5"/>
  <c r="H12" i="5"/>
  <c r="G12" i="5"/>
  <c r="F12" i="5"/>
  <c r="F56" i="5" s="1"/>
  <c r="E12" i="5"/>
  <c r="E56" i="5" s="1"/>
  <c r="D12" i="5"/>
  <c r="C12" i="5"/>
  <c r="C56" i="5" s="1"/>
  <c r="N10" i="5"/>
  <c r="M10" i="5"/>
  <c r="L10" i="5"/>
  <c r="K10" i="5"/>
  <c r="J10" i="5"/>
  <c r="I10" i="5"/>
  <c r="I80" i="5" s="1"/>
  <c r="H10" i="5"/>
  <c r="G10" i="5"/>
  <c r="F10" i="5"/>
  <c r="E10" i="5"/>
  <c r="E80" i="5" s="1"/>
  <c r="D10" i="5"/>
  <c r="C10" i="5"/>
  <c r="N8" i="5"/>
  <c r="M8" i="5"/>
  <c r="L8" i="5"/>
  <c r="K8" i="5"/>
  <c r="J38" i="5" s="1"/>
  <c r="I8" i="5"/>
  <c r="H38" i="5" s="1"/>
  <c r="H8" i="5"/>
  <c r="G38" i="5" s="1"/>
  <c r="F8" i="5"/>
  <c r="E8" i="5"/>
  <c r="D8" i="5"/>
  <c r="C38" i="5" s="1"/>
  <c r="N7" i="5"/>
  <c r="M7" i="5"/>
  <c r="L7" i="5"/>
  <c r="K37" i="5" s="1"/>
  <c r="K7" i="5"/>
  <c r="J7" i="5"/>
  <c r="I7" i="5"/>
  <c r="H7" i="5"/>
  <c r="H68" i="5" s="1"/>
  <c r="G7" i="5"/>
  <c r="F7" i="5"/>
  <c r="E7" i="5"/>
  <c r="D7" i="5"/>
  <c r="D68" i="5" s="1"/>
  <c r="C7" i="5"/>
  <c r="D6" i="5"/>
  <c r="N5" i="5"/>
  <c r="M5" i="5"/>
  <c r="L5" i="5"/>
  <c r="K5" i="5"/>
  <c r="J5" i="5"/>
  <c r="I5" i="5"/>
  <c r="H5" i="5"/>
  <c r="G5" i="5"/>
  <c r="F5" i="5"/>
  <c r="E5" i="5"/>
  <c r="D5" i="5"/>
  <c r="C5" i="5"/>
  <c r="N4" i="5"/>
  <c r="N50" i="5" s="1"/>
  <c r="M4" i="5"/>
  <c r="M50" i="5" s="1"/>
  <c r="M53" i="5" s="1"/>
  <c r="L4" i="5"/>
  <c r="L6" i="5" s="1"/>
  <c r="K4" i="5"/>
  <c r="J4" i="5"/>
  <c r="J50" i="5" s="1"/>
  <c r="I4" i="5"/>
  <c r="H4" i="5"/>
  <c r="H6" i="5" s="1"/>
  <c r="H21" i="5" s="1"/>
  <c r="G4" i="5"/>
  <c r="G50" i="5" s="1"/>
  <c r="F4" i="5"/>
  <c r="F50" i="5" s="1"/>
  <c r="E4" i="5"/>
  <c r="D4" i="5"/>
  <c r="C4" i="5"/>
  <c r="C50" i="5" s="1"/>
  <c r="O5" i="5" l="1"/>
  <c r="L29" i="5"/>
  <c r="M38" i="5"/>
  <c r="E40" i="5"/>
  <c r="I40" i="5"/>
  <c r="M40" i="5"/>
  <c r="H76" i="5"/>
  <c r="H78" i="5" s="1"/>
  <c r="M77" i="5"/>
  <c r="E34" i="5"/>
  <c r="P10" i="5"/>
  <c r="E77" i="5"/>
  <c r="D77" i="5"/>
  <c r="H20" i="5"/>
  <c r="I44" i="5"/>
  <c r="O59" i="5"/>
  <c r="J74" i="5"/>
  <c r="J76" i="5" s="1"/>
  <c r="L76" i="5"/>
  <c r="G77" i="5"/>
  <c r="G35" i="5"/>
  <c r="M44" i="5"/>
  <c r="L68" i="5"/>
  <c r="L78" i="5" s="1"/>
  <c r="M76" i="5"/>
  <c r="N53" i="5"/>
  <c r="I77" i="5"/>
  <c r="I35" i="5"/>
  <c r="M35" i="5"/>
  <c r="O7" i="5"/>
  <c r="W7" i="5" s="1"/>
  <c r="E42" i="5"/>
  <c r="I57" i="5"/>
  <c r="E76" i="5"/>
  <c r="C77" i="5"/>
  <c r="W5" i="5"/>
  <c r="I50" i="5"/>
  <c r="S4" i="5"/>
  <c r="H34" i="5"/>
  <c r="D66" i="5"/>
  <c r="D9" i="5"/>
  <c r="J68" i="5"/>
  <c r="I37" i="5"/>
  <c r="L22" i="5"/>
  <c r="C53" i="5"/>
  <c r="F35" i="5"/>
  <c r="M6" i="5"/>
  <c r="G68" i="5"/>
  <c r="G78" i="5" s="1"/>
  <c r="F37" i="5"/>
  <c r="D38" i="5"/>
  <c r="O8" i="5"/>
  <c r="O12" i="5"/>
  <c r="C58" i="5"/>
  <c r="J44" i="5"/>
  <c r="K58" i="5"/>
  <c r="L25" i="5"/>
  <c r="C6" i="5"/>
  <c r="C29" i="5" s="1"/>
  <c r="D20" i="5"/>
  <c r="L20" i="5"/>
  <c r="H66" i="5"/>
  <c r="H9" i="5"/>
  <c r="S7" i="5"/>
  <c r="K38" i="5"/>
  <c r="L23" i="5"/>
  <c r="C40" i="5"/>
  <c r="D80" i="5"/>
  <c r="D40" i="5"/>
  <c r="D57" i="5"/>
  <c r="H57" i="5"/>
  <c r="G40" i="5"/>
  <c r="H80" i="5"/>
  <c r="K40" i="5"/>
  <c r="L80" i="5"/>
  <c r="L57" i="5"/>
  <c r="L40" i="5"/>
  <c r="D56" i="5"/>
  <c r="C42" i="5"/>
  <c r="D27" i="5"/>
  <c r="H56" i="5"/>
  <c r="G42" i="5"/>
  <c r="H27" i="5"/>
  <c r="L56" i="5"/>
  <c r="K42" i="5"/>
  <c r="L27" i="5"/>
  <c r="P12" i="5"/>
  <c r="R12" i="5" s="1"/>
  <c r="D58" i="5"/>
  <c r="D61" i="5" s="1"/>
  <c r="C44" i="5"/>
  <c r="H58" i="5"/>
  <c r="G44" i="5"/>
  <c r="L58" i="5"/>
  <c r="K44" i="5"/>
  <c r="P14" i="5"/>
  <c r="H22" i="5"/>
  <c r="E50" i="5"/>
  <c r="D34" i="5"/>
  <c r="L34" i="5"/>
  <c r="E35" i="5"/>
  <c r="Q5" i="5"/>
  <c r="L66" i="5"/>
  <c r="L9" i="5"/>
  <c r="F68" i="5"/>
  <c r="E37" i="5"/>
  <c r="Q7" i="5"/>
  <c r="N68" i="5"/>
  <c r="M37" i="5"/>
  <c r="D22" i="5"/>
  <c r="P5" i="5"/>
  <c r="J35" i="5"/>
  <c r="E6" i="5"/>
  <c r="E27" i="5" s="1"/>
  <c r="P7" i="5"/>
  <c r="R7" i="5" s="1"/>
  <c r="C68" i="5"/>
  <c r="K68" i="5"/>
  <c r="K78" i="5" s="1"/>
  <c r="J37" i="5"/>
  <c r="C80" i="5"/>
  <c r="C57" i="5"/>
  <c r="C25" i="5"/>
  <c r="G80" i="5"/>
  <c r="G57" i="5"/>
  <c r="F40" i="5"/>
  <c r="Q10" i="5"/>
  <c r="K80" i="5"/>
  <c r="J40" i="5"/>
  <c r="K57" i="5"/>
  <c r="O10" i="5"/>
  <c r="F42" i="5"/>
  <c r="G56" i="5"/>
  <c r="Q12" i="5"/>
  <c r="J42" i="5"/>
  <c r="K56" i="5"/>
  <c r="F44" i="5"/>
  <c r="Q14" i="5"/>
  <c r="G58" i="5"/>
  <c r="O14" i="5"/>
  <c r="D25" i="5"/>
  <c r="E38" i="5"/>
  <c r="G61" i="5"/>
  <c r="P4" i="5"/>
  <c r="S5" i="5"/>
  <c r="D78" i="5"/>
  <c r="F38" i="5"/>
  <c r="Q8" i="5"/>
  <c r="P8" i="5"/>
  <c r="C34" i="5"/>
  <c r="D50" i="5"/>
  <c r="D19" i="5"/>
  <c r="G34" i="5"/>
  <c r="H50" i="5"/>
  <c r="H19" i="5"/>
  <c r="K34" i="5"/>
  <c r="L50" i="5"/>
  <c r="L53" i="5" s="1"/>
  <c r="T4" i="5"/>
  <c r="L19" i="5"/>
  <c r="Q4" i="5"/>
  <c r="T5" i="5"/>
  <c r="I6" i="5"/>
  <c r="I23" i="5" s="1"/>
  <c r="T7" i="5"/>
  <c r="L38" i="5"/>
  <c r="T8" i="5"/>
  <c r="T10" i="5"/>
  <c r="T12" i="5"/>
  <c r="T14" i="5"/>
  <c r="D21" i="5"/>
  <c r="L21" i="5"/>
  <c r="C22" i="5"/>
  <c r="H25" i="5"/>
  <c r="D29" i="5"/>
  <c r="M34" i="5"/>
  <c r="C37" i="5"/>
  <c r="J6" i="5"/>
  <c r="J20" i="5" s="1"/>
  <c r="H42" i="5"/>
  <c r="L44" i="5"/>
  <c r="D23" i="5"/>
  <c r="H23" i="5"/>
  <c r="I34" i="5"/>
  <c r="C35" i="5"/>
  <c r="K35" i="5"/>
  <c r="G37" i="5"/>
  <c r="I38" i="5"/>
  <c r="D44" i="5"/>
  <c r="O51" i="5"/>
  <c r="F6" i="5"/>
  <c r="F29" i="5" s="1"/>
  <c r="N6" i="5"/>
  <c r="M80" i="5"/>
  <c r="M57" i="5"/>
  <c r="L42" i="5"/>
  <c r="F34" i="5"/>
  <c r="K50" i="5"/>
  <c r="J34" i="5"/>
  <c r="O4" i="5"/>
  <c r="D35" i="5"/>
  <c r="H35" i="5"/>
  <c r="L35" i="5"/>
  <c r="G6" i="5"/>
  <c r="G29" i="5" s="1"/>
  <c r="K6" i="5"/>
  <c r="E68" i="5"/>
  <c r="D37" i="5"/>
  <c r="I68" i="5"/>
  <c r="I78" i="5" s="1"/>
  <c r="H37" i="5"/>
  <c r="M68" i="5"/>
  <c r="L37" i="5"/>
  <c r="S8" i="5"/>
  <c r="F80" i="5"/>
  <c r="F57" i="5"/>
  <c r="J80" i="5"/>
  <c r="J57" i="5"/>
  <c r="J61" i="5" s="1"/>
  <c r="N80" i="5"/>
  <c r="N57" i="5"/>
  <c r="S10" i="5"/>
  <c r="M42" i="5"/>
  <c r="S12" i="5"/>
  <c r="E44" i="5"/>
  <c r="S14" i="5"/>
  <c r="M23" i="5"/>
  <c r="H40" i="5"/>
  <c r="D42" i="5"/>
  <c r="H44" i="5"/>
  <c r="I56" i="5"/>
  <c r="I61" i="5" s="1"/>
  <c r="E57" i="5"/>
  <c r="E61" i="5" s="1"/>
  <c r="M58" i="5"/>
  <c r="F61" i="5"/>
  <c r="N61" i="5"/>
  <c r="F77" i="5"/>
  <c r="F76" i="5"/>
  <c r="J77" i="5"/>
  <c r="N77" i="5"/>
  <c r="N76" i="5"/>
  <c r="K77" i="5"/>
  <c r="O55" i="5"/>
  <c r="O75" i="5"/>
  <c r="J25" i="5" l="1"/>
  <c r="R10" i="5"/>
  <c r="M78" i="5"/>
  <c r="E78" i="5"/>
  <c r="R5" i="5"/>
  <c r="R14" i="5"/>
  <c r="R4" i="5"/>
  <c r="R8" i="5"/>
  <c r="G22" i="5"/>
  <c r="O76" i="5"/>
  <c r="F78" i="5"/>
  <c r="O74" i="5"/>
  <c r="M61" i="5"/>
  <c r="M62" i="5" s="1"/>
  <c r="M73" i="5" s="1"/>
  <c r="N78" i="5"/>
  <c r="H61" i="5"/>
  <c r="L61" i="5"/>
  <c r="L62" i="5" s="1"/>
  <c r="L73" i="5" s="1"/>
  <c r="J78" i="5"/>
  <c r="N62" i="5"/>
  <c r="N73" i="5" s="1"/>
  <c r="I22" i="5"/>
  <c r="O56" i="5"/>
  <c r="O42" i="5"/>
  <c r="K66" i="5"/>
  <c r="J36" i="5"/>
  <c r="K21" i="5"/>
  <c r="K9" i="5"/>
  <c r="K39" i="5" s="1"/>
  <c r="K19" i="5"/>
  <c r="K23" i="5"/>
  <c r="N66" i="5"/>
  <c r="M36" i="5"/>
  <c r="N21" i="5"/>
  <c r="N27" i="5"/>
  <c r="N19" i="5"/>
  <c r="N9" i="5"/>
  <c r="N23" i="5"/>
  <c r="O77" i="5"/>
  <c r="N25" i="5"/>
  <c r="P38" i="5"/>
  <c r="N34" i="5"/>
  <c r="N38" i="5"/>
  <c r="N42" i="5"/>
  <c r="N40" i="5"/>
  <c r="E66" i="5"/>
  <c r="D36" i="5"/>
  <c r="E29" i="5"/>
  <c r="E20" i="5"/>
  <c r="E9" i="5"/>
  <c r="E21" i="5"/>
  <c r="E25" i="5"/>
  <c r="L69" i="5"/>
  <c r="L67" i="5"/>
  <c r="L79" i="5" s="1"/>
  <c r="O37" i="5"/>
  <c r="W8" i="5"/>
  <c r="N20" i="5"/>
  <c r="K27" i="5"/>
  <c r="O38" i="5"/>
  <c r="G66" i="5"/>
  <c r="F36" i="5"/>
  <c r="G21" i="5"/>
  <c r="G9" i="5"/>
  <c r="G19" i="5"/>
  <c r="G23" i="5"/>
  <c r="G27" i="5"/>
  <c r="W4" i="5"/>
  <c r="E36" i="5"/>
  <c r="F21" i="5"/>
  <c r="F27" i="5"/>
  <c r="F19" i="5"/>
  <c r="Q6" i="5"/>
  <c r="Q27" i="5" s="1"/>
  <c r="F66" i="5"/>
  <c r="F9" i="5"/>
  <c r="F23" i="5"/>
  <c r="F25" i="5"/>
  <c r="K22" i="5"/>
  <c r="P44" i="5"/>
  <c r="E22" i="5"/>
  <c r="W14" i="5"/>
  <c r="K25" i="5"/>
  <c r="G25" i="5"/>
  <c r="K20" i="5"/>
  <c r="N37" i="5"/>
  <c r="T6" i="5"/>
  <c r="T20" i="5" s="1"/>
  <c r="N35" i="5"/>
  <c r="E19" i="5"/>
  <c r="H24" i="5"/>
  <c r="H11" i="5"/>
  <c r="H72" i="5"/>
  <c r="O58" i="5"/>
  <c r="E23" i="5"/>
  <c r="L36" i="5"/>
  <c r="M66" i="5"/>
  <c r="M29" i="5"/>
  <c r="M20" i="5"/>
  <c r="M9" i="5"/>
  <c r="M25" i="5"/>
  <c r="M21" i="5"/>
  <c r="D72" i="5"/>
  <c r="D24" i="5"/>
  <c r="D11" i="5"/>
  <c r="O34" i="5"/>
  <c r="M27" i="5"/>
  <c r="O44" i="5"/>
  <c r="O40" i="5"/>
  <c r="N29" i="5"/>
  <c r="J66" i="5"/>
  <c r="J21" i="5"/>
  <c r="J23" i="5"/>
  <c r="J19" i="5"/>
  <c r="I36" i="5"/>
  <c r="J27" i="5"/>
  <c r="J9" i="5"/>
  <c r="P42" i="5"/>
  <c r="T27" i="5"/>
  <c r="P37" i="5"/>
  <c r="I66" i="5"/>
  <c r="H36" i="5"/>
  <c r="S6" i="5"/>
  <c r="S19" i="5" s="1"/>
  <c r="I29" i="5"/>
  <c r="I9" i="5"/>
  <c r="I20" i="5"/>
  <c r="I21" i="5"/>
  <c r="I25" i="5"/>
  <c r="P34" i="5"/>
  <c r="T19" i="5"/>
  <c r="C61" i="5"/>
  <c r="C62" i="5" s="1"/>
  <c r="K61" i="5"/>
  <c r="O57" i="5"/>
  <c r="O68" i="5"/>
  <c r="C78" i="5"/>
  <c r="N22" i="5"/>
  <c r="F22" i="5"/>
  <c r="L72" i="5"/>
  <c r="L24" i="5"/>
  <c r="L11" i="5"/>
  <c r="G36" i="5"/>
  <c r="C66" i="5"/>
  <c r="C21" i="5"/>
  <c r="O6" i="5"/>
  <c r="O27" i="5" s="1"/>
  <c r="C9" i="5"/>
  <c r="C39" i="5" s="1"/>
  <c r="C23" i="5"/>
  <c r="C19" i="5"/>
  <c r="P6" i="5"/>
  <c r="R6" i="5" s="1"/>
  <c r="K29" i="5"/>
  <c r="W12" i="5"/>
  <c r="G20" i="5"/>
  <c r="O50" i="5"/>
  <c r="J22" i="5"/>
  <c r="C36" i="5"/>
  <c r="I19" i="5"/>
  <c r="I27" i="5"/>
  <c r="J29" i="5"/>
  <c r="P40" i="5"/>
  <c r="M22" i="5"/>
  <c r="P35" i="5"/>
  <c r="P23" i="5"/>
  <c r="O35" i="5"/>
  <c r="N44" i="5"/>
  <c r="O25" i="5"/>
  <c r="O17" i="5"/>
  <c r="W10" i="5"/>
  <c r="O80" i="5"/>
  <c r="P22" i="5"/>
  <c r="C20" i="5"/>
  <c r="F20" i="5"/>
  <c r="K36" i="5"/>
  <c r="M19" i="5"/>
  <c r="C27" i="5"/>
  <c r="H69" i="5"/>
  <c r="H67" i="5"/>
  <c r="H79" i="5" s="1"/>
  <c r="D69" i="5"/>
  <c r="D67" i="5"/>
  <c r="D79" i="5" s="1"/>
  <c r="S27" i="5" l="1"/>
  <c r="S20" i="5"/>
  <c r="S29" i="5"/>
  <c r="O29" i="5"/>
  <c r="Q29" i="5"/>
  <c r="T22" i="5"/>
  <c r="S25" i="5"/>
  <c r="Q22" i="5"/>
  <c r="O19" i="5"/>
  <c r="S23" i="5"/>
  <c r="O23" i="5"/>
  <c r="Q19" i="5"/>
  <c r="O78" i="5"/>
  <c r="Q20" i="5"/>
  <c r="D70" i="5"/>
  <c r="D71" i="5"/>
  <c r="C67" i="5"/>
  <c r="O66" i="5"/>
  <c r="C69" i="5"/>
  <c r="P57" i="5"/>
  <c r="J67" i="5"/>
  <c r="J79" i="5" s="1"/>
  <c r="J69" i="5"/>
  <c r="P50" i="5"/>
  <c r="O53" i="5"/>
  <c r="Q50" i="5"/>
  <c r="C72" i="5"/>
  <c r="P9" i="5"/>
  <c r="C11" i="5"/>
  <c r="C41" i="5" s="1"/>
  <c r="C24" i="5"/>
  <c r="L13" i="5"/>
  <c r="L26" i="5"/>
  <c r="I72" i="5"/>
  <c r="H39" i="5"/>
  <c r="I24" i="5"/>
  <c r="I11" i="5"/>
  <c r="S9" i="5"/>
  <c r="I69" i="5"/>
  <c r="I67" i="5"/>
  <c r="I79" i="5" s="1"/>
  <c r="D13" i="5"/>
  <c r="D26" i="5"/>
  <c r="F72" i="5"/>
  <c r="E39" i="5"/>
  <c r="Q9" i="5"/>
  <c r="F24" i="5"/>
  <c r="F11" i="5"/>
  <c r="G72" i="5"/>
  <c r="F39" i="5"/>
  <c r="G24" i="5"/>
  <c r="G11" i="5"/>
  <c r="N72" i="5"/>
  <c r="M39" i="5"/>
  <c r="N24" i="5"/>
  <c r="N11" i="5"/>
  <c r="K72" i="5"/>
  <c r="K11" i="5"/>
  <c r="K41" i="5" s="1"/>
  <c r="K24" i="5"/>
  <c r="J39" i="5"/>
  <c r="H70" i="5"/>
  <c r="H71" i="5"/>
  <c r="P51" i="5"/>
  <c r="P21" i="5"/>
  <c r="P25" i="5"/>
  <c r="O21" i="5"/>
  <c r="O9" i="5"/>
  <c r="W6" i="5"/>
  <c r="O20" i="5"/>
  <c r="O22" i="5"/>
  <c r="P29" i="5"/>
  <c r="O61" i="5"/>
  <c r="P61" i="5" s="1"/>
  <c r="J72" i="5"/>
  <c r="I39" i="5"/>
  <c r="J24" i="5"/>
  <c r="J11" i="5"/>
  <c r="M69" i="5"/>
  <c r="M67" i="5"/>
  <c r="M79" i="5" s="1"/>
  <c r="G39" i="5"/>
  <c r="P27" i="5"/>
  <c r="P36" i="5"/>
  <c r="T21" i="5"/>
  <c r="F67" i="5"/>
  <c r="F79" i="5" s="1"/>
  <c r="F69" i="5"/>
  <c r="L70" i="5"/>
  <c r="L71" i="5"/>
  <c r="E72" i="5"/>
  <c r="D39" i="5"/>
  <c r="E24" i="5"/>
  <c r="E11" i="5"/>
  <c r="E69" i="5"/>
  <c r="E67" i="5"/>
  <c r="E79" i="5" s="1"/>
  <c r="N67" i="5"/>
  <c r="N79" i="5" s="1"/>
  <c r="N69" i="5"/>
  <c r="T25" i="5"/>
  <c r="T9" i="5"/>
  <c r="O36" i="5"/>
  <c r="S21" i="5"/>
  <c r="M72" i="5"/>
  <c r="L39" i="5"/>
  <c r="M11" i="5"/>
  <c r="M24" i="5"/>
  <c r="N36" i="5"/>
  <c r="Q21" i="5"/>
  <c r="P20" i="5"/>
  <c r="Q25" i="5"/>
  <c r="P19" i="5"/>
  <c r="D52" i="5"/>
  <c r="D53" i="5" s="1"/>
  <c r="D62" i="5" s="1"/>
  <c r="C73" i="5"/>
  <c r="H13" i="5"/>
  <c r="H26" i="5"/>
  <c r="T29" i="5"/>
  <c r="G67" i="5"/>
  <c r="G79" i="5" s="1"/>
  <c r="G69" i="5"/>
  <c r="S22" i="5"/>
  <c r="Q23" i="5"/>
  <c r="T23" i="5"/>
  <c r="K67" i="5"/>
  <c r="K79" i="5" s="1"/>
  <c r="K69" i="5"/>
  <c r="P24" i="5" l="1"/>
  <c r="R9" i="5"/>
  <c r="G13" i="5"/>
  <c r="F41" i="5"/>
  <c r="G26" i="5"/>
  <c r="E41" i="5"/>
  <c r="F26" i="5"/>
  <c r="Q11" i="5"/>
  <c r="F13" i="5"/>
  <c r="D28" i="5"/>
  <c r="D15" i="5"/>
  <c r="H41" i="5"/>
  <c r="I26" i="5"/>
  <c r="I13" i="5"/>
  <c r="S11" i="5"/>
  <c r="P59" i="5"/>
  <c r="P60" i="5"/>
  <c r="P56" i="5"/>
  <c r="P55" i="5"/>
  <c r="O67" i="5"/>
  <c r="C79" i="5"/>
  <c r="O79" i="5" s="1"/>
  <c r="L41" i="5"/>
  <c r="M26" i="5"/>
  <c r="M13" i="5"/>
  <c r="T13" i="5" s="1"/>
  <c r="M70" i="5"/>
  <c r="M71" i="5"/>
  <c r="S24" i="5"/>
  <c r="O39" i="5"/>
  <c r="L28" i="5"/>
  <c r="L15" i="5"/>
  <c r="O72" i="5"/>
  <c r="J71" i="5"/>
  <c r="J70" i="5"/>
  <c r="K71" i="5"/>
  <c r="K70" i="5"/>
  <c r="D73" i="5"/>
  <c r="E52" i="5"/>
  <c r="E53" i="5" s="1"/>
  <c r="E62" i="5" s="1"/>
  <c r="P39" i="5"/>
  <c r="T24" i="5"/>
  <c r="F71" i="5"/>
  <c r="F70" i="5"/>
  <c r="I41" i="5"/>
  <c r="J26" i="5"/>
  <c r="J13" i="5"/>
  <c r="M41" i="5"/>
  <c r="N26" i="5"/>
  <c r="N13" i="5"/>
  <c r="G71" i="5"/>
  <c r="G70" i="5"/>
  <c r="G41" i="5"/>
  <c r="E70" i="5"/>
  <c r="E71" i="5"/>
  <c r="W9" i="5"/>
  <c r="O24" i="5"/>
  <c r="O11" i="5"/>
  <c r="P58" i="5"/>
  <c r="P11" i="5"/>
  <c r="C13" i="5"/>
  <c r="C26" i="5"/>
  <c r="O62" i="5"/>
  <c r="H28" i="5"/>
  <c r="H15" i="5"/>
  <c r="G43" i="5"/>
  <c r="N71" i="5"/>
  <c r="N70" i="5"/>
  <c r="D41" i="5"/>
  <c r="E26" i="5"/>
  <c r="E13" i="5"/>
  <c r="J41" i="5"/>
  <c r="K13" i="5"/>
  <c r="K26" i="5"/>
  <c r="N39" i="5"/>
  <c r="Q24" i="5"/>
  <c r="I71" i="5"/>
  <c r="I70" i="5"/>
  <c r="T11" i="5"/>
  <c r="C71" i="5"/>
  <c r="C70" i="5"/>
  <c r="O69" i="5"/>
  <c r="P26" i="5" l="1"/>
  <c r="R11" i="5"/>
  <c r="O70" i="5"/>
  <c r="H30" i="5"/>
  <c r="T28" i="5"/>
  <c r="L43" i="5"/>
  <c r="M28" i="5"/>
  <c r="M15" i="5"/>
  <c r="E73" i="5"/>
  <c r="F52" i="5"/>
  <c r="F53" i="5" s="1"/>
  <c r="F62" i="5" s="1"/>
  <c r="L30" i="5"/>
  <c r="E43" i="5"/>
  <c r="F28" i="5"/>
  <c r="Q13" i="5"/>
  <c r="F15" i="5"/>
  <c r="O71" i="5"/>
  <c r="D43" i="5"/>
  <c r="E28" i="5"/>
  <c r="E15" i="5"/>
  <c r="I43" i="5"/>
  <c r="J28" i="5"/>
  <c r="J15" i="5"/>
  <c r="S26" i="5"/>
  <c r="O41" i="5"/>
  <c r="D30" i="5"/>
  <c r="Q26" i="5"/>
  <c r="N41" i="5"/>
  <c r="J43" i="5"/>
  <c r="K15" i="5"/>
  <c r="K45" i="5" s="1"/>
  <c r="K28" i="5"/>
  <c r="P13" i="5"/>
  <c r="C28" i="5"/>
  <c r="C15" i="5"/>
  <c r="C45" i="5" s="1"/>
  <c r="O13" i="5"/>
  <c r="C43" i="5"/>
  <c r="P41" i="5"/>
  <c r="T26" i="5"/>
  <c r="W11" i="5"/>
  <c r="O26" i="5"/>
  <c r="N28" i="5"/>
  <c r="M43" i="5"/>
  <c r="N15" i="5"/>
  <c r="K43" i="5"/>
  <c r="H43" i="5"/>
  <c r="I15" i="5"/>
  <c r="I28" i="5"/>
  <c r="S13" i="5"/>
  <c r="P43" i="5" s="1"/>
  <c r="G28" i="5"/>
  <c r="G15" i="5"/>
  <c r="F43" i="5"/>
  <c r="P28" i="5" l="1"/>
  <c r="R13" i="5"/>
  <c r="G30" i="5"/>
  <c r="F45" i="5"/>
  <c r="N43" i="5"/>
  <c r="Q28" i="5"/>
  <c r="L45" i="5"/>
  <c r="M30" i="5"/>
  <c r="H45" i="5"/>
  <c r="I30" i="5"/>
  <c r="S15" i="5"/>
  <c r="P15" i="5"/>
  <c r="O15" i="5"/>
  <c r="C30" i="5"/>
  <c r="I45" i="5"/>
  <c r="J30" i="5"/>
  <c r="O43" i="5"/>
  <c r="S28" i="5"/>
  <c r="F73" i="5"/>
  <c r="G52" i="5"/>
  <c r="G53" i="5" s="1"/>
  <c r="G62" i="5" s="1"/>
  <c r="G45" i="5"/>
  <c r="K30" i="5"/>
  <c r="J45" i="5"/>
  <c r="M45" i="5"/>
  <c r="N30" i="5"/>
  <c r="W13" i="5"/>
  <c r="O28" i="5"/>
  <c r="D45" i="5"/>
  <c r="E30" i="5"/>
  <c r="E45" i="5"/>
  <c r="F30" i="5"/>
  <c r="Q15" i="5"/>
  <c r="T15" i="5"/>
  <c r="P30" i="5" l="1"/>
  <c r="R15" i="5"/>
  <c r="P45" i="5"/>
  <c r="T30" i="5"/>
  <c r="O30" i="5"/>
  <c r="W15" i="5"/>
  <c r="N45" i="5"/>
  <c r="Q30" i="5"/>
  <c r="G73" i="5"/>
  <c r="H52" i="5"/>
  <c r="H53" i="5" s="1"/>
  <c r="H62" i="5" s="1"/>
  <c r="O45" i="5"/>
  <c r="S30" i="5"/>
  <c r="H73" i="5" l="1"/>
  <c r="I52" i="5"/>
  <c r="I53" i="5" s="1"/>
  <c r="I62" i="5" s="1"/>
  <c r="I73" i="5" l="1"/>
  <c r="J52" i="5"/>
  <c r="J53" i="5" s="1"/>
  <c r="J62" i="5" s="1"/>
  <c r="J73" i="5" l="1"/>
  <c r="K52" i="5"/>
  <c r="K53" i="5" s="1"/>
  <c r="K62" i="5" s="1"/>
  <c r="K73" i="5" s="1"/>
  <c r="O73" i="5" s="1"/>
  <c r="D103" i="4" l="1"/>
  <c r="E103" i="4"/>
  <c r="F103" i="4"/>
  <c r="G103" i="4"/>
  <c r="H103" i="4"/>
  <c r="C103" i="4"/>
  <c r="D102" i="4"/>
  <c r="E102" i="4"/>
  <c r="F102" i="4"/>
  <c r="G102" i="4"/>
  <c r="H102" i="4"/>
  <c r="C102" i="4"/>
  <c r="D101" i="4"/>
  <c r="E101" i="4"/>
  <c r="F101" i="4"/>
  <c r="G101" i="4"/>
  <c r="H101" i="4"/>
  <c r="C101" i="4"/>
  <c r="D100" i="4"/>
  <c r="E100" i="4"/>
  <c r="F100" i="4"/>
  <c r="G100" i="4"/>
  <c r="H100" i="4"/>
  <c r="C100" i="4"/>
  <c r="D99" i="4"/>
  <c r="E99" i="4"/>
  <c r="F99" i="4"/>
  <c r="G99" i="4"/>
  <c r="H99" i="4"/>
  <c r="C99" i="4"/>
  <c r="D82" i="4"/>
  <c r="E82" i="4"/>
  <c r="F82" i="4"/>
  <c r="G82" i="4"/>
  <c r="H82" i="4"/>
  <c r="C82" i="4"/>
  <c r="D81" i="4"/>
  <c r="E81" i="4"/>
  <c r="F81" i="4"/>
  <c r="G81" i="4"/>
  <c r="H81" i="4"/>
  <c r="C81" i="4"/>
  <c r="D92" i="4"/>
  <c r="E92" i="4"/>
  <c r="F92" i="4"/>
  <c r="G92" i="4"/>
  <c r="H92" i="4"/>
  <c r="D93" i="4"/>
  <c r="E93" i="4"/>
  <c r="F93" i="4"/>
  <c r="G93" i="4"/>
  <c r="H93" i="4"/>
  <c r="D94" i="4"/>
  <c r="E94" i="4"/>
  <c r="F94" i="4"/>
  <c r="G94" i="4"/>
  <c r="H94" i="4"/>
  <c r="D95" i="4"/>
  <c r="E95" i="4"/>
  <c r="F95" i="4"/>
  <c r="G95" i="4"/>
  <c r="H95" i="4"/>
  <c r="D96" i="4"/>
  <c r="E96" i="4"/>
  <c r="F96" i="4"/>
  <c r="G96" i="4"/>
  <c r="H96" i="4"/>
  <c r="D97" i="4"/>
  <c r="E97" i="4"/>
  <c r="F97" i="4"/>
  <c r="G97" i="4"/>
  <c r="H97" i="4"/>
  <c r="D98" i="4"/>
  <c r="E98" i="4"/>
  <c r="F98" i="4"/>
  <c r="G98" i="4"/>
  <c r="H98" i="4"/>
  <c r="C98" i="4"/>
  <c r="C97" i="4"/>
  <c r="C95" i="4"/>
  <c r="C94" i="4"/>
  <c r="C93" i="4"/>
  <c r="C96" i="4"/>
  <c r="C92" i="4"/>
  <c r="D87" i="4"/>
  <c r="E87" i="4"/>
  <c r="F87" i="4"/>
  <c r="G87" i="4"/>
  <c r="H87" i="4"/>
  <c r="D88" i="4"/>
  <c r="E88" i="4"/>
  <c r="F88" i="4"/>
  <c r="G88" i="4"/>
  <c r="H88" i="4"/>
  <c r="D89" i="4"/>
  <c r="E89" i="4"/>
  <c r="F89" i="4"/>
  <c r="G89" i="4"/>
  <c r="H89" i="4"/>
  <c r="D90" i="4"/>
  <c r="E90" i="4"/>
  <c r="F90" i="4"/>
  <c r="G90" i="4"/>
  <c r="H90" i="4"/>
  <c r="D91" i="4"/>
  <c r="E91" i="4"/>
  <c r="F91" i="4"/>
  <c r="G91" i="4"/>
  <c r="H91" i="4"/>
  <c r="C88" i="4"/>
  <c r="C89" i="4"/>
  <c r="C90" i="4"/>
  <c r="C91" i="4"/>
  <c r="C87" i="4"/>
  <c r="D83" i="4"/>
  <c r="E83" i="4"/>
  <c r="F83" i="4"/>
  <c r="G83" i="4"/>
  <c r="H83" i="4"/>
  <c r="D84" i="4"/>
  <c r="E84" i="4"/>
  <c r="F84" i="4"/>
  <c r="G84" i="4"/>
  <c r="H84" i="4"/>
  <c r="D85" i="4"/>
  <c r="E85" i="4"/>
  <c r="F85" i="4"/>
  <c r="G85" i="4"/>
  <c r="H85" i="4"/>
  <c r="D86" i="4"/>
  <c r="E86" i="4"/>
  <c r="F86" i="4"/>
  <c r="G86" i="4"/>
  <c r="H86" i="4"/>
  <c r="C84" i="4"/>
  <c r="C85" i="4"/>
  <c r="C86" i="4"/>
  <c r="C83" i="4"/>
  <c r="H68" i="4" l="1"/>
  <c r="H75" i="4"/>
  <c r="H55" i="4"/>
  <c r="H62" i="4"/>
  <c r="H4" i="4"/>
  <c r="H6" i="4" s="1"/>
  <c r="H5" i="4"/>
  <c r="H20" i="4" s="1"/>
  <c r="H7" i="4"/>
  <c r="H22" i="4" s="1"/>
  <c r="H8" i="4"/>
  <c r="H23" i="4" s="1"/>
  <c r="H10" i="4"/>
  <c r="H25" i="4" s="1"/>
  <c r="H12" i="4"/>
  <c r="H14" i="4"/>
  <c r="H29" i="4" s="1"/>
  <c r="G122" i="3"/>
  <c r="G112" i="3"/>
  <c r="G101" i="3"/>
  <c r="G91" i="3"/>
  <c r="G76" i="3"/>
  <c r="G38" i="3"/>
  <c r="G126" i="3" s="1"/>
  <c r="G134" i="3" s="1"/>
  <c r="G28" i="3"/>
  <c r="G17" i="3"/>
  <c r="G132" i="3" s="1"/>
  <c r="G7" i="3"/>
  <c r="G9" i="3" s="1"/>
  <c r="H9" i="4" l="1"/>
  <c r="H21" i="4"/>
  <c r="H66" i="4"/>
  <c r="H27" i="4"/>
  <c r="H19" i="4"/>
  <c r="H80" i="4"/>
  <c r="G133" i="3"/>
  <c r="G135" i="3"/>
  <c r="D9" i="3"/>
  <c r="G8" i="4"/>
  <c r="H67" i="4" l="1"/>
  <c r="H69" i="4"/>
  <c r="H11" i="4"/>
  <c r="H72" i="4"/>
  <c r="H24" i="4"/>
  <c r="D59" i="4"/>
  <c r="E59" i="4"/>
  <c r="F59" i="4"/>
  <c r="G59" i="4"/>
  <c r="D10" i="4"/>
  <c r="E10" i="4"/>
  <c r="F10" i="4"/>
  <c r="G10" i="4"/>
  <c r="C101" i="3"/>
  <c r="D101" i="3"/>
  <c r="E101" i="3"/>
  <c r="F101" i="3"/>
  <c r="C91" i="3"/>
  <c r="D91" i="3"/>
  <c r="E91" i="3"/>
  <c r="F91" i="3"/>
  <c r="B91" i="3"/>
  <c r="C76" i="3"/>
  <c r="D76" i="3"/>
  <c r="E76" i="3"/>
  <c r="F76" i="3"/>
  <c r="B76" i="3"/>
  <c r="C28" i="3"/>
  <c r="D28" i="3"/>
  <c r="E28" i="3"/>
  <c r="F28" i="3"/>
  <c r="B28" i="3"/>
  <c r="C38" i="3"/>
  <c r="D38" i="3"/>
  <c r="E38" i="3"/>
  <c r="F38" i="3"/>
  <c r="B38" i="3"/>
  <c r="F14" i="3"/>
  <c r="H13" i="4" l="1"/>
  <c r="H26" i="4"/>
  <c r="H70" i="4"/>
  <c r="H71" i="4"/>
  <c r="G75" i="4"/>
  <c r="G55" i="4"/>
  <c r="G4" i="4"/>
  <c r="G6" i="4" s="1"/>
  <c r="G5" i="4"/>
  <c r="G7" i="4"/>
  <c r="G12" i="4"/>
  <c r="G14" i="4"/>
  <c r="F131" i="3"/>
  <c r="F122" i="3"/>
  <c r="F112" i="3"/>
  <c r="F126" i="3" s="1"/>
  <c r="F134" i="3" s="1"/>
  <c r="F17" i="3"/>
  <c r="F132" i="3" s="1"/>
  <c r="F133" i="3" s="1"/>
  <c r="F7" i="3"/>
  <c r="F9" i="3" s="1"/>
  <c r="G21" i="4" l="1"/>
  <c r="G23" i="4"/>
  <c r="G25" i="4"/>
  <c r="G27" i="4"/>
  <c r="H15" i="4"/>
  <c r="H30" i="4" s="1"/>
  <c r="H28" i="4"/>
  <c r="G9" i="4"/>
  <c r="G24" i="4" s="1"/>
  <c r="G22" i="4"/>
  <c r="G29" i="4"/>
  <c r="H74" i="4"/>
  <c r="F135" i="3"/>
  <c r="F8" i="4"/>
  <c r="H77" i="4" l="1"/>
  <c r="H79" i="4" s="1"/>
  <c r="H76" i="4"/>
  <c r="H78" i="4" s="1"/>
  <c r="G11" i="4"/>
  <c r="F75" i="4"/>
  <c r="F12" i="4"/>
  <c r="D55" i="4"/>
  <c r="E55" i="4"/>
  <c r="F55" i="4"/>
  <c r="C55" i="4"/>
  <c r="F4" i="4"/>
  <c r="F5" i="4"/>
  <c r="F6" i="4"/>
  <c r="F7" i="4"/>
  <c r="F14" i="4"/>
  <c r="E122" i="3"/>
  <c r="E112" i="3"/>
  <c r="E17" i="3"/>
  <c r="E132" i="3" s="1"/>
  <c r="E9" i="3"/>
  <c r="E7" i="3"/>
  <c r="F21" i="4" l="1"/>
  <c r="F25" i="4"/>
  <c r="F9" i="4"/>
  <c r="F24" i="4" s="1"/>
  <c r="F22" i="4"/>
  <c r="G13" i="4"/>
  <c r="G26" i="4"/>
  <c r="F29" i="4"/>
  <c r="F27" i="4"/>
  <c r="F23" i="4"/>
  <c r="E126" i="3"/>
  <c r="E134" i="3" s="1"/>
  <c r="G74" i="4"/>
  <c r="D75" i="4"/>
  <c r="E75" i="4"/>
  <c r="C75" i="4"/>
  <c r="D62" i="4"/>
  <c r="E52" i="4" s="1"/>
  <c r="E62" i="4"/>
  <c r="F52" i="4" s="1"/>
  <c r="F62" i="4"/>
  <c r="G52" i="4" s="1"/>
  <c r="G62" i="4"/>
  <c r="H52" i="4" s="1"/>
  <c r="C62" i="4"/>
  <c r="D52" i="4" s="1"/>
  <c r="C59" i="4"/>
  <c r="K52" i="4"/>
  <c r="L52" i="4"/>
  <c r="M52" i="4"/>
  <c r="N52" i="4"/>
  <c r="C52" i="4"/>
  <c r="C14" i="3"/>
  <c r="D14" i="3"/>
  <c r="H14" i="3"/>
  <c r="I14" i="3"/>
  <c r="J14" i="3"/>
  <c r="K14" i="3"/>
  <c r="B14" i="3"/>
  <c r="D51" i="4"/>
  <c r="E51" i="4"/>
  <c r="F51" i="4"/>
  <c r="G51" i="4"/>
  <c r="H51" i="4"/>
  <c r="I51" i="4"/>
  <c r="J51" i="4"/>
  <c r="C51" i="4"/>
  <c r="D50" i="4"/>
  <c r="D53" i="4" s="1"/>
  <c r="K50" i="4"/>
  <c r="C34" i="4"/>
  <c r="D14" i="4"/>
  <c r="E14" i="4"/>
  <c r="I14" i="4"/>
  <c r="J14" i="4"/>
  <c r="K14" i="4"/>
  <c r="L14" i="4"/>
  <c r="C14" i="4"/>
  <c r="I12" i="4"/>
  <c r="D12" i="4"/>
  <c r="D80" i="4" s="1"/>
  <c r="C12" i="4"/>
  <c r="I10" i="4"/>
  <c r="J10" i="4"/>
  <c r="K10" i="4"/>
  <c r="L10" i="4"/>
  <c r="D8" i="4"/>
  <c r="E8" i="4"/>
  <c r="D7" i="4"/>
  <c r="E7" i="4"/>
  <c r="C7" i="4"/>
  <c r="G50" i="4"/>
  <c r="I4" i="4"/>
  <c r="I50" i="4" s="1"/>
  <c r="I53" i="4" s="1"/>
  <c r="J4" i="4"/>
  <c r="J50" i="4" s="1"/>
  <c r="K4" i="4"/>
  <c r="K6" i="4" s="1"/>
  <c r="L4" i="4"/>
  <c r="L50" i="4" s="1"/>
  <c r="M4" i="4"/>
  <c r="M50" i="4" s="1"/>
  <c r="N4" i="4"/>
  <c r="D5" i="4"/>
  <c r="E5" i="4"/>
  <c r="I5" i="4"/>
  <c r="J5" i="4"/>
  <c r="K5" i="4"/>
  <c r="L5" i="4"/>
  <c r="M5" i="4"/>
  <c r="C5" i="4"/>
  <c r="D4" i="4"/>
  <c r="D6" i="4" s="1"/>
  <c r="E4" i="4"/>
  <c r="E50" i="4" s="1"/>
  <c r="E53" i="4" s="1"/>
  <c r="C4" i="4"/>
  <c r="C6" i="4" s="1"/>
  <c r="C23" i="4" s="1"/>
  <c r="D21" i="4" l="1"/>
  <c r="D25" i="4"/>
  <c r="J6" i="4"/>
  <c r="D23" i="4"/>
  <c r="G76" i="4"/>
  <c r="G77" i="4"/>
  <c r="M6" i="4"/>
  <c r="I6" i="4"/>
  <c r="D29" i="4"/>
  <c r="C50" i="4"/>
  <c r="C53" i="4" s="1"/>
  <c r="F74" i="4"/>
  <c r="F11" i="4"/>
  <c r="G53" i="4"/>
  <c r="L6" i="4"/>
  <c r="E6" i="4"/>
  <c r="D9" i="4"/>
  <c r="D24" i="4" s="1"/>
  <c r="D22" i="4"/>
  <c r="E74" i="4"/>
  <c r="C77" i="4"/>
  <c r="G15" i="4"/>
  <c r="G30" i="4" s="1"/>
  <c r="G28" i="4"/>
  <c r="C9" i="4"/>
  <c r="C24" i="4" s="1"/>
  <c r="C22" i="4"/>
  <c r="D27" i="4"/>
  <c r="C27" i="4"/>
  <c r="C29" i="4"/>
  <c r="D74" i="4"/>
  <c r="C76" i="4"/>
  <c r="H50" i="4"/>
  <c r="H53" i="4" s="1"/>
  <c r="D11" i="4"/>
  <c r="F50" i="4"/>
  <c r="F53" i="4" s="1"/>
  <c r="E68" i="4"/>
  <c r="J62" i="4"/>
  <c r="I62" i="4"/>
  <c r="N59" i="4"/>
  <c r="M59" i="4"/>
  <c r="L59" i="4"/>
  <c r="K59" i="4"/>
  <c r="J59" i="4"/>
  <c r="I59" i="4"/>
  <c r="H59" i="4"/>
  <c r="N55" i="4"/>
  <c r="M55" i="4"/>
  <c r="L55" i="4"/>
  <c r="K55" i="4"/>
  <c r="J55" i="4"/>
  <c r="I55" i="4"/>
  <c r="O55" i="4"/>
  <c r="O54" i="4"/>
  <c r="O52" i="4"/>
  <c r="N51" i="4"/>
  <c r="M51" i="4"/>
  <c r="L51" i="4"/>
  <c r="K51" i="4"/>
  <c r="C44" i="4"/>
  <c r="M38" i="4"/>
  <c r="L38" i="4"/>
  <c r="K38" i="4"/>
  <c r="J38" i="4"/>
  <c r="I38" i="4"/>
  <c r="H38" i="4"/>
  <c r="G38" i="4"/>
  <c r="F38" i="4"/>
  <c r="E38" i="4"/>
  <c r="D38" i="4"/>
  <c r="C38" i="4"/>
  <c r="N14" i="4"/>
  <c r="M14" i="4"/>
  <c r="C58" i="4"/>
  <c r="N13" i="4"/>
  <c r="M13" i="4"/>
  <c r="L13" i="4"/>
  <c r="L15" i="4" s="1"/>
  <c r="K13" i="4"/>
  <c r="J13" i="4"/>
  <c r="J15" i="4" s="1"/>
  <c r="N12" i="4"/>
  <c r="M12" i="4"/>
  <c r="L12" i="4"/>
  <c r="K12" i="4"/>
  <c r="K56" i="4" s="1"/>
  <c r="J12" i="4"/>
  <c r="R12" i="4"/>
  <c r="N10" i="4"/>
  <c r="M10" i="4"/>
  <c r="M57" i="4" s="1"/>
  <c r="R10" i="4"/>
  <c r="E57" i="4"/>
  <c r="S8" i="4"/>
  <c r="R8" i="4"/>
  <c r="Q8" i="4"/>
  <c r="P8" i="4"/>
  <c r="O8" i="4"/>
  <c r="U8" i="4" s="1"/>
  <c r="N7" i="4"/>
  <c r="M7" i="4"/>
  <c r="M68" i="4" s="1"/>
  <c r="L7" i="4"/>
  <c r="K7" i="4"/>
  <c r="J7" i="4"/>
  <c r="I7" i="4"/>
  <c r="I68" i="4" s="1"/>
  <c r="G37" i="4"/>
  <c r="C68" i="4"/>
  <c r="N5" i="4"/>
  <c r="N6" i="4" s="1"/>
  <c r="K35" i="4"/>
  <c r="J35" i="4"/>
  <c r="G35" i="4"/>
  <c r="C35" i="4"/>
  <c r="S4" i="4"/>
  <c r="E78" i="4" l="1"/>
  <c r="E77" i="4"/>
  <c r="E76" i="4"/>
  <c r="E21" i="4"/>
  <c r="E25" i="4"/>
  <c r="F76" i="4"/>
  <c r="F77" i="4"/>
  <c r="E22" i="4"/>
  <c r="M15" i="4"/>
  <c r="O74" i="4"/>
  <c r="E23" i="4"/>
  <c r="E9" i="4"/>
  <c r="N15" i="4"/>
  <c r="J60" i="4"/>
  <c r="D13" i="4"/>
  <c r="D26" i="4"/>
  <c r="D77" i="4"/>
  <c r="D76" i="4"/>
  <c r="O76" i="4" s="1"/>
  <c r="C78" i="4"/>
  <c r="J43" i="4"/>
  <c r="K15" i="4"/>
  <c r="J45" i="4" s="1"/>
  <c r="F26" i="4"/>
  <c r="F13" i="4"/>
  <c r="E29" i="4"/>
  <c r="M53" i="4"/>
  <c r="N38" i="4"/>
  <c r="H34" i="4"/>
  <c r="Q4" i="4"/>
  <c r="E66" i="4"/>
  <c r="P38" i="4"/>
  <c r="O51" i="4"/>
  <c r="P7" i="4"/>
  <c r="F34" i="4"/>
  <c r="K53" i="4"/>
  <c r="J34" i="4"/>
  <c r="O4" i="4"/>
  <c r="P5" i="4"/>
  <c r="J66" i="4"/>
  <c r="J9" i="4"/>
  <c r="F68" i="4"/>
  <c r="F78" i="4" s="1"/>
  <c r="E37" i="4"/>
  <c r="Q7" i="4"/>
  <c r="J68" i="4"/>
  <c r="I37" i="4"/>
  <c r="N68" i="4"/>
  <c r="M37" i="4"/>
  <c r="D57" i="4"/>
  <c r="H57" i="4"/>
  <c r="G40" i="4"/>
  <c r="S13" i="4"/>
  <c r="K34" i="4"/>
  <c r="L53" i="4"/>
  <c r="H35" i="4"/>
  <c r="Q5" i="4"/>
  <c r="G42" i="4"/>
  <c r="H56" i="4"/>
  <c r="K42" i="4"/>
  <c r="L56" i="4"/>
  <c r="L60" i="4" s="1"/>
  <c r="S12" i="4"/>
  <c r="F58" i="4"/>
  <c r="E44" i="4"/>
  <c r="Q14" i="4"/>
  <c r="N58" i="4"/>
  <c r="M44" i="4"/>
  <c r="E35" i="4"/>
  <c r="I35" i="4"/>
  <c r="M35" i="4"/>
  <c r="R5" i="4"/>
  <c r="G19" i="4"/>
  <c r="C37" i="4"/>
  <c r="D68" i="4"/>
  <c r="D78" i="4" s="1"/>
  <c r="K37" i="4"/>
  <c r="L68" i="4"/>
  <c r="S7" i="4"/>
  <c r="R7" i="4"/>
  <c r="F80" i="4"/>
  <c r="E40" i="4"/>
  <c r="F57" i="4"/>
  <c r="Q10" i="4"/>
  <c r="J80" i="4"/>
  <c r="J57" i="4"/>
  <c r="I40" i="4"/>
  <c r="N80" i="4"/>
  <c r="M40" i="4"/>
  <c r="N57" i="4"/>
  <c r="H37" i="4"/>
  <c r="L57" i="4"/>
  <c r="K40" i="4"/>
  <c r="L80" i="4"/>
  <c r="S10" i="4"/>
  <c r="L43" i="4"/>
  <c r="G34" i="4"/>
  <c r="P4" i="4"/>
  <c r="D35" i="4"/>
  <c r="E20" i="4"/>
  <c r="L35" i="4"/>
  <c r="F66" i="4"/>
  <c r="Q6" i="4"/>
  <c r="C42" i="4"/>
  <c r="D56" i="4"/>
  <c r="J58" i="4"/>
  <c r="I44" i="4"/>
  <c r="L34" i="4"/>
  <c r="E34" i="4"/>
  <c r="F19" i="4"/>
  <c r="J53" i="4"/>
  <c r="J61" i="4" s="1"/>
  <c r="I34" i="4"/>
  <c r="N50" i="4"/>
  <c r="N53" i="4" s="1"/>
  <c r="M34" i="4"/>
  <c r="R4" i="4"/>
  <c r="P34" i="4" s="1"/>
  <c r="C20" i="4"/>
  <c r="O5" i="4"/>
  <c r="S5" i="4"/>
  <c r="F56" i="4"/>
  <c r="Q12" i="4"/>
  <c r="J56" i="4"/>
  <c r="I42" i="4"/>
  <c r="N56" i="4"/>
  <c r="M42" i="4"/>
  <c r="D58" i="4"/>
  <c r="C43" i="4"/>
  <c r="G44" i="4"/>
  <c r="H58" i="4"/>
  <c r="K44" i="4"/>
  <c r="L58" i="4"/>
  <c r="S14" i="4"/>
  <c r="R14" i="4"/>
  <c r="D34" i="4"/>
  <c r="F35" i="4"/>
  <c r="G68" i="4"/>
  <c r="G78" i="4" s="1"/>
  <c r="F37" i="4"/>
  <c r="K68" i="4"/>
  <c r="J37" i="4"/>
  <c r="O7" i="4"/>
  <c r="G80" i="4"/>
  <c r="G57" i="4"/>
  <c r="F40" i="4"/>
  <c r="K80" i="4"/>
  <c r="K57" i="4"/>
  <c r="K60" i="4" s="1"/>
  <c r="J40" i="4"/>
  <c r="I56" i="4"/>
  <c r="H42" i="4"/>
  <c r="M56" i="4"/>
  <c r="M60" i="4" s="1"/>
  <c r="L42" i="4"/>
  <c r="M43" i="4"/>
  <c r="F44" i="4"/>
  <c r="J44" i="4"/>
  <c r="K58" i="4"/>
  <c r="O14" i="4"/>
  <c r="P14" i="4" s="1"/>
  <c r="D37" i="4"/>
  <c r="O38" i="4"/>
  <c r="D40" i="4"/>
  <c r="H40" i="4"/>
  <c r="I57" i="4"/>
  <c r="I60" i="4" s="1"/>
  <c r="I61" i="4" s="1"/>
  <c r="I80" i="4"/>
  <c r="M80" i="4"/>
  <c r="L40" i="4"/>
  <c r="F42" i="4"/>
  <c r="G56" i="4"/>
  <c r="J42" i="4"/>
  <c r="K43" i="4"/>
  <c r="E58" i="4"/>
  <c r="D44" i="4"/>
  <c r="I58" i="4"/>
  <c r="M58" i="4"/>
  <c r="L44" i="4"/>
  <c r="L37" i="4"/>
  <c r="H44" i="4"/>
  <c r="C56" i="4"/>
  <c r="G58" i="4"/>
  <c r="O59" i="4"/>
  <c r="O75" i="4"/>
  <c r="O78" i="4" l="1"/>
  <c r="K61" i="4"/>
  <c r="F15" i="4"/>
  <c r="F30" i="4" s="1"/>
  <c r="F28" i="4"/>
  <c r="M61" i="4"/>
  <c r="D15" i="4"/>
  <c r="D30" i="4" s="1"/>
  <c r="D28" i="4"/>
  <c r="K45" i="4"/>
  <c r="O77" i="4"/>
  <c r="D60" i="4"/>
  <c r="D61" i="4" s="1"/>
  <c r="D63" i="4" s="1"/>
  <c r="L61" i="4"/>
  <c r="E24" i="4"/>
  <c r="E11" i="4"/>
  <c r="E26" i="4" s="1"/>
  <c r="H60" i="4"/>
  <c r="H61" i="4" s="1"/>
  <c r="G60" i="4"/>
  <c r="G61" i="4" s="1"/>
  <c r="Q19" i="4"/>
  <c r="F60" i="4"/>
  <c r="F61" i="4" s="1"/>
  <c r="L45" i="4"/>
  <c r="G20" i="4"/>
  <c r="E69" i="4"/>
  <c r="E67" i="4"/>
  <c r="E79" i="4" s="1"/>
  <c r="E36" i="4"/>
  <c r="E19" i="4"/>
  <c r="C19" i="4"/>
  <c r="J73" i="4"/>
  <c r="F20" i="4"/>
  <c r="I73" i="4"/>
  <c r="O68" i="4"/>
  <c r="M73" i="4"/>
  <c r="N60" i="4"/>
  <c r="N61" i="4" s="1"/>
  <c r="N73" i="4" s="1"/>
  <c r="Q20" i="4"/>
  <c r="N35" i="4"/>
  <c r="L66" i="4"/>
  <c r="K36" i="4"/>
  <c r="L9" i="4"/>
  <c r="S6" i="4"/>
  <c r="S22" i="4" s="1"/>
  <c r="J69" i="4"/>
  <c r="J67" i="4"/>
  <c r="J79" i="4" s="1"/>
  <c r="K73" i="4"/>
  <c r="O35" i="4"/>
  <c r="O58" i="4"/>
  <c r="P35" i="4"/>
  <c r="S20" i="4"/>
  <c r="O44" i="4"/>
  <c r="Q27" i="4"/>
  <c r="M36" i="4"/>
  <c r="N66" i="4"/>
  <c r="N9" i="4"/>
  <c r="U5" i="4"/>
  <c r="V5" i="4" s="1"/>
  <c r="O34" i="4"/>
  <c r="Q25" i="4"/>
  <c r="G66" i="4"/>
  <c r="F36" i="4"/>
  <c r="L73" i="4"/>
  <c r="N34" i="4"/>
  <c r="D66" i="4"/>
  <c r="C36" i="4"/>
  <c r="F72" i="4"/>
  <c r="D20" i="4"/>
  <c r="P37" i="4"/>
  <c r="N44" i="4"/>
  <c r="Q29" i="4"/>
  <c r="K66" i="4"/>
  <c r="J36" i="4"/>
  <c r="K9" i="4"/>
  <c r="D19" i="4"/>
  <c r="N37" i="4"/>
  <c r="Q22" i="4"/>
  <c r="O50" i="4"/>
  <c r="M66" i="4"/>
  <c r="L36" i="4"/>
  <c r="M9" i="4"/>
  <c r="M45" i="4"/>
  <c r="U14" i="4"/>
  <c r="V14" i="4" s="1"/>
  <c r="U7" i="4"/>
  <c r="V7" i="4" s="1"/>
  <c r="P44" i="4"/>
  <c r="I66" i="4"/>
  <c r="H36" i="4"/>
  <c r="R6" i="4"/>
  <c r="I9" i="4"/>
  <c r="O42" i="4"/>
  <c r="Q21" i="4"/>
  <c r="Q23" i="4"/>
  <c r="F69" i="4"/>
  <c r="F67" i="4"/>
  <c r="F79" i="4" s="1"/>
  <c r="G36" i="4"/>
  <c r="P40" i="4"/>
  <c r="D36" i="4"/>
  <c r="O37" i="4"/>
  <c r="C66" i="4"/>
  <c r="P6" i="4"/>
  <c r="P20" i="4" s="1"/>
  <c r="C21" i="4"/>
  <c r="O6" i="4"/>
  <c r="O20" i="4" s="1"/>
  <c r="P42" i="4"/>
  <c r="O40" i="4"/>
  <c r="J72" i="4"/>
  <c r="J11" i="4"/>
  <c r="I36" i="4"/>
  <c r="U4" i="4"/>
  <c r="V4" i="4" s="1"/>
  <c r="S15" i="4"/>
  <c r="H63" i="4" l="1"/>
  <c r="H73" i="4"/>
  <c r="I39" i="4"/>
  <c r="I11" i="4"/>
  <c r="I13" i="4" s="1"/>
  <c r="H43" i="4"/>
  <c r="G73" i="4"/>
  <c r="G63" i="4"/>
  <c r="Q13" i="4"/>
  <c r="G43" i="4"/>
  <c r="F43" i="4"/>
  <c r="F73" i="4"/>
  <c r="F63" i="4"/>
  <c r="Q9" i="4"/>
  <c r="E39" i="4"/>
  <c r="E72" i="4"/>
  <c r="R22" i="4"/>
  <c r="D39" i="4"/>
  <c r="R29" i="4"/>
  <c r="E71" i="4"/>
  <c r="E70" i="4"/>
  <c r="O29" i="4"/>
  <c r="O19" i="4"/>
  <c r="F71" i="4"/>
  <c r="F70" i="4"/>
  <c r="Q50" i="4"/>
  <c r="O53" i="4"/>
  <c r="P50" i="4"/>
  <c r="P51" i="4"/>
  <c r="N69" i="4"/>
  <c r="N67" i="4"/>
  <c r="N79" i="4" s="1"/>
  <c r="J70" i="4"/>
  <c r="J71" i="4"/>
  <c r="S27" i="4"/>
  <c r="H39" i="4"/>
  <c r="I72" i="4"/>
  <c r="R9" i="4"/>
  <c r="I41" i="4"/>
  <c r="G67" i="4"/>
  <c r="G79" i="4" s="1"/>
  <c r="G69" i="4"/>
  <c r="I69" i="4"/>
  <c r="I67" i="4"/>
  <c r="I79" i="4" s="1"/>
  <c r="K67" i="4"/>
  <c r="K79" i="4" s="1"/>
  <c r="K69" i="4"/>
  <c r="E41" i="4"/>
  <c r="G72" i="4"/>
  <c r="F39" i="4"/>
  <c r="K39" i="4"/>
  <c r="L72" i="4"/>
  <c r="L11" i="4"/>
  <c r="S9" i="4"/>
  <c r="S30" i="4"/>
  <c r="P21" i="4"/>
  <c r="P29" i="4"/>
  <c r="P22" i="4"/>
  <c r="P23" i="4"/>
  <c r="L39" i="4"/>
  <c r="M72" i="4"/>
  <c r="M11" i="4"/>
  <c r="D73" i="4"/>
  <c r="K72" i="4"/>
  <c r="J39" i="4"/>
  <c r="K11" i="4"/>
  <c r="Q24" i="4"/>
  <c r="P36" i="4"/>
  <c r="S21" i="4"/>
  <c r="S19" i="4"/>
  <c r="S23" i="4"/>
  <c r="C72" i="4"/>
  <c r="P9" i="4"/>
  <c r="P24" i="4" s="1"/>
  <c r="C67" i="4"/>
  <c r="C79" i="4" s="1"/>
  <c r="O66" i="4"/>
  <c r="C69" i="4"/>
  <c r="S29" i="4"/>
  <c r="M39" i="4"/>
  <c r="N72" i="4"/>
  <c r="N11" i="4"/>
  <c r="L67" i="4"/>
  <c r="L79" i="4" s="1"/>
  <c r="L69" i="4"/>
  <c r="S28" i="4"/>
  <c r="U6" i="4"/>
  <c r="V6" i="4" s="1"/>
  <c r="O9" i="4"/>
  <c r="O21" i="4"/>
  <c r="O23" i="4"/>
  <c r="S25" i="4"/>
  <c r="G39" i="4"/>
  <c r="N36" i="4"/>
  <c r="O36" i="4"/>
  <c r="R21" i="4"/>
  <c r="R27" i="4"/>
  <c r="R23" i="4"/>
  <c r="R25" i="4"/>
  <c r="O22" i="4"/>
  <c r="M69" i="4"/>
  <c r="M67" i="4"/>
  <c r="M79" i="4" s="1"/>
  <c r="C39" i="4"/>
  <c r="D41" i="4"/>
  <c r="D72" i="4"/>
  <c r="D67" i="4"/>
  <c r="D79" i="4" s="1"/>
  <c r="D69" i="4"/>
  <c r="R19" i="4"/>
  <c r="P19" i="4"/>
  <c r="R20" i="4"/>
  <c r="I15" i="4" l="1"/>
  <c r="R13" i="4"/>
  <c r="I43" i="4"/>
  <c r="Q28" i="4"/>
  <c r="G45" i="4"/>
  <c r="Q15" i="4"/>
  <c r="F45" i="4"/>
  <c r="Q11" i="4"/>
  <c r="Q26" i="4" s="1"/>
  <c r="N39" i="4"/>
  <c r="C71" i="4"/>
  <c r="C70" i="4"/>
  <c r="O69" i="4"/>
  <c r="K71" i="4"/>
  <c r="K70" i="4"/>
  <c r="J41" i="4"/>
  <c r="U9" i="4"/>
  <c r="V9" i="4" s="1"/>
  <c r="O24" i="4"/>
  <c r="M41" i="4"/>
  <c r="O79" i="4"/>
  <c r="O67" i="4"/>
  <c r="O72" i="4"/>
  <c r="P39" i="4"/>
  <c r="S24" i="4"/>
  <c r="H41" i="4"/>
  <c r="R11" i="4"/>
  <c r="G41" i="4"/>
  <c r="K41" i="4"/>
  <c r="S11" i="4"/>
  <c r="I70" i="4"/>
  <c r="I71" i="4"/>
  <c r="D71" i="4"/>
  <c r="D70" i="4"/>
  <c r="M70" i="4"/>
  <c r="M71" i="4"/>
  <c r="L71" i="4"/>
  <c r="L70" i="4"/>
  <c r="L41" i="4"/>
  <c r="F41" i="4"/>
  <c r="G71" i="4"/>
  <c r="G70" i="4"/>
  <c r="R24" i="4"/>
  <c r="O39" i="4"/>
  <c r="N71" i="4"/>
  <c r="N70" i="4"/>
  <c r="P55" i="4"/>
  <c r="P59" i="4"/>
  <c r="P43" i="4" l="1"/>
  <c r="R28" i="4"/>
  <c r="O43" i="4"/>
  <c r="I45" i="4"/>
  <c r="R15" i="4"/>
  <c r="H45" i="4"/>
  <c r="Q30" i="4"/>
  <c r="O45" i="4"/>
  <c r="R26" i="4"/>
  <c r="O41" i="4"/>
  <c r="O71" i="4"/>
  <c r="P41" i="4"/>
  <c r="S26" i="4"/>
  <c r="O70" i="4"/>
  <c r="P45" i="4" l="1"/>
  <c r="R30" i="4"/>
  <c r="B7" i="3"/>
  <c r="B9" i="3" s="1"/>
  <c r="D7" i="3"/>
  <c r="D17" i="3" s="1"/>
  <c r="C7" i="3" l="1"/>
  <c r="I91" i="3" l="1"/>
  <c r="I76" i="3"/>
  <c r="I38" i="3"/>
  <c r="I28" i="3"/>
  <c r="I17" i="3"/>
  <c r="I7" i="3"/>
  <c r="I9" i="3" s="1"/>
  <c r="N146" i="3"/>
  <c r="N131" i="3"/>
  <c r="N33" i="3"/>
  <c r="N34" i="3"/>
  <c r="N35" i="3"/>
  <c r="N36" i="3"/>
  <c r="N37" i="3"/>
  <c r="N32" i="3"/>
  <c r="C122" i="3" l="1"/>
  <c r="B122" i="3"/>
  <c r="N109" i="3"/>
  <c r="N107" i="3"/>
  <c r="D112" i="3"/>
  <c r="C112" i="3"/>
  <c r="B112" i="3"/>
  <c r="N80" i="3"/>
  <c r="E12" i="4"/>
  <c r="E27" i="4" s="1"/>
  <c r="D126" i="3"/>
  <c r="H76" i="3"/>
  <c r="J76" i="3"/>
  <c r="K76" i="3"/>
  <c r="L76" i="3"/>
  <c r="M76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41" i="3"/>
  <c r="E13" i="4" l="1"/>
  <c r="E28" i="4" s="1"/>
  <c r="E80" i="4"/>
  <c r="E42" i="4"/>
  <c r="P12" i="4"/>
  <c r="E56" i="4"/>
  <c r="O12" i="4"/>
  <c r="D42" i="4"/>
  <c r="D134" i="3"/>
  <c r="N76" i="3"/>
  <c r="N42" i="4" l="1"/>
  <c r="P27" i="4"/>
  <c r="U12" i="4"/>
  <c r="V12" i="4" s="1"/>
  <c r="O27" i="4"/>
  <c r="E60" i="4"/>
  <c r="E61" i="4" s="1"/>
  <c r="O56" i="4"/>
  <c r="P56" i="4" s="1"/>
  <c r="E15" i="4"/>
  <c r="E30" i="4" s="1"/>
  <c r="D43" i="4"/>
  <c r="E43" i="4"/>
  <c r="P13" i="4"/>
  <c r="B17" i="3"/>
  <c r="B132" i="3" s="1"/>
  <c r="M38" i="3"/>
  <c r="L38" i="3"/>
  <c r="K38" i="3"/>
  <c r="J38" i="3"/>
  <c r="E45" i="4" l="1"/>
  <c r="D45" i="4"/>
  <c r="N43" i="4"/>
  <c r="P28" i="4"/>
  <c r="N38" i="3"/>
  <c r="B101" i="3"/>
  <c r="E73" i="4" l="1"/>
  <c r="E63" i="4"/>
  <c r="N89" i="3"/>
  <c r="N88" i="3"/>
  <c r="N87" i="3"/>
  <c r="H112" i="3" l="1"/>
  <c r="I112" i="3"/>
  <c r="J112" i="3"/>
  <c r="K112" i="3"/>
  <c r="L112" i="3"/>
  <c r="M112" i="3"/>
  <c r="D132" i="3"/>
  <c r="H17" i="3"/>
  <c r="H132" i="3" s="1"/>
  <c r="I132" i="3"/>
  <c r="J17" i="3"/>
  <c r="J132" i="3" s="1"/>
  <c r="K17" i="3"/>
  <c r="K132" i="3" s="1"/>
  <c r="L17" i="3"/>
  <c r="L132" i="3" s="1"/>
  <c r="M17" i="3"/>
  <c r="M132" i="3" s="1"/>
  <c r="H91" i="3"/>
  <c r="J91" i="3"/>
  <c r="K91" i="3"/>
  <c r="L91" i="3"/>
  <c r="M91" i="3"/>
  <c r="H28" i="3"/>
  <c r="J28" i="3"/>
  <c r="K28" i="3"/>
  <c r="L28" i="3"/>
  <c r="M28" i="3"/>
  <c r="N150" i="3"/>
  <c r="N149" i="3"/>
  <c r="N148" i="3"/>
  <c r="N147" i="3"/>
  <c r="B133" i="3" l="1"/>
  <c r="C9" i="3"/>
  <c r="H7" i="3"/>
  <c r="H9" i="3" s="1"/>
  <c r="J7" i="3"/>
  <c r="J9" i="3" s="1"/>
  <c r="K9" i="3"/>
  <c r="L7" i="3"/>
  <c r="L9" i="3" s="1"/>
  <c r="M7" i="3"/>
  <c r="M9" i="3" s="1"/>
  <c r="N23" i="3"/>
  <c r="N24" i="3"/>
  <c r="N25" i="3"/>
  <c r="N22" i="3"/>
  <c r="C17" i="3" l="1"/>
  <c r="C132" i="3" s="1"/>
  <c r="N14" i="3"/>
  <c r="N17" i="3" s="1"/>
  <c r="N132" i="3" s="1"/>
  <c r="N133" i="3" s="1"/>
  <c r="N90" i="3"/>
  <c r="N82" i="3"/>
  <c r="N85" i="3"/>
  <c r="N86" i="3"/>
  <c r="N95" i="3"/>
  <c r="N96" i="3"/>
  <c r="N98" i="3"/>
  <c r="N99" i="3"/>
  <c r="N100" i="3"/>
  <c r="C126" i="3"/>
  <c r="H101" i="3"/>
  <c r="I101" i="3"/>
  <c r="J101" i="3"/>
  <c r="K101" i="3"/>
  <c r="L101" i="3"/>
  <c r="M101" i="3"/>
  <c r="N106" i="3"/>
  <c r="N110" i="3"/>
  <c r="N117" i="3"/>
  <c r="N118" i="3"/>
  <c r="H122" i="3"/>
  <c r="N120" i="3"/>
  <c r="N121" i="3"/>
  <c r="I122" i="3"/>
  <c r="J122" i="3"/>
  <c r="K122" i="3"/>
  <c r="L122" i="3"/>
  <c r="M122" i="3"/>
  <c r="N143" i="3"/>
  <c r="N140" i="3"/>
  <c r="N141" i="3"/>
  <c r="N142" i="3"/>
  <c r="N122" i="3" l="1"/>
  <c r="M126" i="3"/>
  <c r="M134" i="3" s="1"/>
  <c r="H134" i="3"/>
  <c r="K134" i="3"/>
  <c r="J134" i="3"/>
  <c r="L126" i="3"/>
  <c r="L134" i="3" s="1"/>
  <c r="N27" i="3"/>
  <c r="N26" i="3"/>
  <c r="N83" i="3"/>
  <c r="N101" i="3"/>
  <c r="N108" i="3"/>
  <c r="N112" i="3" s="1"/>
  <c r="N84" i="3"/>
  <c r="N139" i="3"/>
  <c r="N91" i="3" l="1"/>
  <c r="N135" i="3" s="1"/>
  <c r="N28" i="3"/>
  <c r="D133" i="3" l="1"/>
  <c r="D135" i="3" s="1"/>
  <c r="E131" i="3" s="1"/>
  <c r="N7" i="3" l="1"/>
  <c r="N9" i="3" s="1"/>
  <c r="P131" i="3" l="1"/>
  <c r="H131" i="3" l="1"/>
  <c r="H133" i="3" l="1"/>
  <c r="H135" i="3"/>
  <c r="I131" i="3" s="1"/>
  <c r="I133" i="3" l="1"/>
  <c r="I135" i="3"/>
  <c r="B126" i="3" l="1"/>
  <c r="B134" i="3" s="1"/>
  <c r="B135" i="3" s="1"/>
  <c r="C131" i="3" s="1"/>
  <c r="C10" i="4"/>
  <c r="C25" i="4" s="1"/>
  <c r="C135" i="3" l="1"/>
  <c r="C133" i="3"/>
  <c r="C11" i="4"/>
  <c r="C26" i="4" s="1"/>
  <c r="C57" i="4"/>
  <c r="C40" i="4"/>
  <c r="O10" i="4"/>
  <c r="C80" i="4"/>
  <c r="O80" i="4" s="1"/>
  <c r="P10" i="4"/>
  <c r="P25" i="4" l="1"/>
  <c r="N40" i="4"/>
  <c r="O57" i="4"/>
  <c r="P57" i="4" s="1"/>
  <c r="C60" i="4"/>
  <c r="C41" i="4"/>
  <c r="C13" i="4"/>
  <c r="C28" i="4" s="1"/>
  <c r="P11" i="4"/>
  <c r="O25" i="4"/>
  <c r="O11" i="4"/>
  <c r="U10" i="4"/>
  <c r="V10" i="4" s="1"/>
  <c r="N41" i="4" l="1"/>
  <c r="P26" i="4"/>
  <c r="O26" i="4"/>
  <c r="U11" i="4"/>
  <c r="V11" i="4" s="1"/>
  <c r="C61" i="4"/>
  <c r="O60" i="4"/>
  <c r="C15" i="4"/>
  <c r="C30" i="4" s="1"/>
  <c r="O13" i="4"/>
  <c r="O28" i="4" l="1"/>
  <c r="U13" i="4"/>
  <c r="V13" i="4" s="1"/>
  <c r="C45" i="4"/>
  <c r="P15" i="4"/>
  <c r="O15" i="4"/>
  <c r="P58" i="4"/>
  <c r="O61" i="4"/>
  <c r="P60" i="4"/>
  <c r="C63" i="4"/>
  <c r="C73" i="4"/>
  <c r="O73" i="4" s="1"/>
  <c r="U15" i="4" l="1"/>
  <c r="V15" i="4" s="1"/>
  <c r="O30" i="4"/>
  <c r="P30" i="4"/>
  <c r="N45" i="4"/>
</calcChain>
</file>

<file path=xl/sharedStrings.xml><?xml version="1.0" encoding="utf-8"?>
<sst xmlns="http://schemas.openxmlformats.org/spreadsheetml/2006/main" count="596" uniqueCount="214">
  <si>
    <t>TOTAL</t>
  </si>
  <si>
    <t xml:space="preserve">VENTES AU COMPTANT </t>
  </si>
  <si>
    <t xml:space="preserve">TOTAL  VENTES </t>
  </si>
  <si>
    <t>COSMETIQUES &amp; PARAMEDICAUX</t>
  </si>
  <si>
    <t>TOTAL CHARGES SALARIALES</t>
  </si>
  <si>
    <t>DIVERS</t>
  </si>
  <si>
    <t>ELECTRICITE</t>
  </si>
  <si>
    <t>FONTAINE</t>
  </si>
  <si>
    <t>TELEPHONE FIXE</t>
  </si>
  <si>
    <t>CARBURANT</t>
  </si>
  <si>
    <t xml:space="preserve">FOURNITURE INFORMATIQUE </t>
  </si>
  <si>
    <t>MAINTENANCE AUTO</t>
  </si>
  <si>
    <t>MAINTENANCE INFORMATIQUE</t>
  </si>
  <si>
    <t>CADEAU CLIENTS</t>
  </si>
  <si>
    <t>ASSURANCES</t>
  </si>
  <si>
    <t>TOTAL CHARGES DE FONCTIONNEMENT</t>
  </si>
  <si>
    <t>TOTAL INVESTISSEMENTS</t>
  </si>
  <si>
    <t>FRAIS BANCAIRES</t>
  </si>
  <si>
    <t>TOTAL CHARGES FINANCIERES</t>
  </si>
  <si>
    <t>CHARGES FISCALES</t>
  </si>
  <si>
    <t>IS</t>
  </si>
  <si>
    <t>PATENTE</t>
  </si>
  <si>
    <t>TOTAL DECAISSEMENT</t>
  </si>
  <si>
    <t xml:space="preserve">ENCAISSEMENTS </t>
  </si>
  <si>
    <t>DECAISSEMENTS</t>
  </si>
  <si>
    <t>MAINTENANCE PORTE</t>
  </si>
  <si>
    <t>CONGES</t>
  </si>
  <si>
    <t>MAINTENANCE ENSEIGNE</t>
  </si>
  <si>
    <t>MAINTENANCE SPLIT</t>
  </si>
  <si>
    <t>JANVIER</t>
  </si>
  <si>
    <t>DUOPHARM</t>
  </si>
  <si>
    <t>LOYER ANNEXE</t>
  </si>
  <si>
    <t xml:space="preserve">COMMISSION MONNAIE </t>
  </si>
  <si>
    <t xml:space="preserve">SODIPHARM </t>
  </si>
  <si>
    <t>AUTRES FRAIS DE TELECOMMUNICATION</t>
  </si>
  <si>
    <t>TVA FACTUREE SUR VENTES</t>
  </si>
  <si>
    <t>IMPRIMANTE</t>
  </si>
  <si>
    <t>AUTRES ACHATS FOURNITURES D'ENTRETIEN</t>
  </si>
  <si>
    <t>FEVRIER</t>
  </si>
  <si>
    <t>COPHASE (UBIPHARM)</t>
  </si>
  <si>
    <t>MAIN D'ŒUVRE</t>
  </si>
  <si>
    <t>FRAIS TRANSPORT</t>
  </si>
  <si>
    <t>TAXE SUR LES VEHICULES PARTICULIERES DES P.M</t>
  </si>
  <si>
    <t>LOYER PHARMACIE</t>
  </si>
  <si>
    <t>REPAS</t>
  </si>
  <si>
    <t>MARS</t>
  </si>
  <si>
    <t>TRESORERIE INITIALE au 1er du mois</t>
  </si>
  <si>
    <t>TVA FACTUREE SUR achats</t>
  </si>
  <si>
    <t>CREDIT A TVA DU MOIS PRECEDENT</t>
  </si>
  <si>
    <t>AVRIL</t>
  </si>
  <si>
    <t>TVA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</si>
  <si>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</si>
  <si>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</si>
  <si>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</si>
  <si>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</si>
  <si>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</si>
  <si>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</si>
  <si>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</si>
  <si>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</si>
  <si>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VENTES MENSUELLES</t>
  </si>
  <si>
    <t>ACHATS</t>
  </si>
  <si>
    <t>CHARGES DE PERSONNEL</t>
  </si>
  <si>
    <t>CHARGES DE FONCTIONNEMENT</t>
  </si>
  <si>
    <t>INVESTISSEMENTS</t>
  </si>
  <si>
    <t>CHARGES FINANCIERES</t>
  </si>
  <si>
    <t>TRESORERIE</t>
  </si>
  <si>
    <t>TAXE PUBLICITAIRE/ PARKING PRIVE MAIRIE</t>
  </si>
  <si>
    <t>AUTRE ACHATS PETIT MAT &amp; OUTIIL.</t>
  </si>
  <si>
    <t>TOTAL ENCAISSEMENTS</t>
  </si>
  <si>
    <t>TVA A REVERSER</t>
  </si>
  <si>
    <t xml:space="preserve"> CEL VA / CEL VL</t>
  </si>
  <si>
    <t>CREDIT DE TVA A REPORTER</t>
  </si>
  <si>
    <t>SEN'EAU</t>
  </si>
  <si>
    <t>VENTES TPE</t>
  </si>
  <si>
    <t>REMISES</t>
  </si>
  <si>
    <t>VENTES NETTES</t>
  </si>
  <si>
    <t xml:space="preserve">FOURNITURE DE BUREAU </t>
  </si>
  <si>
    <t xml:space="preserve">LOGICIELS </t>
  </si>
  <si>
    <t>COMPTABLE</t>
  </si>
  <si>
    <t>FORMATION</t>
  </si>
  <si>
    <t>CONSEIL FINANCIER</t>
  </si>
  <si>
    <t>PRELEVEMENT PHARMACIEN</t>
  </si>
  <si>
    <t>EMBALLAGE</t>
  </si>
  <si>
    <t>SALAIRES NET PAYES</t>
  </si>
  <si>
    <t>GARDIENNAGE</t>
  </si>
  <si>
    <t xml:space="preserve">ORDINATEURS  </t>
  </si>
  <si>
    <t>AUTRES COTISATIONS (ORDRE DES PHARMACIENS)</t>
  </si>
  <si>
    <t xml:space="preserve">AGIOS </t>
  </si>
  <si>
    <t>INTERET</t>
  </si>
  <si>
    <t xml:space="preserve">LABOREX </t>
  </si>
  <si>
    <t>Stock Final Prix cession  a la fin du mois</t>
  </si>
  <si>
    <t>Creances dues par les particuliers</t>
  </si>
  <si>
    <t>Creances dues par les assurances et autres structures</t>
  </si>
  <si>
    <t>Dettes fournisseurs fin mois</t>
  </si>
  <si>
    <t>TRESORERIE DISPONIBLE</t>
  </si>
  <si>
    <t>TRESORERIE FINALE THEORIQUE</t>
  </si>
  <si>
    <t>SITUATION A LA FIN DU MOIS</t>
  </si>
  <si>
    <t>TOTAL CHARGES FISCALES</t>
  </si>
  <si>
    <t>PAIEMENTS  FOURNISSEURS EFFECTUES</t>
  </si>
  <si>
    <t>TOTAL ACHATS</t>
  </si>
  <si>
    <t>TOTAL PAIEMENT FOURNISSEURS</t>
  </si>
  <si>
    <t>CREANCES RECOUVREES DES PARTICULIERS</t>
  </si>
  <si>
    <t xml:space="preserve">CREANCES RECOUVREES DES ASSURANCES </t>
  </si>
  <si>
    <t>TRAITE MENSUELLES</t>
  </si>
  <si>
    <t>REMBOURSEMENT MENSUEL DE PRET BANCAIRE</t>
  </si>
  <si>
    <t>VENTES EN ESPECES</t>
  </si>
  <si>
    <t>COTISATIONS SECURITE SOCIALES/IPRES</t>
  </si>
  <si>
    <t>ORANGE MONEY ET WAVE</t>
  </si>
  <si>
    <t>COMMISSIONS ORANGE MONEY/WAVE</t>
  </si>
  <si>
    <t>COMMISSIONS SUR CARTE BANCAIRE/CHEQUE</t>
  </si>
  <si>
    <t>CROIX</t>
  </si>
  <si>
    <t>VENTILATEUR</t>
  </si>
  <si>
    <t>SOCIETE DE NETTOIEMENT</t>
  </si>
  <si>
    <t xml:space="preserve">ARGENT EN CAISSE  FIN DU MOIS </t>
  </si>
  <si>
    <t>MAINTENANCE APPAREIL POINT SANTE</t>
  </si>
  <si>
    <t>MAINTENANCE FONTAINE</t>
  </si>
  <si>
    <t>MAINTENANCE CAMERA</t>
  </si>
  <si>
    <t>PORTE</t>
  </si>
  <si>
    <t>MAINTENANCE BLOUSE; pressing</t>
  </si>
  <si>
    <t>COTISATIONS /FACTURATION IPM DU PERSONNEL</t>
  </si>
  <si>
    <t xml:space="preserve">                    -</t>
  </si>
  <si>
    <t>SOLDE BANCAIRE FIN DU MOIS</t>
  </si>
  <si>
    <t>VRS/BRS/TVA</t>
  </si>
  <si>
    <t xml:space="preserve">VENTES A CREDIT </t>
  </si>
  <si>
    <t>JUIL</t>
  </si>
  <si>
    <t>AOUT</t>
  </si>
  <si>
    <t>SEPT</t>
  </si>
  <si>
    <t>OCT</t>
  </si>
  <si>
    <t>NOV</t>
  </si>
  <si>
    <t>DEC</t>
  </si>
  <si>
    <t>T1</t>
  </si>
  <si>
    <t>T2</t>
  </si>
  <si>
    <t>T3</t>
  </si>
  <si>
    <t>T4</t>
  </si>
  <si>
    <t>var</t>
  </si>
  <si>
    <t>%</t>
  </si>
  <si>
    <t>VENTES ESPECES</t>
  </si>
  <si>
    <t>VENTES CREDIT</t>
  </si>
  <si>
    <t>TOTAL VENTES</t>
  </si>
  <si>
    <t>Variation  de Stock</t>
  </si>
  <si>
    <t>Marge Commerciale</t>
  </si>
  <si>
    <t>Charges Exploitation</t>
  </si>
  <si>
    <t>Valeur Ajoutee</t>
  </si>
  <si>
    <t>Charges Salariales</t>
  </si>
  <si>
    <t>EBE</t>
  </si>
  <si>
    <t>Charges Financieres</t>
  </si>
  <si>
    <t>Resultat Avant Impots</t>
  </si>
  <si>
    <t>JAN</t>
  </si>
  <si>
    <t>FEV</t>
  </si>
  <si>
    <t>JAN-FEV</t>
  </si>
  <si>
    <t>FEV-MARS</t>
  </si>
  <si>
    <t>MARS/AVRIL</t>
  </si>
  <si>
    <t>AVR/MAI</t>
  </si>
  <si>
    <t>MAI.JUIN</t>
  </si>
  <si>
    <t>JUIN/JUIL</t>
  </si>
  <si>
    <t>JUIL/AOUT</t>
  </si>
  <si>
    <t>AOUT/SEPT</t>
  </si>
  <si>
    <t>SEPT/OCT</t>
  </si>
  <si>
    <t>OCT/NOV</t>
  </si>
  <si>
    <t>NOV/DEC</t>
  </si>
  <si>
    <t>T1/T2</t>
  </si>
  <si>
    <t>T2/T3</t>
  </si>
  <si>
    <t>T3/T4</t>
  </si>
  <si>
    <t>CREANCES RECOUVREES</t>
  </si>
  <si>
    <t>TRESORERIE DEBUT MOIS</t>
  </si>
  <si>
    <t>PAIEMENTS FOURNISSEURS</t>
  </si>
  <si>
    <t>CHARGES SALARIALES</t>
  </si>
  <si>
    <t>CHARGES D'EXPLOITATION</t>
  </si>
  <si>
    <t>TOTAL DECAISSEMENTS</t>
  </si>
  <si>
    <t>SOLDE FLUX DE TRESORERIE</t>
  </si>
  <si>
    <t>TRESORERIE REELLE</t>
  </si>
  <si>
    <t>SURPLUS/DEFICIT</t>
  </si>
  <si>
    <t>INDICATEURS</t>
  </si>
  <si>
    <t>MOYENNE</t>
  </si>
  <si>
    <t>Chiffre d'AFFAIRES</t>
  </si>
  <si>
    <t>Chiffres d'Affaires Journalier Moyen</t>
  </si>
  <si>
    <t>Total Achats</t>
  </si>
  <si>
    <t>Marge sur achats</t>
  </si>
  <si>
    <t>Taux de Marge</t>
  </si>
  <si>
    <t>Taux de Marque</t>
  </si>
  <si>
    <t>Taux de Marge Commerciale</t>
  </si>
  <si>
    <t>Tresorerie Theorique</t>
  </si>
  <si>
    <t>Stock Initial</t>
  </si>
  <si>
    <t>Stock Final</t>
  </si>
  <si>
    <t>Variation de stocks</t>
  </si>
  <si>
    <t>Stock Moyen</t>
  </si>
  <si>
    <t>Achats Consommes</t>
  </si>
  <si>
    <t>Nombre de jours de ventes couverts par le stock</t>
  </si>
  <si>
    <t>Total Charges Mensuelles</t>
  </si>
  <si>
    <t>POIDS VENTES ESPECES</t>
  </si>
  <si>
    <t>POIDS VENTES CREDIT</t>
  </si>
  <si>
    <t>POIDS VENTES MOBILE</t>
  </si>
  <si>
    <t>POIDS ACHATS  LABOREX</t>
  </si>
  <si>
    <t>POIDS ACHATS  UBIPHRAM</t>
  </si>
  <si>
    <t>POIDS ACHATS  SODIPHARM</t>
  </si>
  <si>
    <t>POIDS ACHATS  DUOPHARM</t>
  </si>
  <si>
    <t>POIDS ACHATS  COMESTIQUES ET PARA</t>
  </si>
  <si>
    <t>POIDS TOTAL ACHATS/VENTES</t>
  </si>
  <si>
    <t>POIDS DES CHARGES EXPLOITATION/CA</t>
  </si>
  <si>
    <t>POIDS DES CHARGES SALARIALES/CA</t>
  </si>
  <si>
    <t>TAUX MARGE COMMERCIALE</t>
  </si>
  <si>
    <t>TAUX DE VALEUR AJOUTEE</t>
  </si>
  <si>
    <t>TAUX EBE</t>
  </si>
  <si>
    <t>RESULTAT EXPLOITATION/CA</t>
  </si>
  <si>
    <t>BESOIN EN FONDS DE ROULEMENT</t>
  </si>
  <si>
    <t>LIQUIDITE GENERALE</t>
  </si>
  <si>
    <t>LIQUIDITE REDUITE</t>
  </si>
  <si>
    <t>TOTAL DECAISSEMENTS/TOTAL ENCAISSEMENTS</t>
  </si>
  <si>
    <t>TOTAL DECAISSEMENTS/TOTAL TRESORERIE DISPONIBLE</t>
  </si>
  <si>
    <t>POIDS VENTES TPE</t>
  </si>
  <si>
    <t xml:space="preserve"> TOTAL CREANCES </t>
  </si>
  <si>
    <t xml:space="preserve"> DETTES FOURNISSEURS FIN MOIS </t>
  </si>
  <si>
    <t>SEMESTRE 1</t>
  </si>
  <si>
    <t>SEMESTRE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</si>
</sst>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\ _€_-;\-* #,##0.00\ _€_-;_-* &quot;-&quot;??\ _€_-;_-@_-"/>
    <numFmt numFmtId="165" formatCode="_-* #,##0\ _C_F_A_-;\-* #,##0\ _C_F_A_-;_-* &quot;-&quot;\ _C_F_A_-;_-@_-"/>
    <numFmt numFmtId="166" formatCode="_-* #,##0\ _€_-;\-* #,##0\ _€_-;_-* &quot;-&quot;??\ _€_-;_-@_-"/>
    <numFmt numFmtId="167" formatCode="#.##0\."/>
    <numFmt numFmtId="168" formatCode="0.0%"/>
    <numFmt numFmtId="175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24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26"/>
      <color theme="1"/>
      <name val="Calibri"/>
      <family val="2"/>
      <scheme val="minor"/>
    </font>
    <font>
      <sz val="26"/>
      <name val="Arial"/>
      <family val="2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9">
    <xf numFmtId="0" fontId="0" fillId="0" borderId="0" xfId="0"/>
    <xf numFmtId="166" fontId="0" fillId="0" borderId="0" xfId="1" applyNumberFormat="1" applyFont="1"/>
    <xf numFmtId="166" fontId="2" fillId="0" borderId="0" xfId="1" applyNumberFormat="1" applyFont="1"/>
    <xf numFmtId="166" fontId="3" fillId="0" borderId="0" xfId="1" applyNumberFormat="1" applyFont="1"/>
    <xf numFmtId="166" fontId="2" fillId="0" borderId="0" xfId="1" applyNumberFormat="1" applyFont="1" applyFill="1"/>
    <xf numFmtId="166" fontId="0" fillId="0" borderId="0" xfId="1" applyNumberFormat="1" applyFont="1" applyFill="1"/>
    <xf numFmtId="166" fontId="0" fillId="0" borderId="0" xfId="1" applyNumberFormat="1" applyFont="1" applyBorder="1"/>
    <xf numFmtId="0" fontId="0" fillId="0" borderId="0" xfId="0" applyBorder="1"/>
    <xf numFmtId="166" fontId="0" fillId="0" borderId="0" xfId="1" applyNumberFormat="1" applyFont="1" applyFill="1" applyBorder="1"/>
    <xf numFmtId="166" fontId="2" fillId="0" borderId="0" xfId="1" applyNumberFormat="1" applyFont="1" applyFill="1" applyBorder="1"/>
    <xf numFmtId="167" fontId="6" fillId="0" borderId="0" xfId="0" applyNumberFormat="1" applyFont="1" applyBorder="1" applyAlignment="1">
      <alignment horizontal="right"/>
    </xf>
    <xf numFmtId="49" fontId="6" fillId="0" borderId="0" xfId="0" applyNumberFormat="1" applyFont="1" applyFill="1" applyBorder="1" applyAlignment="1">
      <alignment horizontal="right"/>
    </xf>
    <xf numFmtId="167" fontId="6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49" fontId="5" fillId="0" borderId="0" xfId="0" applyNumberFormat="1" applyFont="1" applyFill="1" applyBorder="1"/>
    <xf numFmtId="167" fontId="5" fillId="0" borderId="0" xfId="0" applyNumberFormat="1" applyFont="1" applyFill="1" applyBorder="1" applyAlignment="1">
      <alignment horizontal="right"/>
    </xf>
    <xf numFmtId="166" fontId="3" fillId="0" borderId="0" xfId="1" applyNumberFormat="1" applyFont="1" applyFill="1"/>
    <xf numFmtId="166" fontId="0" fillId="2" borderId="0" xfId="1" applyNumberFormat="1" applyFont="1" applyFill="1" applyBorder="1"/>
    <xf numFmtId="166" fontId="0" fillId="2" borderId="0" xfId="1" applyNumberFormat="1" applyFont="1" applyFill="1"/>
    <xf numFmtId="166" fontId="8" fillId="0" borderId="10" xfId="1" applyNumberFormat="1" applyFont="1" applyFill="1" applyBorder="1" applyAlignment="1"/>
    <xf numFmtId="166" fontId="8" fillId="0" borderId="9" xfId="1" applyNumberFormat="1" applyFont="1" applyFill="1" applyBorder="1" applyAlignment="1"/>
    <xf numFmtId="166" fontId="8" fillId="0" borderId="10" xfId="1" applyNumberFormat="1" applyFont="1" applyFill="1" applyBorder="1" applyAlignment="1">
      <alignment horizontal="center"/>
    </xf>
    <xf numFmtId="166" fontId="8" fillId="0" borderId="0" xfId="1" applyNumberFormat="1" applyFont="1" applyFill="1" applyAlignment="1">
      <alignment horizontal="center"/>
    </xf>
    <xf numFmtId="166" fontId="8" fillId="2" borderId="1" xfId="1" applyNumberFormat="1" applyFont="1" applyFill="1" applyBorder="1"/>
    <xf numFmtId="166" fontId="8" fillId="0" borderId="1" xfId="1" applyNumberFormat="1" applyFont="1" applyFill="1" applyBorder="1"/>
    <xf numFmtId="166" fontId="8" fillId="2" borderId="1" xfId="1" applyNumberFormat="1" applyFont="1" applyFill="1" applyBorder="1" applyAlignment="1">
      <alignment horizontal="left"/>
    </xf>
    <xf numFmtId="166" fontId="8" fillId="2" borderId="1" xfId="1" applyNumberFormat="1" applyFont="1" applyFill="1" applyBorder="1" applyAlignment="1">
      <alignment vertical="center"/>
    </xf>
    <xf numFmtId="166" fontId="8" fillId="5" borderId="1" xfId="1" applyNumberFormat="1" applyFont="1" applyFill="1" applyBorder="1"/>
    <xf numFmtId="166" fontId="8" fillId="2" borderId="7" xfId="1" applyNumberFormat="1" applyFont="1" applyFill="1" applyBorder="1"/>
    <xf numFmtId="166" fontId="10" fillId="0" borderId="12" xfId="1" applyNumberFormat="1" applyFont="1" applyFill="1" applyBorder="1"/>
    <xf numFmtId="166" fontId="8" fillId="5" borderId="7" xfId="1" applyNumberFormat="1" applyFont="1" applyFill="1" applyBorder="1"/>
    <xf numFmtId="166" fontId="10" fillId="0" borderId="1" xfId="1" applyNumberFormat="1" applyFont="1" applyFill="1" applyBorder="1"/>
    <xf numFmtId="166" fontId="8" fillId="0" borderId="1" xfId="1" applyNumberFormat="1" applyFont="1" applyFill="1" applyBorder="1" applyAlignment="1">
      <alignment horizontal="center"/>
    </xf>
    <xf numFmtId="166" fontId="10" fillId="0" borderId="1" xfId="1" applyNumberFormat="1" applyFont="1" applyFill="1" applyBorder="1" applyAlignment="1">
      <alignment horizontal="center"/>
    </xf>
    <xf numFmtId="166" fontId="8" fillId="4" borderId="1" xfId="1" applyNumberFormat="1" applyFont="1" applyFill="1" applyBorder="1"/>
    <xf numFmtId="166" fontId="10" fillId="4" borderId="1" xfId="1" applyNumberFormat="1" applyFont="1" applyFill="1" applyBorder="1"/>
    <xf numFmtId="166" fontId="10" fillId="0" borderId="0" xfId="1" applyNumberFormat="1" applyFont="1"/>
    <xf numFmtId="166" fontId="8" fillId="0" borderId="1" xfId="1" applyNumberFormat="1" applyFont="1" applyFill="1" applyBorder="1" applyAlignment="1">
      <alignment wrapText="1"/>
    </xf>
    <xf numFmtId="166" fontId="8" fillId="4" borderId="1" xfId="1" applyNumberFormat="1" applyFont="1" applyFill="1" applyBorder="1" applyAlignment="1">
      <alignment vertical="center" wrapText="1"/>
    </xf>
    <xf numFmtId="166" fontId="8" fillId="0" borderId="0" xfId="1" applyNumberFormat="1" applyFont="1" applyFill="1" applyBorder="1" applyAlignment="1">
      <alignment vertical="center" wrapText="1"/>
    </xf>
    <xf numFmtId="166" fontId="10" fillId="0" borderId="0" xfId="1" applyNumberFormat="1" applyFont="1" applyFill="1" applyBorder="1"/>
    <xf numFmtId="166" fontId="8" fillId="0" borderId="2" xfId="1" applyNumberFormat="1" applyFont="1" applyFill="1" applyBorder="1" applyAlignment="1">
      <alignment wrapText="1"/>
    </xf>
    <xf numFmtId="166" fontId="8" fillId="0" borderId="5" xfId="1" applyNumberFormat="1" applyFont="1" applyFill="1" applyBorder="1" applyAlignment="1">
      <alignment horizontal="center"/>
    </xf>
    <xf numFmtId="166" fontId="8" fillId="0" borderId="15" xfId="1" applyNumberFormat="1" applyFont="1" applyFill="1" applyBorder="1" applyAlignment="1">
      <alignment horizontal="center"/>
    </xf>
    <xf numFmtId="166" fontId="10" fillId="4" borderId="11" xfId="1" applyNumberFormat="1" applyFont="1" applyFill="1" applyBorder="1"/>
    <xf numFmtId="166" fontId="10" fillId="0" borderId="11" xfId="1" applyNumberFormat="1" applyFont="1" applyFill="1" applyBorder="1"/>
    <xf numFmtId="166" fontId="10" fillId="0" borderId="13" xfId="1" applyNumberFormat="1" applyFont="1" applyFill="1" applyBorder="1"/>
    <xf numFmtId="166" fontId="10" fillId="0" borderId="14" xfId="1" applyNumberFormat="1" applyFont="1" applyFill="1" applyBorder="1"/>
    <xf numFmtId="166" fontId="10" fillId="0" borderId="17" xfId="1" applyNumberFormat="1" applyFont="1" applyFill="1" applyBorder="1"/>
    <xf numFmtId="166" fontId="10" fillId="0" borderId="3" xfId="1" applyNumberFormat="1" applyFont="1" applyFill="1" applyBorder="1"/>
    <xf numFmtId="166" fontId="10" fillId="0" borderId="20" xfId="1" applyNumberFormat="1" applyFont="1" applyFill="1" applyBorder="1"/>
    <xf numFmtId="166" fontId="8" fillId="4" borderId="6" xfId="1" applyNumberFormat="1" applyFont="1" applyFill="1" applyBorder="1" applyAlignment="1">
      <alignment vertical="center" wrapText="1"/>
    </xf>
    <xf numFmtId="166" fontId="10" fillId="4" borderId="18" xfId="1" applyNumberFormat="1" applyFont="1" applyFill="1" applyBorder="1"/>
    <xf numFmtId="166" fontId="10" fillId="4" borderId="21" xfId="1" applyNumberFormat="1" applyFont="1" applyFill="1" applyBorder="1"/>
    <xf numFmtId="166" fontId="8" fillId="0" borderId="2" xfId="1" applyNumberFormat="1" applyFont="1" applyFill="1" applyBorder="1"/>
    <xf numFmtId="166" fontId="8" fillId="0" borderId="0" xfId="1" applyNumberFormat="1" applyFont="1" applyFill="1"/>
    <xf numFmtId="166" fontId="8" fillId="4" borderId="1" xfId="1" applyNumberFormat="1" applyFont="1" applyFill="1" applyBorder="1" applyAlignment="1">
      <alignment vertical="center"/>
    </xf>
    <xf numFmtId="166" fontId="8" fillId="0" borderId="0" xfId="1" applyNumberFormat="1" applyFont="1" applyFill="1" applyBorder="1" applyAlignment="1">
      <alignment vertical="center"/>
    </xf>
    <xf numFmtId="166" fontId="10" fillId="0" borderId="0" xfId="1" applyNumberFormat="1" applyFont="1" applyFill="1"/>
    <xf numFmtId="166" fontId="8" fillId="0" borderId="10" xfId="1" applyNumberFormat="1" applyFont="1" applyFill="1" applyBorder="1" applyAlignment="1">
      <alignment vertical="center"/>
    </xf>
    <xf numFmtId="166" fontId="8" fillId="0" borderId="8" xfId="1" applyNumberFormat="1" applyFont="1" applyFill="1" applyBorder="1" applyAlignment="1">
      <alignment vertical="center"/>
    </xf>
    <xf numFmtId="166" fontId="8" fillId="3" borderId="0" xfId="1" applyNumberFormat="1" applyFont="1" applyFill="1" applyBorder="1" applyAlignment="1">
      <alignment vertical="center"/>
    </xf>
    <xf numFmtId="166" fontId="10" fillId="3" borderId="0" xfId="1" applyNumberFormat="1" applyFont="1" applyFill="1"/>
    <xf numFmtId="166" fontId="8" fillId="0" borderId="6" xfId="1" applyNumberFormat="1" applyFont="1" applyFill="1" applyBorder="1" applyAlignment="1">
      <alignment horizontal="center"/>
    </xf>
    <xf numFmtId="166" fontId="10" fillId="0" borderId="16" xfId="1" applyNumberFormat="1" applyFont="1" applyFill="1" applyBorder="1"/>
    <xf numFmtId="166" fontId="10" fillId="6" borderId="0" xfId="1" applyNumberFormat="1" applyFont="1" applyFill="1"/>
    <xf numFmtId="166" fontId="8" fillId="6" borderId="0" xfId="1" applyNumberFormat="1" applyFont="1" applyFill="1" applyBorder="1" applyAlignment="1">
      <alignment vertical="center"/>
    </xf>
    <xf numFmtId="166" fontId="8" fillId="6" borderId="4" xfId="1" applyNumberFormat="1" applyFont="1" applyFill="1" applyBorder="1" applyAlignment="1">
      <alignment vertical="center"/>
    </xf>
    <xf numFmtId="166" fontId="10" fillId="8" borderId="1" xfId="1" applyNumberFormat="1" applyFont="1" applyFill="1" applyBorder="1"/>
    <xf numFmtId="166" fontId="10" fillId="9" borderId="1" xfId="1" applyNumberFormat="1" applyFont="1" applyFill="1" applyBorder="1"/>
    <xf numFmtId="166" fontId="10" fillId="10" borderId="1" xfId="1" applyNumberFormat="1" applyFont="1" applyFill="1" applyBorder="1"/>
    <xf numFmtId="166" fontId="8" fillId="10" borderId="1" xfId="1" applyNumberFormat="1" applyFont="1" applyFill="1" applyBorder="1"/>
    <xf numFmtId="166" fontId="10" fillId="0" borderId="6" xfId="1" applyNumberFormat="1" applyFont="1" applyFill="1" applyBorder="1"/>
    <xf numFmtId="0" fontId="11" fillId="0" borderId="1" xfId="0" applyFont="1" applyFill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66" fontId="0" fillId="11" borderId="1" xfId="1" applyNumberFormat="1" applyFont="1" applyFill="1" applyBorder="1" applyAlignment="1">
      <alignment horizontal="center"/>
    </xf>
    <xf numFmtId="166" fontId="0" fillId="11" borderId="10" xfId="1" applyNumberFormat="1" applyFont="1" applyFill="1" applyBorder="1" applyAlignment="1">
      <alignment horizontal="center"/>
    </xf>
    <xf numFmtId="166" fontId="0" fillId="0" borderId="0" xfId="0" applyNumberFormat="1"/>
    <xf numFmtId="168" fontId="0" fillId="0" borderId="0" xfId="3" applyNumberFormat="1" applyFont="1"/>
    <xf numFmtId="166" fontId="0" fillId="4" borderId="1" xfId="1" applyNumberFormat="1" applyFont="1" applyFill="1" applyBorder="1" applyAlignment="1">
      <alignment horizontal="center"/>
    </xf>
    <xf numFmtId="0" fontId="0" fillId="4" borderId="0" xfId="0" applyFill="1"/>
    <xf numFmtId="166" fontId="0" fillId="6" borderId="1" xfId="1" applyNumberFormat="1" applyFont="1" applyFill="1" applyBorder="1" applyAlignment="1">
      <alignment horizontal="center"/>
    </xf>
    <xf numFmtId="168" fontId="0" fillId="0" borderId="1" xfId="3" applyNumberFormat="1" applyFont="1" applyBorder="1" applyAlignment="1">
      <alignment horizontal="center"/>
    </xf>
    <xf numFmtId="166" fontId="0" fillId="0" borderId="3" xfId="1" applyNumberFormat="1" applyFont="1" applyBorder="1" applyAlignment="1">
      <alignment horizontal="center"/>
    </xf>
    <xf numFmtId="166" fontId="0" fillId="0" borderId="2" xfId="1" applyNumberFormat="1" applyFont="1" applyBorder="1" applyAlignment="1">
      <alignment horizontal="center"/>
    </xf>
    <xf numFmtId="166" fontId="0" fillId="11" borderId="6" xfId="1" applyNumberFormat="1" applyFont="1" applyFill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9" fontId="0" fillId="0" borderId="0" xfId="3" applyNumberFormat="1" applyFont="1"/>
    <xf numFmtId="166" fontId="0" fillId="0" borderId="1" xfId="1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1" applyNumberFormat="1" applyFont="1" applyBorder="1" applyAlignment="1"/>
    <xf numFmtId="168" fontId="0" fillId="0" borderId="10" xfId="3" applyNumberFormat="1" applyFont="1" applyFill="1" applyBorder="1" applyAlignment="1">
      <alignment horizontal="center"/>
    </xf>
    <xf numFmtId="166" fontId="0" fillId="4" borderId="6" xfId="0" applyNumberFormat="1" applyFill="1" applyBorder="1" applyAlignment="1">
      <alignment horizontal="center"/>
    </xf>
    <xf numFmtId="166" fontId="0" fillId="6" borderId="8" xfId="1" applyNumberFormat="1" applyFont="1" applyFill="1" applyBorder="1" applyAlignment="1">
      <alignment horizontal="center"/>
    </xf>
    <xf numFmtId="166" fontId="0" fillId="6" borderId="0" xfId="0" applyNumberFormat="1" applyFill="1"/>
    <xf numFmtId="0" fontId="0" fillId="6" borderId="0" xfId="0" applyFill="1"/>
    <xf numFmtId="166" fontId="0" fillId="6" borderId="0" xfId="1" applyNumberFormat="1" applyFont="1" applyFill="1" applyBorder="1" applyAlignment="1">
      <alignment horizontal="center"/>
    </xf>
    <xf numFmtId="166" fontId="12" fillId="0" borderId="0" xfId="1" applyNumberFormat="1" applyFont="1" applyFill="1" applyBorder="1" applyAlignment="1">
      <alignment horizontal="center"/>
    </xf>
    <xf numFmtId="0" fontId="0" fillId="11" borderId="1" xfId="1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68" fontId="0" fillId="0" borderId="6" xfId="3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2" borderId="1" xfId="1" applyNumberFormat="1" applyFont="1" applyFill="1" applyBorder="1" applyAlignment="1">
      <alignment horizontal="center"/>
    </xf>
    <xf numFmtId="166" fontId="7" fillId="5" borderId="0" xfId="1" applyNumberFormat="1" applyFont="1" applyFill="1" applyAlignment="1">
      <alignment horizontal="center"/>
    </xf>
    <xf numFmtId="166" fontId="8" fillId="4" borderId="7" xfId="1" applyNumberFormat="1" applyFont="1" applyFill="1" applyBorder="1" applyAlignment="1">
      <alignment horizontal="center" vertical="center"/>
    </xf>
    <xf numFmtId="166" fontId="8" fillId="7" borderId="7" xfId="1" applyNumberFormat="1" applyFont="1" applyFill="1" applyBorder="1" applyAlignment="1">
      <alignment horizontal="center" vertical="center"/>
    </xf>
    <xf numFmtId="166" fontId="9" fillId="5" borderId="19" xfId="1" applyNumberFormat="1" applyFont="1" applyFill="1" applyBorder="1" applyAlignment="1">
      <alignment horizontal="center"/>
    </xf>
    <xf numFmtId="166" fontId="8" fillId="6" borderId="0" xfId="1" applyNumberFormat="1" applyFont="1" applyFill="1" applyBorder="1" applyAlignment="1">
      <alignment horizontal="center" vertical="center"/>
    </xf>
    <xf numFmtId="166" fontId="8" fillId="7" borderId="9" xfId="1" applyNumberFormat="1" applyFont="1" applyFill="1" applyBorder="1" applyAlignment="1">
      <alignment horizontal="center"/>
    </xf>
    <xf numFmtId="166" fontId="8" fillId="7" borderId="19" xfId="1" applyNumberFormat="1" applyFont="1" applyFill="1" applyBorder="1" applyAlignment="1">
      <alignment horizontal="center"/>
    </xf>
    <xf numFmtId="166" fontId="8" fillId="6" borderId="10" xfId="1" applyNumberFormat="1" applyFont="1" applyFill="1" applyBorder="1" applyAlignment="1">
      <alignment horizontal="center" vertical="center"/>
    </xf>
    <xf numFmtId="166" fontId="8" fillId="6" borderId="19" xfId="1" applyNumberFormat="1" applyFont="1" applyFill="1" applyBorder="1" applyAlignment="1">
      <alignment horizontal="center"/>
    </xf>
    <xf numFmtId="166" fontId="8" fillId="6" borderId="0" xfId="1" applyNumberFormat="1" applyFont="1" applyFill="1" applyBorder="1" applyAlignment="1">
      <alignment horizontal="center"/>
    </xf>
    <xf numFmtId="166" fontId="0" fillId="0" borderId="6" xfId="1" applyNumberFormat="1" applyFont="1" applyBorder="1" applyAlignment="1">
      <alignment horizontal="center"/>
    </xf>
    <xf numFmtId="166" fontId="0" fillId="0" borderId="7" xfId="1" applyNumberFormat="1" applyFont="1" applyBorder="1" applyAlignment="1">
      <alignment horizontal="center"/>
    </xf>
    <xf numFmtId="166" fontId="0" fillId="0" borderId="22" xfId="1" applyNumberFormat="1" applyFont="1" applyBorder="1" applyAlignment="1">
      <alignment horizontal="center"/>
    </xf>
    <xf numFmtId="166" fontId="1" fillId="0" borderId="0" xfId="1" applyNumberFormat="1" applyFont="1" applyFill="1"/>
    <xf numFmtId="166" fontId="1" fillId="0" borderId="0" xfId="1" applyNumberFormat="1" applyFont="1"/>
    <xf numFmtId="166" fontId="0" fillId="0" borderId="0" xfId="1" applyNumberFormat="1" applyFont="1" applyAlignment="1">
      <alignment horizontal="center"/>
    </xf>
    <xf numFmtId="0" fontId="0" fillId="2" borderId="1" xfId="0" applyFill="1" applyBorder="1" applyAlignment="1">
      <alignment horizontal="center"/>
    </xf>
    <xf numFmtId="43" fontId="0" fillId="0" borderId="0" xfId="0" applyNumberFormat="1"/>
    <xf numFmtId="2" fontId="0" fillId="0" borderId="0" xfId="0" applyNumberFormat="1"/>
    <xf numFmtId="175" fontId="0" fillId="0" borderId="0" xfId="0" applyNumberFormat="1"/>
    <xf numFmtId="166" fontId="0" fillId="11" borderId="0" xfId="1" applyNumberFormat="1" applyFont="1" applyFill="1" applyBorder="1" applyAlignment="1">
      <alignment horizontal="center"/>
    </xf>
    <xf numFmtId="168" fontId="0" fillId="0" borderId="0" xfId="3" applyNumberFormat="1" applyFont="1" applyBorder="1" applyAlignment="1">
      <alignment horizontal="center"/>
    </xf>
    <xf numFmtId="166" fontId="0" fillId="12" borderId="1" xfId="1" applyNumberFormat="1" applyFont="1" applyFill="1" applyBorder="1" applyAlignment="1">
      <alignment horizontal="center"/>
    </xf>
    <xf numFmtId="166" fontId="0" fillId="12" borderId="0" xfId="0" applyNumberFormat="1" applyFill="1"/>
  </cellXfs>
  <cellStyles count="4">
    <cellStyle name="Milliers" xfId="1" builtinId="3"/>
    <cellStyle name="Milliers [0] 2" xfId="2"/>
    <cellStyle name="Normal" xfId="0" builtinId="0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MACRO%202023/LYDIOR-%20MACRO-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VRAC/MACRO/LYDIOR-MACRO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NEES FINANCIERES MENSUELLES"/>
      <sheetName val="CR"/>
    </sheetNames>
    <sheetDataSet>
      <sheetData sheetId="0" refreshError="1">
        <row r="3">
          <cell r="B3">
            <v>27335176</v>
          </cell>
        </row>
        <row r="4">
          <cell r="M4"/>
        </row>
        <row r="15">
          <cell r="J15"/>
          <cell r="K15"/>
          <cell r="L15"/>
          <cell r="M15"/>
        </row>
        <row r="16">
          <cell r="J16"/>
          <cell r="K16"/>
          <cell r="L16"/>
          <cell r="M16"/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38">
          <cell r="H38"/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74">
          <cell r="L74">
            <v>0</v>
          </cell>
          <cell r="M74">
            <v>0</v>
          </cell>
        </row>
        <row r="86"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96"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106"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</row>
        <row r="116">
          <cell r="L116">
            <v>0</v>
          </cell>
          <cell r="M116">
            <v>0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NEES FINANCIERES MENSUELLES"/>
      <sheetName val="CR"/>
    </sheetNames>
    <sheetDataSet>
      <sheetData sheetId="0">
        <row r="3">
          <cell r="B3">
            <v>35763890</v>
          </cell>
          <cell r="C3">
            <v>25654675</v>
          </cell>
          <cell r="D3">
            <v>28145279</v>
          </cell>
          <cell r="E3">
            <v>26012951</v>
          </cell>
          <cell r="F3">
            <v>27109351</v>
          </cell>
          <cell r="G3">
            <v>25516268</v>
          </cell>
          <cell r="H3">
            <v>28458254</v>
          </cell>
          <cell r="I3">
            <v>27018316</v>
          </cell>
          <cell r="J3">
            <v>25310334</v>
          </cell>
          <cell r="K3">
            <v>27540766</v>
          </cell>
          <cell r="L3">
            <v>26564162</v>
          </cell>
          <cell r="M3">
            <v>27040230</v>
          </cell>
        </row>
        <row r="4">
          <cell r="B4">
            <v>9521842</v>
          </cell>
          <cell r="C4">
            <v>7653076</v>
          </cell>
          <cell r="D4">
            <v>8562849</v>
          </cell>
          <cell r="E4">
            <v>8533396</v>
          </cell>
          <cell r="F4">
            <v>10329606</v>
          </cell>
          <cell r="G4">
            <v>7932900</v>
          </cell>
          <cell r="H4">
            <v>8527572</v>
          </cell>
          <cell r="I4">
            <v>8824668</v>
          </cell>
          <cell r="J4">
            <v>8504127</v>
          </cell>
          <cell r="K4">
            <v>9073762</v>
          </cell>
          <cell r="L4">
            <v>8423868</v>
          </cell>
          <cell r="M4">
            <v>9360037</v>
          </cell>
        </row>
        <row r="5">
          <cell r="B5">
            <v>2220628</v>
          </cell>
          <cell r="C5">
            <v>1553575</v>
          </cell>
          <cell r="D5">
            <v>1403930</v>
          </cell>
          <cell r="E5">
            <v>1497492</v>
          </cell>
          <cell r="F5">
            <v>2995779</v>
          </cell>
          <cell r="G5">
            <v>2865446</v>
          </cell>
          <cell r="H5">
            <v>3871378</v>
          </cell>
          <cell r="I5">
            <v>4081192</v>
          </cell>
          <cell r="J5">
            <v>3835347</v>
          </cell>
          <cell r="K5">
            <v>3672007</v>
          </cell>
          <cell r="L5">
            <v>3881618</v>
          </cell>
          <cell r="M5">
            <v>4552445</v>
          </cell>
        </row>
        <row r="6">
          <cell r="B6">
            <v>4350179</v>
          </cell>
          <cell r="C6">
            <v>4103636</v>
          </cell>
          <cell r="D6">
            <v>4193581</v>
          </cell>
          <cell r="E6">
            <v>3550443</v>
          </cell>
          <cell r="F6">
            <v>2732710</v>
          </cell>
          <cell r="G6">
            <v>2418935</v>
          </cell>
          <cell r="H6">
            <v>2994783</v>
          </cell>
          <cell r="I6">
            <v>3435440</v>
          </cell>
          <cell r="J6">
            <v>3486112</v>
          </cell>
          <cell r="K6">
            <v>3433778</v>
          </cell>
          <cell r="L6">
            <v>3085872</v>
          </cell>
          <cell r="M6">
            <v>3810690</v>
          </cell>
        </row>
        <row r="15">
          <cell r="L15">
            <v>38993</v>
          </cell>
        </row>
        <row r="16">
          <cell r="B16">
            <v>5318932</v>
          </cell>
          <cell r="C16">
            <v>10362803</v>
          </cell>
          <cell r="D16">
            <v>6787281</v>
          </cell>
          <cell r="E16">
            <v>4868897</v>
          </cell>
          <cell r="F16">
            <v>6807066</v>
          </cell>
          <cell r="G16">
            <v>5875894</v>
          </cell>
          <cell r="H16">
            <v>2807782</v>
          </cell>
          <cell r="I16">
            <v>12557762</v>
          </cell>
          <cell r="J16">
            <v>4567406</v>
          </cell>
          <cell r="K16">
            <v>8267501</v>
          </cell>
          <cell r="L16">
            <v>9198025</v>
          </cell>
          <cell r="M16">
            <v>5371818</v>
          </cell>
        </row>
        <row r="28">
          <cell r="B28">
            <v>33398268</v>
          </cell>
          <cell r="C28">
            <v>27048889</v>
          </cell>
          <cell r="D28">
            <v>27693329</v>
          </cell>
          <cell r="E28">
            <v>25563315</v>
          </cell>
          <cell r="F28">
            <v>28146122</v>
          </cell>
          <cell r="G28">
            <v>32663509</v>
          </cell>
          <cell r="H28">
            <v>34048216</v>
          </cell>
          <cell r="I28">
            <v>30200995</v>
          </cell>
          <cell r="J28">
            <v>29264734</v>
          </cell>
          <cell r="K28">
            <v>30463220</v>
          </cell>
          <cell r="L28">
            <v>32424641</v>
          </cell>
          <cell r="M28">
            <v>35936756</v>
          </cell>
        </row>
        <row r="38">
          <cell r="B38">
            <v>36744218</v>
          </cell>
          <cell r="C38">
            <v>29106781</v>
          </cell>
          <cell r="D38">
            <v>29751081</v>
          </cell>
          <cell r="E38">
            <v>27238281</v>
          </cell>
          <cell r="F38">
            <v>25659195</v>
          </cell>
          <cell r="G38">
            <v>30336685</v>
          </cell>
          <cell r="H38">
            <v>20795029</v>
          </cell>
          <cell r="I38">
            <v>36374313</v>
          </cell>
          <cell r="J38">
            <v>28060875</v>
          </cell>
          <cell r="K38">
            <v>31835427</v>
          </cell>
          <cell r="L38">
            <v>32424641</v>
          </cell>
          <cell r="M38">
            <v>33605408</v>
          </cell>
        </row>
        <row r="76">
          <cell r="B76">
            <v>1530828</v>
          </cell>
          <cell r="C76">
            <v>1863549</v>
          </cell>
          <cell r="D76">
            <v>1431381</v>
          </cell>
          <cell r="E76">
            <v>1661702</v>
          </cell>
          <cell r="F76">
            <v>979900</v>
          </cell>
          <cell r="G76">
            <v>2128028</v>
          </cell>
          <cell r="H76">
            <v>1416141</v>
          </cell>
          <cell r="I76">
            <v>965586</v>
          </cell>
          <cell r="J76">
            <v>1320404</v>
          </cell>
          <cell r="K76">
            <v>2176668</v>
          </cell>
          <cell r="L76">
            <v>4507090</v>
          </cell>
          <cell r="M76">
            <v>5440192</v>
          </cell>
        </row>
        <row r="90">
          <cell r="B90">
            <v>4004916</v>
          </cell>
          <cell r="C90">
            <v>4386934</v>
          </cell>
          <cell r="D90">
            <v>5550269</v>
          </cell>
          <cell r="E90">
            <v>4743051</v>
          </cell>
          <cell r="F90">
            <v>4585658</v>
          </cell>
          <cell r="G90">
            <v>12797492</v>
          </cell>
          <cell r="H90">
            <v>4063200</v>
          </cell>
          <cell r="I90">
            <v>4450945</v>
          </cell>
          <cell r="J90">
            <v>4622094</v>
          </cell>
          <cell r="K90">
            <v>5927675</v>
          </cell>
          <cell r="L90">
            <v>4412496</v>
          </cell>
          <cell r="M90">
            <v>7778838</v>
          </cell>
        </row>
        <row r="100">
          <cell r="B100">
            <v>0</v>
          </cell>
          <cell r="C100">
            <v>0</v>
          </cell>
          <cell r="D100">
            <v>215000</v>
          </cell>
          <cell r="E100">
            <v>82000</v>
          </cell>
          <cell r="F100">
            <v>0</v>
          </cell>
          <cell r="G100">
            <v>1650000</v>
          </cell>
          <cell r="H100">
            <v>2615000</v>
          </cell>
          <cell r="I100">
            <v>0</v>
          </cell>
          <cell r="J100">
            <v>1610000</v>
          </cell>
          <cell r="K100">
            <v>200000</v>
          </cell>
          <cell r="L100">
            <v>1378735</v>
          </cell>
          <cell r="M100">
            <v>4680000</v>
          </cell>
          <cell r="N100">
            <v>12415735</v>
          </cell>
        </row>
        <row r="111">
          <cell r="B111">
            <v>133067</v>
          </cell>
          <cell r="C111">
            <v>33496</v>
          </cell>
          <cell r="D111">
            <v>158903</v>
          </cell>
          <cell r="E111">
            <v>177880</v>
          </cell>
          <cell r="F111">
            <v>128862</v>
          </cell>
          <cell r="G111">
            <v>112883</v>
          </cell>
          <cell r="H111">
            <v>177776</v>
          </cell>
          <cell r="I111">
            <v>128877</v>
          </cell>
          <cell r="J111">
            <v>144033</v>
          </cell>
          <cell r="K111">
            <v>235229</v>
          </cell>
          <cell r="L111">
            <v>139887</v>
          </cell>
          <cell r="M111">
            <v>0</v>
          </cell>
        </row>
        <row r="121">
          <cell r="B121">
            <v>160000</v>
          </cell>
          <cell r="C121">
            <v>728272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1000000</v>
          </cell>
          <cell r="I121">
            <v>1000000</v>
          </cell>
          <cell r="J121">
            <v>1000000</v>
          </cell>
          <cell r="K121">
            <v>729824</v>
          </cell>
          <cell r="L121">
            <v>0</v>
          </cell>
          <cell r="M121">
            <v>150741</v>
          </cell>
        </row>
        <row r="130">
          <cell r="B130">
            <v>19090220</v>
          </cell>
        </row>
        <row r="135"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20889393</v>
          </cell>
          <cell r="K135">
            <v>20845867</v>
          </cell>
          <cell r="L135">
            <v>28345864</v>
          </cell>
          <cell r="M135">
            <v>17503830</v>
          </cell>
        </row>
        <row r="143">
          <cell r="C143">
            <v>317264</v>
          </cell>
          <cell r="D143">
            <v>412326</v>
          </cell>
          <cell r="E143">
            <v>281838</v>
          </cell>
          <cell r="F143">
            <v>280732</v>
          </cell>
          <cell r="I143">
            <v>787071</v>
          </cell>
          <cell r="J143">
            <v>106456</v>
          </cell>
          <cell r="K143">
            <v>383960</v>
          </cell>
        </row>
        <row r="147">
          <cell r="B147">
            <v>37000000</v>
          </cell>
          <cell r="C147">
            <v>37434703</v>
          </cell>
          <cell r="D147">
            <v>40358147</v>
          </cell>
          <cell r="E147">
            <v>34720811</v>
          </cell>
          <cell r="I147">
            <v>40050256</v>
          </cell>
          <cell r="J147">
            <v>41170703</v>
          </cell>
          <cell r="K147">
            <v>41774849</v>
          </cell>
          <cell r="L147">
            <v>41545405</v>
          </cell>
          <cell r="M147">
            <v>44647618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3"/>
  <sheetViews>
    <sheetView topLeftCell="A132" zoomScale="40" zoomScaleNormal="40" workbookViewId="0">
      <selection activeCell="G165" sqref="G165"/>
    </sheetView>
  </sheetViews>
  <sheetFormatPr baseColWidth="10" defaultColWidth="11.42578125" defaultRowHeight="15" x14ac:dyDescent="0.25"/>
  <cols>
    <col min="1" max="1" width="110.140625" style="1" customWidth="1"/>
    <col min="2" max="2" width="47.42578125" style="1" customWidth="1"/>
    <col min="3" max="3" width="32.28515625" style="1" customWidth="1"/>
    <col min="4" max="4" width="37.7109375" style="1" customWidth="1"/>
    <col min="5" max="6" width="33.7109375" style="1" customWidth="1"/>
    <col min="7" max="7" width="33.7109375" style="119" customWidth="1"/>
    <col min="8" max="14" width="33.7109375" style="1" customWidth="1"/>
    <col min="15" max="15" width="13.5703125" style="6" bestFit="1" customWidth="1"/>
    <col min="16" max="16" width="38.28515625" style="6" bestFit="1" customWidth="1"/>
    <col min="17" max="17" width="11.42578125" style="6"/>
    <col min="18" max="16384" width="11.42578125" style="1"/>
  </cols>
  <sheetData>
    <row r="1" spans="1:33" ht="31.5" x14ac:dyDescent="0.5">
      <c r="A1" s="105" t="s">
        <v>59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</row>
    <row r="2" spans="1:33" ht="33.75" x14ac:dyDescent="0.5">
      <c r="A2" s="19"/>
      <c r="B2" s="19" t="s">
        <v>29</v>
      </c>
      <c r="C2" s="19" t="s">
        <v>38</v>
      </c>
      <c r="D2" s="20" t="s">
        <v>45</v>
      </c>
      <c r="E2" s="20" t="s">
        <v>49</v>
      </c>
      <c r="F2" s="19" t="s">
        <v>51</v>
      </c>
      <c r="G2" s="19" t="s">
        <v>52</v>
      </c>
      <c r="H2" s="21" t="s">
        <v>53</v>
      </c>
      <c r="I2" s="21" t="s">
        <v>54</v>
      </c>
      <c r="J2" s="21" t="s">
        <v>55</v>
      </c>
      <c r="K2" s="21" t="s">
        <v>56</v>
      </c>
      <c r="L2" s="21" t="s">
        <v>57</v>
      </c>
      <c r="M2" s="21" t="s">
        <v>58</v>
      </c>
      <c r="N2" s="22" t="s">
        <v>0</v>
      </c>
      <c r="O2" s="8"/>
      <c r="P2" s="8"/>
      <c r="Q2" s="8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ht="33.75" x14ac:dyDescent="0.5">
      <c r="A3" s="23" t="s">
        <v>105</v>
      </c>
      <c r="B3" s="73">
        <v>27335176</v>
      </c>
      <c r="C3" s="73">
        <v>24235996</v>
      </c>
      <c r="D3" s="24">
        <v>28412254</v>
      </c>
      <c r="E3" s="24">
        <v>26031270</v>
      </c>
      <c r="F3" s="24">
        <v>30297282</v>
      </c>
      <c r="G3" s="24">
        <v>29515690</v>
      </c>
      <c r="H3" s="24"/>
      <c r="I3" s="24"/>
      <c r="J3" s="24"/>
      <c r="K3" s="24"/>
      <c r="L3" s="24"/>
      <c r="M3" s="24"/>
      <c r="N3" s="24"/>
      <c r="O3" s="8"/>
      <c r="P3" s="8"/>
      <c r="Q3" s="8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ht="33.75" x14ac:dyDescent="0.5">
      <c r="A4" s="25" t="s">
        <v>123</v>
      </c>
      <c r="B4" s="73">
        <v>6737933</v>
      </c>
      <c r="C4" s="73">
        <v>7182118</v>
      </c>
      <c r="D4" s="24">
        <v>8027455</v>
      </c>
      <c r="E4" s="24">
        <v>7477320</v>
      </c>
      <c r="F4" s="24">
        <v>8370800</v>
      </c>
      <c r="G4" s="24">
        <v>7324562</v>
      </c>
      <c r="H4" s="24"/>
      <c r="I4" s="24"/>
      <c r="J4" s="24"/>
      <c r="K4" s="24"/>
      <c r="L4" s="24"/>
      <c r="M4" s="24"/>
      <c r="N4" s="24"/>
      <c r="O4" s="8"/>
      <c r="P4" s="8"/>
      <c r="Q4" s="8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ht="33.75" x14ac:dyDescent="0.5">
      <c r="A5" s="25" t="s">
        <v>107</v>
      </c>
      <c r="B5" s="73">
        <v>4886705</v>
      </c>
      <c r="C5" s="73">
        <v>4495329</v>
      </c>
      <c r="D5" s="24">
        <v>6087753</v>
      </c>
      <c r="E5" s="24">
        <v>5522843</v>
      </c>
      <c r="F5" s="24">
        <v>5870659</v>
      </c>
      <c r="G5" s="24">
        <v>6108881</v>
      </c>
      <c r="H5" s="24"/>
      <c r="I5" s="24"/>
      <c r="J5" s="24"/>
      <c r="K5" s="24"/>
      <c r="L5" s="24"/>
      <c r="M5" s="24"/>
      <c r="N5" s="24"/>
      <c r="O5" s="8"/>
      <c r="P5" s="8"/>
      <c r="Q5" s="8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ht="33.75" x14ac:dyDescent="0.5">
      <c r="A6" s="23" t="s">
        <v>73</v>
      </c>
      <c r="B6" s="73">
        <v>4038743</v>
      </c>
      <c r="C6" s="73">
        <v>3682361</v>
      </c>
      <c r="D6" s="24">
        <v>3110292</v>
      </c>
      <c r="E6" s="24">
        <v>3540691</v>
      </c>
      <c r="F6" s="24">
        <v>4518667</v>
      </c>
      <c r="G6" s="24">
        <v>4260648</v>
      </c>
      <c r="H6" s="24"/>
      <c r="I6" s="24"/>
      <c r="J6" s="24"/>
      <c r="K6" s="24"/>
      <c r="L6" s="24"/>
      <c r="M6" s="24"/>
      <c r="N6" s="24"/>
      <c r="O6" s="8"/>
      <c r="P6" s="8"/>
      <c r="Q6" s="8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ht="33.75" x14ac:dyDescent="0.5">
      <c r="A7" s="26" t="s">
        <v>2</v>
      </c>
      <c r="B7" s="24">
        <f>+B3+B4+B5+B6</f>
        <v>42998557</v>
      </c>
      <c r="C7" s="24">
        <f>C3+C4+C5+C6</f>
        <v>39595804</v>
      </c>
      <c r="D7" s="24">
        <f>+D3+D4+D5+D6</f>
        <v>45637754</v>
      </c>
      <c r="E7" s="24">
        <f t="shared" ref="E7:G7" si="0">SUM(E3:E6)</f>
        <v>42572124</v>
      </c>
      <c r="F7" s="24">
        <f t="shared" si="0"/>
        <v>49057408</v>
      </c>
      <c r="G7" s="24">
        <f t="shared" si="0"/>
        <v>47209781</v>
      </c>
      <c r="H7" s="24">
        <f t="shared" ref="G7:N7" si="1">SUM(H3:H6)</f>
        <v>0</v>
      </c>
      <c r="I7" s="24">
        <f>SUM(I3:I6)</f>
        <v>0</v>
      </c>
      <c r="J7" s="24">
        <f t="shared" si="1"/>
        <v>0</v>
      </c>
      <c r="K7" s="24"/>
      <c r="L7" s="24">
        <f t="shared" si="1"/>
        <v>0</v>
      </c>
      <c r="M7" s="24">
        <f t="shared" si="1"/>
        <v>0</v>
      </c>
      <c r="N7" s="24">
        <f t="shared" si="1"/>
        <v>0</v>
      </c>
      <c r="O7" s="8"/>
      <c r="P7" s="8"/>
      <c r="Q7" s="8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ht="33.75" x14ac:dyDescent="0.5">
      <c r="A8" s="23" t="s">
        <v>74</v>
      </c>
      <c r="B8" s="24">
        <v>103752</v>
      </c>
      <c r="C8" s="24">
        <v>57881</v>
      </c>
      <c r="D8" s="24">
        <v>52366</v>
      </c>
      <c r="E8" s="24">
        <v>34576</v>
      </c>
      <c r="F8" s="24">
        <v>66211</v>
      </c>
      <c r="G8" s="24">
        <v>44781</v>
      </c>
      <c r="H8" s="24"/>
      <c r="I8" s="24"/>
      <c r="J8" s="24"/>
      <c r="K8" s="24"/>
      <c r="L8" s="24"/>
      <c r="M8" s="24"/>
      <c r="N8" s="24"/>
      <c r="O8" s="8"/>
      <c r="P8" s="8"/>
      <c r="Q8" s="8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ht="33.75" x14ac:dyDescent="0.5">
      <c r="A9" s="27" t="s">
        <v>75</v>
      </c>
      <c r="B9" s="27">
        <f>+B7-B8</f>
        <v>42894805</v>
      </c>
      <c r="C9" s="27">
        <f>C7-C8</f>
        <v>39537923</v>
      </c>
      <c r="D9" s="27">
        <f>D7-D8</f>
        <v>45585388</v>
      </c>
      <c r="E9" s="27">
        <f t="shared" ref="E9:G9" si="2">E7-E8</f>
        <v>42537548</v>
      </c>
      <c r="F9" s="27">
        <f t="shared" si="2"/>
        <v>48991197</v>
      </c>
      <c r="G9" s="27">
        <f t="shared" si="2"/>
        <v>47165000</v>
      </c>
      <c r="H9" s="27">
        <f t="shared" ref="G9:N9" si="3">H7-H8</f>
        <v>0</v>
      </c>
      <c r="I9" s="27">
        <f>I7-I8</f>
        <v>0</v>
      </c>
      <c r="J9" s="27">
        <f t="shared" si="3"/>
        <v>0</v>
      </c>
      <c r="K9" s="27">
        <f t="shared" si="3"/>
        <v>0</v>
      </c>
      <c r="L9" s="27">
        <f t="shared" si="3"/>
        <v>0</v>
      </c>
      <c r="M9" s="27">
        <f t="shared" si="3"/>
        <v>0</v>
      </c>
      <c r="N9" s="27">
        <f t="shared" si="3"/>
        <v>0</v>
      </c>
      <c r="O9" s="8"/>
      <c r="P9" s="8"/>
      <c r="Q9" s="8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ht="33.75" x14ac:dyDescent="0.5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8"/>
      <c r="P10" s="8"/>
      <c r="Q10" s="8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ht="33.75" x14ac:dyDescent="0.5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8"/>
      <c r="P11" s="8"/>
      <c r="Q11" s="8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ht="33.75" x14ac:dyDescent="0.5">
      <c r="A12" s="108" t="s">
        <v>68</v>
      </c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8"/>
      <c r="P12" s="8"/>
      <c r="Q12" s="8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ht="33.75" x14ac:dyDescent="0.5">
      <c r="A13" s="29"/>
      <c r="B13" s="19" t="s">
        <v>29</v>
      </c>
      <c r="C13" s="19" t="s">
        <v>38</v>
      </c>
      <c r="D13" s="20" t="s">
        <v>45</v>
      </c>
      <c r="E13" s="20" t="s">
        <v>49</v>
      </c>
      <c r="F13" s="19" t="s">
        <v>51</v>
      </c>
      <c r="G13" s="19" t="s">
        <v>52</v>
      </c>
      <c r="H13" s="21" t="s">
        <v>53</v>
      </c>
      <c r="I13" s="21" t="s">
        <v>54</v>
      </c>
      <c r="J13" s="21" t="s">
        <v>55</v>
      </c>
      <c r="K13" s="21" t="s">
        <v>56</v>
      </c>
      <c r="L13" s="21" t="s">
        <v>57</v>
      </c>
      <c r="M13" s="21" t="s">
        <v>58</v>
      </c>
      <c r="N13" s="22" t="s">
        <v>0</v>
      </c>
      <c r="O13" s="8"/>
      <c r="P13" s="8"/>
      <c r="Q13" s="8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ht="33.75" x14ac:dyDescent="0.5">
      <c r="A14" s="23" t="s">
        <v>1</v>
      </c>
      <c r="B14" s="24">
        <f>+B7-B4</f>
        <v>36260624</v>
      </c>
      <c r="C14" s="24">
        <f t="shared" ref="C14:K14" si="4">+C7-C4</f>
        <v>32413686</v>
      </c>
      <c r="D14" s="24">
        <f t="shared" si="4"/>
        <v>37610299</v>
      </c>
      <c r="E14" s="24">
        <v>35094804</v>
      </c>
      <c r="F14" s="24">
        <f>F3+F5+F6</f>
        <v>40686608</v>
      </c>
      <c r="G14" s="24">
        <v>39840438</v>
      </c>
      <c r="H14" s="24">
        <f t="shared" si="4"/>
        <v>0</v>
      </c>
      <c r="I14" s="24">
        <f t="shared" si="4"/>
        <v>0</v>
      </c>
      <c r="J14" s="24">
        <f t="shared" si="4"/>
        <v>0</v>
      </c>
      <c r="K14" s="24">
        <f t="shared" si="4"/>
        <v>0</v>
      </c>
      <c r="L14" s="24"/>
      <c r="M14" s="24"/>
      <c r="N14" s="24">
        <f>SUM(B14:M14)</f>
        <v>221906459</v>
      </c>
      <c r="O14" s="8"/>
      <c r="P14" s="8"/>
      <c r="Q14" s="8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ht="33.75" x14ac:dyDescent="0.5">
      <c r="A15" s="25" t="s">
        <v>101</v>
      </c>
      <c r="B15" s="24">
        <v>163860</v>
      </c>
      <c r="C15" s="24">
        <v>98112</v>
      </c>
      <c r="D15" s="24">
        <v>69199</v>
      </c>
      <c r="E15" s="24"/>
      <c r="F15" s="24">
        <v>144797</v>
      </c>
      <c r="G15" s="24">
        <v>697835</v>
      </c>
      <c r="H15" s="24"/>
      <c r="I15" s="24"/>
      <c r="J15" s="24"/>
      <c r="K15" s="24"/>
      <c r="L15" s="24"/>
      <c r="M15" s="24"/>
      <c r="N15" s="24"/>
      <c r="O15" s="8"/>
      <c r="P15" s="8"/>
      <c r="Q15" s="8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 ht="33.75" x14ac:dyDescent="0.5">
      <c r="A16" s="25" t="s">
        <v>102</v>
      </c>
      <c r="B16" s="73">
        <v>2707799</v>
      </c>
      <c r="C16" s="73">
        <v>6419987</v>
      </c>
      <c r="D16" s="24">
        <v>7735528</v>
      </c>
      <c r="E16" s="24">
        <v>7698524</v>
      </c>
      <c r="F16" s="24">
        <v>8476548</v>
      </c>
      <c r="G16" s="24">
        <v>5918752</v>
      </c>
      <c r="H16" s="24"/>
      <c r="I16" s="24"/>
      <c r="J16" s="24"/>
      <c r="K16" s="24"/>
      <c r="L16" s="24"/>
      <c r="M16" s="24"/>
      <c r="N16" s="24"/>
      <c r="O16" s="8"/>
      <c r="P16" s="8"/>
      <c r="Q16" s="8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ht="33.75" x14ac:dyDescent="0.5">
      <c r="A17" s="30" t="s">
        <v>68</v>
      </c>
      <c r="B17" s="30">
        <f>B14+B15+B16</f>
        <v>39132283</v>
      </c>
      <c r="C17" s="30">
        <f>+C14+C15+C16</f>
        <v>38931785</v>
      </c>
      <c r="D17" s="30">
        <f>+D14+D15+D16</f>
        <v>45415026</v>
      </c>
      <c r="E17" s="30">
        <f t="shared" ref="E17:G17" si="5">E14+E15+E16</f>
        <v>42793328</v>
      </c>
      <c r="F17" s="30">
        <f t="shared" si="5"/>
        <v>49307953</v>
      </c>
      <c r="G17" s="30">
        <f t="shared" si="5"/>
        <v>46457025</v>
      </c>
      <c r="H17" s="30">
        <f t="shared" ref="G17:N17" si="6">H14+H15+H16</f>
        <v>0</v>
      </c>
      <c r="I17" s="30">
        <f>I14+I15+I16</f>
        <v>0</v>
      </c>
      <c r="J17" s="30">
        <f t="shared" si="6"/>
        <v>0</v>
      </c>
      <c r="K17" s="30">
        <f t="shared" si="6"/>
        <v>0</v>
      </c>
      <c r="L17" s="30">
        <f t="shared" si="6"/>
        <v>0</v>
      </c>
      <c r="M17" s="30">
        <f t="shared" si="6"/>
        <v>0</v>
      </c>
      <c r="N17" s="30">
        <f t="shared" si="6"/>
        <v>221906459</v>
      </c>
      <c r="O17" s="8"/>
      <c r="P17" s="8"/>
      <c r="Q17" s="8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ht="33.75" x14ac:dyDescent="0.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8"/>
      <c r="P18" s="8"/>
      <c r="Q18" s="8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s="18" customFormat="1" ht="33.75" x14ac:dyDescent="0.5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17"/>
      <c r="P19" s="17"/>
      <c r="Q19" s="17"/>
    </row>
    <row r="20" spans="1:33" ht="33.75" x14ac:dyDescent="0.25">
      <c r="A20" s="106" t="s">
        <v>60</v>
      </c>
      <c r="B20" s="106"/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8"/>
      <c r="P20" s="8"/>
      <c r="Q20" s="8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ht="33.75" x14ac:dyDescent="0.5">
      <c r="A21" s="31"/>
      <c r="B21" s="32" t="s">
        <v>29</v>
      </c>
      <c r="C21" s="32" t="s">
        <v>38</v>
      </c>
      <c r="D21" s="32" t="s">
        <v>45</v>
      </c>
      <c r="E21" s="32" t="s">
        <v>49</v>
      </c>
      <c r="F21" s="32" t="s">
        <v>51</v>
      </c>
      <c r="G21" s="32" t="s">
        <v>52</v>
      </c>
      <c r="H21" s="32" t="s">
        <v>53</v>
      </c>
      <c r="I21" s="32" t="s">
        <v>54</v>
      </c>
      <c r="J21" s="32" t="s">
        <v>55</v>
      </c>
      <c r="K21" s="32" t="s">
        <v>56</v>
      </c>
      <c r="L21" s="32" t="s">
        <v>57</v>
      </c>
      <c r="M21" s="32" t="s">
        <v>58</v>
      </c>
      <c r="N21" s="32" t="s">
        <v>0</v>
      </c>
      <c r="O21" s="8"/>
      <c r="P21" s="8"/>
      <c r="Q21" s="8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ht="33.75" x14ac:dyDescent="0.5">
      <c r="A22" s="31" t="s">
        <v>89</v>
      </c>
      <c r="B22" s="73">
        <v>1528732</v>
      </c>
      <c r="C22" s="73">
        <v>1540666</v>
      </c>
      <c r="D22" s="31">
        <v>1350311</v>
      </c>
      <c r="E22" s="31">
        <v>1601334</v>
      </c>
      <c r="F22" s="31">
        <v>2204377</v>
      </c>
      <c r="G22" s="31">
        <v>2411326</v>
      </c>
      <c r="H22" s="31"/>
      <c r="I22" s="31"/>
      <c r="J22" s="31"/>
      <c r="K22" s="31"/>
      <c r="L22" s="24"/>
      <c r="M22" s="24"/>
      <c r="N22" s="31">
        <f>SUM(B22:M22)</f>
        <v>10636746</v>
      </c>
      <c r="O22" s="8"/>
      <c r="P22" s="8"/>
      <c r="Q22" s="8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ht="33.75" x14ac:dyDescent="0.5">
      <c r="A23" s="31" t="s">
        <v>39</v>
      </c>
      <c r="B23" s="73">
        <v>19534077</v>
      </c>
      <c r="C23" s="73">
        <v>15750183</v>
      </c>
      <c r="D23" s="31">
        <v>19203246</v>
      </c>
      <c r="E23" s="31">
        <v>18953839</v>
      </c>
      <c r="F23" s="31">
        <v>19428826</v>
      </c>
      <c r="G23" s="31">
        <v>18229322</v>
      </c>
      <c r="H23" s="31"/>
      <c r="I23" s="31"/>
      <c r="J23" s="31"/>
      <c r="K23" s="31"/>
      <c r="L23" s="31"/>
      <c r="M23" s="31"/>
      <c r="N23" s="31">
        <f t="shared" ref="N23:N25" si="7">SUM(B23:M23)</f>
        <v>111099493</v>
      </c>
      <c r="O23" s="8"/>
      <c r="P23" s="8"/>
      <c r="Q23" s="8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ht="33.75" x14ac:dyDescent="0.5">
      <c r="A24" s="31" t="s">
        <v>33</v>
      </c>
      <c r="B24" s="73">
        <v>2612969</v>
      </c>
      <c r="C24" s="73">
        <v>1527037</v>
      </c>
      <c r="D24" s="31">
        <v>2377518</v>
      </c>
      <c r="E24" s="31">
        <v>1669127</v>
      </c>
      <c r="F24" s="31">
        <v>2438304</v>
      </c>
      <c r="G24" s="31">
        <v>1865148</v>
      </c>
      <c r="H24" s="31"/>
      <c r="I24" s="31"/>
      <c r="J24" s="31"/>
      <c r="K24" s="31"/>
      <c r="L24" s="31"/>
      <c r="M24" s="31"/>
      <c r="N24" s="31">
        <f t="shared" si="7"/>
        <v>12490103</v>
      </c>
      <c r="O24" s="8"/>
      <c r="P24" s="8"/>
      <c r="Q24" s="8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ht="33.75" x14ac:dyDescent="0.5">
      <c r="A25" s="31" t="s">
        <v>30</v>
      </c>
      <c r="B25" s="73">
        <v>4285801</v>
      </c>
      <c r="C25" s="73">
        <v>5375594</v>
      </c>
      <c r="D25" s="31">
        <v>4818638</v>
      </c>
      <c r="E25" s="31">
        <v>6248640</v>
      </c>
      <c r="F25" s="31">
        <v>6521657</v>
      </c>
      <c r="G25" s="31">
        <v>4171682</v>
      </c>
      <c r="H25" s="31"/>
      <c r="I25" s="31"/>
      <c r="J25" s="31"/>
      <c r="K25" s="31"/>
      <c r="L25" s="31"/>
      <c r="M25" s="31"/>
      <c r="N25" s="31">
        <f t="shared" si="7"/>
        <v>31422012</v>
      </c>
      <c r="O25" s="8"/>
      <c r="P25" s="8"/>
      <c r="Q25" s="8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ht="33.75" x14ac:dyDescent="0.5">
      <c r="A26" s="24" t="s">
        <v>3</v>
      </c>
      <c r="B26" s="73">
        <v>2779892</v>
      </c>
      <c r="C26" s="73">
        <v>2473701</v>
      </c>
      <c r="D26" s="33">
        <v>12575036</v>
      </c>
      <c r="E26" s="31">
        <v>2593465</v>
      </c>
      <c r="F26" s="31">
        <v>5769162</v>
      </c>
      <c r="G26" s="31">
        <v>2837182</v>
      </c>
      <c r="H26" s="31"/>
      <c r="I26" s="31"/>
      <c r="J26" s="31"/>
      <c r="K26" s="31"/>
      <c r="L26" s="31"/>
      <c r="M26" s="31"/>
      <c r="N26" s="31">
        <f>SUM(B26:M26)</f>
        <v>29028438</v>
      </c>
      <c r="O26" s="8"/>
      <c r="P26" s="8"/>
      <c r="Q26" s="8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ht="33.75" x14ac:dyDescent="0.5">
      <c r="A27" s="31"/>
      <c r="B27" s="31"/>
      <c r="C27" s="31"/>
      <c r="D27" s="33"/>
      <c r="E27" s="31"/>
      <c r="F27" s="31"/>
      <c r="G27" s="31"/>
      <c r="H27" s="31"/>
      <c r="I27" s="31"/>
      <c r="J27" s="31"/>
      <c r="K27" s="31"/>
      <c r="L27" s="31"/>
      <c r="M27" s="31"/>
      <c r="N27" s="31">
        <f t="shared" ref="N27" si="8">SUM(B27:M27)</f>
        <v>0</v>
      </c>
      <c r="O27" s="8"/>
      <c r="P27" s="8"/>
      <c r="Q27" s="8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ht="33.75" x14ac:dyDescent="0.5">
      <c r="A28" s="34" t="s">
        <v>99</v>
      </c>
      <c r="B28" s="35">
        <f>SUM(B22:B27)</f>
        <v>30741471</v>
      </c>
      <c r="C28" s="35">
        <f t="shared" ref="C28:F28" si="9">SUM(C22:C27)</f>
        <v>26667181</v>
      </c>
      <c r="D28" s="35">
        <f t="shared" si="9"/>
        <v>40324749</v>
      </c>
      <c r="E28" s="35">
        <f t="shared" si="9"/>
        <v>31066405</v>
      </c>
      <c r="F28" s="35">
        <f t="shared" si="9"/>
        <v>36362326</v>
      </c>
      <c r="G28" s="35">
        <f t="shared" ref="G28" si="10">SUM(G22:G27)</f>
        <v>29514660</v>
      </c>
      <c r="H28" s="35">
        <f t="shared" ref="G28:N28" si="11">SUM(H22:H27)</f>
        <v>0</v>
      </c>
      <c r="I28" s="35">
        <f>SUM(I22:I27)</f>
        <v>0</v>
      </c>
      <c r="J28" s="35">
        <f t="shared" si="11"/>
        <v>0</v>
      </c>
      <c r="K28" s="35">
        <f t="shared" si="11"/>
        <v>0</v>
      </c>
      <c r="L28" s="35">
        <f t="shared" si="11"/>
        <v>0</v>
      </c>
      <c r="M28" s="35">
        <f t="shared" si="11"/>
        <v>0</v>
      </c>
      <c r="N28" s="35">
        <f t="shared" si="11"/>
        <v>194676792</v>
      </c>
      <c r="O28" s="8"/>
      <c r="P28" s="8"/>
      <c r="Q28" s="8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ht="33.75" x14ac:dyDescent="0.5">
      <c r="A29" s="36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8"/>
      <c r="P29" s="8"/>
      <c r="Q29" s="8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ht="33.75" x14ac:dyDescent="0.25">
      <c r="A30" s="107" t="s">
        <v>98</v>
      </c>
      <c r="B30" s="107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8"/>
      <c r="P30" s="8"/>
      <c r="Q30" s="8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ht="33.75" x14ac:dyDescent="0.5">
      <c r="A31" s="31"/>
      <c r="B31" s="32" t="s">
        <v>29</v>
      </c>
      <c r="C31" s="32" t="s">
        <v>38</v>
      </c>
      <c r="D31" s="32" t="s">
        <v>45</v>
      </c>
      <c r="E31" s="32" t="s">
        <v>49</v>
      </c>
      <c r="F31" s="32" t="s">
        <v>51</v>
      </c>
      <c r="G31" s="32" t="s">
        <v>52</v>
      </c>
      <c r="H31" s="32" t="s">
        <v>53</v>
      </c>
      <c r="I31" s="32" t="s">
        <v>54</v>
      </c>
      <c r="J31" s="32" t="s">
        <v>55</v>
      </c>
      <c r="K31" s="32" t="s">
        <v>56</v>
      </c>
      <c r="L31" s="32" t="s">
        <v>57</v>
      </c>
      <c r="M31" s="32" t="s">
        <v>58</v>
      </c>
      <c r="N31" s="32" t="s">
        <v>0</v>
      </c>
      <c r="O31" s="8"/>
      <c r="P31" s="8"/>
      <c r="Q31" s="8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ht="33.75" x14ac:dyDescent="0.5">
      <c r="A32" s="31" t="s">
        <v>89</v>
      </c>
      <c r="B32" s="24">
        <v>1067939</v>
      </c>
      <c r="C32" s="24">
        <v>2070728</v>
      </c>
      <c r="D32" s="31">
        <v>1284572</v>
      </c>
      <c r="E32" s="31">
        <v>1728838</v>
      </c>
      <c r="F32" s="31">
        <v>1369800</v>
      </c>
      <c r="G32" s="31">
        <v>2626221</v>
      </c>
      <c r="H32" s="31"/>
      <c r="I32" s="31"/>
      <c r="J32" s="31"/>
      <c r="K32" s="31"/>
      <c r="L32" s="24"/>
      <c r="M32" s="24"/>
      <c r="N32" s="31">
        <f>SUM(B32:M32)</f>
        <v>10148098</v>
      </c>
      <c r="O32" s="8"/>
      <c r="P32" s="8"/>
      <c r="Q32" s="8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ht="33.75" x14ac:dyDescent="0.5">
      <c r="A33" s="31" t="s">
        <v>39</v>
      </c>
      <c r="B33" s="31">
        <v>18808740</v>
      </c>
      <c r="C33" s="31">
        <v>18216040</v>
      </c>
      <c r="D33" s="31">
        <v>0</v>
      </c>
      <c r="E33" s="31">
        <v>0</v>
      </c>
      <c r="F33" s="31">
        <v>17214944</v>
      </c>
      <c r="G33" s="31">
        <v>19103010</v>
      </c>
      <c r="H33" s="31"/>
      <c r="I33" s="31"/>
      <c r="J33" s="31"/>
      <c r="K33" s="31"/>
      <c r="L33" s="31"/>
      <c r="M33" s="31"/>
      <c r="N33" s="31">
        <f t="shared" ref="N33:N37" si="12">SUM(B33:M33)</f>
        <v>73342734</v>
      </c>
      <c r="O33" s="8"/>
      <c r="P33" s="8"/>
      <c r="Q33" s="8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ht="33.75" x14ac:dyDescent="0.5">
      <c r="A34" s="31" t="s">
        <v>33</v>
      </c>
      <c r="B34" s="31">
        <v>1294675</v>
      </c>
      <c r="C34" s="31">
        <v>2355519</v>
      </c>
      <c r="D34" s="31">
        <v>2377518</v>
      </c>
      <c r="E34" s="31">
        <v>1980687</v>
      </c>
      <c r="F34" s="31">
        <v>671435</v>
      </c>
      <c r="G34" s="31">
        <v>1752277</v>
      </c>
      <c r="H34" s="31"/>
      <c r="I34" s="31"/>
      <c r="J34" s="31"/>
      <c r="K34" s="31"/>
      <c r="L34" s="31"/>
      <c r="M34" s="31"/>
      <c r="N34" s="31">
        <f t="shared" si="12"/>
        <v>10432111</v>
      </c>
      <c r="O34" s="8"/>
      <c r="P34" s="8"/>
      <c r="Q34" s="8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ht="33.75" x14ac:dyDescent="0.5">
      <c r="A35" s="31" t="s">
        <v>30</v>
      </c>
      <c r="B35" s="31">
        <v>4946364</v>
      </c>
      <c r="C35" s="31">
        <v>5546817</v>
      </c>
      <c r="D35" s="31">
        <v>4818638</v>
      </c>
      <c r="E35" s="31">
        <v>6484146</v>
      </c>
      <c r="F35" s="31">
        <v>5027965</v>
      </c>
      <c r="G35" s="31">
        <v>5300020</v>
      </c>
      <c r="H35" s="31"/>
      <c r="I35" s="31"/>
      <c r="J35" s="31"/>
      <c r="K35" s="31"/>
      <c r="L35" s="31"/>
      <c r="M35" s="31"/>
      <c r="N35" s="31">
        <f t="shared" si="12"/>
        <v>32123950</v>
      </c>
      <c r="O35" s="8"/>
      <c r="P35" s="8"/>
      <c r="Q35" s="8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ht="33.75" x14ac:dyDescent="0.5">
      <c r="A36" s="24" t="s">
        <v>3</v>
      </c>
      <c r="B36" s="73">
        <v>2779892</v>
      </c>
      <c r="C36" s="73">
        <v>2473701</v>
      </c>
      <c r="D36" s="33">
        <v>12575036</v>
      </c>
      <c r="E36" s="31">
        <v>4552490</v>
      </c>
      <c r="F36" s="31">
        <v>3724416</v>
      </c>
      <c r="G36" s="31">
        <v>2059362</v>
      </c>
      <c r="H36" s="31"/>
      <c r="I36" s="31"/>
      <c r="J36" s="31"/>
      <c r="K36" s="31"/>
      <c r="L36" s="31"/>
      <c r="M36" s="31"/>
      <c r="N36" s="31">
        <f t="shared" si="12"/>
        <v>28164897</v>
      </c>
      <c r="O36" s="8"/>
      <c r="P36" s="8"/>
      <c r="Q36" s="8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ht="33.75" x14ac:dyDescent="0.5">
      <c r="A37" s="31" t="s">
        <v>103</v>
      </c>
      <c r="B37" s="31"/>
      <c r="C37" s="31"/>
      <c r="D37" s="33">
        <v>3000000</v>
      </c>
      <c r="E37" s="31">
        <v>3000000</v>
      </c>
      <c r="F37" s="31">
        <v>3000000</v>
      </c>
      <c r="G37" s="31">
        <v>3000000</v>
      </c>
      <c r="H37" s="31"/>
      <c r="I37" s="31"/>
      <c r="J37" s="31"/>
      <c r="K37" s="31"/>
      <c r="L37" s="31"/>
      <c r="M37" s="31"/>
      <c r="N37" s="31">
        <f t="shared" si="12"/>
        <v>12000000</v>
      </c>
      <c r="O37" s="8"/>
      <c r="P37" s="8"/>
      <c r="Q37" s="8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ht="33.75" x14ac:dyDescent="0.5">
      <c r="A38" s="34" t="s">
        <v>100</v>
      </c>
      <c r="B38" s="35">
        <f>SUM(B32:B37)</f>
        <v>28897610</v>
      </c>
      <c r="C38" s="35">
        <f t="shared" ref="C38:F38" si="13">SUM(C32:C37)</f>
        <v>30662805</v>
      </c>
      <c r="D38" s="35">
        <f t="shared" si="13"/>
        <v>24055764</v>
      </c>
      <c r="E38" s="35">
        <f t="shared" si="13"/>
        <v>17746161</v>
      </c>
      <c r="F38" s="35">
        <f t="shared" si="13"/>
        <v>31008560</v>
      </c>
      <c r="G38" s="35">
        <f t="shared" ref="G38" si="14">SUM(G32:G37)</f>
        <v>33840890</v>
      </c>
      <c r="H38" s="35"/>
      <c r="I38" s="35">
        <f>SUM(I32:I37)</f>
        <v>0</v>
      </c>
      <c r="J38" s="35">
        <f>SUM(J32:J37)</f>
        <v>0</v>
      </c>
      <c r="K38" s="35">
        <f>SUM(K32:K37)</f>
        <v>0</v>
      </c>
      <c r="L38" s="35">
        <f>SUM(L32:L37)</f>
        <v>0</v>
      </c>
      <c r="M38" s="35">
        <f>SUM(M32:M37)</f>
        <v>0</v>
      </c>
      <c r="N38" s="35">
        <f>SUM(B38:M38)</f>
        <v>166211790</v>
      </c>
      <c r="O38" s="8"/>
      <c r="P38" s="8"/>
      <c r="Q38" s="8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ht="33.75" x14ac:dyDescent="0.5">
      <c r="A39" s="110" t="s">
        <v>62</v>
      </c>
      <c r="B39" s="111"/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8"/>
      <c r="P39" s="8"/>
      <c r="Q39" s="8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ht="33.75" x14ac:dyDescent="0.5">
      <c r="A40" s="37"/>
      <c r="B40" s="32" t="s">
        <v>29</v>
      </c>
      <c r="C40" s="32" t="s">
        <v>38</v>
      </c>
      <c r="D40" s="32" t="s">
        <v>45</v>
      </c>
      <c r="E40" s="32" t="s">
        <v>49</v>
      </c>
      <c r="F40" s="32" t="s">
        <v>51</v>
      </c>
      <c r="G40" s="32" t="s">
        <v>52</v>
      </c>
      <c r="H40" s="32" t="s">
        <v>53</v>
      </c>
      <c r="I40" s="32" t="s">
        <v>54</v>
      </c>
      <c r="J40" s="32" t="s">
        <v>55</v>
      </c>
      <c r="K40" s="32" t="s">
        <v>56</v>
      </c>
      <c r="L40" s="32" t="s">
        <v>57</v>
      </c>
      <c r="M40" s="32" t="s">
        <v>58</v>
      </c>
      <c r="N40" s="32" t="s">
        <v>0</v>
      </c>
      <c r="O40" s="8"/>
      <c r="P40" s="8"/>
      <c r="Q40" s="8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ht="33.75" x14ac:dyDescent="0.5">
      <c r="A41" s="31" t="s">
        <v>43</v>
      </c>
      <c r="B41" s="31">
        <v>600000</v>
      </c>
      <c r="C41" s="31">
        <v>600000</v>
      </c>
      <c r="D41" s="31">
        <v>600000</v>
      </c>
      <c r="E41" s="31">
        <v>600000</v>
      </c>
      <c r="F41" s="31">
        <v>600000</v>
      </c>
      <c r="G41" s="31">
        <v>600000</v>
      </c>
      <c r="H41" s="31"/>
      <c r="I41" s="31"/>
      <c r="J41" s="31"/>
      <c r="K41" s="31"/>
      <c r="L41" s="31"/>
      <c r="M41" s="31"/>
      <c r="N41" s="31">
        <f>SUM(B41:M41)</f>
        <v>3600000</v>
      </c>
      <c r="O41" s="8"/>
      <c r="P41" s="8"/>
      <c r="Q41" s="8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ht="33.75" x14ac:dyDescent="0.5">
      <c r="A42" s="31" t="s">
        <v>31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>
        <f t="shared" ref="N42:N75" si="15">SUM(B42:M42)</f>
        <v>0</v>
      </c>
      <c r="O42" s="8"/>
      <c r="P42" s="8"/>
      <c r="Q42" s="8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ht="33.75" x14ac:dyDescent="0.5">
      <c r="A43" s="31" t="s">
        <v>6</v>
      </c>
      <c r="B43" s="31"/>
      <c r="C43" s="31">
        <v>7676</v>
      </c>
      <c r="D43" s="31"/>
      <c r="E43" s="31">
        <v>8484</v>
      </c>
      <c r="F43" s="31"/>
      <c r="G43" s="31"/>
      <c r="H43" s="31"/>
      <c r="I43" s="31"/>
      <c r="J43" s="31"/>
      <c r="K43" s="31"/>
      <c r="L43" s="31"/>
      <c r="M43" s="31"/>
      <c r="N43" s="31">
        <f t="shared" si="15"/>
        <v>16160</v>
      </c>
      <c r="O43" s="8"/>
      <c r="P43" s="8"/>
      <c r="Q43" s="8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ht="33.75" x14ac:dyDescent="0.5">
      <c r="A44" s="31" t="s">
        <v>72</v>
      </c>
      <c r="B44" s="31"/>
      <c r="C44" s="31">
        <v>46551</v>
      </c>
      <c r="D44" s="31">
        <v>7097</v>
      </c>
      <c r="E44" s="31"/>
      <c r="F44" s="31"/>
      <c r="G44" s="31">
        <v>11418</v>
      </c>
      <c r="H44" s="31"/>
      <c r="I44" s="31"/>
      <c r="J44" s="31"/>
      <c r="K44" s="31"/>
      <c r="L44" s="31"/>
      <c r="M44" s="31"/>
      <c r="N44" s="31">
        <f t="shared" si="15"/>
        <v>65066</v>
      </c>
      <c r="O44" s="8"/>
      <c r="P44" s="8"/>
      <c r="Q44" s="8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ht="33.75" x14ac:dyDescent="0.5">
      <c r="A45" s="31" t="s">
        <v>115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>
        <f t="shared" si="15"/>
        <v>0</v>
      </c>
      <c r="O45" s="8"/>
      <c r="P45" s="8"/>
      <c r="Q45" s="8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ht="33.75" x14ac:dyDescent="0.5">
      <c r="A46" s="31" t="s">
        <v>8</v>
      </c>
      <c r="B46" s="31">
        <v>20800</v>
      </c>
      <c r="C46" s="31">
        <v>20800</v>
      </c>
      <c r="D46" s="31">
        <v>21400</v>
      </c>
      <c r="E46" s="31">
        <v>20100</v>
      </c>
      <c r="F46" s="31">
        <v>20100</v>
      </c>
      <c r="G46" s="31">
        <v>20100</v>
      </c>
      <c r="H46" s="31"/>
      <c r="I46" s="31"/>
      <c r="J46" s="31"/>
      <c r="K46" s="31"/>
      <c r="L46" s="31"/>
      <c r="M46" s="31"/>
      <c r="N46" s="31">
        <f t="shared" si="15"/>
        <v>123300</v>
      </c>
      <c r="O46" s="8"/>
      <c r="P46" s="8"/>
      <c r="Q46" s="8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ht="33.75" x14ac:dyDescent="0.5">
      <c r="A47" s="31" t="s">
        <v>34</v>
      </c>
      <c r="B47" s="31">
        <v>5000</v>
      </c>
      <c r="C47" s="31">
        <v>5000</v>
      </c>
      <c r="D47" s="31">
        <v>5000</v>
      </c>
      <c r="E47" s="31">
        <v>5000</v>
      </c>
      <c r="F47" s="31">
        <v>5000</v>
      </c>
      <c r="G47" s="31">
        <v>5000</v>
      </c>
      <c r="H47" s="31"/>
      <c r="I47" s="31"/>
      <c r="J47" s="31"/>
      <c r="K47" s="31"/>
      <c r="L47" s="31"/>
      <c r="M47" s="31"/>
      <c r="N47" s="31">
        <f t="shared" si="15"/>
        <v>30000</v>
      </c>
      <c r="O47" s="8"/>
      <c r="P47" s="8"/>
      <c r="Q47" s="8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ht="33.75" x14ac:dyDescent="0.5">
      <c r="A48" s="31" t="s">
        <v>9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>
        <f t="shared" si="15"/>
        <v>0</v>
      </c>
      <c r="O48" s="8"/>
      <c r="P48" s="8"/>
      <c r="Q48" s="8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ht="33.75" x14ac:dyDescent="0.5">
      <c r="A49" s="31" t="s">
        <v>32</v>
      </c>
      <c r="B49" s="31">
        <v>10000</v>
      </c>
      <c r="C49" s="31">
        <v>10000</v>
      </c>
      <c r="D49" s="31">
        <v>10000</v>
      </c>
      <c r="E49" s="31">
        <v>10000</v>
      </c>
      <c r="F49" s="31">
        <v>10000</v>
      </c>
      <c r="G49" s="31">
        <v>5000</v>
      </c>
      <c r="H49" s="31"/>
      <c r="I49" s="31"/>
      <c r="J49" s="31"/>
      <c r="K49" s="31"/>
      <c r="L49" s="31"/>
      <c r="M49" s="31"/>
      <c r="N49" s="31">
        <f t="shared" si="15"/>
        <v>55000</v>
      </c>
      <c r="O49" s="8"/>
      <c r="P49" s="8"/>
      <c r="Q49" s="8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ht="33.75" x14ac:dyDescent="0.5">
      <c r="A50" s="31" t="s">
        <v>10</v>
      </c>
      <c r="B50" s="31">
        <v>150000</v>
      </c>
      <c r="C50" s="31"/>
      <c r="D50" s="31">
        <v>50000</v>
      </c>
      <c r="E50" s="31">
        <v>223020</v>
      </c>
      <c r="F50" s="31"/>
      <c r="G50" s="31">
        <v>125000</v>
      </c>
      <c r="H50" s="31"/>
      <c r="I50" s="31"/>
      <c r="J50" s="31"/>
      <c r="K50" s="31"/>
      <c r="L50" s="31"/>
      <c r="M50" s="31"/>
      <c r="N50" s="31">
        <f t="shared" si="15"/>
        <v>548020</v>
      </c>
      <c r="O50" s="8"/>
      <c r="P50" s="8"/>
      <c r="Q50" s="8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ht="33.75" x14ac:dyDescent="0.5">
      <c r="A51" s="31" t="s">
        <v>37</v>
      </c>
      <c r="B51" s="31"/>
      <c r="C51" s="31">
        <v>25000</v>
      </c>
      <c r="D51" s="31">
        <v>13400</v>
      </c>
      <c r="E51" s="31"/>
      <c r="F51" s="31"/>
      <c r="G51" s="31"/>
      <c r="H51" s="31"/>
      <c r="I51" s="31"/>
      <c r="J51" s="31"/>
      <c r="K51" s="31"/>
      <c r="L51" s="31"/>
      <c r="M51" s="31"/>
      <c r="N51" s="31">
        <f t="shared" si="15"/>
        <v>38400</v>
      </c>
      <c r="O51" s="8"/>
      <c r="P51" s="8"/>
      <c r="Q51" s="8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ht="33.75" x14ac:dyDescent="0.5">
      <c r="A52" s="31" t="s">
        <v>76</v>
      </c>
      <c r="B52" s="31">
        <v>200000</v>
      </c>
      <c r="C52" s="31">
        <v>9208</v>
      </c>
      <c r="D52" s="31">
        <v>72896</v>
      </c>
      <c r="E52" s="31">
        <v>52878</v>
      </c>
      <c r="F52" s="31"/>
      <c r="G52" s="31">
        <v>21374</v>
      </c>
      <c r="H52" s="31"/>
      <c r="I52" s="31"/>
      <c r="J52" s="31"/>
      <c r="K52" s="31"/>
      <c r="L52" s="31"/>
      <c r="M52" s="31"/>
      <c r="N52" s="31">
        <f t="shared" si="15"/>
        <v>356356</v>
      </c>
      <c r="O52" s="8"/>
      <c r="P52" s="8"/>
      <c r="Q52" s="8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ht="33.75" x14ac:dyDescent="0.5">
      <c r="A53" s="31" t="s">
        <v>67</v>
      </c>
      <c r="B53" s="31">
        <v>446522</v>
      </c>
      <c r="C53" s="31">
        <v>96500</v>
      </c>
      <c r="D53" s="31">
        <v>84000</v>
      </c>
      <c r="E53" s="31">
        <v>171130</v>
      </c>
      <c r="F53" s="31">
        <v>24000</v>
      </c>
      <c r="G53" s="31"/>
      <c r="H53" s="31"/>
      <c r="I53" s="31"/>
      <c r="J53" s="31"/>
      <c r="K53" s="31"/>
      <c r="L53" s="31"/>
      <c r="M53" s="31"/>
      <c r="N53" s="31">
        <f t="shared" si="15"/>
        <v>822152</v>
      </c>
      <c r="O53" s="8"/>
      <c r="P53" s="8"/>
      <c r="Q53" s="8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ht="33.75" x14ac:dyDescent="0.5">
      <c r="A54" s="31" t="s">
        <v>41</v>
      </c>
      <c r="B54" s="31">
        <v>30500</v>
      </c>
      <c r="C54" s="31">
        <v>35500</v>
      </c>
      <c r="D54" s="31">
        <v>34600</v>
      </c>
      <c r="E54" s="31">
        <v>464642</v>
      </c>
      <c r="F54" s="31">
        <v>381500</v>
      </c>
      <c r="G54" s="31">
        <v>33500</v>
      </c>
      <c r="H54" s="31"/>
      <c r="I54" s="31"/>
      <c r="J54" s="31"/>
      <c r="K54" s="31"/>
      <c r="L54" s="31"/>
      <c r="M54" s="31"/>
      <c r="N54" s="31">
        <f t="shared" si="15"/>
        <v>980242</v>
      </c>
      <c r="O54" s="8"/>
      <c r="P54" s="8"/>
      <c r="Q54" s="8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ht="33.75" x14ac:dyDescent="0.5">
      <c r="A55" s="31" t="s">
        <v>82</v>
      </c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>
        <f t="shared" si="15"/>
        <v>0</v>
      </c>
      <c r="O55" s="8"/>
      <c r="P55" s="8"/>
      <c r="Q55" s="8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ht="33.75" x14ac:dyDescent="0.5">
      <c r="A56" s="31" t="s">
        <v>116</v>
      </c>
      <c r="B56" s="31"/>
      <c r="C56" s="31"/>
      <c r="D56" s="31"/>
      <c r="E56" s="31">
        <v>97600</v>
      </c>
      <c r="F56" s="31"/>
      <c r="G56" s="31"/>
      <c r="H56" s="31"/>
      <c r="I56" s="31"/>
      <c r="J56" s="31"/>
      <c r="K56" s="31"/>
      <c r="L56" s="31"/>
      <c r="M56" s="31"/>
      <c r="N56" s="31">
        <f t="shared" si="15"/>
        <v>97600</v>
      </c>
      <c r="O56" s="8"/>
      <c r="P56" s="8"/>
      <c r="Q56" s="8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ht="33.75" x14ac:dyDescent="0.5">
      <c r="A57" s="31" t="s">
        <v>11</v>
      </c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>
        <f t="shared" si="15"/>
        <v>0</v>
      </c>
      <c r="O57" s="8"/>
      <c r="P57" s="8"/>
      <c r="Q57" s="8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ht="33.75" x14ac:dyDescent="0.5">
      <c r="A58" s="31" t="s">
        <v>12</v>
      </c>
      <c r="B58" s="31"/>
      <c r="C58" s="31">
        <v>560000</v>
      </c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>
        <f t="shared" si="15"/>
        <v>560000</v>
      </c>
      <c r="O58" s="8"/>
      <c r="P58" s="8"/>
      <c r="Q58" s="8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ht="33.75" x14ac:dyDescent="0.5">
      <c r="A59" s="31" t="s">
        <v>25</v>
      </c>
      <c r="B59" s="31"/>
      <c r="C59" s="31"/>
      <c r="D59" s="31">
        <v>10000</v>
      </c>
      <c r="E59" s="31">
        <v>37000</v>
      </c>
      <c r="F59" s="31"/>
      <c r="G59" s="31"/>
      <c r="H59" s="31"/>
      <c r="I59" s="31"/>
      <c r="J59" s="31"/>
      <c r="K59" s="31"/>
      <c r="L59" s="31"/>
      <c r="M59" s="31"/>
      <c r="N59" s="31">
        <f t="shared" si="15"/>
        <v>47000</v>
      </c>
      <c r="O59" s="8"/>
      <c r="P59" s="8"/>
      <c r="Q59" s="8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ht="33.75" x14ac:dyDescent="0.5">
      <c r="A60" s="31" t="s">
        <v>27</v>
      </c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>
        <f t="shared" si="15"/>
        <v>0</v>
      </c>
      <c r="O60" s="8"/>
      <c r="P60" s="8"/>
      <c r="Q60" s="8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ht="33.75" x14ac:dyDescent="0.5">
      <c r="A61" s="31" t="s">
        <v>28</v>
      </c>
      <c r="B61" s="31"/>
      <c r="C61" s="31">
        <v>200600</v>
      </c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>
        <f t="shared" si="15"/>
        <v>200600</v>
      </c>
      <c r="O61" s="8"/>
      <c r="P61" s="8"/>
      <c r="Q61" s="8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ht="33.75" x14ac:dyDescent="0.5">
      <c r="A62" s="31" t="s">
        <v>13</v>
      </c>
      <c r="B62" s="31"/>
      <c r="C62" s="31"/>
      <c r="D62" s="31"/>
      <c r="E62" s="31"/>
      <c r="F62" s="31">
        <v>20000</v>
      </c>
      <c r="G62" s="31"/>
      <c r="H62" s="31"/>
      <c r="I62" s="31"/>
      <c r="J62" s="31"/>
      <c r="K62" s="31"/>
      <c r="L62" s="31"/>
      <c r="M62" s="31"/>
      <c r="N62" s="31">
        <f t="shared" si="15"/>
        <v>20000</v>
      </c>
      <c r="O62" s="8"/>
      <c r="P62" s="8"/>
      <c r="Q62" s="8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ht="33.75" x14ac:dyDescent="0.5">
      <c r="A63" s="31" t="s">
        <v>40</v>
      </c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>
        <f t="shared" si="15"/>
        <v>0</v>
      </c>
      <c r="O63" s="8"/>
      <c r="P63" s="8"/>
      <c r="Q63" s="8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ht="33.75" customHeight="1" x14ac:dyDescent="0.5">
      <c r="A64" s="31" t="s">
        <v>77</v>
      </c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>
        <f t="shared" si="15"/>
        <v>0</v>
      </c>
      <c r="O64" s="8"/>
      <c r="P64" s="8"/>
      <c r="Q64" s="8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ht="40.5" customHeight="1" x14ac:dyDescent="0.5">
      <c r="A65" s="31" t="s">
        <v>44</v>
      </c>
      <c r="B65" s="31"/>
      <c r="C65" s="31"/>
      <c r="D65" s="31">
        <v>243709</v>
      </c>
      <c r="E65" s="31">
        <v>537593</v>
      </c>
      <c r="F65" s="31">
        <v>36500</v>
      </c>
      <c r="G65" s="31"/>
      <c r="H65" s="31"/>
      <c r="I65" s="31"/>
      <c r="J65" s="31"/>
      <c r="K65" s="31"/>
      <c r="L65" s="31"/>
      <c r="M65" s="31"/>
      <c r="N65" s="31">
        <f t="shared" si="15"/>
        <v>817802</v>
      </c>
      <c r="O65" s="8"/>
      <c r="P65" s="8"/>
      <c r="Q65" s="8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ht="33.75" x14ac:dyDescent="0.5">
      <c r="A66" s="31" t="s">
        <v>5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>
        <f t="shared" si="15"/>
        <v>0</v>
      </c>
      <c r="O66" s="8"/>
      <c r="P66" s="8"/>
      <c r="Q66" s="8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ht="33.75" x14ac:dyDescent="0.5">
      <c r="A67" s="31" t="s">
        <v>14</v>
      </c>
      <c r="B67" s="31"/>
      <c r="C67" s="31">
        <v>26000</v>
      </c>
      <c r="D67" s="31">
        <v>438979</v>
      </c>
      <c r="E67" s="31"/>
      <c r="F67" s="31"/>
      <c r="G67" s="31"/>
      <c r="H67" s="31"/>
      <c r="I67" s="31"/>
      <c r="J67" s="31"/>
      <c r="K67" s="31"/>
      <c r="L67" s="31"/>
      <c r="M67" s="31"/>
      <c r="N67" s="31">
        <f t="shared" si="15"/>
        <v>464979</v>
      </c>
      <c r="O67" s="8"/>
      <c r="P67" s="8"/>
      <c r="Q67" s="8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ht="33.75" x14ac:dyDescent="0.5">
      <c r="A68" s="31" t="s">
        <v>78</v>
      </c>
      <c r="B68" s="31">
        <v>236000</v>
      </c>
      <c r="C68" s="31">
        <v>236000</v>
      </c>
      <c r="D68" s="31">
        <v>424800</v>
      </c>
      <c r="E68" s="31">
        <v>236000</v>
      </c>
      <c r="F68" s="31">
        <v>236000</v>
      </c>
      <c r="G68" s="31">
        <v>236000</v>
      </c>
      <c r="H68" s="31"/>
      <c r="I68" s="31"/>
      <c r="J68" s="31"/>
      <c r="K68" s="31"/>
      <c r="L68" s="31"/>
      <c r="M68" s="31"/>
      <c r="N68" s="31">
        <f t="shared" si="15"/>
        <v>1604800</v>
      </c>
      <c r="O68" s="8"/>
      <c r="P68" s="8"/>
      <c r="Q68" s="8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ht="33.75" x14ac:dyDescent="0.5">
      <c r="A69" s="31" t="s">
        <v>79</v>
      </c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>
        <f t="shared" si="15"/>
        <v>0</v>
      </c>
      <c r="O69" s="8"/>
      <c r="P69" s="8"/>
      <c r="Q69" s="8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ht="33.75" x14ac:dyDescent="0.5">
      <c r="A70" s="31" t="s">
        <v>80</v>
      </c>
      <c r="B70" s="31">
        <v>210000</v>
      </c>
      <c r="C70" s="31"/>
      <c r="D70" s="31"/>
      <c r="E70" s="31"/>
      <c r="F70" s="31">
        <v>120000</v>
      </c>
      <c r="G70" s="31"/>
      <c r="H70" s="31"/>
      <c r="I70" s="31"/>
      <c r="J70" s="31"/>
      <c r="K70" s="31"/>
      <c r="L70" s="31"/>
      <c r="M70" s="31"/>
      <c r="N70" s="31">
        <f t="shared" si="15"/>
        <v>330000</v>
      </c>
      <c r="O70" s="8"/>
      <c r="P70" s="8"/>
      <c r="Q70" s="8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ht="33.75" x14ac:dyDescent="0.5">
      <c r="A71" s="31" t="s">
        <v>86</v>
      </c>
      <c r="B71" s="31"/>
      <c r="C71" s="31">
        <v>80000</v>
      </c>
      <c r="D71" s="31"/>
      <c r="E71" s="31"/>
      <c r="F71" s="31"/>
      <c r="G71" s="31">
        <v>50000</v>
      </c>
      <c r="H71" s="31"/>
      <c r="I71" s="31"/>
      <c r="J71" s="31"/>
      <c r="K71" s="31"/>
      <c r="L71" s="31"/>
      <c r="M71" s="31"/>
      <c r="N71" s="31">
        <f t="shared" si="15"/>
        <v>130000</v>
      </c>
      <c r="O71" s="8"/>
      <c r="P71" s="8"/>
      <c r="Q71" s="8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ht="33.75" x14ac:dyDescent="0.5">
      <c r="A72" s="31" t="s">
        <v>118</v>
      </c>
      <c r="B72" s="31">
        <v>19200</v>
      </c>
      <c r="C72" s="31">
        <v>18600</v>
      </c>
      <c r="D72" s="31">
        <v>20400</v>
      </c>
      <c r="E72" s="31">
        <v>25200</v>
      </c>
      <c r="F72" s="31">
        <v>17400</v>
      </c>
      <c r="G72" s="31">
        <v>22800</v>
      </c>
      <c r="H72" s="31"/>
      <c r="I72" s="31"/>
      <c r="J72" s="31"/>
      <c r="K72" s="31"/>
      <c r="L72" s="31"/>
      <c r="M72" s="31"/>
      <c r="N72" s="31">
        <f t="shared" si="15"/>
        <v>123600</v>
      </c>
      <c r="O72" s="8"/>
      <c r="P72" s="8"/>
      <c r="Q72" s="8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ht="33.75" x14ac:dyDescent="0.5">
      <c r="A73" s="31" t="s">
        <v>114</v>
      </c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>
        <f t="shared" si="15"/>
        <v>0</v>
      </c>
      <c r="O73" s="8"/>
      <c r="P73" s="8"/>
      <c r="Q73" s="8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ht="33.75" x14ac:dyDescent="0.5">
      <c r="A74" s="31"/>
      <c r="B74" s="31"/>
      <c r="C74" s="31"/>
      <c r="D74" s="31"/>
      <c r="E74" s="31">
        <v>75000</v>
      </c>
      <c r="F74" s="31"/>
      <c r="G74" s="31"/>
      <c r="H74" s="31"/>
      <c r="I74" s="31"/>
      <c r="J74" s="31"/>
      <c r="K74" s="31"/>
      <c r="L74" s="31"/>
      <c r="M74" s="31"/>
      <c r="N74" s="31">
        <f t="shared" si="15"/>
        <v>75000</v>
      </c>
      <c r="O74" s="8"/>
      <c r="P74" s="8"/>
      <c r="Q74" s="8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ht="33.75" x14ac:dyDescent="0.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>
        <f t="shared" si="15"/>
        <v>0</v>
      </c>
      <c r="O75" s="8"/>
      <c r="P75" s="8"/>
      <c r="Q75" s="8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ht="30.75" customHeight="1" x14ac:dyDescent="0.5">
      <c r="A76" s="38" t="s">
        <v>15</v>
      </c>
      <c r="B76" s="35">
        <f>SUM(B41:B75)</f>
        <v>1928022</v>
      </c>
      <c r="C76" s="35">
        <f t="shared" ref="C76:F76" si="16">SUM(C41:C75)</f>
        <v>1977435</v>
      </c>
      <c r="D76" s="35">
        <f t="shared" si="16"/>
        <v>2036281</v>
      </c>
      <c r="E76" s="35">
        <f t="shared" si="16"/>
        <v>2563647</v>
      </c>
      <c r="F76" s="35">
        <f t="shared" si="16"/>
        <v>1470500</v>
      </c>
      <c r="G76" s="35">
        <f t="shared" ref="G76" si="17">SUM(G41:G75)</f>
        <v>1130192</v>
      </c>
      <c r="H76" s="35">
        <f t="shared" ref="G76:M76" si="18">SUM(H41:H75)</f>
        <v>0</v>
      </c>
      <c r="I76" s="35">
        <f>SUM(I41:I75)</f>
        <v>0</v>
      </c>
      <c r="J76" s="35">
        <f t="shared" si="18"/>
        <v>0</v>
      </c>
      <c r="K76" s="35">
        <f t="shared" si="18"/>
        <v>0</v>
      </c>
      <c r="L76" s="35">
        <f t="shared" si="18"/>
        <v>0</v>
      </c>
      <c r="M76" s="35">
        <f t="shared" si="18"/>
        <v>0</v>
      </c>
      <c r="N76" s="35">
        <f>SUM(N41:N75)</f>
        <v>11106077</v>
      </c>
      <c r="O76" s="8"/>
      <c r="P76" s="8"/>
      <c r="Q76" s="8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ht="33.75" x14ac:dyDescent="0.5">
      <c r="A77" s="39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8"/>
      <c r="P77" s="8"/>
      <c r="Q77" s="8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s="4" customFormat="1" ht="24.75" customHeight="1" x14ac:dyDescent="0.25">
      <c r="A78" s="109" t="s">
        <v>61</v>
      </c>
      <c r="B78" s="109"/>
      <c r="C78" s="109"/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9"/>
      <c r="P78" s="9"/>
      <c r="Q78" s="9"/>
    </row>
    <row r="79" spans="1:33" ht="33.75" x14ac:dyDescent="0.5">
      <c r="A79" s="41"/>
      <c r="B79" s="42" t="s">
        <v>29</v>
      </c>
      <c r="C79" s="42" t="s">
        <v>38</v>
      </c>
      <c r="D79" s="43" t="s">
        <v>45</v>
      </c>
      <c r="E79" s="42" t="s">
        <v>49</v>
      </c>
      <c r="F79" s="42" t="s">
        <v>51</v>
      </c>
      <c r="G79" s="42" t="s">
        <v>52</v>
      </c>
      <c r="H79" s="42" t="s">
        <v>53</v>
      </c>
      <c r="I79" s="42" t="s">
        <v>54</v>
      </c>
      <c r="J79" s="42" t="s">
        <v>55</v>
      </c>
      <c r="K79" s="42" t="s">
        <v>56</v>
      </c>
      <c r="L79" s="42" t="s">
        <v>57</v>
      </c>
      <c r="M79" s="32" t="s">
        <v>58</v>
      </c>
      <c r="N79" s="24" t="s">
        <v>0</v>
      </c>
      <c r="O79" s="8"/>
      <c r="P79" s="8"/>
      <c r="Q79" s="8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ht="33.75" x14ac:dyDescent="0.5">
      <c r="A80" s="31" t="s">
        <v>83</v>
      </c>
      <c r="B80" s="44">
        <v>4458000</v>
      </c>
      <c r="C80" s="31">
        <v>4843700</v>
      </c>
      <c r="D80" s="45">
        <v>5019400</v>
      </c>
      <c r="E80" s="45">
        <v>5057515</v>
      </c>
      <c r="F80" s="44">
        <v>5008200</v>
      </c>
      <c r="G80" s="44">
        <v>4502100</v>
      </c>
      <c r="H80" s="44"/>
      <c r="I80" s="45"/>
      <c r="J80" s="45"/>
      <c r="K80" s="45"/>
      <c r="L80" s="46"/>
      <c r="M80" s="31"/>
      <c r="N80" s="31">
        <f>SUM(B80:M80)</f>
        <v>28888915</v>
      </c>
      <c r="O80" s="8"/>
      <c r="P80" s="8"/>
      <c r="Q80" s="8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ht="33.75" x14ac:dyDescent="0.5">
      <c r="A81" s="31" t="s">
        <v>20</v>
      </c>
      <c r="B81" s="45">
        <v>0</v>
      </c>
      <c r="C81" s="31"/>
      <c r="D81" s="45">
        <v>0</v>
      </c>
      <c r="E81" s="45"/>
      <c r="F81" s="45"/>
      <c r="G81" s="45">
        <v>500000</v>
      </c>
      <c r="H81" s="45"/>
      <c r="I81" s="44"/>
      <c r="J81" s="45"/>
      <c r="K81" s="45"/>
      <c r="L81" s="46"/>
      <c r="M81" s="31"/>
      <c r="N81" s="31"/>
      <c r="O81" s="8"/>
      <c r="P81" s="8"/>
      <c r="Q81" s="8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ht="33.75" x14ac:dyDescent="0.5">
      <c r="A82" s="31" t="s">
        <v>122</v>
      </c>
      <c r="B82" s="45">
        <v>853421</v>
      </c>
      <c r="C82" s="31">
        <v>2335414</v>
      </c>
      <c r="D82" s="45">
        <v>1897730</v>
      </c>
      <c r="E82" s="45">
        <v>2426869</v>
      </c>
      <c r="F82" s="45">
        <v>2898122</v>
      </c>
      <c r="G82" s="45">
        <v>1806429</v>
      </c>
      <c r="H82" s="45"/>
      <c r="I82" s="44"/>
      <c r="J82" s="45"/>
      <c r="K82" s="45"/>
      <c r="L82" s="46"/>
      <c r="M82" s="31"/>
      <c r="N82" s="31">
        <f t="shared" ref="N82:N90" si="19">SUM(B82:M82)</f>
        <v>12217985</v>
      </c>
      <c r="O82" s="8"/>
      <c r="P82" s="8"/>
      <c r="Q82" s="8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ht="33.75" x14ac:dyDescent="0.5">
      <c r="A83" s="31"/>
      <c r="B83" s="45"/>
      <c r="C83" s="31"/>
      <c r="D83" s="45"/>
      <c r="E83" s="45"/>
      <c r="F83" s="45"/>
      <c r="G83" s="45">
        <v>701615</v>
      </c>
      <c r="H83" s="45"/>
      <c r="I83" s="44"/>
      <c r="J83" s="45"/>
      <c r="K83" s="45"/>
      <c r="L83" s="46"/>
      <c r="M83" s="31"/>
      <c r="N83" s="31">
        <f t="shared" si="19"/>
        <v>701615</v>
      </c>
      <c r="O83" s="8"/>
      <c r="P83" s="8"/>
      <c r="Q83" s="8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ht="33.75" x14ac:dyDescent="0.5">
      <c r="A84" s="31"/>
      <c r="B84" s="45"/>
      <c r="C84" s="31"/>
      <c r="D84" s="45"/>
      <c r="E84" s="45"/>
      <c r="F84" s="45"/>
      <c r="G84" s="45"/>
      <c r="H84" s="45"/>
      <c r="I84" s="44"/>
      <c r="J84" s="45"/>
      <c r="K84" s="45" t="s">
        <v>120</v>
      </c>
      <c r="L84" s="46"/>
      <c r="M84" s="31"/>
      <c r="N84" s="31">
        <f t="shared" si="19"/>
        <v>0</v>
      </c>
      <c r="O84" s="8"/>
      <c r="P84" s="8"/>
      <c r="Q84" s="8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ht="33.75" x14ac:dyDescent="0.5">
      <c r="A85" s="31" t="s">
        <v>106</v>
      </c>
      <c r="B85" s="45"/>
      <c r="C85" s="31"/>
      <c r="D85" s="45">
        <v>1123767</v>
      </c>
      <c r="E85" s="45"/>
      <c r="F85" s="45"/>
      <c r="G85" s="45">
        <v>1424510</v>
      </c>
      <c r="H85" s="45"/>
      <c r="I85" s="45"/>
      <c r="J85" s="45"/>
      <c r="K85" s="45"/>
      <c r="L85" s="46"/>
      <c r="M85" s="31"/>
      <c r="N85" s="31">
        <f t="shared" si="19"/>
        <v>2548277</v>
      </c>
      <c r="O85" s="8"/>
      <c r="P85" s="8"/>
      <c r="Q85" s="8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ht="33.75" x14ac:dyDescent="0.5">
      <c r="A86" s="31" t="s">
        <v>119</v>
      </c>
      <c r="B86" s="45">
        <v>105041</v>
      </c>
      <c r="C86" s="31">
        <v>89614</v>
      </c>
      <c r="D86" s="47">
        <v>226309</v>
      </c>
      <c r="E86" s="47">
        <v>106620</v>
      </c>
      <c r="F86" s="47">
        <v>262540</v>
      </c>
      <c r="G86" s="47">
        <v>265715</v>
      </c>
      <c r="H86" s="47"/>
      <c r="I86" s="47"/>
      <c r="J86" s="47"/>
      <c r="K86" s="47"/>
      <c r="L86" s="47"/>
      <c r="M86" s="31"/>
      <c r="N86" s="31">
        <f t="shared" si="19"/>
        <v>1055839</v>
      </c>
      <c r="O86" s="8"/>
      <c r="P86" s="8"/>
      <c r="Q86" s="8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ht="33.75" x14ac:dyDescent="0.5">
      <c r="A87" s="31" t="s">
        <v>26</v>
      </c>
      <c r="B87" s="45"/>
      <c r="C87" s="31"/>
      <c r="D87" s="45"/>
      <c r="E87" s="45"/>
      <c r="F87" s="45"/>
      <c r="G87" s="45">
        <v>500000</v>
      </c>
      <c r="H87" s="45"/>
      <c r="I87" s="45"/>
      <c r="J87" s="45"/>
      <c r="K87" s="45"/>
      <c r="L87" s="46"/>
      <c r="M87" s="31"/>
      <c r="N87" s="31">
        <f>SUM(B87:M87)</f>
        <v>500000</v>
      </c>
      <c r="O87" s="8"/>
      <c r="P87" s="8"/>
      <c r="Q87" s="8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ht="33.75" x14ac:dyDescent="0.5">
      <c r="A88" s="31" t="s">
        <v>84</v>
      </c>
      <c r="B88" s="48">
        <v>236000</v>
      </c>
      <c r="C88" s="49">
        <v>236000</v>
      </c>
      <c r="D88" s="48">
        <v>236000</v>
      </c>
      <c r="E88" s="48">
        <v>236000</v>
      </c>
      <c r="F88" s="48">
        <v>236000</v>
      </c>
      <c r="G88" s="48">
        <v>236000</v>
      </c>
      <c r="H88" s="48"/>
      <c r="I88" s="48"/>
      <c r="J88" s="48"/>
      <c r="K88" s="48"/>
      <c r="L88" s="50"/>
      <c r="M88" s="31"/>
      <c r="N88" s="31">
        <f>SUM(B88:M88)</f>
        <v>1416000</v>
      </c>
      <c r="O88" s="8"/>
      <c r="P88" s="8"/>
      <c r="Q88" s="8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ht="33.75" x14ac:dyDescent="0.5">
      <c r="A89" s="36" t="s">
        <v>112</v>
      </c>
      <c r="B89" s="48">
        <v>179795</v>
      </c>
      <c r="C89" s="49">
        <v>179795</v>
      </c>
      <c r="D89" s="48">
        <v>179795</v>
      </c>
      <c r="E89" s="48">
        <v>179795</v>
      </c>
      <c r="F89" s="48">
        <v>179795</v>
      </c>
      <c r="G89" s="48">
        <v>179795</v>
      </c>
      <c r="H89" s="48"/>
      <c r="I89" s="48"/>
      <c r="J89" s="48"/>
      <c r="K89" s="48"/>
      <c r="L89" s="50"/>
      <c r="M89" s="31"/>
      <c r="N89" s="31">
        <f>SUM(B89:M89)</f>
        <v>1078770</v>
      </c>
      <c r="O89" s="8"/>
      <c r="P89" s="8"/>
      <c r="Q89" s="8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ht="34.5" thickBot="1" x14ac:dyDescent="0.55000000000000004">
      <c r="A90" s="31" t="s">
        <v>81</v>
      </c>
      <c r="B90" s="48"/>
      <c r="C90" s="49"/>
      <c r="D90" s="48"/>
      <c r="E90" s="48"/>
      <c r="F90" s="48"/>
      <c r="G90" s="48"/>
      <c r="H90" s="48"/>
      <c r="I90" s="48"/>
      <c r="J90" s="48"/>
      <c r="K90" s="48"/>
      <c r="L90" s="50"/>
      <c r="M90" s="31"/>
      <c r="N90" s="31">
        <f t="shared" si="19"/>
        <v>0</v>
      </c>
      <c r="O90" s="8"/>
      <c r="P90" s="8"/>
      <c r="Q90" s="8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s="2" customFormat="1" ht="34.5" thickBot="1" x14ac:dyDescent="0.55000000000000004">
      <c r="A91" s="51" t="s">
        <v>4</v>
      </c>
      <c r="B91" s="52">
        <f>SUM(B80:B90)</f>
        <v>5832257</v>
      </c>
      <c r="C91" s="52">
        <f t="shared" ref="C91:F91" si="20">SUM(C80:C90)</f>
        <v>7684523</v>
      </c>
      <c r="D91" s="52">
        <f t="shared" si="20"/>
        <v>8683001</v>
      </c>
      <c r="E91" s="52">
        <f t="shared" si="20"/>
        <v>8006799</v>
      </c>
      <c r="F91" s="52">
        <f t="shared" si="20"/>
        <v>8584657</v>
      </c>
      <c r="G91" s="52">
        <f t="shared" ref="G91" si="21">SUM(G80:G90)</f>
        <v>10116164</v>
      </c>
      <c r="H91" s="52">
        <f t="shared" ref="G91:N91" si="22">SUM(H80:H90)</f>
        <v>0</v>
      </c>
      <c r="I91" s="52">
        <f>SUM(I80:I90)</f>
        <v>0</v>
      </c>
      <c r="J91" s="52">
        <f t="shared" si="22"/>
        <v>0</v>
      </c>
      <c r="K91" s="52">
        <f t="shared" si="22"/>
        <v>0</v>
      </c>
      <c r="L91" s="53">
        <f t="shared" si="22"/>
        <v>0</v>
      </c>
      <c r="M91" s="35">
        <f t="shared" si="22"/>
        <v>0</v>
      </c>
      <c r="N91" s="35">
        <f t="shared" si="22"/>
        <v>48407401</v>
      </c>
      <c r="O91" s="9"/>
      <c r="P91" s="9"/>
      <c r="Q91" s="9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1:33" s="2" customFormat="1" ht="27" customHeight="1" x14ac:dyDescent="0.25">
      <c r="A92" s="109" t="s">
        <v>63</v>
      </c>
      <c r="B92" s="109"/>
      <c r="C92" s="109"/>
      <c r="D92" s="109"/>
      <c r="E92" s="109"/>
      <c r="F92" s="109"/>
      <c r="G92" s="109"/>
      <c r="H92" s="109"/>
      <c r="I92" s="109"/>
      <c r="J92" s="109"/>
      <c r="K92" s="109"/>
      <c r="L92" s="109"/>
      <c r="M92" s="109"/>
      <c r="N92" s="109"/>
      <c r="O92" s="11"/>
      <c r="P92" s="11"/>
      <c r="Q92" s="12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1:33" ht="33.75" x14ac:dyDescent="0.5">
      <c r="A93" s="54"/>
      <c r="B93" s="42" t="s">
        <v>29</v>
      </c>
      <c r="C93" s="42" t="s">
        <v>38</v>
      </c>
      <c r="D93" s="43" t="s">
        <v>45</v>
      </c>
      <c r="E93" s="42" t="s">
        <v>49</v>
      </c>
      <c r="F93" s="42" t="s">
        <v>51</v>
      </c>
      <c r="G93" s="42" t="s">
        <v>52</v>
      </c>
      <c r="H93" s="42" t="s">
        <v>53</v>
      </c>
      <c r="I93" s="42" t="s">
        <v>54</v>
      </c>
      <c r="J93" s="42" t="s">
        <v>55</v>
      </c>
      <c r="K93" s="42" t="s">
        <v>56</v>
      </c>
      <c r="L93" s="42" t="s">
        <v>57</v>
      </c>
      <c r="M93" s="42" t="s">
        <v>58</v>
      </c>
      <c r="N93" s="55" t="s">
        <v>0</v>
      </c>
      <c r="O93" s="14"/>
      <c r="P93" s="14"/>
      <c r="Q93" s="1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ht="33.75" x14ac:dyDescent="0.5">
      <c r="A94" s="31" t="s">
        <v>36</v>
      </c>
      <c r="B94" s="45"/>
      <c r="C94" s="31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31"/>
      <c r="O94" s="11"/>
      <c r="P94" s="11"/>
      <c r="Q94" s="12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ht="33.75" x14ac:dyDescent="0.5">
      <c r="A95" s="31" t="s">
        <v>85</v>
      </c>
      <c r="B95" s="45"/>
      <c r="C95" s="31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31">
        <f t="shared" ref="N95:N121" si="23">SUM(B95:M95)</f>
        <v>0</v>
      </c>
      <c r="O95" s="13"/>
      <c r="P95" s="13"/>
      <c r="Q95" s="13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ht="33.75" x14ac:dyDescent="0.5">
      <c r="A96" s="31" t="s">
        <v>110</v>
      </c>
      <c r="B96" s="45">
        <v>2000000</v>
      </c>
      <c r="C96" s="31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31">
        <f t="shared" si="23"/>
        <v>2000000</v>
      </c>
      <c r="O96" s="14"/>
      <c r="P96" s="14"/>
      <c r="Q96" s="1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ht="33.75" x14ac:dyDescent="0.5">
      <c r="A97" s="31" t="s">
        <v>111</v>
      </c>
      <c r="B97" s="45"/>
      <c r="C97" s="31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31"/>
      <c r="O97" s="14"/>
      <c r="P97" s="14"/>
      <c r="Q97" s="1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ht="33.75" x14ac:dyDescent="0.5">
      <c r="A98" s="31" t="s">
        <v>7</v>
      </c>
      <c r="B98" s="45"/>
      <c r="C98" s="31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31">
        <f t="shared" si="23"/>
        <v>0</v>
      </c>
      <c r="O98" s="14"/>
      <c r="P98" s="14"/>
      <c r="Q98" s="1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ht="33.75" x14ac:dyDescent="0.5">
      <c r="A99" s="31" t="s">
        <v>117</v>
      </c>
      <c r="B99" s="45"/>
      <c r="C99" s="31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31">
        <f t="shared" si="23"/>
        <v>0</v>
      </c>
      <c r="O99" s="14"/>
      <c r="P99" s="14"/>
      <c r="Q99" s="1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ht="34.5" thickBot="1" x14ac:dyDescent="0.55000000000000004">
      <c r="A100" s="31"/>
      <c r="B100" s="45"/>
      <c r="C100" s="31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31">
        <f t="shared" si="23"/>
        <v>0</v>
      </c>
      <c r="O100" s="14"/>
      <c r="P100" s="14"/>
      <c r="Q100" s="1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s="2" customFormat="1" ht="34.5" thickBot="1" x14ac:dyDescent="0.55000000000000004">
      <c r="A101" s="56" t="s">
        <v>16</v>
      </c>
      <c r="B101" s="52">
        <f>SUM(B94:B100)</f>
        <v>2000000</v>
      </c>
      <c r="C101" s="52">
        <f t="shared" ref="C101:F101" si="24">SUM(C94:C100)</f>
        <v>0</v>
      </c>
      <c r="D101" s="52">
        <f t="shared" si="24"/>
        <v>0</v>
      </c>
      <c r="E101" s="52">
        <f t="shared" si="24"/>
        <v>0</v>
      </c>
      <c r="F101" s="52">
        <f t="shared" si="24"/>
        <v>0</v>
      </c>
      <c r="G101" s="52">
        <f t="shared" ref="G101" si="25">SUM(G94:G100)</f>
        <v>0</v>
      </c>
      <c r="H101" s="52">
        <f t="shared" ref="G101:M101" si="26">SUM(H94:H100)</f>
        <v>0</v>
      </c>
      <c r="I101" s="52">
        <f t="shared" si="26"/>
        <v>0</v>
      </c>
      <c r="J101" s="52">
        <f t="shared" si="26"/>
        <v>0</v>
      </c>
      <c r="K101" s="52">
        <f t="shared" si="26"/>
        <v>0</v>
      </c>
      <c r="L101" s="52">
        <f t="shared" si="26"/>
        <v>0</v>
      </c>
      <c r="M101" s="52">
        <f t="shared" si="26"/>
        <v>0</v>
      </c>
      <c r="N101" s="35">
        <f t="shared" si="23"/>
        <v>2000000</v>
      </c>
      <c r="O101" s="11"/>
      <c r="P101" s="11"/>
      <c r="Q101" s="12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spans="1:33" s="2" customFormat="1" ht="33.75" x14ac:dyDescent="0.5">
      <c r="A102" s="57"/>
      <c r="B102" s="57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8"/>
      <c r="O102" s="13"/>
      <c r="P102" s="13"/>
      <c r="Q102" s="13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spans="1:33" s="2" customFormat="1" ht="30" customHeight="1" x14ac:dyDescent="0.25">
      <c r="A103" s="109" t="s">
        <v>64</v>
      </c>
      <c r="B103" s="109"/>
      <c r="C103" s="109"/>
      <c r="D103" s="109"/>
      <c r="E103" s="109"/>
      <c r="F103" s="109"/>
      <c r="G103" s="109"/>
      <c r="H103" s="109"/>
      <c r="I103" s="109"/>
      <c r="J103" s="109"/>
      <c r="K103" s="109"/>
      <c r="L103" s="109"/>
      <c r="M103" s="109"/>
      <c r="N103" s="109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1:33" s="2" customFormat="1" ht="33.75" x14ac:dyDescent="0.5">
      <c r="A104" s="57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8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3" ht="33.75" x14ac:dyDescent="0.5">
      <c r="A105" s="24"/>
      <c r="B105" s="32" t="s">
        <v>29</v>
      </c>
      <c r="C105" s="32" t="s">
        <v>38</v>
      </c>
      <c r="D105" s="32" t="s">
        <v>45</v>
      </c>
      <c r="E105" s="32" t="s">
        <v>49</v>
      </c>
      <c r="F105" s="32" t="s">
        <v>51</v>
      </c>
      <c r="G105" s="32" t="s">
        <v>52</v>
      </c>
      <c r="H105" s="32" t="s">
        <v>53</v>
      </c>
      <c r="I105" s="32" t="s">
        <v>54</v>
      </c>
      <c r="J105" s="32" t="s">
        <v>55</v>
      </c>
      <c r="K105" s="32" t="s">
        <v>56</v>
      </c>
      <c r="L105" s="32" t="s">
        <v>57</v>
      </c>
      <c r="M105" s="32" t="s">
        <v>58</v>
      </c>
      <c r="N105" s="24" t="s">
        <v>0</v>
      </c>
      <c r="O105" s="8"/>
      <c r="P105" s="8"/>
      <c r="Q105" s="8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ht="33.75" x14ac:dyDescent="0.5">
      <c r="A106" s="31" t="s">
        <v>88</v>
      </c>
      <c r="B106" s="31"/>
      <c r="C106" s="31"/>
      <c r="D106" s="31">
        <v>6511</v>
      </c>
      <c r="E106" s="31"/>
      <c r="F106" s="31"/>
      <c r="G106" s="31">
        <v>17550</v>
      </c>
      <c r="H106" s="31"/>
      <c r="I106" s="31"/>
      <c r="J106" s="31"/>
      <c r="K106" s="31"/>
      <c r="L106" s="31"/>
      <c r="M106" s="31"/>
      <c r="N106" s="31">
        <f t="shared" si="23"/>
        <v>24061</v>
      </c>
      <c r="O106" s="13"/>
      <c r="P106" s="13"/>
      <c r="Q106" s="13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ht="33.75" x14ac:dyDescent="0.5">
      <c r="A107" s="31" t="s">
        <v>17</v>
      </c>
      <c r="B107" s="31">
        <v>54016</v>
      </c>
      <c r="C107" s="31">
        <v>11700</v>
      </c>
      <c r="D107" s="31">
        <v>96405</v>
      </c>
      <c r="E107" s="31">
        <v>27960</v>
      </c>
      <c r="F107" s="35">
        <v>29810</v>
      </c>
      <c r="G107" s="35">
        <v>12800</v>
      </c>
      <c r="H107" s="31"/>
      <c r="I107" s="31"/>
      <c r="J107" s="31"/>
      <c r="K107" s="31"/>
      <c r="L107" s="31"/>
      <c r="M107" s="31"/>
      <c r="N107" s="31">
        <f>SUM(B107:M107)</f>
        <v>232691</v>
      </c>
      <c r="O107" s="14"/>
      <c r="P107" s="14"/>
      <c r="Q107" s="1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ht="33.75" x14ac:dyDescent="0.5">
      <c r="A108" s="31" t="s">
        <v>87</v>
      </c>
      <c r="B108" s="31">
        <v>74450</v>
      </c>
      <c r="C108" s="31">
        <v>6260</v>
      </c>
      <c r="D108" s="31">
        <v>6260</v>
      </c>
      <c r="E108" s="31">
        <v>60226</v>
      </c>
      <c r="F108" s="35"/>
      <c r="G108" s="35"/>
      <c r="H108" s="31"/>
      <c r="I108" s="31"/>
      <c r="J108" s="31"/>
      <c r="K108" s="31"/>
      <c r="L108" s="31"/>
      <c r="M108" s="31"/>
      <c r="N108" s="31">
        <f t="shared" si="23"/>
        <v>147196</v>
      </c>
      <c r="O108" s="11"/>
      <c r="P108" s="11"/>
      <c r="Q108" s="12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ht="33.75" x14ac:dyDescent="0.5">
      <c r="A109" s="31" t="s">
        <v>109</v>
      </c>
      <c r="B109" s="31">
        <v>80924</v>
      </c>
      <c r="C109" s="31">
        <v>106092</v>
      </c>
      <c r="D109" s="31">
        <v>72241</v>
      </c>
      <c r="E109" s="31">
        <v>176920</v>
      </c>
      <c r="F109" s="35">
        <v>116866</v>
      </c>
      <c r="G109" s="35">
        <v>118505</v>
      </c>
      <c r="H109" s="31"/>
      <c r="I109" s="31"/>
      <c r="J109" s="31"/>
      <c r="K109" s="31"/>
      <c r="L109" s="31"/>
      <c r="M109" s="31"/>
      <c r="N109" s="31">
        <f>SUM(B109:M109)</f>
        <v>671548</v>
      </c>
      <c r="O109" s="13"/>
      <c r="P109" s="13"/>
      <c r="Q109" s="13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ht="33.75" x14ac:dyDescent="0.5">
      <c r="A110" s="31" t="s">
        <v>108</v>
      </c>
      <c r="B110" s="31">
        <v>48893</v>
      </c>
      <c r="C110" s="31">
        <v>44849</v>
      </c>
      <c r="D110" s="31">
        <v>61165</v>
      </c>
      <c r="E110" s="31">
        <v>55228</v>
      </c>
      <c r="F110" s="35">
        <v>58705</v>
      </c>
      <c r="G110" s="35">
        <v>61088</v>
      </c>
      <c r="H110" s="31"/>
      <c r="I110" s="31"/>
      <c r="J110" s="31"/>
      <c r="K110" s="31"/>
      <c r="L110" s="31"/>
      <c r="M110" s="31"/>
      <c r="N110" s="31">
        <f t="shared" si="23"/>
        <v>329928</v>
      </c>
      <c r="O110" s="14"/>
      <c r="P110" s="14"/>
      <c r="Q110" s="1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ht="33.75" x14ac:dyDescent="0.5">
      <c r="A111" s="31" t="s">
        <v>104</v>
      </c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14"/>
      <c r="P111" s="14"/>
      <c r="Q111" s="1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s="2" customFormat="1" ht="33.75" x14ac:dyDescent="0.5">
      <c r="A112" s="56" t="s">
        <v>18</v>
      </c>
      <c r="B112" s="35">
        <f>SUM(B106:B111)</f>
        <v>258283</v>
      </c>
      <c r="C112" s="35">
        <f>SUM(C106:C111)</f>
        <v>168901</v>
      </c>
      <c r="D112" s="35">
        <f>SUM(D106:D111)</f>
        <v>242582</v>
      </c>
      <c r="E112" s="35">
        <f t="shared" ref="E112:F112" si="27">SUM(E106:E111)</f>
        <v>320334</v>
      </c>
      <c r="F112" s="35">
        <f t="shared" si="27"/>
        <v>205381</v>
      </c>
      <c r="G112" s="35">
        <f t="shared" ref="G112" si="28">SUM(G106:G111)</f>
        <v>209943</v>
      </c>
      <c r="H112" s="35">
        <f t="shared" ref="G112:M112" si="29">SUM(H106:H111)</f>
        <v>0</v>
      </c>
      <c r="I112" s="35">
        <f t="shared" si="29"/>
        <v>0</v>
      </c>
      <c r="J112" s="35">
        <f t="shared" si="29"/>
        <v>0</v>
      </c>
      <c r="K112" s="35">
        <f t="shared" si="29"/>
        <v>0</v>
      </c>
      <c r="L112" s="35">
        <f t="shared" si="29"/>
        <v>0</v>
      </c>
      <c r="M112" s="35">
        <f t="shared" si="29"/>
        <v>0</v>
      </c>
      <c r="N112" s="35">
        <f>SUM(N106:N111)</f>
        <v>1405424</v>
      </c>
      <c r="O112" s="13"/>
      <c r="P112" s="13"/>
      <c r="Q112" s="13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 s="2" customFormat="1" ht="33.75" x14ac:dyDescent="0.5">
      <c r="A113" s="59"/>
      <c r="B113" s="40"/>
      <c r="C113" s="57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58"/>
      <c r="O113" s="13"/>
      <c r="P113" s="13"/>
      <c r="Q113" s="13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 s="2" customFormat="1" ht="28.5" customHeight="1" x14ac:dyDescent="0.25">
      <c r="A114" s="112" t="s">
        <v>19</v>
      </c>
      <c r="B114" s="109"/>
      <c r="C114" s="109"/>
      <c r="D114" s="109"/>
      <c r="E114" s="109"/>
      <c r="F114" s="109"/>
      <c r="G114" s="109"/>
      <c r="H114" s="109"/>
      <c r="I114" s="109"/>
      <c r="J114" s="109"/>
      <c r="K114" s="109"/>
      <c r="L114" s="109"/>
      <c r="M114" s="109"/>
      <c r="N114" s="109"/>
      <c r="O114" s="14"/>
      <c r="P114" s="14"/>
      <c r="Q114" s="15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 s="2" customFormat="1" ht="33.75" x14ac:dyDescent="0.5">
      <c r="A115" s="60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8"/>
      <c r="O115" s="14"/>
      <c r="P115" s="14"/>
      <c r="Q115" s="15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 ht="33.75" x14ac:dyDescent="0.5">
      <c r="A116" s="24"/>
      <c r="B116" s="32" t="s">
        <v>29</v>
      </c>
      <c r="C116" s="32" t="s">
        <v>38</v>
      </c>
      <c r="D116" s="32" t="s">
        <v>45</v>
      </c>
      <c r="E116" s="32" t="s">
        <v>49</v>
      </c>
      <c r="F116" s="32" t="s">
        <v>51</v>
      </c>
      <c r="G116" s="32" t="s">
        <v>52</v>
      </c>
      <c r="H116" s="32" t="s">
        <v>53</v>
      </c>
      <c r="I116" s="32" t="s">
        <v>54</v>
      </c>
      <c r="J116" s="32" t="s">
        <v>55</v>
      </c>
      <c r="K116" s="32" t="s">
        <v>56</v>
      </c>
      <c r="L116" s="32" t="s">
        <v>57</v>
      </c>
      <c r="M116" s="32" t="s">
        <v>58</v>
      </c>
      <c r="N116" s="24" t="s">
        <v>0</v>
      </c>
      <c r="O116" s="14"/>
      <c r="P116" s="14"/>
      <c r="Q116" s="1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ht="33.75" x14ac:dyDescent="0.5">
      <c r="A117" s="31" t="s">
        <v>20</v>
      </c>
      <c r="B117" s="31"/>
      <c r="C117" s="31">
        <v>2467475</v>
      </c>
      <c r="D117" s="31"/>
      <c r="E117" s="31"/>
      <c r="F117" s="45">
        <v>2467771</v>
      </c>
      <c r="G117" s="31">
        <v>500000</v>
      </c>
      <c r="H117" s="31"/>
      <c r="I117" s="31"/>
      <c r="J117" s="31"/>
      <c r="K117" s="31"/>
      <c r="L117" s="31"/>
      <c r="M117" s="31"/>
      <c r="N117" s="31">
        <f t="shared" si="23"/>
        <v>5435246</v>
      </c>
      <c r="O117" s="14"/>
      <c r="P117" s="14"/>
      <c r="Q117" s="1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ht="33.75" x14ac:dyDescent="0.5">
      <c r="A118" s="31" t="s">
        <v>21</v>
      </c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>
        <f t="shared" si="23"/>
        <v>0</v>
      </c>
      <c r="O118" s="14"/>
      <c r="P118" s="14"/>
      <c r="Q118" s="1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ht="33.75" x14ac:dyDescent="0.5">
      <c r="A119" s="31" t="s">
        <v>70</v>
      </c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14"/>
      <c r="P119" s="14"/>
      <c r="Q119" s="1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ht="33.75" x14ac:dyDescent="0.5">
      <c r="A120" s="31" t="s">
        <v>42</v>
      </c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>
        <f t="shared" si="23"/>
        <v>0</v>
      </c>
      <c r="O120" s="14"/>
      <c r="P120" s="14"/>
      <c r="Q120" s="1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ht="33.75" x14ac:dyDescent="0.5">
      <c r="A121" s="31" t="s">
        <v>66</v>
      </c>
      <c r="B121" s="31"/>
      <c r="C121" s="31"/>
      <c r="D121" s="31"/>
      <c r="E121" s="31">
        <v>160000</v>
      </c>
      <c r="F121" s="31"/>
      <c r="G121" s="31"/>
      <c r="H121" s="31"/>
      <c r="I121" s="31"/>
      <c r="J121" s="31"/>
      <c r="K121" s="31"/>
      <c r="L121" s="31"/>
      <c r="M121" s="31"/>
      <c r="N121" s="31">
        <f t="shared" si="23"/>
        <v>160000</v>
      </c>
      <c r="O121" s="14"/>
      <c r="P121" s="14"/>
      <c r="Q121" s="1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s="2" customFormat="1" ht="33.75" x14ac:dyDescent="0.5">
      <c r="A122" s="56" t="s">
        <v>97</v>
      </c>
      <c r="B122" s="35">
        <f>SUM(B117:B121)</f>
        <v>0</v>
      </c>
      <c r="C122" s="35">
        <f>SUM(C117:C121)</f>
        <v>2467475</v>
      </c>
      <c r="D122" s="35"/>
      <c r="E122" s="35">
        <f t="shared" ref="E122" si="30">SUM(E117:E121)</f>
        <v>160000</v>
      </c>
      <c r="F122" s="35">
        <f>SUM(F117:F121)</f>
        <v>2467771</v>
      </c>
      <c r="G122" s="35">
        <f t="shared" ref="G122" si="31">SUM(G117:G121)</f>
        <v>500000</v>
      </c>
      <c r="H122" s="35">
        <f>SUM(H117:H121)</f>
        <v>0</v>
      </c>
      <c r="I122" s="35">
        <f>SUM(I117:I121)</f>
        <v>0</v>
      </c>
      <c r="J122" s="35">
        <f t="shared" ref="J122:M122" si="32">SUM(J117:J121)</f>
        <v>0</v>
      </c>
      <c r="K122" s="35">
        <f t="shared" si="32"/>
        <v>0</v>
      </c>
      <c r="L122" s="35">
        <f t="shared" si="32"/>
        <v>0</v>
      </c>
      <c r="M122" s="35">
        <f t="shared" si="32"/>
        <v>0</v>
      </c>
      <c r="N122" s="35">
        <f>SUM(B122:M122)</f>
        <v>5595246</v>
      </c>
      <c r="O122" s="14"/>
      <c r="P122" s="14"/>
      <c r="Q122" s="15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 spans="1:33" s="2" customFormat="1" ht="33.75" x14ac:dyDescent="0.5">
      <c r="A123" s="57"/>
      <c r="B123" s="57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8"/>
      <c r="O123" s="8"/>
      <c r="P123" s="8"/>
      <c r="Q123" s="8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spans="1:33" s="2" customFormat="1" ht="15.75" customHeight="1" x14ac:dyDescent="0.5">
      <c r="A124" s="61"/>
      <c r="B124" s="61"/>
      <c r="C124" s="61"/>
      <c r="D124" s="61"/>
      <c r="E124" s="61"/>
      <c r="F124" s="61"/>
      <c r="G124" s="61"/>
      <c r="H124" s="61" t="s">
        <v>24</v>
      </c>
      <c r="I124" s="61"/>
      <c r="J124" s="61"/>
      <c r="K124" s="61"/>
      <c r="L124" s="61"/>
      <c r="M124" s="61"/>
      <c r="N124" s="62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spans="1:33" ht="34.5" thickBot="1" x14ac:dyDescent="0.55000000000000004">
      <c r="A125" s="58"/>
      <c r="B125" s="42" t="s">
        <v>29</v>
      </c>
      <c r="C125" s="63" t="s">
        <v>38</v>
      </c>
      <c r="D125" s="43" t="s">
        <v>45</v>
      </c>
      <c r="E125" s="42" t="s">
        <v>49</v>
      </c>
      <c r="F125" s="42" t="s">
        <v>51</v>
      </c>
      <c r="G125" s="42" t="s">
        <v>52</v>
      </c>
      <c r="H125" s="42" t="s">
        <v>53</v>
      </c>
      <c r="I125" s="42" t="s">
        <v>54</v>
      </c>
      <c r="J125" s="42" t="s">
        <v>55</v>
      </c>
      <c r="K125" s="42" t="s">
        <v>56</v>
      </c>
      <c r="L125" s="42" t="s">
        <v>57</v>
      </c>
      <c r="M125" s="42" t="s">
        <v>58</v>
      </c>
      <c r="N125" s="55" t="s">
        <v>0</v>
      </c>
      <c r="O125" s="8"/>
      <c r="P125" s="8"/>
      <c r="Q125" s="8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s="3" customFormat="1" ht="34.5" thickBot="1" x14ac:dyDescent="0.55000000000000004">
      <c r="A126" s="37" t="s">
        <v>22</v>
      </c>
      <c r="B126" s="64">
        <f>B38+B76+B91+B101+B122</f>
        <v>38657889</v>
      </c>
      <c r="C126" s="64">
        <f>C38+C76+C91+C101+C112+C122</f>
        <v>42961139</v>
      </c>
      <c r="D126" s="64">
        <f>D38+D76+D91+D112</f>
        <v>35017628</v>
      </c>
      <c r="E126" s="64">
        <f>+E112+E91+E76+E38</f>
        <v>28636941</v>
      </c>
      <c r="F126" s="64">
        <f>+F112+F91+F76+F38</f>
        <v>41269098</v>
      </c>
      <c r="G126" s="64">
        <f t="shared" ref="G126" si="33">G38+G91+G76+G101+G122+G142</f>
        <v>45587246</v>
      </c>
      <c r="H126" s="64"/>
      <c r="I126" s="64"/>
      <c r="J126" s="64"/>
      <c r="K126" s="64"/>
      <c r="L126" s="64">
        <f t="shared" ref="G126:M126" si="34">L38+L91+L76+L101+L122+L142</f>
        <v>0</v>
      </c>
      <c r="M126" s="64">
        <f t="shared" si="34"/>
        <v>0</v>
      </c>
      <c r="N126" s="64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</row>
    <row r="127" spans="1:33" ht="33.75" x14ac:dyDescent="0.5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8"/>
      <c r="P127" s="8"/>
      <c r="Q127" s="8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ht="33.75" x14ac:dyDescent="0.5">
      <c r="A128" s="65"/>
      <c r="B128" s="66"/>
      <c r="C128" s="66"/>
      <c r="D128" s="66"/>
      <c r="E128" s="66"/>
      <c r="F128" s="66"/>
      <c r="G128" s="66"/>
      <c r="H128" s="67" t="s">
        <v>65</v>
      </c>
      <c r="I128" s="67"/>
      <c r="J128" s="67"/>
      <c r="K128" s="67"/>
      <c r="L128" s="67"/>
      <c r="M128" s="67"/>
      <c r="N128" s="58"/>
      <c r="O128" s="8"/>
      <c r="P128" s="8"/>
      <c r="Q128" s="8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ht="33.75" x14ac:dyDescent="0.5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8"/>
      <c r="P129" s="8"/>
      <c r="Q129" s="8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ht="33.75" x14ac:dyDescent="0.5">
      <c r="A130" s="31"/>
      <c r="B130" s="32" t="s">
        <v>29</v>
      </c>
      <c r="C130" s="32" t="s">
        <v>38</v>
      </c>
      <c r="D130" s="32" t="s">
        <v>45</v>
      </c>
      <c r="E130" s="33" t="s">
        <v>49</v>
      </c>
      <c r="F130" s="33" t="s">
        <v>51</v>
      </c>
      <c r="G130" s="33" t="s">
        <v>52</v>
      </c>
      <c r="H130" s="33" t="s">
        <v>53</v>
      </c>
      <c r="I130" s="33" t="s">
        <v>54</v>
      </c>
      <c r="J130" s="33" t="s">
        <v>55</v>
      </c>
      <c r="K130" s="33" t="s">
        <v>56</v>
      </c>
      <c r="L130" s="33" t="s">
        <v>57</v>
      </c>
      <c r="M130" s="33" t="s">
        <v>58</v>
      </c>
      <c r="N130" s="31" t="s">
        <v>0</v>
      </c>
      <c r="O130" s="8"/>
      <c r="P130" s="8"/>
      <c r="Q130" s="8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ht="33.75" x14ac:dyDescent="0.5">
      <c r="A131" s="24" t="s">
        <v>46</v>
      </c>
      <c r="B131" s="31">
        <v>17503830</v>
      </c>
      <c r="C131" s="31">
        <f>B135</f>
        <v>17978224</v>
      </c>
      <c r="D131" s="31">
        <v>12752084</v>
      </c>
      <c r="E131" s="31">
        <f t="shared" ref="E131:F131" si="35">D135</f>
        <v>23149482</v>
      </c>
      <c r="F131" s="31">
        <f t="shared" si="35"/>
        <v>37122503</v>
      </c>
      <c r="G131" s="31">
        <v>39589040</v>
      </c>
      <c r="H131" s="31">
        <f t="shared" ref="G131:I131" si="36">G135</f>
        <v>40458819</v>
      </c>
      <c r="I131" s="31">
        <f t="shared" si="36"/>
        <v>40458819</v>
      </c>
      <c r="J131" s="31"/>
      <c r="K131" s="31"/>
      <c r="L131" s="31"/>
      <c r="M131" s="31"/>
      <c r="N131" s="31">
        <f>B131</f>
        <v>17503830</v>
      </c>
      <c r="O131" s="8"/>
      <c r="P131" s="8">
        <f>N135-D135</f>
        <v>216260807</v>
      </c>
      <c r="Q131" s="8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ht="33.75" x14ac:dyDescent="0.5">
      <c r="A132" s="24" t="s">
        <v>23</v>
      </c>
      <c r="B132" s="35">
        <f>B17</f>
        <v>39132283</v>
      </c>
      <c r="C132" s="35">
        <f t="shared" ref="C132:M132" si="37">C17</f>
        <v>38931785</v>
      </c>
      <c r="D132" s="35">
        <f t="shared" si="37"/>
        <v>45415026</v>
      </c>
      <c r="E132" s="31">
        <f t="shared" si="37"/>
        <v>42793328</v>
      </c>
      <c r="F132" s="31">
        <f t="shared" si="37"/>
        <v>49307953</v>
      </c>
      <c r="G132" s="31">
        <f t="shared" si="37"/>
        <v>46457025</v>
      </c>
      <c r="H132" s="31">
        <f t="shared" si="37"/>
        <v>0</v>
      </c>
      <c r="I132" s="31">
        <f t="shared" si="37"/>
        <v>0</v>
      </c>
      <c r="J132" s="31">
        <f t="shared" si="37"/>
        <v>0</v>
      </c>
      <c r="K132" s="31">
        <f t="shared" si="37"/>
        <v>0</v>
      </c>
      <c r="L132" s="31">
        <f t="shared" si="37"/>
        <v>0</v>
      </c>
      <c r="M132" s="31">
        <f t="shared" si="37"/>
        <v>0</v>
      </c>
      <c r="N132" s="31">
        <f>N17</f>
        <v>221906459</v>
      </c>
      <c r="O132" s="8"/>
      <c r="P132" s="8"/>
      <c r="Q132" s="8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ht="33.75" x14ac:dyDescent="0.5">
      <c r="A133" s="24" t="s">
        <v>94</v>
      </c>
      <c r="B133" s="68">
        <f>B131+B132</f>
        <v>56636113</v>
      </c>
      <c r="C133" s="68">
        <f>C131+C132</f>
        <v>56910009</v>
      </c>
      <c r="D133" s="68">
        <f>D131+D132</f>
        <v>58167110</v>
      </c>
      <c r="E133" s="31">
        <v>65459444</v>
      </c>
      <c r="F133" s="31">
        <f t="shared" ref="F133" si="38">F131+F132</f>
        <v>86430456</v>
      </c>
      <c r="G133" s="31">
        <f>G131+G132</f>
        <v>86046065</v>
      </c>
      <c r="H133" s="31">
        <f t="shared" ref="G133:I133" si="39">H131+H132</f>
        <v>40458819</v>
      </c>
      <c r="I133" s="31">
        <f t="shared" si="39"/>
        <v>40458819</v>
      </c>
      <c r="J133" s="31"/>
      <c r="K133" s="31"/>
      <c r="L133" s="31"/>
      <c r="M133" s="31"/>
      <c r="N133" s="31">
        <f>N131+N132</f>
        <v>239410289</v>
      </c>
      <c r="O133" s="8"/>
      <c r="P133" s="8"/>
      <c r="Q133" s="8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ht="33.75" x14ac:dyDescent="0.5">
      <c r="A134" s="24" t="s">
        <v>24</v>
      </c>
      <c r="B134" s="69">
        <f>B126</f>
        <v>38657889</v>
      </c>
      <c r="C134" s="69">
        <v>45428614</v>
      </c>
      <c r="D134" s="69">
        <f>D38+D76+D91+D112</f>
        <v>35017628</v>
      </c>
      <c r="E134" s="31">
        <f>E126</f>
        <v>28636941</v>
      </c>
      <c r="F134" s="31">
        <f t="shared" ref="F134:G134" si="40">F126</f>
        <v>41269098</v>
      </c>
      <c r="G134" s="31">
        <f t="shared" si="40"/>
        <v>45587246</v>
      </c>
      <c r="H134" s="31">
        <f t="shared" ref="G134:M134" si="41">H126</f>
        <v>0</v>
      </c>
      <c r="I134" s="31"/>
      <c r="J134" s="31">
        <f t="shared" si="41"/>
        <v>0</v>
      </c>
      <c r="K134" s="31">
        <f t="shared" si="41"/>
        <v>0</v>
      </c>
      <c r="L134" s="31">
        <f t="shared" si="41"/>
        <v>0</v>
      </c>
      <c r="M134" s="31">
        <f t="shared" si="41"/>
        <v>0</v>
      </c>
      <c r="N134" s="31"/>
      <c r="O134" s="8"/>
      <c r="P134" s="8"/>
      <c r="Q134" s="8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ht="33.75" x14ac:dyDescent="0.5">
      <c r="A135" s="34" t="s">
        <v>95</v>
      </c>
      <c r="B135" s="70">
        <f>+B131+B132-B134</f>
        <v>17978224</v>
      </c>
      <c r="C135" s="71">
        <f>+C131+C132-C134</f>
        <v>11481395</v>
      </c>
      <c r="D135" s="70">
        <f>D133-D134</f>
        <v>23149482</v>
      </c>
      <c r="E135" s="31">
        <v>37122503</v>
      </c>
      <c r="F135" s="31">
        <f>+F131+F132-F134</f>
        <v>45161358</v>
      </c>
      <c r="G135" s="31">
        <f>+G131+G132-G134</f>
        <v>40458819</v>
      </c>
      <c r="H135" s="31">
        <f t="shared" ref="G135:I135" si="42">+H131+H132-H134</f>
        <v>40458819</v>
      </c>
      <c r="I135" s="31">
        <f t="shared" si="42"/>
        <v>40458819</v>
      </c>
      <c r="J135" s="31"/>
      <c r="K135" s="31"/>
      <c r="L135" s="31"/>
      <c r="M135" s="31"/>
      <c r="N135" s="31">
        <f>N133-N134</f>
        <v>239410289</v>
      </c>
      <c r="O135" s="8"/>
      <c r="P135" s="8"/>
      <c r="Q135" s="8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ht="33.75" x14ac:dyDescent="0.5">
      <c r="A136" s="65"/>
      <c r="B136" s="66"/>
      <c r="C136" s="66"/>
      <c r="D136" s="66"/>
      <c r="E136" s="66"/>
      <c r="F136" s="66"/>
      <c r="G136" s="66"/>
      <c r="H136" s="66" t="s">
        <v>50</v>
      </c>
      <c r="I136" s="66"/>
      <c r="J136" s="66"/>
      <c r="K136" s="66"/>
      <c r="L136" s="66"/>
      <c r="M136" s="66"/>
      <c r="N136" s="58"/>
      <c r="O136" s="8"/>
      <c r="P136" s="8"/>
      <c r="Q136" s="8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ht="33.75" x14ac:dyDescent="0.5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8"/>
      <c r="P137" s="8"/>
      <c r="Q137" s="8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ht="33.75" x14ac:dyDescent="0.5">
      <c r="A138" s="58"/>
      <c r="B138" s="32" t="s">
        <v>29</v>
      </c>
      <c r="C138" s="32" t="s">
        <v>38</v>
      </c>
      <c r="D138" s="32" t="s">
        <v>45</v>
      </c>
      <c r="E138" s="32" t="s">
        <v>49</v>
      </c>
      <c r="F138" s="32" t="s">
        <v>51</v>
      </c>
      <c r="G138" s="32" t="s">
        <v>52</v>
      </c>
      <c r="H138" s="32" t="s">
        <v>53</v>
      </c>
      <c r="I138" s="32" t="s">
        <v>54</v>
      </c>
      <c r="J138" s="32" t="s">
        <v>55</v>
      </c>
      <c r="K138" s="32" t="s">
        <v>56</v>
      </c>
      <c r="L138" s="32" t="s">
        <v>57</v>
      </c>
      <c r="M138" s="32" t="s">
        <v>58</v>
      </c>
      <c r="N138" s="24" t="s">
        <v>0</v>
      </c>
      <c r="O138" s="8"/>
      <c r="P138" s="8"/>
      <c r="Q138" s="8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ht="33.75" x14ac:dyDescent="0.5">
      <c r="A139" s="72" t="s">
        <v>48</v>
      </c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>
        <f t="shared" ref="N139:N141" si="43">SUM(B139:M139)</f>
        <v>0</v>
      </c>
      <c r="O139" s="8"/>
      <c r="P139" s="8"/>
      <c r="Q139" s="8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ht="33.75" x14ac:dyDescent="0.5">
      <c r="A140" s="72" t="s">
        <v>47</v>
      </c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>
        <f t="shared" si="43"/>
        <v>0</v>
      </c>
      <c r="O140" s="8"/>
      <c r="P140" s="8"/>
      <c r="Q140" s="8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ht="33.75" x14ac:dyDescent="0.5">
      <c r="A141" s="72" t="s">
        <v>35</v>
      </c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>
        <f t="shared" si="43"/>
        <v>0</v>
      </c>
      <c r="O141" s="8"/>
      <c r="P141" s="8"/>
      <c r="Q141" s="8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ht="33.75" x14ac:dyDescent="0.5">
      <c r="A142" s="72" t="s">
        <v>69</v>
      </c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>
        <f>SUM(B142:M142)</f>
        <v>0</v>
      </c>
      <c r="O142" s="8"/>
      <c r="P142" s="8"/>
      <c r="Q142" s="8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ht="33.75" x14ac:dyDescent="0.5">
      <c r="A143" s="72" t="s">
        <v>71</v>
      </c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>
        <f>SUM(B143:M143)</f>
        <v>0</v>
      </c>
      <c r="O143" s="8"/>
      <c r="P143" s="8"/>
      <c r="Q143" s="8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ht="33.75" x14ac:dyDescent="0.5">
      <c r="A144" s="113" t="s">
        <v>96</v>
      </c>
      <c r="B144" s="114"/>
      <c r="C144" s="114"/>
      <c r="D144" s="114"/>
      <c r="E144" s="114"/>
      <c r="F144" s="114"/>
      <c r="G144" s="114"/>
      <c r="H144" s="114"/>
      <c r="I144" s="114"/>
      <c r="J144" s="114"/>
      <c r="K144" s="114"/>
      <c r="L144" s="114"/>
      <c r="M144" s="114"/>
      <c r="N144" s="58"/>
      <c r="O144" s="8"/>
      <c r="P144" s="8"/>
      <c r="Q144" s="8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ht="33.75" x14ac:dyDescent="0.5">
      <c r="A145" s="31"/>
      <c r="B145" s="32" t="s">
        <v>29</v>
      </c>
      <c r="C145" s="32" t="s">
        <v>38</v>
      </c>
      <c r="D145" s="32" t="s">
        <v>45</v>
      </c>
      <c r="E145" s="32" t="s">
        <v>49</v>
      </c>
      <c r="F145" s="32" t="s">
        <v>51</v>
      </c>
      <c r="G145" s="32" t="s">
        <v>52</v>
      </c>
      <c r="H145" s="32" t="s">
        <v>53</v>
      </c>
      <c r="I145" s="32" t="s">
        <v>54</v>
      </c>
      <c r="J145" s="32" t="s">
        <v>55</v>
      </c>
      <c r="K145" s="32" t="s">
        <v>56</v>
      </c>
      <c r="L145" s="32" t="s">
        <v>57</v>
      </c>
      <c r="M145" s="32" t="s">
        <v>58</v>
      </c>
      <c r="N145" s="24" t="s">
        <v>0</v>
      </c>
      <c r="O145" s="8"/>
      <c r="P145" s="8"/>
      <c r="Q145" s="8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ht="33.75" x14ac:dyDescent="0.5">
      <c r="A146" s="31" t="s">
        <v>90</v>
      </c>
      <c r="B146" s="31">
        <v>44647618</v>
      </c>
      <c r="C146" s="31">
        <v>41476160</v>
      </c>
      <c r="D146" s="31">
        <v>44431938</v>
      </c>
      <c r="E146" s="31">
        <v>37125638</v>
      </c>
      <c r="F146" s="31">
        <v>54184399</v>
      </c>
      <c r="G146" s="31">
        <v>38112472</v>
      </c>
      <c r="H146" s="31"/>
      <c r="I146" s="31"/>
      <c r="J146" s="31"/>
      <c r="K146" s="31"/>
      <c r="L146" s="31"/>
      <c r="M146" s="31"/>
      <c r="N146" s="31">
        <f>D146</f>
        <v>44431938</v>
      </c>
      <c r="O146" s="8"/>
      <c r="P146" s="8"/>
      <c r="Q146" s="8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ht="33.75" x14ac:dyDescent="0.5">
      <c r="A147" s="31" t="s">
        <v>91</v>
      </c>
      <c r="B147" s="31">
        <v>143153</v>
      </c>
      <c r="C147" s="31">
        <v>397808</v>
      </c>
      <c r="D147" s="31">
        <v>351962</v>
      </c>
      <c r="E147" s="31">
        <v>124313</v>
      </c>
      <c r="F147" s="31">
        <v>745679</v>
      </c>
      <c r="G147" s="31">
        <v>79592</v>
      </c>
      <c r="H147" s="31"/>
      <c r="I147" s="31"/>
      <c r="J147" s="31"/>
      <c r="K147" s="31"/>
      <c r="L147" s="31"/>
      <c r="M147" s="31"/>
      <c r="N147" s="31">
        <f t="shared" ref="N147:N148" si="44">SUM(B147:M147)</f>
        <v>1842507</v>
      </c>
      <c r="O147" s="8"/>
      <c r="P147" s="8"/>
      <c r="Q147" s="8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ht="33.75" x14ac:dyDescent="0.5">
      <c r="A148" s="31" t="s">
        <v>92</v>
      </c>
      <c r="B148" s="31">
        <v>26979723</v>
      </c>
      <c r="C148" s="31">
        <v>27433479</v>
      </c>
      <c r="D148" s="31">
        <v>30669188</v>
      </c>
      <c r="E148" s="31">
        <v>30447984</v>
      </c>
      <c r="F148" s="31">
        <v>26506780</v>
      </c>
      <c r="G148" s="31">
        <v>27912590</v>
      </c>
      <c r="H148" s="31"/>
      <c r="I148" s="31"/>
      <c r="J148" s="31"/>
      <c r="K148" s="31"/>
      <c r="L148" s="31"/>
      <c r="M148" s="31"/>
      <c r="N148" s="31">
        <f t="shared" si="44"/>
        <v>169949744</v>
      </c>
      <c r="O148" s="8"/>
      <c r="P148" s="8"/>
      <c r="Q148" s="8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ht="33.75" x14ac:dyDescent="0.5">
      <c r="A149" s="31" t="s">
        <v>93</v>
      </c>
      <c r="B149" s="31">
        <v>16103101</v>
      </c>
      <c r="C149" s="31">
        <v>11728632</v>
      </c>
      <c r="D149" s="31">
        <v>25519445</v>
      </c>
      <c r="E149" s="31">
        <v>18256811</v>
      </c>
      <c r="F149" s="31">
        <v>19485451</v>
      </c>
      <c r="G149" s="31">
        <v>32935577</v>
      </c>
      <c r="H149" s="31"/>
      <c r="I149" s="31"/>
      <c r="J149" s="31"/>
      <c r="K149" s="31"/>
      <c r="L149" s="31"/>
      <c r="M149" s="31"/>
      <c r="N149" s="31">
        <f>SUM(J149:M149)</f>
        <v>0</v>
      </c>
      <c r="O149" s="8"/>
      <c r="P149" s="8"/>
      <c r="Q149" s="8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ht="33.75" x14ac:dyDescent="0.5">
      <c r="A150" s="36" t="s">
        <v>121</v>
      </c>
      <c r="B150" s="36">
        <v>14191111</v>
      </c>
      <c r="C150" s="36">
        <v>12978768</v>
      </c>
      <c r="D150" s="36">
        <v>19708168</v>
      </c>
      <c r="E150" s="36">
        <v>32513056</v>
      </c>
      <c r="F150" s="36">
        <v>35432440</v>
      </c>
      <c r="G150" s="36">
        <v>24770872</v>
      </c>
      <c r="H150" s="36"/>
      <c r="I150" s="36"/>
      <c r="J150" s="31"/>
      <c r="K150" s="31"/>
      <c r="L150" s="31"/>
      <c r="M150" s="31"/>
      <c r="N150" s="31">
        <f>SUM(B150:M150)</f>
        <v>139594415</v>
      </c>
      <c r="O150" s="8"/>
      <c r="P150" s="8"/>
      <c r="Q150" s="8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ht="33.75" x14ac:dyDescent="0.5">
      <c r="A151" s="31" t="s">
        <v>113</v>
      </c>
      <c r="B151" s="31">
        <v>10420687</v>
      </c>
      <c r="C151" s="31">
        <v>4695000</v>
      </c>
      <c r="D151" s="31">
        <v>3345500</v>
      </c>
      <c r="E151" s="31">
        <v>2926660</v>
      </c>
      <c r="F151" s="31">
        <v>4156600</v>
      </c>
      <c r="G151" s="31">
        <v>10259000</v>
      </c>
      <c r="H151" s="31"/>
      <c r="I151" s="31"/>
      <c r="J151" s="31"/>
      <c r="K151" s="31"/>
      <c r="L151" s="31"/>
      <c r="M151" s="31"/>
      <c r="N151" s="31"/>
      <c r="O151" s="8"/>
      <c r="P151" s="8"/>
      <c r="Q151" s="8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s="5" customFormat="1" x14ac:dyDescent="0.25">
      <c r="G152" s="118"/>
      <c r="Q152" s="8"/>
    </row>
    <row r="153" spans="1:33" s="5" customFormat="1" x14ac:dyDescent="0.25">
      <c r="G153" s="118"/>
      <c r="Q153" s="8"/>
    </row>
    <row r="154" spans="1:33" s="5" customFormat="1" x14ac:dyDescent="0.25">
      <c r="G154" s="118"/>
      <c r="Q154" s="8"/>
    </row>
    <row r="155" spans="1:33" s="5" customFormat="1" x14ac:dyDescent="0.25">
      <c r="G155" s="118"/>
      <c r="Q155" s="8"/>
    </row>
    <row r="156" spans="1:33" s="5" customFormat="1" x14ac:dyDescent="0.25">
      <c r="G156" s="118"/>
      <c r="Q156" s="12"/>
    </row>
    <row r="157" spans="1:33" s="5" customFormat="1" x14ac:dyDescent="0.25">
      <c r="G157" s="118"/>
      <c r="Q157" s="13"/>
    </row>
    <row r="158" spans="1:33" s="5" customFormat="1" x14ac:dyDescent="0.25">
      <c r="G158" s="118"/>
      <c r="Q158" s="15"/>
    </row>
    <row r="159" spans="1:33" s="5" customFormat="1" x14ac:dyDescent="0.25">
      <c r="G159" s="118"/>
      <c r="Q159" s="15"/>
    </row>
    <row r="160" spans="1:33" s="5" customFormat="1" x14ac:dyDescent="0.25">
      <c r="G160" s="118"/>
      <c r="Q160" s="12"/>
    </row>
    <row r="161" spans="7:17" s="5" customFormat="1" x14ac:dyDescent="0.25">
      <c r="G161" s="118"/>
      <c r="Q161" s="13"/>
    </row>
    <row r="162" spans="7:17" s="5" customFormat="1" x14ac:dyDescent="0.25">
      <c r="G162" s="118"/>
      <c r="Q162" s="15"/>
    </row>
    <row r="163" spans="7:17" s="5" customFormat="1" x14ac:dyDescent="0.25">
      <c r="G163" s="118"/>
      <c r="Q163" s="15"/>
    </row>
    <row r="164" spans="7:17" s="5" customFormat="1" x14ac:dyDescent="0.25">
      <c r="G164" s="118"/>
      <c r="O164" s="14"/>
      <c r="P164" s="14"/>
      <c r="Q164" s="15"/>
    </row>
    <row r="165" spans="7:17" s="5" customFormat="1" x14ac:dyDescent="0.25">
      <c r="G165" s="118"/>
      <c r="O165" s="14"/>
      <c r="P165" s="14"/>
      <c r="Q165" s="15"/>
    </row>
    <row r="166" spans="7:17" s="5" customFormat="1" x14ac:dyDescent="0.25">
      <c r="G166" s="118"/>
      <c r="O166" s="14"/>
      <c r="P166" s="14"/>
      <c r="Q166" s="15"/>
    </row>
    <row r="167" spans="7:17" s="5" customFormat="1" x14ac:dyDescent="0.25">
      <c r="G167" s="118"/>
      <c r="O167" s="14"/>
      <c r="P167" s="14"/>
      <c r="Q167" s="15"/>
    </row>
    <row r="168" spans="7:17" s="5" customFormat="1" x14ac:dyDescent="0.25">
      <c r="G168" s="118"/>
      <c r="O168" s="14"/>
      <c r="P168" s="14"/>
      <c r="Q168" s="15"/>
    </row>
    <row r="169" spans="7:17" s="5" customFormat="1" x14ac:dyDescent="0.25">
      <c r="G169" s="118"/>
      <c r="O169" s="14"/>
      <c r="P169" s="14"/>
      <c r="Q169" s="15"/>
    </row>
    <row r="170" spans="7:17" s="5" customFormat="1" x14ac:dyDescent="0.25">
      <c r="G170" s="118"/>
      <c r="O170" s="11"/>
      <c r="P170" s="11"/>
      <c r="Q170" s="12"/>
    </row>
    <row r="171" spans="7:17" x14ac:dyDescent="0.25">
      <c r="O171" s="7"/>
      <c r="P171" s="7"/>
      <c r="Q171" s="7"/>
    </row>
    <row r="172" spans="7:17" x14ac:dyDescent="0.25">
      <c r="O172" s="7"/>
      <c r="P172" s="7"/>
      <c r="Q172" s="10"/>
    </row>
    <row r="173" spans="7:17" x14ac:dyDescent="0.25">
      <c r="O173" s="7"/>
      <c r="P173" s="7"/>
      <c r="Q173" s="7"/>
    </row>
  </sheetData>
  <mergeCells count="10">
    <mergeCell ref="A92:N92"/>
    <mergeCell ref="A103:N103"/>
    <mergeCell ref="A39:N39"/>
    <mergeCell ref="A114:N114"/>
    <mergeCell ref="A144:M144"/>
    <mergeCell ref="A1:N1"/>
    <mergeCell ref="A20:N20"/>
    <mergeCell ref="A30:N30"/>
    <mergeCell ref="A12:N12"/>
    <mergeCell ref="A78:N78"/>
  </mergeCells>
  <phoneticPr fontId="4" type="noConversion"/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103"/>
  <sheetViews>
    <sheetView workbookViewId="0">
      <selection activeCell="A3" sqref="A3"/>
    </sheetView>
  </sheetViews>
  <sheetFormatPr baseColWidth="10" defaultRowHeight="15" x14ac:dyDescent="0.25"/>
  <cols>
    <col min="2" max="2" width="40" customWidth="1"/>
    <col min="3" max="3" width="13" bestFit="1" customWidth="1"/>
    <col min="4" max="4" width="16.7109375" customWidth="1"/>
    <col min="5" max="6" width="14.7109375" customWidth="1"/>
    <col min="7" max="7" width="14.5703125" customWidth="1"/>
    <col min="8" max="8" width="14.85546875" customWidth="1"/>
    <col min="15" max="15" width="16.42578125" customWidth="1"/>
    <col min="16" max="16" width="16.85546875" customWidth="1"/>
    <col min="17" max="17" width="15.42578125" customWidth="1"/>
    <col min="21" max="21" width="16.85546875" customWidth="1"/>
  </cols>
  <sheetData>
    <row r="3" spans="2:22" x14ac:dyDescent="0.25">
      <c r="B3" s="74"/>
      <c r="C3" s="75" t="s">
        <v>29</v>
      </c>
      <c r="D3" s="75" t="s">
        <v>38</v>
      </c>
      <c r="E3" s="75" t="s">
        <v>45</v>
      </c>
      <c r="F3" s="75" t="s">
        <v>49</v>
      </c>
      <c r="G3" s="75" t="s">
        <v>51</v>
      </c>
      <c r="H3" s="75" t="s">
        <v>52</v>
      </c>
      <c r="I3" s="75" t="s">
        <v>124</v>
      </c>
      <c r="J3" s="75" t="s">
        <v>125</v>
      </c>
      <c r="K3" s="75" t="s">
        <v>126</v>
      </c>
      <c r="L3" s="75" t="s">
        <v>127</v>
      </c>
      <c r="M3" s="75" t="s">
        <v>128</v>
      </c>
      <c r="N3" s="75" t="s">
        <v>129</v>
      </c>
      <c r="O3" s="75" t="s">
        <v>0</v>
      </c>
      <c r="P3" s="75" t="s">
        <v>130</v>
      </c>
      <c r="Q3" s="75" t="s">
        <v>131</v>
      </c>
      <c r="R3" s="75" t="s">
        <v>132</v>
      </c>
      <c r="S3" s="75" t="s">
        <v>133</v>
      </c>
      <c r="T3">
        <v>2021</v>
      </c>
      <c r="U3" s="76" t="s">
        <v>134</v>
      </c>
      <c r="V3" s="76" t="s">
        <v>135</v>
      </c>
    </row>
    <row r="4" spans="2:22" x14ac:dyDescent="0.25">
      <c r="B4" s="74" t="s">
        <v>136</v>
      </c>
      <c r="C4" s="74">
        <f>'DONNEES FINANCIERES MENSUELLES'!B3+'DONNEES FINANCIERES MENSUELLES'!B5+'DONNEES FINANCIERES MENSUELLES'!B6</f>
        <v>36260624</v>
      </c>
      <c r="D4" s="74">
        <f>'DONNEES FINANCIERES MENSUELLES'!C3+'DONNEES FINANCIERES MENSUELLES'!C5+'DONNEES FINANCIERES MENSUELLES'!C6</f>
        <v>32413686</v>
      </c>
      <c r="E4" s="74">
        <f>'DONNEES FINANCIERES MENSUELLES'!D3+'DONNEES FINANCIERES MENSUELLES'!D5+'DONNEES FINANCIERES MENSUELLES'!D6</f>
        <v>37610299</v>
      </c>
      <c r="F4" s="74">
        <f>'DONNEES FINANCIERES MENSUELLES'!E3+'DONNEES FINANCIERES MENSUELLES'!E5+'DONNEES FINANCIERES MENSUELLES'!E6</f>
        <v>35094804</v>
      </c>
      <c r="G4" s="74">
        <f>'DONNEES FINANCIERES MENSUELLES'!F3+'DONNEES FINANCIERES MENSUELLES'!F5+'DONNEES FINANCIERES MENSUELLES'!F6</f>
        <v>40686608</v>
      </c>
      <c r="H4" s="74">
        <f>'DONNEES FINANCIERES MENSUELLES'!G3+'DONNEES FINANCIERES MENSUELLES'!G5+'DONNEES FINANCIERES MENSUELLES'!G6</f>
        <v>39885219</v>
      </c>
      <c r="I4" s="74">
        <f>'DONNEES FINANCIERES MENSUELLES'!H3+'DONNEES FINANCIERES MENSUELLES'!H5+'DONNEES FINANCIERES MENSUELLES'!H6</f>
        <v>0</v>
      </c>
      <c r="J4" s="74">
        <f>'DONNEES FINANCIERES MENSUELLES'!I3+'DONNEES FINANCIERES MENSUELLES'!I5+'DONNEES FINANCIERES MENSUELLES'!I6</f>
        <v>0</v>
      </c>
      <c r="K4" s="74">
        <f>'DONNEES FINANCIERES MENSUELLES'!J3+'DONNEES FINANCIERES MENSUELLES'!J5+'DONNEES FINANCIERES MENSUELLES'!J6</f>
        <v>0</v>
      </c>
      <c r="L4" s="74">
        <f>'DONNEES FINANCIERES MENSUELLES'!K3+'DONNEES FINANCIERES MENSUELLES'!K5+'DONNEES FINANCIERES MENSUELLES'!K6</f>
        <v>0</v>
      </c>
      <c r="M4" s="74">
        <f>'DONNEES FINANCIERES MENSUELLES'!L3+'DONNEES FINANCIERES MENSUELLES'!L5+'DONNEES FINANCIERES MENSUELLES'!L6</f>
        <v>0</v>
      </c>
      <c r="N4" s="74">
        <f>'DONNEES FINANCIERES MENSUELLES'!M3+'DONNEES FINANCIERES MENSUELLES'!M5+'DONNEES FINANCIERES MENSUELLES'!M6</f>
        <v>0</v>
      </c>
      <c r="O4" s="74">
        <f>SUM(C4:N4)</f>
        <v>221951240</v>
      </c>
      <c r="P4" s="77">
        <f>C4+D4+E4</f>
        <v>106284609</v>
      </c>
      <c r="Q4" s="77">
        <f>F4+G4+H4</f>
        <v>115666631</v>
      </c>
      <c r="R4" s="77">
        <f>I4+J4+K4</f>
        <v>0</v>
      </c>
      <c r="S4" s="77">
        <f>L4+M4+N4</f>
        <v>0</v>
      </c>
      <c r="T4">
        <v>425205986</v>
      </c>
      <c r="U4" s="77">
        <f>O4-T4</f>
        <v>-203254746</v>
      </c>
      <c r="V4" s="78">
        <f>U4/T4</f>
        <v>-0.47801478034695399</v>
      </c>
    </row>
    <row r="5" spans="2:22" x14ac:dyDescent="0.25">
      <c r="B5" s="74" t="s">
        <v>137</v>
      </c>
      <c r="C5" s="74">
        <f>'DONNEES FINANCIERES MENSUELLES'!B4</f>
        <v>6737933</v>
      </c>
      <c r="D5" s="74">
        <f>'DONNEES FINANCIERES MENSUELLES'!C4</f>
        <v>7182118</v>
      </c>
      <c r="E5" s="74">
        <f>'DONNEES FINANCIERES MENSUELLES'!D4</f>
        <v>8027455</v>
      </c>
      <c r="F5" s="74">
        <f>'DONNEES FINANCIERES MENSUELLES'!E4</f>
        <v>7477320</v>
      </c>
      <c r="G5" s="74">
        <f>'DONNEES FINANCIERES MENSUELLES'!F4</f>
        <v>8370800</v>
      </c>
      <c r="H5" s="74">
        <f>'DONNEES FINANCIERES MENSUELLES'!G4</f>
        <v>7324562</v>
      </c>
      <c r="I5" s="74">
        <f>'DONNEES FINANCIERES MENSUELLES'!H4</f>
        <v>0</v>
      </c>
      <c r="J5" s="74">
        <f>'DONNEES FINANCIERES MENSUELLES'!I4</f>
        <v>0</v>
      </c>
      <c r="K5" s="74">
        <f>'DONNEES FINANCIERES MENSUELLES'!J4</f>
        <v>0</v>
      </c>
      <c r="L5" s="74">
        <f>'DONNEES FINANCIERES MENSUELLES'!K4</f>
        <v>0</v>
      </c>
      <c r="M5" s="74">
        <f>'DONNEES FINANCIERES MENSUELLES'!L4</f>
        <v>0</v>
      </c>
      <c r="N5" s="74">
        <f>'[1]DONNEES FINANCIERES MENSUELLES'!M4</f>
        <v>0</v>
      </c>
      <c r="O5" s="74">
        <f t="shared" ref="O5:O15" si="0">SUM(C5:N5)</f>
        <v>45120188</v>
      </c>
      <c r="P5" s="77">
        <f t="shared" ref="P5:P12" si="1">C5+D5+E5</f>
        <v>21947506</v>
      </c>
      <c r="Q5" s="77">
        <f t="shared" ref="Q5:Q15" si="2">F5+G5+H5</f>
        <v>23172682</v>
      </c>
      <c r="R5" s="77">
        <f t="shared" ref="R5:R15" si="3">I5+J5+K5</f>
        <v>0</v>
      </c>
      <c r="S5" s="77">
        <f t="shared" ref="S5:S15" si="4">L5+M5+N5</f>
        <v>0</v>
      </c>
      <c r="T5">
        <v>131565642</v>
      </c>
      <c r="U5" s="77">
        <f t="shared" ref="U5:U15" si="5">O5-T5</f>
        <v>-86445454</v>
      </c>
      <c r="V5" s="78">
        <f t="shared" ref="V5:V15" si="6">U5/T5</f>
        <v>-0.65705189201296188</v>
      </c>
    </row>
    <row r="6" spans="2:22" x14ac:dyDescent="0.25">
      <c r="B6" s="74" t="s">
        <v>138</v>
      </c>
      <c r="C6" s="74">
        <f>C4+C5</f>
        <v>42998557</v>
      </c>
      <c r="D6" s="74">
        <f t="shared" ref="D6:N6" si="7">D4+D5</f>
        <v>39595804</v>
      </c>
      <c r="E6" s="74">
        <f t="shared" si="7"/>
        <v>45637754</v>
      </c>
      <c r="F6" s="74">
        <f t="shared" ref="F6:G6" si="8">F4+F5</f>
        <v>42572124</v>
      </c>
      <c r="G6" s="74">
        <f t="shared" si="8"/>
        <v>49057408</v>
      </c>
      <c r="H6" s="74">
        <f t="shared" ref="H6" si="9">H4+H5</f>
        <v>47209781</v>
      </c>
      <c r="I6" s="74">
        <f t="shared" si="7"/>
        <v>0</v>
      </c>
      <c r="J6" s="74">
        <f t="shared" si="7"/>
        <v>0</v>
      </c>
      <c r="K6" s="74">
        <f t="shared" si="7"/>
        <v>0</v>
      </c>
      <c r="L6" s="74">
        <f t="shared" si="7"/>
        <v>0</v>
      </c>
      <c r="M6" s="74">
        <f t="shared" si="7"/>
        <v>0</v>
      </c>
      <c r="N6" s="74">
        <f t="shared" si="7"/>
        <v>0</v>
      </c>
      <c r="O6" s="74">
        <f t="shared" si="0"/>
        <v>267071428</v>
      </c>
      <c r="P6" s="77">
        <f t="shared" si="1"/>
        <v>128232115</v>
      </c>
      <c r="Q6" s="77">
        <f t="shared" si="2"/>
        <v>138839313</v>
      </c>
      <c r="R6" s="77">
        <f t="shared" si="3"/>
        <v>0</v>
      </c>
      <c r="S6" s="77">
        <f t="shared" si="4"/>
        <v>0</v>
      </c>
      <c r="T6">
        <v>557122499</v>
      </c>
      <c r="U6" s="77">
        <f t="shared" si="5"/>
        <v>-290051071</v>
      </c>
      <c r="V6" s="78">
        <f t="shared" si="6"/>
        <v>-0.52062351012680963</v>
      </c>
    </row>
    <row r="7" spans="2:22" x14ac:dyDescent="0.25">
      <c r="B7" s="74" t="s">
        <v>60</v>
      </c>
      <c r="C7" s="74">
        <f>'DONNEES FINANCIERES MENSUELLES'!B28</f>
        <v>30741471</v>
      </c>
      <c r="D7" s="74">
        <f>'DONNEES FINANCIERES MENSUELLES'!C28</f>
        <v>26667181</v>
      </c>
      <c r="E7" s="74">
        <f>'DONNEES FINANCIERES MENSUELLES'!D28</f>
        <v>40324749</v>
      </c>
      <c r="F7" s="74">
        <f>'DONNEES FINANCIERES MENSUELLES'!E28</f>
        <v>31066405</v>
      </c>
      <c r="G7" s="74">
        <f>'DONNEES FINANCIERES MENSUELLES'!F28</f>
        <v>36362326</v>
      </c>
      <c r="H7" s="74">
        <f>'DONNEES FINANCIERES MENSUELLES'!G28</f>
        <v>29514660</v>
      </c>
      <c r="I7" s="74">
        <f>'[1]DONNEES FINANCIERES MENSUELLES'!H28</f>
        <v>0</v>
      </c>
      <c r="J7" s="74">
        <f>'[1]DONNEES FINANCIERES MENSUELLES'!I28</f>
        <v>0</v>
      </c>
      <c r="K7" s="74">
        <f>'[1]DONNEES FINANCIERES MENSUELLES'!J28</f>
        <v>0</v>
      </c>
      <c r="L7" s="74">
        <f>'[1]DONNEES FINANCIERES MENSUELLES'!K28</f>
        <v>0</v>
      </c>
      <c r="M7" s="74">
        <f>'[1]DONNEES FINANCIERES MENSUELLES'!L28</f>
        <v>0</v>
      </c>
      <c r="N7" s="74">
        <f>'[1]DONNEES FINANCIERES MENSUELLES'!M28</f>
        <v>0</v>
      </c>
      <c r="O7" s="74">
        <f t="shared" si="0"/>
        <v>194676792</v>
      </c>
      <c r="P7" s="77">
        <f t="shared" si="1"/>
        <v>97733401</v>
      </c>
      <c r="Q7" s="77">
        <f t="shared" si="2"/>
        <v>96943391</v>
      </c>
      <c r="R7" s="77">
        <f t="shared" si="3"/>
        <v>0</v>
      </c>
      <c r="S7" s="77">
        <f t="shared" si="4"/>
        <v>0</v>
      </c>
      <c r="T7">
        <v>380964048</v>
      </c>
      <c r="U7" s="77">
        <f t="shared" si="5"/>
        <v>-186287256</v>
      </c>
      <c r="V7" s="78">
        <f t="shared" si="6"/>
        <v>-0.48898907122070479</v>
      </c>
    </row>
    <row r="8" spans="2:22" x14ac:dyDescent="0.25">
      <c r="B8" s="79" t="s">
        <v>139</v>
      </c>
      <c r="C8" s="80"/>
      <c r="D8" s="80">
        <f>'DONNEES FINANCIERES MENSUELLES'!B146-'DONNEES FINANCIERES MENSUELLES'!C146</f>
        <v>3171458</v>
      </c>
      <c r="E8" s="80">
        <f>'DONNEES FINANCIERES MENSUELLES'!C146-'DONNEES FINANCIERES MENSUELLES'!D146</f>
        <v>-2955778</v>
      </c>
      <c r="F8" s="80">
        <f>'DONNEES FINANCIERES MENSUELLES'!D146-'DONNEES FINANCIERES MENSUELLES'!E146</f>
        <v>7306300</v>
      </c>
      <c r="G8" s="80">
        <f>'DONNEES FINANCIERES MENSUELLES'!E146-'DONNEES FINANCIERES MENSUELLES'!F146</f>
        <v>-17058761</v>
      </c>
      <c r="H8" s="80">
        <f>'DONNEES FINANCIERES MENSUELLES'!F146-'DONNEES FINANCIERES MENSUELLES'!G146</f>
        <v>16071927</v>
      </c>
      <c r="I8" s="79"/>
      <c r="J8" s="79"/>
      <c r="K8" s="79"/>
      <c r="L8" s="79"/>
      <c r="M8" s="79"/>
      <c r="N8" s="79"/>
      <c r="O8" s="79">
        <f>SUM(C8:K8)</f>
        <v>6535146</v>
      </c>
      <c r="P8" s="77">
        <f t="shared" si="1"/>
        <v>215680</v>
      </c>
      <c r="Q8" s="77">
        <f t="shared" si="2"/>
        <v>6319466</v>
      </c>
      <c r="R8" s="77">
        <f t="shared" si="3"/>
        <v>0</v>
      </c>
      <c r="S8" s="77">
        <f t="shared" si="4"/>
        <v>0</v>
      </c>
      <c r="U8" s="77">
        <f t="shared" si="5"/>
        <v>6535146</v>
      </c>
      <c r="V8" s="78"/>
    </row>
    <row r="9" spans="2:22" x14ac:dyDescent="0.25">
      <c r="B9" s="74" t="s">
        <v>140</v>
      </c>
      <c r="C9" s="74">
        <f>C6-C7+C8</f>
        <v>12257086</v>
      </c>
      <c r="D9" s="74">
        <f t="shared" ref="D9:G9" si="10">D6-D7+D8</f>
        <v>16100081</v>
      </c>
      <c r="E9" s="74">
        <f t="shared" si="10"/>
        <v>2357227</v>
      </c>
      <c r="F9" s="74">
        <f t="shared" si="10"/>
        <v>18812019</v>
      </c>
      <c r="G9" s="74">
        <f t="shared" si="10"/>
        <v>-4363679</v>
      </c>
      <c r="H9" s="74">
        <f t="shared" ref="H9" si="11">H6-H7+H8</f>
        <v>33767048</v>
      </c>
      <c r="I9" s="74">
        <f t="shared" ref="I9:N9" si="12">I6-I7+I8</f>
        <v>0</v>
      </c>
      <c r="J9" s="74">
        <f t="shared" si="12"/>
        <v>0</v>
      </c>
      <c r="K9" s="74">
        <f t="shared" si="12"/>
        <v>0</v>
      </c>
      <c r="L9" s="74">
        <f t="shared" si="12"/>
        <v>0</v>
      </c>
      <c r="M9" s="74">
        <f t="shared" si="12"/>
        <v>0</v>
      </c>
      <c r="N9" s="74">
        <f t="shared" si="12"/>
        <v>0</v>
      </c>
      <c r="O9" s="74">
        <f>O6-O7+O8</f>
        <v>78929782</v>
      </c>
      <c r="P9" s="77">
        <f t="shared" si="1"/>
        <v>30714394</v>
      </c>
      <c r="Q9" s="77">
        <f t="shared" si="2"/>
        <v>48215388</v>
      </c>
      <c r="R9" s="77">
        <f t="shared" si="3"/>
        <v>0</v>
      </c>
      <c r="S9" s="77">
        <f t="shared" si="4"/>
        <v>0</v>
      </c>
      <c r="T9">
        <v>176158451</v>
      </c>
      <c r="U9" s="77">
        <f t="shared" si="5"/>
        <v>-97228669</v>
      </c>
      <c r="V9" s="78">
        <f t="shared" si="6"/>
        <v>-0.55193871453831078</v>
      </c>
    </row>
    <row r="10" spans="2:22" x14ac:dyDescent="0.25">
      <c r="B10" s="74" t="s">
        <v>141</v>
      </c>
      <c r="C10" s="74">
        <f>'DONNEES FINANCIERES MENSUELLES'!B76+'DONNEES FINANCIERES MENSUELLES'!B122</f>
        <v>1928022</v>
      </c>
      <c r="D10" s="74">
        <f>'DONNEES FINANCIERES MENSUELLES'!C76+'DONNEES FINANCIERES MENSUELLES'!C122</f>
        <v>4444910</v>
      </c>
      <c r="E10" s="74">
        <f>'DONNEES FINANCIERES MENSUELLES'!D76+'DONNEES FINANCIERES MENSUELLES'!D122</f>
        <v>2036281</v>
      </c>
      <c r="F10" s="74">
        <f>'DONNEES FINANCIERES MENSUELLES'!E76+'DONNEES FINANCIERES MENSUELLES'!E122</f>
        <v>2723647</v>
      </c>
      <c r="G10" s="74">
        <f>'DONNEES FINANCIERES MENSUELLES'!F76+'DONNEES FINANCIERES MENSUELLES'!F122</f>
        <v>3938271</v>
      </c>
      <c r="H10" s="74">
        <f>'DONNEES FINANCIERES MENSUELLES'!G76+'DONNEES FINANCIERES MENSUELLES'!G122</f>
        <v>1630192</v>
      </c>
      <c r="I10" s="74">
        <f>'DONNEES FINANCIERES MENSUELLES'!H76+'DONNEES FINANCIERES MENSUELLES'!H122</f>
        <v>0</v>
      </c>
      <c r="J10" s="74">
        <f>'DONNEES FINANCIERES MENSUELLES'!I76+'DONNEES FINANCIERES MENSUELLES'!I122</f>
        <v>0</v>
      </c>
      <c r="K10" s="74">
        <f>'DONNEES FINANCIERES MENSUELLES'!J76+'DONNEES FINANCIERES MENSUELLES'!J122</f>
        <v>0</v>
      </c>
      <c r="L10" s="74">
        <f>'DONNEES FINANCIERES MENSUELLES'!K76+'DONNEES FINANCIERES MENSUELLES'!K122</f>
        <v>0</v>
      </c>
      <c r="M10" s="74">
        <f>'[1]DONNEES FINANCIERES MENSUELLES'!L74+'[1]DONNEES FINANCIERES MENSUELLES'!L116</f>
        <v>0</v>
      </c>
      <c r="N10" s="74">
        <f>'[1]DONNEES FINANCIERES MENSUELLES'!M74+'[1]DONNEES FINANCIERES MENSUELLES'!M116</f>
        <v>0</v>
      </c>
      <c r="O10" s="74">
        <f>SUM(C10:N10)</f>
        <v>16701323</v>
      </c>
      <c r="P10" s="77">
        <f t="shared" si="1"/>
        <v>8409213</v>
      </c>
      <c r="Q10" s="77">
        <f t="shared" si="2"/>
        <v>8292110</v>
      </c>
      <c r="R10" s="77">
        <f t="shared" si="3"/>
        <v>0</v>
      </c>
      <c r="S10" s="77">
        <f t="shared" si="4"/>
        <v>0</v>
      </c>
      <c r="T10">
        <v>19563533</v>
      </c>
      <c r="U10" s="77">
        <f t="shared" si="5"/>
        <v>-2862210</v>
      </c>
      <c r="V10" s="78">
        <f t="shared" si="6"/>
        <v>-0.14630332874946464</v>
      </c>
    </row>
    <row r="11" spans="2:22" x14ac:dyDescent="0.25">
      <c r="B11" s="74" t="s">
        <v>142</v>
      </c>
      <c r="C11" s="74">
        <f>C9-C10</f>
        <v>10329064</v>
      </c>
      <c r="D11" s="74">
        <f t="shared" ref="D11:I11" si="13">D9-D10</f>
        <v>11655171</v>
      </c>
      <c r="E11" s="74">
        <f t="shared" si="13"/>
        <v>320946</v>
      </c>
      <c r="F11" s="74">
        <f t="shared" ref="F11:G11" si="14">F9-F10</f>
        <v>16088372</v>
      </c>
      <c r="G11" s="74">
        <f t="shared" si="14"/>
        <v>-8301950</v>
      </c>
      <c r="H11" s="74">
        <f t="shared" ref="H11" si="15">H9-H10</f>
        <v>32136856</v>
      </c>
      <c r="I11" s="74">
        <f t="shared" si="13"/>
        <v>0</v>
      </c>
      <c r="J11" s="74">
        <f t="shared" ref="J11:O11" si="16">J9-J10</f>
        <v>0</v>
      </c>
      <c r="K11" s="74">
        <f t="shared" si="16"/>
        <v>0</v>
      </c>
      <c r="L11" s="74">
        <f t="shared" si="16"/>
        <v>0</v>
      </c>
      <c r="M11" s="74">
        <f t="shared" si="16"/>
        <v>0</v>
      </c>
      <c r="N11" s="74">
        <f t="shared" si="16"/>
        <v>0</v>
      </c>
      <c r="O11" s="74">
        <f t="shared" si="16"/>
        <v>62228459</v>
      </c>
      <c r="P11" s="77">
        <f t="shared" si="1"/>
        <v>22305181</v>
      </c>
      <c r="Q11" s="77">
        <f t="shared" si="2"/>
        <v>39923278</v>
      </c>
      <c r="R11" s="77">
        <f t="shared" si="3"/>
        <v>0</v>
      </c>
      <c r="S11" s="77">
        <f t="shared" si="4"/>
        <v>0</v>
      </c>
      <c r="T11">
        <v>156594918</v>
      </c>
      <c r="U11" s="77">
        <f t="shared" si="5"/>
        <v>-94366459</v>
      </c>
      <c r="V11" s="78">
        <f t="shared" si="6"/>
        <v>-0.60261507975629192</v>
      </c>
    </row>
    <row r="12" spans="2:22" x14ac:dyDescent="0.25">
      <c r="B12" s="74" t="s">
        <v>143</v>
      </c>
      <c r="C12" s="74">
        <f>'DONNEES FINANCIERES MENSUELLES'!B91</f>
        <v>5832257</v>
      </c>
      <c r="D12" s="74">
        <f>'DONNEES FINANCIERES MENSUELLES'!C91</f>
        <v>7684523</v>
      </c>
      <c r="E12" s="74">
        <f>'DONNEES FINANCIERES MENSUELLES'!D91</f>
        <v>8683001</v>
      </c>
      <c r="F12" s="74">
        <f>'DONNEES FINANCIERES MENSUELLES'!E91</f>
        <v>8006799</v>
      </c>
      <c r="G12" s="74">
        <f>'DONNEES FINANCIERES MENSUELLES'!F91</f>
        <v>8584657</v>
      </c>
      <c r="H12" s="74">
        <f>'DONNEES FINANCIERES MENSUELLES'!G91</f>
        <v>10116164</v>
      </c>
      <c r="I12" s="74">
        <f>'DONNEES FINANCIERES MENSUELLES'!H91</f>
        <v>0</v>
      </c>
      <c r="J12" s="74">
        <f>'[1]DONNEES FINANCIERES MENSUELLES'!I86</f>
        <v>0</v>
      </c>
      <c r="K12" s="74">
        <f>'[1]DONNEES FINANCIERES MENSUELLES'!J86</f>
        <v>0</v>
      </c>
      <c r="L12" s="74">
        <f>'[1]DONNEES FINANCIERES MENSUELLES'!K86</f>
        <v>0</v>
      </c>
      <c r="M12" s="74">
        <f>'[1]DONNEES FINANCIERES MENSUELLES'!L86</f>
        <v>0</v>
      </c>
      <c r="N12" s="74">
        <f>'[1]DONNEES FINANCIERES MENSUELLES'!M86</f>
        <v>0</v>
      </c>
      <c r="O12" s="74">
        <f t="shared" si="0"/>
        <v>48907401</v>
      </c>
      <c r="P12" s="77">
        <f t="shared" si="1"/>
        <v>22199781</v>
      </c>
      <c r="Q12" s="77">
        <f t="shared" si="2"/>
        <v>26707620</v>
      </c>
      <c r="R12" s="77">
        <f t="shared" si="3"/>
        <v>0</v>
      </c>
      <c r="S12" s="77">
        <f t="shared" si="4"/>
        <v>0</v>
      </c>
      <c r="T12">
        <v>40080375</v>
      </c>
      <c r="U12" s="77">
        <f t="shared" si="5"/>
        <v>8827026</v>
      </c>
      <c r="V12" s="78">
        <f t="shared" si="6"/>
        <v>0.22023311907635595</v>
      </c>
    </row>
    <row r="13" spans="2:22" x14ac:dyDescent="0.25">
      <c r="B13" s="74" t="s">
        <v>144</v>
      </c>
      <c r="C13" s="77">
        <f>C11-C12</f>
        <v>4496807</v>
      </c>
      <c r="D13" s="77">
        <f t="shared" ref="D13:I13" si="17">D11-D12</f>
        <v>3970648</v>
      </c>
      <c r="E13" s="77">
        <f t="shared" si="17"/>
        <v>-8362055</v>
      </c>
      <c r="F13" s="77">
        <f t="shared" ref="F13:G13" si="18">F11-F12</f>
        <v>8081573</v>
      </c>
      <c r="G13" s="77">
        <f t="shared" si="18"/>
        <v>-16886607</v>
      </c>
      <c r="H13" s="77">
        <f t="shared" ref="H13" si="19">H11-H12</f>
        <v>22020692</v>
      </c>
      <c r="I13" s="77">
        <f t="shared" si="17"/>
        <v>0</v>
      </c>
      <c r="J13" s="74">
        <f>'[1]DONNEES FINANCIERES MENSUELLES'!I106</f>
        <v>0</v>
      </c>
      <c r="K13" s="74">
        <f>'[1]DONNEES FINANCIERES MENSUELLES'!J106</f>
        <v>0</v>
      </c>
      <c r="L13" s="74">
        <f>'[1]DONNEES FINANCIERES MENSUELLES'!K106</f>
        <v>0</v>
      </c>
      <c r="M13" s="74">
        <f>'[1]DONNEES FINANCIERES MENSUELLES'!L106</f>
        <v>0</v>
      </c>
      <c r="N13" s="74">
        <f>'[1]DONNEES FINANCIERES MENSUELLES'!M106</f>
        <v>0</v>
      </c>
      <c r="O13" s="74">
        <f t="shared" si="0"/>
        <v>13321058</v>
      </c>
      <c r="P13" s="77">
        <f>C14+D14+E13</f>
        <v>-7934871</v>
      </c>
      <c r="Q13" s="77">
        <f t="shared" si="2"/>
        <v>13215658</v>
      </c>
      <c r="R13" s="77">
        <f t="shared" si="3"/>
        <v>0</v>
      </c>
      <c r="S13" s="77">
        <f t="shared" si="4"/>
        <v>0</v>
      </c>
      <c r="T13">
        <v>116514543</v>
      </c>
      <c r="U13" s="77">
        <f t="shared" si="5"/>
        <v>-103193485</v>
      </c>
      <c r="V13" s="78">
        <f t="shared" si="6"/>
        <v>-0.88567042656640727</v>
      </c>
    </row>
    <row r="14" spans="2:22" x14ac:dyDescent="0.25">
      <c r="B14" s="74" t="s">
        <v>145</v>
      </c>
      <c r="C14" s="74">
        <f>'DONNEES FINANCIERES MENSUELLES'!B112</f>
        <v>258283</v>
      </c>
      <c r="D14" s="74">
        <f>'DONNEES FINANCIERES MENSUELLES'!C112</f>
        <v>168901</v>
      </c>
      <c r="E14" s="74">
        <f>'DONNEES FINANCIERES MENSUELLES'!D112</f>
        <v>242582</v>
      </c>
      <c r="F14" s="74">
        <f>'DONNEES FINANCIERES MENSUELLES'!E112</f>
        <v>320334</v>
      </c>
      <c r="G14" s="74">
        <f>'DONNEES FINANCIERES MENSUELLES'!F112</f>
        <v>205381</v>
      </c>
      <c r="H14" s="74">
        <f>'DONNEES FINANCIERES MENSUELLES'!G112</f>
        <v>209943</v>
      </c>
      <c r="I14" s="74">
        <f>'DONNEES FINANCIERES MENSUELLES'!H112</f>
        <v>0</v>
      </c>
      <c r="J14" s="74">
        <f>'DONNEES FINANCIERES MENSUELLES'!I112</f>
        <v>0</v>
      </c>
      <c r="K14" s="74">
        <f>'DONNEES FINANCIERES MENSUELLES'!J112</f>
        <v>0</v>
      </c>
      <c r="L14" s="74">
        <f>'DONNEES FINANCIERES MENSUELLES'!K112</f>
        <v>0</v>
      </c>
      <c r="M14" s="74">
        <f>'[1]DONNEES FINANCIERES MENSUELLES'!L106</f>
        <v>0</v>
      </c>
      <c r="N14" s="74">
        <f>'[1]DONNEES FINANCIERES MENSUELLES'!M106</f>
        <v>0</v>
      </c>
      <c r="O14" s="74">
        <f>SUM(C14:N14)</f>
        <v>1405424</v>
      </c>
      <c r="P14" s="74">
        <f>SUM(D14:O14)</f>
        <v>2552565</v>
      </c>
      <c r="Q14" s="77">
        <f t="shared" si="2"/>
        <v>735658</v>
      </c>
      <c r="R14" s="77">
        <f t="shared" si="3"/>
        <v>0</v>
      </c>
      <c r="S14" s="77">
        <f t="shared" si="4"/>
        <v>0</v>
      </c>
      <c r="T14">
        <v>1400000</v>
      </c>
      <c r="U14" s="77">
        <f t="shared" si="5"/>
        <v>5424</v>
      </c>
      <c r="V14" s="78">
        <f t="shared" si="6"/>
        <v>3.8742857142857142E-3</v>
      </c>
    </row>
    <row r="15" spans="2:22" x14ac:dyDescent="0.25">
      <c r="B15" s="74" t="s">
        <v>146</v>
      </c>
      <c r="C15" s="74">
        <f>C13-C14</f>
        <v>4238524</v>
      </c>
      <c r="D15" s="74">
        <f t="shared" ref="D15:N15" si="20">D13-D14</f>
        <v>3801747</v>
      </c>
      <c r="E15" s="74">
        <f t="shared" si="20"/>
        <v>-8604637</v>
      </c>
      <c r="F15" s="74">
        <f t="shared" ref="F15:G15" si="21">F13-F14</f>
        <v>7761239</v>
      </c>
      <c r="G15" s="74">
        <f t="shared" si="21"/>
        <v>-17091988</v>
      </c>
      <c r="H15" s="74">
        <f t="shared" ref="H15" si="22">H13-H14</f>
        <v>21810749</v>
      </c>
      <c r="I15" s="74">
        <f t="shared" si="20"/>
        <v>0</v>
      </c>
      <c r="J15" s="74">
        <f t="shared" si="20"/>
        <v>0</v>
      </c>
      <c r="K15" s="74">
        <f t="shared" si="20"/>
        <v>0</v>
      </c>
      <c r="L15" s="74">
        <f t="shared" si="20"/>
        <v>0</v>
      </c>
      <c r="M15" s="74">
        <f t="shared" si="20"/>
        <v>0</v>
      </c>
      <c r="N15" s="74">
        <f t="shared" si="20"/>
        <v>0</v>
      </c>
      <c r="O15" s="74">
        <f t="shared" si="0"/>
        <v>11915634</v>
      </c>
      <c r="P15" s="77">
        <f>C15+D15+E15</f>
        <v>-564366</v>
      </c>
      <c r="Q15" s="77">
        <f t="shared" si="2"/>
        <v>12480000</v>
      </c>
      <c r="R15" s="77">
        <f t="shared" si="3"/>
        <v>0</v>
      </c>
      <c r="S15" s="77">
        <f t="shared" si="4"/>
        <v>0</v>
      </c>
      <c r="T15">
        <v>115114543</v>
      </c>
      <c r="U15" s="77">
        <f t="shared" si="5"/>
        <v>-103198909</v>
      </c>
      <c r="V15" s="78">
        <f t="shared" si="6"/>
        <v>-0.89648889106913277</v>
      </c>
    </row>
    <row r="16" spans="2:22" x14ac:dyDescent="0.25">
      <c r="O16" s="77"/>
    </row>
    <row r="17" spans="2:19" x14ac:dyDescent="0.25">
      <c r="O17" s="77"/>
    </row>
    <row r="18" spans="2:19" x14ac:dyDescent="0.25">
      <c r="B18" s="74"/>
      <c r="C18" s="75" t="s">
        <v>147</v>
      </c>
      <c r="D18" s="75" t="s">
        <v>148</v>
      </c>
      <c r="E18" s="75" t="s">
        <v>45</v>
      </c>
      <c r="F18" s="75" t="s">
        <v>49</v>
      </c>
      <c r="G18" s="75" t="s">
        <v>51</v>
      </c>
      <c r="H18" s="75" t="s">
        <v>52</v>
      </c>
      <c r="I18" s="75" t="s">
        <v>124</v>
      </c>
      <c r="J18" s="75" t="s">
        <v>125</v>
      </c>
      <c r="K18" s="75" t="s">
        <v>126</v>
      </c>
      <c r="L18" s="75" t="s">
        <v>127</v>
      </c>
      <c r="M18" s="75" t="s">
        <v>128</v>
      </c>
      <c r="N18" s="75" t="s">
        <v>129</v>
      </c>
      <c r="O18" s="81" t="s">
        <v>0</v>
      </c>
      <c r="P18" s="75" t="s">
        <v>130</v>
      </c>
      <c r="Q18" s="75" t="s">
        <v>131</v>
      </c>
      <c r="R18" s="75" t="s">
        <v>132</v>
      </c>
      <c r="S18" s="75" t="s">
        <v>133</v>
      </c>
    </row>
    <row r="19" spans="2:19" x14ac:dyDescent="0.25">
      <c r="B19" s="74" t="s">
        <v>136</v>
      </c>
      <c r="C19" s="82">
        <f t="shared" ref="C19:S30" si="23">C4/C$6</f>
        <v>0.84329862511432652</v>
      </c>
      <c r="D19" s="82">
        <f t="shared" si="23"/>
        <v>0.81861416426851696</v>
      </c>
      <c r="E19" s="82">
        <f t="shared" si="23"/>
        <v>0.8241049504758714</v>
      </c>
      <c r="F19" s="82">
        <f t="shared" si="23"/>
        <v>0.82436112419479002</v>
      </c>
      <c r="G19" s="82">
        <f t="shared" si="23"/>
        <v>0.82936725886536855</v>
      </c>
      <c r="H19" s="82">
        <f t="shared" ref="H19" si="24">H4/H$6</f>
        <v>0.84485075243200136</v>
      </c>
      <c r="I19" s="82"/>
      <c r="J19" s="82"/>
      <c r="K19" s="82"/>
      <c r="L19" s="82"/>
      <c r="M19" s="82"/>
      <c r="N19" s="82"/>
      <c r="O19" s="82">
        <f t="shared" si="23"/>
        <v>0.83105572790811599</v>
      </c>
      <c r="P19" s="82">
        <f t="shared" si="23"/>
        <v>0.82884548071284636</v>
      </c>
      <c r="Q19" s="82">
        <f t="shared" si="23"/>
        <v>0.83309711421576971</v>
      </c>
      <c r="R19" s="82" t="e">
        <f t="shared" si="23"/>
        <v>#DIV/0!</v>
      </c>
      <c r="S19" s="82" t="e">
        <f t="shared" si="23"/>
        <v>#DIV/0!</v>
      </c>
    </row>
    <row r="20" spans="2:19" x14ac:dyDescent="0.25">
      <c r="B20" s="74" t="s">
        <v>137</v>
      </c>
      <c r="C20" s="82">
        <f t="shared" si="23"/>
        <v>0.15670137488567348</v>
      </c>
      <c r="D20" s="82">
        <f t="shared" si="23"/>
        <v>0.18138583573148306</v>
      </c>
      <c r="E20" s="82">
        <f t="shared" si="23"/>
        <v>0.17589504952412865</v>
      </c>
      <c r="F20" s="82">
        <f t="shared" si="23"/>
        <v>0.17563887580521001</v>
      </c>
      <c r="G20" s="82">
        <f t="shared" si="23"/>
        <v>0.1706327411346315</v>
      </c>
      <c r="H20" s="82">
        <f t="shared" ref="H20" si="25">H5/H$6</f>
        <v>0.15514924756799867</v>
      </c>
      <c r="I20" s="82"/>
      <c r="J20" s="82"/>
      <c r="K20" s="82"/>
      <c r="L20" s="82"/>
      <c r="M20" s="82"/>
      <c r="N20" s="82"/>
      <c r="O20" s="82">
        <f t="shared" si="23"/>
        <v>0.16894427209188398</v>
      </c>
      <c r="P20" s="82">
        <f t="shared" si="23"/>
        <v>0.17115451928715361</v>
      </c>
      <c r="Q20" s="82">
        <f t="shared" si="23"/>
        <v>0.16690288578423029</v>
      </c>
      <c r="R20" s="82" t="e">
        <f t="shared" si="23"/>
        <v>#DIV/0!</v>
      </c>
      <c r="S20" s="82" t="e">
        <f t="shared" si="23"/>
        <v>#DIV/0!</v>
      </c>
    </row>
    <row r="21" spans="2:19" x14ac:dyDescent="0.25">
      <c r="B21" s="74" t="s">
        <v>138</v>
      </c>
      <c r="C21" s="82">
        <f>C6/C$6</f>
        <v>1</v>
      </c>
      <c r="D21" s="82">
        <f>D6/D$6</f>
        <v>1</v>
      </c>
      <c r="E21" s="82">
        <f t="shared" ref="E21:G21" si="26">E6/E$6</f>
        <v>1</v>
      </c>
      <c r="F21" s="82">
        <f t="shared" si="26"/>
        <v>1</v>
      </c>
      <c r="G21" s="82">
        <f t="shared" si="26"/>
        <v>1</v>
      </c>
      <c r="H21" s="82">
        <f t="shared" ref="H21" si="27">H6/H$6</f>
        <v>1</v>
      </c>
      <c r="I21" s="82"/>
      <c r="J21" s="82"/>
      <c r="K21" s="82"/>
      <c r="L21" s="82"/>
      <c r="M21" s="82"/>
      <c r="N21" s="82"/>
      <c r="O21" s="82">
        <f>O6/O$6</f>
        <v>1</v>
      </c>
      <c r="P21" s="82">
        <f t="shared" si="23"/>
        <v>1</v>
      </c>
      <c r="Q21" s="82">
        <f t="shared" si="23"/>
        <v>1</v>
      </c>
      <c r="R21" s="82" t="e">
        <f t="shared" si="23"/>
        <v>#DIV/0!</v>
      </c>
      <c r="S21" s="82" t="e">
        <f t="shared" si="23"/>
        <v>#DIV/0!</v>
      </c>
    </row>
    <row r="22" spans="2:19" x14ac:dyDescent="0.25">
      <c r="B22" s="74" t="s">
        <v>60</v>
      </c>
      <c r="C22" s="82">
        <f t="shared" ref="C22:D30" si="28">C7/C$6</f>
        <v>0.71494192235334786</v>
      </c>
      <c r="D22" s="82">
        <f t="shared" si="28"/>
        <v>0.67348502381717013</v>
      </c>
      <c r="E22" s="82">
        <f t="shared" ref="E22:G22" si="29">E7/E$6</f>
        <v>0.8835831184856292</v>
      </c>
      <c r="F22" s="82">
        <f t="shared" si="29"/>
        <v>0.72973584780500966</v>
      </c>
      <c r="G22" s="82">
        <f t="shared" si="29"/>
        <v>0.74121987855534477</v>
      </c>
      <c r="H22" s="82">
        <f t="shared" ref="H22" si="30">H7/H$6</f>
        <v>0.62518104034416089</v>
      </c>
      <c r="I22" s="82"/>
      <c r="J22" s="82"/>
      <c r="K22" s="82"/>
      <c r="L22" s="82"/>
      <c r="M22" s="82"/>
      <c r="N22" s="82"/>
      <c r="O22" s="82">
        <f t="shared" si="23"/>
        <v>0.7289315575906532</v>
      </c>
      <c r="P22" s="82">
        <f t="shared" si="23"/>
        <v>0.7621600953864015</v>
      </c>
      <c r="Q22" s="82">
        <f t="shared" si="23"/>
        <v>0.69824165004331307</v>
      </c>
      <c r="R22" s="82" t="e">
        <f t="shared" si="23"/>
        <v>#DIV/0!</v>
      </c>
      <c r="S22" s="82" t="e">
        <f t="shared" si="23"/>
        <v>#DIV/0!</v>
      </c>
    </row>
    <row r="23" spans="2:19" x14ac:dyDescent="0.25">
      <c r="B23" s="104" t="s">
        <v>139</v>
      </c>
      <c r="C23" s="82">
        <f t="shared" si="28"/>
        <v>0</v>
      </c>
      <c r="D23" s="82">
        <f t="shared" si="28"/>
        <v>8.0095810152004995E-2</v>
      </c>
      <c r="E23" s="82">
        <f t="shared" ref="E23:G23" si="31">E8/E$6</f>
        <v>-6.4766070652819599E-2</v>
      </c>
      <c r="F23" s="82">
        <f t="shared" si="31"/>
        <v>0.17162169310603342</v>
      </c>
      <c r="G23" s="82">
        <f t="shared" si="31"/>
        <v>-0.34773058128142442</v>
      </c>
      <c r="H23" s="82">
        <f t="shared" ref="H23" si="32">H8/H$6</f>
        <v>0.34043638118126412</v>
      </c>
      <c r="I23" s="82"/>
      <c r="J23" s="82"/>
      <c r="K23" s="82"/>
      <c r="L23" s="82"/>
      <c r="M23" s="82"/>
      <c r="N23" s="82"/>
      <c r="O23" s="82">
        <f t="shared" si="23"/>
        <v>2.4469656110124968E-2</v>
      </c>
      <c r="P23" s="82">
        <f t="shared" si="23"/>
        <v>1.6819499545804107E-3</v>
      </c>
      <c r="Q23" s="82">
        <f t="shared" si="23"/>
        <v>4.5516402115876216E-2</v>
      </c>
      <c r="R23" s="82" t="e">
        <f t="shared" si="23"/>
        <v>#DIV/0!</v>
      </c>
      <c r="S23" s="82" t="e">
        <f t="shared" si="23"/>
        <v>#DIV/0!</v>
      </c>
    </row>
    <row r="24" spans="2:19" x14ac:dyDescent="0.25">
      <c r="B24" s="74" t="s">
        <v>140</v>
      </c>
      <c r="C24" s="82">
        <f t="shared" si="28"/>
        <v>0.2850580776466522</v>
      </c>
      <c r="D24" s="82">
        <f t="shared" si="28"/>
        <v>0.40661078633483488</v>
      </c>
      <c r="E24" s="82">
        <f t="shared" ref="E24:G24" si="33">E9/E$6</f>
        <v>5.1650810861551162E-2</v>
      </c>
      <c r="F24" s="82">
        <f t="shared" si="33"/>
        <v>0.44188584530102376</v>
      </c>
      <c r="G24" s="82">
        <f t="shared" si="33"/>
        <v>-8.8950459836769205E-2</v>
      </c>
      <c r="H24" s="82">
        <f t="shared" ref="H24" si="34">H9/H$6</f>
        <v>0.71525534083710318</v>
      </c>
      <c r="I24" s="82"/>
      <c r="J24" s="82"/>
      <c r="K24" s="82"/>
      <c r="L24" s="82"/>
      <c r="M24" s="82"/>
      <c r="N24" s="82"/>
      <c r="O24" s="82">
        <f t="shared" si="23"/>
        <v>0.29553809851947171</v>
      </c>
      <c r="P24" s="82">
        <f t="shared" si="23"/>
        <v>0.23952185456817895</v>
      </c>
      <c r="Q24" s="82">
        <f t="shared" si="23"/>
        <v>0.3472747520725632</v>
      </c>
      <c r="R24" s="82" t="e">
        <f t="shared" si="23"/>
        <v>#DIV/0!</v>
      </c>
      <c r="S24" s="82" t="e">
        <f t="shared" si="23"/>
        <v>#DIV/0!</v>
      </c>
    </row>
    <row r="25" spans="2:19" x14ac:dyDescent="0.25">
      <c r="B25" s="74" t="s">
        <v>141</v>
      </c>
      <c r="C25" s="82">
        <f t="shared" si="28"/>
        <v>4.4839225651223599E-2</v>
      </c>
      <c r="D25" s="82">
        <f t="shared" si="28"/>
        <v>0.11225709673681585</v>
      </c>
      <c r="E25" s="82">
        <f t="shared" ref="E25:G25" si="35">E10/E$6</f>
        <v>4.4618343838743683E-2</v>
      </c>
      <c r="F25" s="82">
        <f t="shared" si="35"/>
        <v>6.3977240130184715E-2</v>
      </c>
      <c r="G25" s="82">
        <f t="shared" si="35"/>
        <v>8.027882353670214E-2</v>
      </c>
      <c r="H25" s="82">
        <f t="shared" ref="H25" si="36">H10/H$6</f>
        <v>3.4530810469127149E-2</v>
      </c>
      <c r="I25" s="82"/>
      <c r="J25" s="82"/>
      <c r="K25" s="82"/>
      <c r="L25" s="82"/>
      <c r="M25" s="82"/>
      <c r="N25" s="82"/>
      <c r="O25" s="82">
        <f t="shared" si="23"/>
        <v>6.2535042123637433E-2</v>
      </c>
      <c r="P25" s="82">
        <f t="shared" si="23"/>
        <v>6.5578057415648178E-2</v>
      </c>
      <c r="Q25" s="82">
        <f t="shared" si="23"/>
        <v>5.9724510448996529E-2</v>
      </c>
      <c r="R25" s="82" t="e">
        <f t="shared" si="23"/>
        <v>#DIV/0!</v>
      </c>
      <c r="S25" s="82" t="e">
        <f t="shared" si="23"/>
        <v>#DIV/0!</v>
      </c>
    </row>
    <row r="26" spans="2:19" x14ac:dyDescent="0.25">
      <c r="B26" s="74" t="s">
        <v>142</v>
      </c>
      <c r="C26" s="82">
        <f t="shared" si="28"/>
        <v>0.24021885199542858</v>
      </c>
      <c r="D26" s="82">
        <f t="shared" si="28"/>
        <v>0.294353689598019</v>
      </c>
      <c r="E26" s="82">
        <f t="shared" ref="E26:G26" si="37">E11/E$6</f>
        <v>7.0324670228074761E-3</v>
      </c>
      <c r="F26" s="82">
        <f t="shared" si="37"/>
        <v>0.37790860517083902</v>
      </c>
      <c r="G26" s="82">
        <f t="shared" si="37"/>
        <v>-0.16922928337347135</v>
      </c>
      <c r="H26" s="82">
        <f t="shared" ref="H26" si="38">H11/H$6</f>
        <v>0.68072453036797609</v>
      </c>
      <c r="I26" s="82"/>
      <c r="J26" s="82"/>
      <c r="K26" s="82"/>
      <c r="L26" s="82"/>
      <c r="M26" s="82"/>
      <c r="N26" s="82"/>
      <c r="O26" s="82">
        <f t="shared" si="23"/>
        <v>0.2330030563958343</v>
      </c>
      <c r="P26" s="82">
        <f t="shared" si="23"/>
        <v>0.17394379715253078</v>
      </c>
      <c r="Q26" s="82">
        <f t="shared" si="23"/>
        <v>0.28755024162356668</v>
      </c>
      <c r="R26" s="82" t="e">
        <f t="shared" si="23"/>
        <v>#DIV/0!</v>
      </c>
      <c r="S26" s="82" t="e">
        <f t="shared" si="23"/>
        <v>#DIV/0!</v>
      </c>
    </row>
    <row r="27" spans="2:19" x14ac:dyDescent="0.25">
      <c r="B27" s="74" t="s">
        <v>143</v>
      </c>
      <c r="C27" s="82">
        <f t="shared" si="28"/>
        <v>0.13563843549447485</v>
      </c>
      <c r="D27" s="82">
        <f t="shared" si="28"/>
        <v>0.19407417513229433</v>
      </c>
      <c r="E27" s="82">
        <f t="shared" ref="E27:G27" si="39">E12/E$6</f>
        <v>0.19025916568988036</v>
      </c>
      <c r="F27" s="82">
        <f t="shared" si="39"/>
        <v>0.1880760988105738</v>
      </c>
      <c r="G27" s="82">
        <f t="shared" si="39"/>
        <v>0.17499206236089768</v>
      </c>
      <c r="H27" s="82">
        <f t="shared" ref="H27" si="40">H12/H$6</f>
        <v>0.21428110416356305</v>
      </c>
      <c r="I27" s="82"/>
      <c r="J27" s="82"/>
      <c r="K27" s="82"/>
      <c r="L27" s="82"/>
      <c r="M27" s="82"/>
      <c r="N27" s="82"/>
      <c r="O27" s="82">
        <f t="shared" si="23"/>
        <v>0.18312479686145985</v>
      </c>
      <c r="P27" s="82">
        <f t="shared" si="23"/>
        <v>0.17312185016990478</v>
      </c>
      <c r="Q27" s="82">
        <f t="shared" si="23"/>
        <v>0.19236352746862123</v>
      </c>
      <c r="R27" s="82" t="e">
        <f t="shared" si="23"/>
        <v>#DIV/0!</v>
      </c>
      <c r="S27" s="82" t="e">
        <f t="shared" si="23"/>
        <v>#DIV/0!</v>
      </c>
    </row>
    <row r="28" spans="2:19" x14ac:dyDescent="0.25">
      <c r="B28" s="74" t="s">
        <v>144</v>
      </c>
      <c r="C28" s="82">
        <f t="shared" si="28"/>
        <v>0.10458041650095375</v>
      </c>
      <c r="D28" s="82">
        <f t="shared" si="28"/>
        <v>0.1002795144657247</v>
      </c>
      <c r="E28" s="82">
        <f t="shared" ref="E28:G28" si="41">E13/E$6</f>
        <v>-0.18322669866707289</v>
      </c>
      <c r="F28" s="82">
        <f t="shared" si="41"/>
        <v>0.18983250636026522</v>
      </c>
      <c r="G28" s="82">
        <f t="shared" si="41"/>
        <v>-0.34422134573436902</v>
      </c>
      <c r="H28" s="82">
        <f t="shared" ref="H28" si="42">H13/H$6</f>
        <v>0.46644342620441304</v>
      </c>
      <c r="I28" s="82"/>
      <c r="J28" s="82"/>
      <c r="K28" s="82"/>
      <c r="L28" s="82"/>
      <c r="M28" s="82"/>
      <c r="N28" s="82"/>
      <c r="O28" s="82">
        <f t="shared" si="23"/>
        <v>4.9878259534374449E-2</v>
      </c>
      <c r="P28" s="82">
        <f t="shared" si="23"/>
        <v>-6.1878968462775491E-2</v>
      </c>
      <c r="Q28" s="82">
        <f t="shared" si="23"/>
        <v>9.5186714154945437E-2</v>
      </c>
      <c r="R28" s="82" t="e">
        <f t="shared" si="23"/>
        <v>#DIV/0!</v>
      </c>
      <c r="S28" s="82" t="e">
        <f t="shared" si="23"/>
        <v>#DIV/0!</v>
      </c>
    </row>
    <row r="29" spans="2:19" x14ac:dyDescent="0.25">
      <c r="B29" s="74" t="s">
        <v>145</v>
      </c>
      <c r="C29" s="82">
        <f t="shared" si="28"/>
        <v>6.0067829718099611E-3</v>
      </c>
      <c r="D29" s="82">
        <f t="shared" si="28"/>
        <v>4.2656287519758406E-3</v>
      </c>
      <c r="E29" s="82">
        <f t="shared" ref="E29:G29" si="43">E14/E$6</f>
        <v>5.3153798935854733E-3</v>
      </c>
      <c r="F29" s="82">
        <f t="shared" si="43"/>
        <v>7.5245012440535034E-3</v>
      </c>
      <c r="G29" s="82">
        <f t="shared" si="43"/>
        <v>4.1865440587484769E-3</v>
      </c>
      <c r="H29" s="82">
        <f t="shared" ref="H29" si="44">H14/H$6</f>
        <v>4.4470233827180851E-3</v>
      </c>
      <c r="I29" s="82"/>
      <c r="J29" s="82"/>
      <c r="K29" s="82"/>
      <c r="L29" s="82"/>
      <c r="M29" s="82"/>
      <c r="N29" s="82"/>
      <c r="O29" s="82">
        <f t="shared" si="23"/>
        <v>5.2623525119280075E-3</v>
      </c>
      <c r="P29" s="82">
        <f t="shared" si="23"/>
        <v>1.9905816885263102E-2</v>
      </c>
      <c r="Q29" s="82">
        <f t="shared" si="23"/>
        <v>5.2986289265202569E-3</v>
      </c>
      <c r="R29" s="82" t="e">
        <f t="shared" si="23"/>
        <v>#DIV/0!</v>
      </c>
      <c r="S29" s="82" t="e">
        <f t="shared" si="23"/>
        <v>#DIV/0!</v>
      </c>
    </row>
    <row r="30" spans="2:19" x14ac:dyDescent="0.25">
      <c r="B30" s="74" t="s">
        <v>146</v>
      </c>
      <c r="C30" s="82">
        <f t="shared" si="28"/>
        <v>9.8573633529143778E-2</v>
      </c>
      <c r="D30" s="82">
        <f t="shared" si="28"/>
        <v>9.6013885713748859E-2</v>
      </c>
      <c r="E30" s="82">
        <f t="shared" ref="E30:G30" si="45">E15/E$6</f>
        <v>-0.18854207856065835</v>
      </c>
      <c r="F30" s="82">
        <f t="shared" si="45"/>
        <v>0.18230800511621173</v>
      </c>
      <c r="G30" s="82">
        <f t="shared" si="45"/>
        <v>-0.34840788979311749</v>
      </c>
      <c r="H30" s="82">
        <f t="shared" ref="H30" si="46">H15/H$6</f>
        <v>0.46199640282169496</v>
      </c>
      <c r="I30" s="82"/>
      <c r="J30" s="82"/>
      <c r="K30" s="82"/>
      <c r="L30" s="82"/>
      <c r="M30" s="82"/>
      <c r="N30" s="82"/>
      <c r="O30" s="82">
        <f t="shared" si="23"/>
        <v>4.4615907022446444E-2</v>
      </c>
      <c r="P30" s="82">
        <f t="shared" si="23"/>
        <v>-4.4011283756803044E-3</v>
      </c>
      <c r="Q30" s="82">
        <f t="shared" si="23"/>
        <v>8.9888085228425174E-2</v>
      </c>
      <c r="R30" s="82" t="e">
        <f t="shared" si="23"/>
        <v>#DIV/0!</v>
      </c>
      <c r="S30" s="82" t="e">
        <f t="shared" si="23"/>
        <v>#DIV/0!</v>
      </c>
    </row>
    <row r="31" spans="2:19" x14ac:dyDescent="0.25">
      <c r="O31" s="77"/>
    </row>
    <row r="32" spans="2:19" x14ac:dyDescent="0.25">
      <c r="O32" s="77"/>
    </row>
    <row r="33" spans="2:16" x14ac:dyDescent="0.25">
      <c r="B33" s="74"/>
      <c r="C33" s="75" t="s">
        <v>149</v>
      </c>
      <c r="D33" s="75" t="s">
        <v>150</v>
      </c>
      <c r="E33" s="75" t="s">
        <v>151</v>
      </c>
      <c r="F33" s="75" t="s">
        <v>152</v>
      </c>
      <c r="G33" s="75" t="s">
        <v>153</v>
      </c>
      <c r="H33" s="75" t="s">
        <v>154</v>
      </c>
      <c r="I33" s="75" t="s">
        <v>155</v>
      </c>
      <c r="J33" s="75" t="s">
        <v>156</v>
      </c>
      <c r="K33" s="75" t="s">
        <v>157</v>
      </c>
      <c r="L33" s="75" t="s">
        <v>158</v>
      </c>
      <c r="M33" s="75" t="s">
        <v>159</v>
      </c>
      <c r="N33" s="75" t="s">
        <v>160</v>
      </c>
      <c r="O33" s="75" t="s">
        <v>161</v>
      </c>
      <c r="P33" s="75" t="s">
        <v>162</v>
      </c>
    </row>
    <row r="34" spans="2:16" x14ac:dyDescent="0.25">
      <c r="B34" s="74" t="s">
        <v>136</v>
      </c>
      <c r="C34" s="82">
        <f>(D4-C4)/C4</f>
        <v>-0.10609133477680914</v>
      </c>
      <c r="D34" s="82">
        <f t="shared" ref="D34:M34" si="47">(E4-D4)/D4</f>
        <v>0.16032156910509962</v>
      </c>
      <c r="E34" s="82">
        <f t="shared" si="47"/>
        <v>-6.688314283276503E-2</v>
      </c>
      <c r="F34" s="82">
        <f t="shared" si="47"/>
        <v>0.15933424218582329</v>
      </c>
      <c r="G34" s="82">
        <f t="shared" si="47"/>
        <v>-1.9696628433611373E-2</v>
      </c>
      <c r="H34" s="82">
        <f t="shared" si="47"/>
        <v>-1</v>
      </c>
      <c r="I34" s="82" t="e">
        <f t="shared" si="47"/>
        <v>#DIV/0!</v>
      </c>
      <c r="J34" s="82" t="e">
        <f t="shared" si="47"/>
        <v>#DIV/0!</v>
      </c>
      <c r="K34" s="82" t="e">
        <f t="shared" si="47"/>
        <v>#DIV/0!</v>
      </c>
      <c r="L34" s="82" t="e">
        <f t="shared" si="47"/>
        <v>#DIV/0!</v>
      </c>
      <c r="M34" s="82" t="e">
        <f t="shared" si="47"/>
        <v>#DIV/0!</v>
      </c>
      <c r="N34" s="82">
        <f>(Q4-P4)/P4</f>
        <v>8.8272630329759225E-2</v>
      </c>
      <c r="O34" s="82">
        <f t="shared" ref="O34:P45" si="48">(R4-Q4)/Q4</f>
        <v>-1</v>
      </c>
      <c r="P34" s="82" t="e">
        <f t="shared" si="48"/>
        <v>#DIV/0!</v>
      </c>
    </row>
    <row r="35" spans="2:16" x14ac:dyDescent="0.25">
      <c r="B35" s="74" t="s">
        <v>137</v>
      </c>
      <c r="C35" s="82">
        <f t="shared" ref="C35:M45" si="49">(D5-C5)/C5</f>
        <v>6.5923036040874849E-2</v>
      </c>
      <c r="D35" s="82">
        <f t="shared" si="49"/>
        <v>0.11770023828625484</v>
      </c>
      <c r="E35" s="82">
        <f t="shared" si="49"/>
        <v>-6.8531682830984417E-2</v>
      </c>
      <c r="F35" s="82">
        <f t="shared" si="49"/>
        <v>0.11949201050643814</v>
      </c>
      <c r="G35" s="82">
        <f t="shared" si="49"/>
        <v>-0.12498662015577962</v>
      </c>
      <c r="H35" s="82">
        <f t="shared" si="49"/>
        <v>-1</v>
      </c>
      <c r="I35" s="82" t="e">
        <f t="shared" si="49"/>
        <v>#DIV/0!</v>
      </c>
      <c r="J35" s="82" t="e">
        <f t="shared" si="49"/>
        <v>#DIV/0!</v>
      </c>
      <c r="K35" s="82" t="e">
        <f t="shared" si="49"/>
        <v>#DIV/0!</v>
      </c>
      <c r="L35" s="82" t="e">
        <f t="shared" si="49"/>
        <v>#DIV/0!</v>
      </c>
      <c r="M35" s="82" t="e">
        <f t="shared" si="49"/>
        <v>#DIV/0!</v>
      </c>
      <c r="N35" s="82">
        <f t="shared" ref="N35:N45" si="50">(Q5-P5)/P5</f>
        <v>5.5823016975140589E-2</v>
      </c>
      <c r="O35" s="82">
        <f t="shared" si="48"/>
        <v>-1</v>
      </c>
      <c r="P35" s="82" t="e">
        <f t="shared" si="48"/>
        <v>#DIV/0!</v>
      </c>
    </row>
    <row r="36" spans="2:16" x14ac:dyDescent="0.25">
      <c r="B36" s="74" t="s">
        <v>138</v>
      </c>
      <c r="C36" s="82">
        <f t="shared" si="49"/>
        <v>-7.9136446369583988E-2</v>
      </c>
      <c r="D36" s="82">
        <f t="shared" si="49"/>
        <v>0.15259066339453545</v>
      </c>
      <c r="E36" s="82">
        <f t="shared" si="49"/>
        <v>-6.7173112857394343E-2</v>
      </c>
      <c r="F36" s="82">
        <f t="shared" si="49"/>
        <v>0.15233639740408536</v>
      </c>
      <c r="G36" s="82">
        <f t="shared" si="49"/>
        <v>-3.7662548335207602E-2</v>
      </c>
      <c r="H36" s="82">
        <f t="shared" si="49"/>
        <v>-1</v>
      </c>
      <c r="I36" s="82" t="e">
        <f t="shared" si="49"/>
        <v>#DIV/0!</v>
      </c>
      <c r="J36" s="82" t="e">
        <f t="shared" si="49"/>
        <v>#DIV/0!</v>
      </c>
      <c r="K36" s="82" t="e">
        <f t="shared" si="49"/>
        <v>#DIV/0!</v>
      </c>
      <c r="L36" s="82" t="e">
        <f t="shared" si="49"/>
        <v>#DIV/0!</v>
      </c>
      <c r="M36" s="82" t="e">
        <f t="shared" si="49"/>
        <v>#DIV/0!</v>
      </c>
      <c r="N36" s="82">
        <f t="shared" si="50"/>
        <v>8.2718732354995467E-2</v>
      </c>
      <c r="O36" s="82">
        <f t="shared" si="48"/>
        <v>-1</v>
      </c>
      <c r="P36" s="82" t="e">
        <f t="shared" si="48"/>
        <v>#DIV/0!</v>
      </c>
    </row>
    <row r="37" spans="2:16" x14ac:dyDescent="0.25">
      <c r="B37" s="74" t="s">
        <v>60</v>
      </c>
      <c r="C37" s="82">
        <f t="shared" si="49"/>
        <v>-0.13253399617734624</v>
      </c>
      <c r="D37" s="82">
        <f t="shared" si="49"/>
        <v>0.51214892192766837</v>
      </c>
      <c r="E37" s="82">
        <f t="shared" si="49"/>
        <v>-0.22959458470528857</v>
      </c>
      <c r="F37" s="82">
        <f t="shared" si="49"/>
        <v>0.17047099591986906</v>
      </c>
      <c r="G37" s="82">
        <f t="shared" si="49"/>
        <v>-0.18831760102475292</v>
      </c>
      <c r="H37" s="82">
        <f t="shared" si="49"/>
        <v>-1</v>
      </c>
      <c r="I37" s="82" t="e">
        <f t="shared" si="49"/>
        <v>#DIV/0!</v>
      </c>
      <c r="J37" s="82" t="e">
        <f t="shared" si="49"/>
        <v>#DIV/0!</v>
      </c>
      <c r="K37" s="82" t="e">
        <f t="shared" si="49"/>
        <v>#DIV/0!</v>
      </c>
      <c r="L37" s="82" t="e">
        <f t="shared" si="49"/>
        <v>#DIV/0!</v>
      </c>
      <c r="M37" s="82" t="e">
        <f t="shared" si="49"/>
        <v>#DIV/0!</v>
      </c>
      <c r="N37" s="82">
        <f t="shared" si="50"/>
        <v>-8.0833163679630872E-3</v>
      </c>
      <c r="O37" s="82">
        <f t="shared" si="48"/>
        <v>-1</v>
      </c>
      <c r="P37" s="82" t="e">
        <f t="shared" si="48"/>
        <v>#DIV/0!</v>
      </c>
    </row>
    <row r="38" spans="2:16" x14ac:dyDescent="0.25">
      <c r="B38" s="79" t="s">
        <v>139</v>
      </c>
      <c r="C38" s="82" t="e">
        <f t="shared" si="49"/>
        <v>#DIV/0!</v>
      </c>
      <c r="D38" s="82">
        <f t="shared" si="49"/>
        <v>-1.9319934238448058</v>
      </c>
      <c r="E38" s="82">
        <f t="shared" si="49"/>
        <v>-3.4718703502089805</v>
      </c>
      <c r="F38" s="82">
        <f t="shared" si="49"/>
        <v>-3.3348016095698232</v>
      </c>
      <c r="G38" s="82">
        <f t="shared" si="49"/>
        <v>-1.9421508982979478</v>
      </c>
      <c r="H38" s="82">
        <f t="shared" si="49"/>
        <v>-1</v>
      </c>
      <c r="I38" s="82" t="e">
        <f t="shared" si="49"/>
        <v>#DIV/0!</v>
      </c>
      <c r="J38" s="82" t="e">
        <f t="shared" si="49"/>
        <v>#DIV/0!</v>
      </c>
      <c r="K38" s="82" t="e">
        <f t="shared" si="49"/>
        <v>#DIV/0!</v>
      </c>
      <c r="L38" s="82" t="e">
        <f t="shared" si="49"/>
        <v>#DIV/0!</v>
      </c>
      <c r="M38" s="82" t="e">
        <f t="shared" si="49"/>
        <v>#DIV/0!</v>
      </c>
      <c r="N38" s="82">
        <f t="shared" si="50"/>
        <v>28.300194732937687</v>
      </c>
      <c r="O38" s="82">
        <f t="shared" si="48"/>
        <v>-1</v>
      </c>
      <c r="P38" s="82" t="e">
        <f t="shared" si="48"/>
        <v>#DIV/0!</v>
      </c>
    </row>
    <row r="39" spans="2:16" x14ac:dyDescent="0.25">
      <c r="B39" s="74" t="s">
        <v>140</v>
      </c>
      <c r="C39" s="82">
        <f t="shared" si="49"/>
        <v>0.31353251498765694</v>
      </c>
      <c r="D39" s="82">
        <f t="shared" si="49"/>
        <v>-0.85358912169448087</v>
      </c>
      <c r="E39" s="82">
        <f t="shared" si="49"/>
        <v>6.9805716632297186</v>
      </c>
      <c r="F39" s="82">
        <f t="shared" si="49"/>
        <v>-1.2319622896404687</v>
      </c>
      <c r="G39" s="82">
        <f t="shared" si="49"/>
        <v>-8.7382062246100141</v>
      </c>
      <c r="H39" s="82">
        <f t="shared" si="49"/>
        <v>-1</v>
      </c>
      <c r="I39" s="82" t="e">
        <f t="shared" si="49"/>
        <v>#DIV/0!</v>
      </c>
      <c r="J39" s="82" t="e">
        <f t="shared" si="49"/>
        <v>#DIV/0!</v>
      </c>
      <c r="K39" s="82" t="e">
        <f t="shared" si="49"/>
        <v>#DIV/0!</v>
      </c>
      <c r="L39" s="82" t="e">
        <f t="shared" si="49"/>
        <v>#DIV/0!</v>
      </c>
      <c r="M39" s="82" t="e">
        <f t="shared" si="49"/>
        <v>#DIV/0!</v>
      </c>
      <c r="N39" s="82">
        <f t="shared" si="50"/>
        <v>0.56979779578265488</v>
      </c>
      <c r="O39" s="82">
        <f t="shared" si="48"/>
        <v>-1</v>
      </c>
      <c r="P39" s="82" t="e">
        <f t="shared" si="48"/>
        <v>#DIV/0!</v>
      </c>
    </row>
    <row r="40" spans="2:16" x14ac:dyDescent="0.25">
      <c r="B40" s="74" t="s">
        <v>141</v>
      </c>
      <c r="C40" s="82">
        <f>(D10-C10)/C10</f>
        <v>1.3054249380971794</v>
      </c>
      <c r="D40" s="82">
        <f t="shared" si="49"/>
        <v>-0.54188476257112073</v>
      </c>
      <c r="E40" s="82">
        <f t="shared" si="49"/>
        <v>0.33755950185657085</v>
      </c>
      <c r="F40" s="82">
        <f t="shared" si="49"/>
        <v>0.44595500077653233</v>
      </c>
      <c r="G40" s="82">
        <f t="shared" si="49"/>
        <v>-0.58606403673083951</v>
      </c>
      <c r="H40" s="82">
        <f t="shared" si="49"/>
        <v>-1</v>
      </c>
      <c r="I40" s="82" t="e">
        <f t="shared" si="49"/>
        <v>#DIV/0!</v>
      </c>
      <c r="J40" s="82" t="e">
        <f t="shared" si="49"/>
        <v>#DIV/0!</v>
      </c>
      <c r="K40" s="82" t="e">
        <f t="shared" si="49"/>
        <v>#DIV/0!</v>
      </c>
      <c r="L40" s="82" t="e">
        <f t="shared" si="49"/>
        <v>#DIV/0!</v>
      </c>
      <c r="M40" s="82" t="e">
        <f t="shared" si="49"/>
        <v>#DIV/0!</v>
      </c>
      <c r="N40" s="82">
        <f t="shared" si="50"/>
        <v>-1.3925559978085939E-2</v>
      </c>
      <c r="O40" s="82">
        <f t="shared" si="48"/>
        <v>-1</v>
      </c>
      <c r="P40" s="82" t="e">
        <f t="shared" si="48"/>
        <v>#DIV/0!</v>
      </c>
    </row>
    <row r="41" spans="2:16" x14ac:dyDescent="0.25">
      <c r="B41" s="74" t="s">
        <v>142</v>
      </c>
      <c r="C41" s="82">
        <f t="shared" si="49"/>
        <v>0.12838597960086218</v>
      </c>
      <c r="D41" s="82">
        <f t="shared" si="49"/>
        <v>-0.97246320967748989</v>
      </c>
      <c r="E41" s="82">
        <f t="shared" si="49"/>
        <v>49.12797168371003</v>
      </c>
      <c r="F41" s="82">
        <f t="shared" si="49"/>
        <v>-1.5160217578260871</v>
      </c>
      <c r="G41" s="82">
        <f t="shared" si="49"/>
        <v>-4.8710009094248941</v>
      </c>
      <c r="H41" s="82">
        <f t="shared" si="49"/>
        <v>-1</v>
      </c>
      <c r="I41" s="82" t="e">
        <f t="shared" si="49"/>
        <v>#DIV/0!</v>
      </c>
      <c r="J41" s="82" t="e">
        <f t="shared" si="49"/>
        <v>#DIV/0!</v>
      </c>
      <c r="K41" s="82" t="e">
        <f t="shared" si="49"/>
        <v>#DIV/0!</v>
      </c>
      <c r="L41" s="82" t="e">
        <f t="shared" si="49"/>
        <v>#DIV/0!</v>
      </c>
      <c r="M41" s="82" t="e">
        <f t="shared" si="49"/>
        <v>#DIV/0!</v>
      </c>
      <c r="N41" s="82">
        <f t="shared" si="50"/>
        <v>0.78986568187902173</v>
      </c>
      <c r="O41" s="82">
        <f t="shared" si="48"/>
        <v>-1</v>
      </c>
      <c r="P41" s="82" t="e">
        <f t="shared" si="48"/>
        <v>#DIV/0!</v>
      </c>
    </row>
    <row r="42" spans="2:16" x14ac:dyDescent="0.25">
      <c r="B42" s="74" t="s">
        <v>143</v>
      </c>
      <c r="C42" s="82">
        <f t="shared" si="49"/>
        <v>0.31758991416187593</v>
      </c>
      <c r="D42" s="82">
        <f t="shared" si="49"/>
        <v>0.12993363413708306</v>
      </c>
      <c r="E42" s="82">
        <f t="shared" si="49"/>
        <v>-7.7876531397382084E-2</v>
      </c>
      <c r="F42" s="82">
        <f t="shared" si="49"/>
        <v>7.2170913744681237E-2</v>
      </c>
      <c r="G42" s="82">
        <f t="shared" si="49"/>
        <v>0.17840048821985549</v>
      </c>
      <c r="H42" s="82">
        <f t="shared" si="49"/>
        <v>-1</v>
      </c>
      <c r="I42" s="82" t="e">
        <f t="shared" si="49"/>
        <v>#DIV/0!</v>
      </c>
      <c r="J42" s="82" t="e">
        <f t="shared" si="49"/>
        <v>#DIV/0!</v>
      </c>
      <c r="K42" s="82" t="e">
        <f t="shared" si="49"/>
        <v>#DIV/0!</v>
      </c>
      <c r="L42" s="82" t="e">
        <f t="shared" si="49"/>
        <v>#DIV/0!</v>
      </c>
      <c r="M42" s="82" t="e">
        <f t="shared" si="49"/>
        <v>#DIV/0!</v>
      </c>
      <c r="N42" s="82">
        <f t="shared" si="50"/>
        <v>0.20305781394870517</v>
      </c>
      <c r="O42" s="82">
        <f t="shared" si="48"/>
        <v>-1</v>
      </c>
      <c r="P42" s="82" t="e">
        <f t="shared" si="48"/>
        <v>#DIV/0!</v>
      </c>
    </row>
    <row r="43" spans="2:16" x14ac:dyDescent="0.25">
      <c r="B43" s="74" t="s">
        <v>144</v>
      </c>
      <c r="C43" s="82">
        <f>(D14-C14)/C14</f>
        <v>-0.34606226503486487</v>
      </c>
      <c r="D43" s="82">
        <f>(E13-D14)/D14</f>
        <v>-50.508617474141658</v>
      </c>
      <c r="E43" s="82">
        <f t="shared" si="49"/>
        <v>-1.9664577666614247</v>
      </c>
      <c r="F43" s="82">
        <f t="shared" si="49"/>
        <v>-3.0895198249152731</v>
      </c>
      <c r="G43" s="82">
        <f t="shared" si="49"/>
        <v>-2.3040329534524018</v>
      </c>
      <c r="H43" s="82">
        <f t="shared" si="49"/>
        <v>-1</v>
      </c>
      <c r="I43" s="82" t="e">
        <f t="shared" si="49"/>
        <v>#DIV/0!</v>
      </c>
      <c r="J43" s="82" t="e">
        <f t="shared" si="49"/>
        <v>#DIV/0!</v>
      </c>
      <c r="K43" s="82" t="e">
        <f t="shared" si="49"/>
        <v>#DIV/0!</v>
      </c>
      <c r="L43" s="82" t="e">
        <f t="shared" si="49"/>
        <v>#DIV/0!</v>
      </c>
      <c r="M43" s="82" t="e">
        <f t="shared" si="49"/>
        <v>#DIV/0!</v>
      </c>
      <c r="N43" s="82">
        <f t="shared" si="50"/>
        <v>-2.6655164274252221</v>
      </c>
      <c r="O43" s="82">
        <f t="shared" si="48"/>
        <v>-1</v>
      </c>
      <c r="P43" s="82" t="e">
        <f t="shared" si="48"/>
        <v>#DIV/0!</v>
      </c>
    </row>
    <row r="44" spans="2:16" x14ac:dyDescent="0.25">
      <c r="B44" s="83" t="s">
        <v>145</v>
      </c>
      <c r="C44" s="82" t="e">
        <f>(#REF!-#REF!)/#REF!</f>
        <v>#REF!</v>
      </c>
      <c r="D44" s="82" t="e">
        <f>(E14-#REF!)/#REF!</f>
        <v>#REF!</v>
      </c>
      <c r="E44" s="82">
        <f t="shared" si="49"/>
        <v>0.32051842263646929</v>
      </c>
      <c r="F44" s="82">
        <f t="shared" si="49"/>
        <v>-0.35885357158465853</v>
      </c>
      <c r="G44" s="82">
        <f t="shared" si="49"/>
        <v>2.2212376023098532E-2</v>
      </c>
      <c r="H44" s="82">
        <f t="shared" si="49"/>
        <v>-1</v>
      </c>
      <c r="I44" s="82" t="e">
        <f t="shared" si="49"/>
        <v>#DIV/0!</v>
      </c>
      <c r="J44" s="82" t="e">
        <f t="shared" si="49"/>
        <v>#DIV/0!</v>
      </c>
      <c r="K44" s="82" t="e">
        <f t="shared" si="49"/>
        <v>#DIV/0!</v>
      </c>
      <c r="L44" s="82" t="e">
        <f t="shared" si="49"/>
        <v>#DIV/0!</v>
      </c>
      <c r="M44" s="82" t="e">
        <f t="shared" si="49"/>
        <v>#DIV/0!</v>
      </c>
      <c r="N44" s="82">
        <f t="shared" si="50"/>
        <v>-0.71179656541557212</v>
      </c>
      <c r="O44" s="82">
        <f t="shared" si="48"/>
        <v>-1</v>
      </c>
      <c r="P44" s="82" t="e">
        <f t="shared" si="48"/>
        <v>#DIV/0!</v>
      </c>
    </row>
    <row r="45" spans="2:16" x14ac:dyDescent="0.25">
      <c r="B45" s="84" t="s">
        <v>146</v>
      </c>
      <c r="C45" s="82">
        <f t="shared" si="49"/>
        <v>-0.10304931622423277</v>
      </c>
      <c r="D45" s="82">
        <f t="shared" si="49"/>
        <v>-3.2633376182055249</v>
      </c>
      <c r="E45" s="82">
        <f t="shared" si="49"/>
        <v>-1.9019833143455094</v>
      </c>
      <c r="F45" s="82">
        <f t="shared" si="49"/>
        <v>-3.2022241551896546</v>
      </c>
      <c r="G45" s="82">
        <f t="shared" si="49"/>
        <v>-2.2760802897825578</v>
      </c>
      <c r="H45" s="82">
        <f t="shared" si="49"/>
        <v>-1</v>
      </c>
      <c r="I45" s="82" t="e">
        <f t="shared" si="49"/>
        <v>#DIV/0!</v>
      </c>
      <c r="J45" s="82" t="e">
        <f t="shared" si="49"/>
        <v>#DIV/0!</v>
      </c>
      <c r="K45" s="82" t="e">
        <f t="shared" si="49"/>
        <v>#DIV/0!</v>
      </c>
      <c r="L45" s="82" t="e">
        <f t="shared" si="49"/>
        <v>#DIV/0!</v>
      </c>
      <c r="M45" s="82" t="e">
        <f t="shared" si="49"/>
        <v>#DIV/0!</v>
      </c>
      <c r="N45" s="82">
        <f t="shared" si="50"/>
        <v>-23.113309448124088</v>
      </c>
      <c r="O45" s="82">
        <f t="shared" si="48"/>
        <v>-1</v>
      </c>
      <c r="P45" s="82" t="e">
        <f t="shared" si="48"/>
        <v>#DIV/0!</v>
      </c>
    </row>
    <row r="46" spans="2:16" x14ac:dyDescent="0.25">
      <c r="O46" s="77"/>
    </row>
    <row r="47" spans="2:16" x14ac:dyDescent="0.25">
      <c r="O47" s="77"/>
    </row>
    <row r="48" spans="2:16" x14ac:dyDescent="0.25">
      <c r="B48" s="1"/>
      <c r="C48" s="78"/>
      <c r="D48" s="78"/>
      <c r="E48" s="78"/>
      <c r="F48" s="78"/>
      <c r="G48" s="78"/>
    </row>
    <row r="49" spans="2:17" x14ac:dyDescent="0.25">
      <c r="B49" s="74"/>
      <c r="C49" s="75" t="s">
        <v>29</v>
      </c>
      <c r="D49" s="75" t="s">
        <v>38</v>
      </c>
      <c r="E49" s="75" t="s">
        <v>45</v>
      </c>
      <c r="F49" s="75" t="s">
        <v>49</v>
      </c>
      <c r="G49" s="75" t="s">
        <v>51</v>
      </c>
      <c r="H49" s="75" t="s">
        <v>52</v>
      </c>
      <c r="I49" s="75" t="s">
        <v>124</v>
      </c>
      <c r="J49" s="75" t="s">
        <v>125</v>
      </c>
      <c r="K49" s="75" t="s">
        <v>126</v>
      </c>
      <c r="L49" s="75" t="s">
        <v>127</v>
      </c>
      <c r="M49" s="75" t="s">
        <v>128</v>
      </c>
      <c r="N49" s="75" t="s">
        <v>129</v>
      </c>
      <c r="O49" s="85" t="s">
        <v>0</v>
      </c>
    </row>
    <row r="50" spans="2:17" x14ac:dyDescent="0.25">
      <c r="B50" s="74" t="s">
        <v>136</v>
      </c>
      <c r="C50" s="74">
        <f>C4</f>
        <v>36260624</v>
      </c>
      <c r="D50" s="74">
        <f t="shared" ref="D50:M50" si="51">D4</f>
        <v>32413686</v>
      </c>
      <c r="E50" s="74">
        <f t="shared" si="51"/>
        <v>37610299</v>
      </c>
      <c r="F50" s="74">
        <f t="shared" si="51"/>
        <v>35094804</v>
      </c>
      <c r="G50" s="74">
        <f t="shared" si="51"/>
        <v>40686608</v>
      </c>
      <c r="H50" s="74">
        <f t="shared" si="51"/>
        <v>39885219</v>
      </c>
      <c r="I50" s="74">
        <f t="shared" si="51"/>
        <v>0</v>
      </c>
      <c r="J50" s="74">
        <f t="shared" si="51"/>
        <v>0</v>
      </c>
      <c r="K50" s="74">
        <f t="shared" si="51"/>
        <v>0</v>
      </c>
      <c r="L50" s="74">
        <f t="shared" si="51"/>
        <v>0</v>
      </c>
      <c r="M50" s="74">
        <f t="shared" si="51"/>
        <v>0</v>
      </c>
      <c r="N50" s="74">
        <f t="shared" ref="N50" si="52">N4</f>
        <v>0</v>
      </c>
      <c r="O50" s="86">
        <f>SUM(C50:N50)</f>
        <v>221951240</v>
      </c>
      <c r="P50" s="87">
        <f>O50/(O50+O51)</f>
        <v>0.84687649939848453</v>
      </c>
      <c r="Q50" s="77">
        <f>O50+O51</f>
        <v>262082181</v>
      </c>
    </row>
    <row r="51" spans="2:17" x14ac:dyDescent="0.25">
      <c r="B51" s="74" t="s">
        <v>163</v>
      </c>
      <c r="C51" s="74">
        <f>'DONNEES FINANCIERES MENSUELLES'!B15+'DONNEES FINANCIERES MENSUELLES'!B16</f>
        <v>2871659</v>
      </c>
      <c r="D51" s="74">
        <f>'DONNEES FINANCIERES MENSUELLES'!C15+'DONNEES FINANCIERES MENSUELLES'!C16</f>
        <v>6518099</v>
      </c>
      <c r="E51" s="74">
        <f>'DONNEES FINANCIERES MENSUELLES'!D15+'DONNEES FINANCIERES MENSUELLES'!D16</f>
        <v>7804727</v>
      </c>
      <c r="F51" s="74">
        <f>'DONNEES FINANCIERES MENSUELLES'!E15+'DONNEES FINANCIERES MENSUELLES'!E16</f>
        <v>7698524</v>
      </c>
      <c r="G51" s="74">
        <f>'DONNEES FINANCIERES MENSUELLES'!F15+'DONNEES FINANCIERES MENSUELLES'!F16</f>
        <v>8621345</v>
      </c>
      <c r="H51" s="74">
        <f>'DONNEES FINANCIERES MENSUELLES'!G15+'DONNEES FINANCIERES MENSUELLES'!G16</f>
        <v>6616587</v>
      </c>
      <c r="I51" s="74">
        <f>'DONNEES FINANCIERES MENSUELLES'!H15+'DONNEES FINANCIERES MENSUELLES'!H16</f>
        <v>0</v>
      </c>
      <c r="J51" s="74">
        <f>'DONNEES FINANCIERES MENSUELLES'!I15+'DONNEES FINANCIERES MENSUELLES'!I16</f>
        <v>0</v>
      </c>
      <c r="K51" s="74">
        <f>'[1]DONNEES FINANCIERES MENSUELLES'!J15+'[1]DONNEES FINANCIERES MENSUELLES'!J16</f>
        <v>0</v>
      </c>
      <c r="L51" s="74">
        <f>'[1]DONNEES FINANCIERES MENSUELLES'!K15+'[1]DONNEES FINANCIERES MENSUELLES'!K16</f>
        <v>0</v>
      </c>
      <c r="M51" s="74">
        <f>'[1]DONNEES FINANCIERES MENSUELLES'!L15+'[1]DONNEES FINANCIERES MENSUELLES'!L16</f>
        <v>0</v>
      </c>
      <c r="N51" s="74">
        <f>'[1]DONNEES FINANCIERES MENSUELLES'!M15+'[1]DONNEES FINANCIERES MENSUELLES'!M16</f>
        <v>0</v>
      </c>
      <c r="O51" s="86">
        <f>SUM(C51:N51)</f>
        <v>40130941</v>
      </c>
      <c r="P51" s="87">
        <f>O51/(O50+O51)</f>
        <v>0.15312350060151553</v>
      </c>
    </row>
    <row r="52" spans="2:17" x14ac:dyDescent="0.25">
      <c r="B52" s="88" t="s">
        <v>164</v>
      </c>
      <c r="C52" s="89">
        <f>'DONNEES FINANCIERES MENSUELLES'!B131</f>
        <v>17503830</v>
      </c>
      <c r="D52" s="103">
        <f>C62</f>
        <v>24611798</v>
      </c>
      <c r="E52" s="103">
        <f t="shared" ref="E52:H52" si="53">D62</f>
        <v>17673768</v>
      </c>
      <c r="F52" s="103">
        <f t="shared" si="53"/>
        <v>23053668</v>
      </c>
      <c r="G52" s="103">
        <f t="shared" si="53"/>
        <v>35439716</v>
      </c>
      <c r="H52" s="103">
        <f t="shared" si="53"/>
        <v>39589040</v>
      </c>
      <c r="I52" s="89"/>
      <c r="J52" s="89"/>
      <c r="K52" s="89">
        <f>'DONNEES FINANCIERES MENSUELLES'!J131</f>
        <v>0</v>
      </c>
      <c r="L52" s="89">
        <f>'DONNEES FINANCIERES MENSUELLES'!K131</f>
        <v>0</v>
      </c>
      <c r="M52" s="89">
        <f>'DONNEES FINANCIERES MENSUELLES'!L131</f>
        <v>0</v>
      </c>
      <c r="N52" s="89">
        <f>'DONNEES FINANCIERES MENSUELLES'!M131</f>
        <v>0</v>
      </c>
      <c r="O52" s="86">
        <f>C52</f>
        <v>17503830</v>
      </c>
    </row>
    <row r="53" spans="2:17" x14ac:dyDescent="0.25">
      <c r="B53" s="79" t="s">
        <v>94</v>
      </c>
      <c r="C53" s="79">
        <f>SUM(C50:C52)</f>
        <v>56636113</v>
      </c>
      <c r="D53" s="79">
        <f t="shared" ref="D53:I53" si="54">SUM(D50:D52)</f>
        <v>63543583</v>
      </c>
      <c r="E53" s="79">
        <f t="shared" si="54"/>
        <v>63088794</v>
      </c>
      <c r="F53" s="79">
        <f t="shared" si="54"/>
        <v>65846996</v>
      </c>
      <c r="G53" s="79">
        <f t="shared" si="54"/>
        <v>84747669</v>
      </c>
      <c r="H53" s="79">
        <f t="shared" si="54"/>
        <v>86090846</v>
      </c>
      <c r="I53" s="79">
        <f t="shared" si="54"/>
        <v>0</v>
      </c>
      <c r="J53" s="79">
        <f t="shared" ref="J53:O53" si="55">SUM(J50:J52)</f>
        <v>0</v>
      </c>
      <c r="K53" s="79">
        <f t="shared" si="55"/>
        <v>0</v>
      </c>
      <c r="L53" s="79">
        <f t="shared" si="55"/>
        <v>0</v>
      </c>
      <c r="M53" s="79">
        <f t="shared" si="55"/>
        <v>0</v>
      </c>
      <c r="N53" s="79">
        <f t="shared" si="55"/>
        <v>0</v>
      </c>
      <c r="O53" s="79">
        <f t="shared" si="55"/>
        <v>279586011</v>
      </c>
    </row>
    <row r="54" spans="2:17" x14ac:dyDescent="0.25">
      <c r="B54" s="115" t="s">
        <v>24</v>
      </c>
      <c r="C54" s="116"/>
      <c r="D54" s="116"/>
      <c r="E54" s="117"/>
      <c r="F54" s="90"/>
      <c r="G54" s="90"/>
      <c r="H54" s="89"/>
      <c r="I54" s="89"/>
      <c r="J54" s="89"/>
      <c r="K54" s="89"/>
      <c r="L54" s="89"/>
      <c r="M54" s="89"/>
      <c r="N54" s="89"/>
      <c r="O54" s="86">
        <f t="shared" ref="O54" si="56">SUM(C54:N54)</f>
        <v>0</v>
      </c>
    </row>
    <row r="55" spans="2:17" x14ac:dyDescent="0.25">
      <c r="B55" s="79" t="s">
        <v>165</v>
      </c>
      <c r="C55" s="79">
        <f>'DONNEES FINANCIERES MENSUELLES'!B38</f>
        <v>28897610</v>
      </c>
      <c r="D55" s="79">
        <f>'DONNEES FINANCIERES MENSUELLES'!C38</f>
        <v>30662805</v>
      </c>
      <c r="E55" s="79">
        <f>'DONNEES FINANCIERES MENSUELLES'!D38</f>
        <v>24055764</v>
      </c>
      <c r="F55" s="79">
        <f>'DONNEES FINANCIERES MENSUELLES'!E38</f>
        <v>17746161</v>
      </c>
      <c r="G55" s="79">
        <f>'DONNEES FINANCIERES MENSUELLES'!F38</f>
        <v>31008560</v>
      </c>
      <c r="H55" s="79">
        <f>'DONNEES FINANCIERES MENSUELLES'!G38</f>
        <v>33840890</v>
      </c>
      <c r="I55" s="79">
        <f>'[1]DONNEES FINANCIERES MENSUELLES'!H38</f>
        <v>0</v>
      </c>
      <c r="J55" s="79">
        <f>'[1]DONNEES FINANCIERES MENSUELLES'!I38</f>
        <v>0</v>
      </c>
      <c r="K55" s="79">
        <f>'[1]DONNEES FINANCIERES MENSUELLES'!J38</f>
        <v>0</v>
      </c>
      <c r="L55" s="79">
        <f>'[1]DONNEES FINANCIERES MENSUELLES'!K38</f>
        <v>0</v>
      </c>
      <c r="M55" s="79">
        <f>'[1]DONNEES FINANCIERES MENSUELLES'!L38</f>
        <v>0</v>
      </c>
      <c r="N55" s="79">
        <f>'[1]DONNEES FINANCIERES MENSUELLES'!M38</f>
        <v>0</v>
      </c>
      <c r="O55" s="86">
        <f>SUM(C55:N55)</f>
        <v>166211790</v>
      </c>
      <c r="P55" s="78">
        <f>O55/Q50</f>
        <v>0.63419721770401472</v>
      </c>
    </row>
    <row r="56" spans="2:17" x14ac:dyDescent="0.25">
      <c r="B56" s="74" t="s">
        <v>166</v>
      </c>
      <c r="C56" s="74">
        <f>C12</f>
        <v>5832257</v>
      </c>
      <c r="D56" s="74">
        <f t="shared" ref="D56:N56" si="57">D12</f>
        <v>7684523</v>
      </c>
      <c r="E56" s="74">
        <f t="shared" si="57"/>
        <v>8683001</v>
      </c>
      <c r="F56" s="74">
        <f t="shared" si="57"/>
        <v>8006799</v>
      </c>
      <c r="G56" s="74">
        <f t="shared" si="57"/>
        <v>8584657</v>
      </c>
      <c r="H56" s="74">
        <f t="shared" si="57"/>
        <v>10116164</v>
      </c>
      <c r="I56" s="74">
        <f t="shared" si="57"/>
        <v>0</v>
      </c>
      <c r="J56" s="74">
        <f t="shared" si="57"/>
        <v>0</v>
      </c>
      <c r="K56" s="74">
        <f t="shared" si="57"/>
        <v>0</v>
      </c>
      <c r="L56" s="74">
        <f t="shared" si="57"/>
        <v>0</v>
      </c>
      <c r="M56" s="74">
        <f t="shared" si="57"/>
        <v>0</v>
      </c>
      <c r="N56" s="74">
        <f t="shared" si="57"/>
        <v>0</v>
      </c>
      <c r="O56" s="86">
        <f t="shared" ref="O56:O60" si="58">SUM(C56:N56)</f>
        <v>48907401</v>
      </c>
      <c r="P56" s="91">
        <f>O56/Q50</f>
        <v>0.18661093559809777</v>
      </c>
    </row>
    <row r="57" spans="2:17" x14ac:dyDescent="0.25">
      <c r="B57" s="74" t="s">
        <v>167</v>
      </c>
      <c r="C57" s="74">
        <f>C10</f>
        <v>1928022</v>
      </c>
      <c r="D57" s="74">
        <f t="shared" ref="D57:N57" si="59">D10</f>
        <v>4444910</v>
      </c>
      <c r="E57" s="74">
        <f t="shared" si="59"/>
        <v>2036281</v>
      </c>
      <c r="F57" s="74">
        <f t="shared" si="59"/>
        <v>2723647</v>
      </c>
      <c r="G57" s="74">
        <f t="shared" si="59"/>
        <v>3938271</v>
      </c>
      <c r="H57" s="74">
        <f t="shared" si="59"/>
        <v>1630192</v>
      </c>
      <c r="I57" s="74">
        <f t="shared" si="59"/>
        <v>0</v>
      </c>
      <c r="J57" s="74">
        <f t="shared" si="59"/>
        <v>0</v>
      </c>
      <c r="K57" s="74">
        <f t="shared" si="59"/>
        <v>0</v>
      </c>
      <c r="L57" s="74">
        <f t="shared" si="59"/>
        <v>0</v>
      </c>
      <c r="M57" s="74">
        <f t="shared" si="59"/>
        <v>0</v>
      </c>
      <c r="N57" s="74">
        <f t="shared" si="59"/>
        <v>0</v>
      </c>
      <c r="O57" s="86">
        <f t="shared" si="58"/>
        <v>16701323</v>
      </c>
      <c r="P57" s="91">
        <f>O57/Q50</f>
        <v>6.372551898139156E-2</v>
      </c>
    </row>
    <row r="58" spans="2:17" x14ac:dyDescent="0.25">
      <c r="B58" s="74" t="s">
        <v>64</v>
      </c>
      <c r="C58" s="74">
        <f>C14</f>
        <v>258283</v>
      </c>
      <c r="D58" s="74">
        <f t="shared" ref="D58:N58" si="60">D14</f>
        <v>168901</v>
      </c>
      <c r="E58" s="74">
        <f t="shared" si="60"/>
        <v>242582</v>
      </c>
      <c r="F58" s="74">
        <f t="shared" si="60"/>
        <v>320334</v>
      </c>
      <c r="G58" s="74">
        <f t="shared" si="60"/>
        <v>205381</v>
      </c>
      <c r="H58" s="74">
        <f t="shared" si="60"/>
        <v>209943</v>
      </c>
      <c r="I58" s="74">
        <f t="shared" si="60"/>
        <v>0</v>
      </c>
      <c r="J58" s="74">
        <f t="shared" si="60"/>
        <v>0</v>
      </c>
      <c r="K58" s="74">
        <f t="shared" si="60"/>
        <v>0</v>
      </c>
      <c r="L58" s="74">
        <f t="shared" si="60"/>
        <v>0</v>
      </c>
      <c r="M58" s="74">
        <f t="shared" si="60"/>
        <v>0</v>
      </c>
      <c r="N58" s="74">
        <f t="shared" si="60"/>
        <v>0</v>
      </c>
      <c r="O58" s="86">
        <f t="shared" si="58"/>
        <v>1405424</v>
      </c>
      <c r="P58" s="91">
        <f>O58/O60</f>
        <v>5.9747832741132486E-3</v>
      </c>
    </row>
    <row r="59" spans="2:17" x14ac:dyDescent="0.25">
      <c r="B59" s="74" t="s">
        <v>63</v>
      </c>
      <c r="C59" s="74">
        <f>'DONNEES FINANCIERES MENSUELLES'!B101</f>
        <v>2000000</v>
      </c>
      <c r="D59" s="74">
        <f>'DONNEES FINANCIERES MENSUELLES'!C101</f>
        <v>0</v>
      </c>
      <c r="E59" s="74">
        <f>'DONNEES FINANCIERES MENSUELLES'!D101</f>
        <v>0</v>
      </c>
      <c r="F59" s="74">
        <f>'DONNEES FINANCIERES MENSUELLES'!E101</f>
        <v>0</v>
      </c>
      <c r="G59" s="74">
        <f>'DONNEES FINANCIERES MENSUELLES'!F101</f>
        <v>0</v>
      </c>
      <c r="H59" s="74">
        <f>'[1]DONNEES FINANCIERES MENSUELLES'!G96</f>
        <v>0</v>
      </c>
      <c r="I59" s="74">
        <f>'[1]DONNEES FINANCIERES MENSUELLES'!H96</f>
        <v>0</v>
      </c>
      <c r="J59" s="74">
        <f>'[1]DONNEES FINANCIERES MENSUELLES'!I96</f>
        <v>0</v>
      </c>
      <c r="K59" s="74">
        <f>'[1]DONNEES FINANCIERES MENSUELLES'!J96</f>
        <v>0</v>
      </c>
      <c r="L59" s="74">
        <f>'[1]DONNEES FINANCIERES MENSUELLES'!K96</f>
        <v>0</v>
      </c>
      <c r="M59" s="74">
        <f>'[1]DONNEES FINANCIERES MENSUELLES'!L96</f>
        <v>0</v>
      </c>
      <c r="N59" s="74">
        <f>'[1]DONNEES FINANCIERES MENSUELLES'!M96</f>
        <v>0</v>
      </c>
      <c r="O59" s="86">
        <f t="shared" si="58"/>
        <v>2000000</v>
      </c>
      <c r="P59" s="78">
        <f>O59/Q50</f>
        <v>7.6311941253266657E-3</v>
      </c>
    </row>
    <row r="60" spans="2:17" x14ac:dyDescent="0.25">
      <c r="B60" s="74" t="s">
        <v>168</v>
      </c>
      <c r="C60" s="74">
        <f>SUM(C55:C59)</f>
        <v>38916172</v>
      </c>
      <c r="D60" s="74">
        <f t="shared" ref="D60:M60" si="61">SUM(D55:D59)</f>
        <v>42961139</v>
      </c>
      <c r="E60" s="74">
        <f t="shared" si="61"/>
        <v>35017628</v>
      </c>
      <c r="F60" s="74">
        <f t="shared" si="61"/>
        <v>28796941</v>
      </c>
      <c r="G60" s="74">
        <f t="shared" si="61"/>
        <v>43736869</v>
      </c>
      <c r="H60" s="74">
        <f t="shared" si="61"/>
        <v>45797189</v>
      </c>
      <c r="I60" s="74">
        <f t="shared" si="61"/>
        <v>0</v>
      </c>
      <c r="J60" s="74">
        <f t="shared" si="61"/>
        <v>0</v>
      </c>
      <c r="K60" s="74">
        <f t="shared" si="61"/>
        <v>0</v>
      </c>
      <c r="L60" s="74">
        <f t="shared" si="61"/>
        <v>0</v>
      </c>
      <c r="M60" s="74">
        <f t="shared" si="61"/>
        <v>0</v>
      </c>
      <c r="N60" s="74">
        <f t="shared" ref="N60" si="62">SUM(N55:N59)</f>
        <v>0</v>
      </c>
      <c r="O60" s="86">
        <f t="shared" si="58"/>
        <v>235225938</v>
      </c>
      <c r="P60" s="91">
        <f>O60/Q50</f>
        <v>0.89752739809502735</v>
      </c>
    </row>
    <row r="61" spans="2:17" x14ac:dyDescent="0.25">
      <c r="B61" s="74" t="s">
        <v>169</v>
      </c>
      <c r="C61" s="79">
        <f t="shared" ref="C61:O61" si="63">C53-C60</f>
        <v>17719941</v>
      </c>
      <c r="D61" s="79">
        <f t="shared" si="63"/>
        <v>20582444</v>
      </c>
      <c r="E61" s="79">
        <f t="shared" si="63"/>
        <v>28071166</v>
      </c>
      <c r="F61" s="79">
        <f t="shared" si="63"/>
        <v>37050055</v>
      </c>
      <c r="G61" s="79">
        <f t="shared" si="63"/>
        <v>41010800</v>
      </c>
      <c r="H61" s="79">
        <f t="shared" si="63"/>
        <v>40293657</v>
      </c>
      <c r="I61" s="79">
        <f t="shared" si="63"/>
        <v>0</v>
      </c>
      <c r="J61" s="79">
        <f t="shared" si="63"/>
        <v>0</v>
      </c>
      <c r="K61" s="79">
        <f t="shared" si="63"/>
        <v>0</v>
      </c>
      <c r="L61" s="79">
        <f t="shared" si="63"/>
        <v>0</v>
      </c>
      <c r="M61" s="79">
        <f t="shared" si="63"/>
        <v>0</v>
      </c>
      <c r="N61" s="79">
        <f t="shared" si="63"/>
        <v>0</v>
      </c>
      <c r="O61" s="92">
        <f t="shared" si="63"/>
        <v>44360073</v>
      </c>
    </row>
    <row r="62" spans="2:17" x14ac:dyDescent="0.25">
      <c r="B62" s="93" t="s">
        <v>170</v>
      </c>
      <c r="C62" s="94">
        <f>'DONNEES FINANCIERES MENSUELLES'!B150+'DONNEES FINANCIERES MENSUELLES'!B151</f>
        <v>24611798</v>
      </c>
      <c r="D62" s="94">
        <f>'DONNEES FINANCIERES MENSUELLES'!C150+'DONNEES FINANCIERES MENSUELLES'!C151</f>
        <v>17673768</v>
      </c>
      <c r="E62" s="94">
        <f>'DONNEES FINANCIERES MENSUELLES'!D150+'DONNEES FINANCIERES MENSUELLES'!D151</f>
        <v>23053668</v>
      </c>
      <c r="F62" s="94">
        <f>'DONNEES FINANCIERES MENSUELLES'!E150+'DONNEES FINANCIERES MENSUELLES'!E151</f>
        <v>35439716</v>
      </c>
      <c r="G62" s="94">
        <f>'DONNEES FINANCIERES MENSUELLES'!F150+'DONNEES FINANCIERES MENSUELLES'!F151</f>
        <v>39589040</v>
      </c>
      <c r="H62" s="94">
        <f>'DONNEES FINANCIERES MENSUELLES'!G150+'DONNEES FINANCIERES MENSUELLES'!G151</f>
        <v>35029872</v>
      </c>
      <c r="I62" s="94">
        <f>'[2]DONNEES FINANCIERES MENSUELLES'!H135</f>
        <v>0</v>
      </c>
      <c r="J62" s="94">
        <f>'[2]DONNEES FINANCIERES MENSUELLES'!I135</f>
        <v>0</v>
      </c>
      <c r="K62" s="94"/>
      <c r="L62" s="94"/>
      <c r="M62" s="94"/>
      <c r="N62" s="94"/>
      <c r="O62" s="95"/>
    </row>
    <row r="63" spans="2:17" x14ac:dyDescent="0.25">
      <c r="B63" s="96" t="s">
        <v>171</v>
      </c>
      <c r="C63" s="94">
        <f>C62-C61</f>
        <v>6891857</v>
      </c>
      <c r="D63" s="94">
        <f t="shared" ref="D63:H63" si="64">D62-D61</f>
        <v>-2908676</v>
      </c>
      <c r="E63" s="94">
        <f t="shared" si="64"/>
        <v>-5017498</v>
      </c>
      <c r="F63" s="94">
        <f t="shared" si="64"/>
        <v>-1610339</v>
      </c>
      <c r="G63" s="94">
        <f t="shared" si="64"/>
        <v>-1421760</v>
      </c>
      <c r="H63" s="94">
        <f t="shared" si="64"/>
        <v>-5263785</v>
      </c>
      <c r="I63" s="94"/>
      <c r="J63" s="94"/>
      <c r="K63" s="94"/>
      <c r="L63" s="94"/>
      <c r="M63" s="94"/>
      <c r="N63" s="94"/>
      <c r="O63" s="95"/>
    </row>
    <row r="64" spans="2:17" x14ac:dyDescent="0.25">
      <c r="F64" s="77"/>
      <c r="L64" s="77"/>
      <c r="M64" s="77"/>
    </row>
    <row r="65" spans="2:15" ht="18.75" x14ac:dyDescent="0.3">
      <c r="B65" s="97" t="s">
        <v>172</v>
      </c>
      <c r="C65" s="75" t="s">
        <v>29</v>
      </c>
      <c r="D65" s="75" t="s">
        <v>38</v>
      </c>
      <c r="E65" s="75" t="s">
        <v>45</v>
      </c>
      <c r="F65" s="75" t="s">
        <v>49</v>
      </c>
      <c r="G65" s="75" t="s">
        <v>51</v>
      </c>
      <c r="H65" s="75" t="s">
        <v>52</v>
      </c>
      <c r="I65" s="98" t="s">
        <v>124</v>
      </c>
      <c r="J65" s="98" t="s">
        <v>125</v>
      </c>
      <c r="K65" s="98" t="s">
        <v>126</v>
      </c>
      <c r="L65" s="98" t="s">
        <v>127</v>
      </c>
      <c r="M65" s="98" t="s">
        <v>128</v>
      </c>
      <c r="N65" s="98" t="s">
        <v>129</v>
      </c>
      <c r="O65" s="85" t="s">
        <v>173</v>
      </c>
    </row>
    <row r="66" spans="2:15" x14ac:dyDescent="0.25">
      <c r="B66" s="99" t="s">
        <v>174</v>
      </c>
      <c r="C66" s="100">
        <f t="shared" ref="C66:N66" si="65">C6</f>
        <v>42998557</v>
      </c>
      <c r="D66" s="100">
        <f t="shared" si="65"/>
        <v>39595804</v>
      </c>
      <c r="E66" s="100">
        <f t="shared" si="65"/>
        <v>45637754</v>
      </c>
      <c r="F66" s="100">
        <f t="shared" si="65"/>
        <v>42572124</v>
      </c>
      <c r="G66" s="100">
        <f t="shared" si="65"/>
        <v>49057408</v>
      </c>
      <c r="H66" s="100">
        <f t="shared" ref="H66" si="66">H6</f>
        <v>47209781</v>
      </c>
      <c r="I66" s="100">
        <f t="shared" si="65"/>
        <v>0</v>
      </c>
      <c r="J66" s="100">
        <f t="shared" si="65"/>
        <v>0</v>
      </c>
      <c r="K66" s="100">
        <f t="shared" si="65"/>
        <v>0</v>
      </c>
      <c r="L66" s="89">
        <f t="shared" si="65"/>
        <v>0</v>
      </c>
      <c r="M66" s="89">
        <f t="shared" si="65"/>
        <v>0</v>
      </c>
      <c r="N66" s="89">
        <f t="shared" si="65"/>
        <v>0</v>
      </c>
      <c r="O66" s="101">
        <f>AVERAGE(C66:N66)</f>
        <v>22255952.333333332</v>
      </c>
    </row>
    <row r="67" spans="2:15" x14ac:dyDescent="0.25">
      <c r="B67" s="99" t="s">
        <v>175</v>
      </c>
      <c r="C67" s="100">
        <f t="shared" ref="C67:N67" si="67">C66/30</f>
        <v>1433285.2333333334</v>
      </c>
      <c r="D67" s="100">
        <f t="shared" si="67"/>
        <v>1319860.1333333333</v>
      </c>
      <c r="E67" s="100">
        <f t="shared" si="67"/>
        <v>1521258.4666666666</v>
      </c>
      <c r="F67" s="100">
        <f t="shared" si="67"/>
        <v>1419070.8</v>
      </c>
      <c r="G67" s="100">
        <f t="shared" si="67"/>
        <v>1635246.9333333333</v>
      </c>
      <c r="H67" s="100">
        <f t="shared" ref="H67" si="68">H66/30</f>
        <v>1573659.3666666667</v>
      </c>
      <c r="I67" s="100">
        <f t="shared" si="67"/>
        <v>0</v>
      </c>
      <c r="J67" s="100">
        <f t="shared" si="67"/>
        <v>0</v>
      </c>
      <c r="K67" s="100">
        <f t="shared" si="67"/>
        <v>0</v>
      </c>
      <c r="L67" s="100">
        <f t="shared" si="67"/>
        <v>0</v>
      </c>
      <c r="M67" s="100">
        <f t="shared" si="67"/>
        <v>0</v>
      </c>
      <c r="N67" s="100">
        <f t="shared" si="67"/>
        <v>0</v>
      </c>
      <c r="O67" s="101">
        <f t="shared" ref="O67:O78" si="69">AVERAGE(C67:N67)</f>
        <v>741865.0777777778</v>
      </c>
    </row>
    <row r="68" spans="2:15" x14ac:dyDescent="0.25">
      <c r="B68" s="99" t="s">
        <v>176</v>
      </c>
      <c r="C68" s="100">
        <f t="shared" ref="C68:N68" si="70">C7</f>
        <v>30741471</v>
      </c>
      <c r="D68" s="100">
        <f t="shared" si="70"/>
        <v>26667181</v>
      </c>
      <c r="E68" s="100">
        <f t="shared" si="70"/>
        <v>40324749</v>
      </c>
      <c r="F68" s="100">
        <f t="shared" si="70"/>
        <v>31066405</v>
      </c>
      <c r="G68" s="100">
        <f t="shared" si="70"/>
        <v>36362326</v>
      </c>
      <c r="H68" s="100">
        <f t="shared" ref="H68" si="71">H7</f>
        <v>29514660</v>
      </c>
      <c r="I68" s="100">
        <f t="shared" si="70"/>
        <v>0</v>
      </c>
      <c r="J68" s="100">
        <f t="shared" si="70"/>
        <v>0</v>
      </c>
      <c r="K68" s="100">
        <f t="shared" si="70"/>
        <v>0</v>
      </c>
      <c r="L68" s="89">
        <f t="shared" si="70"/>
        <v>0</v>
      </c>
      <c r="M68" s="89">
        <f t="shared" si="70"/>
        <v>0</v>
      </c>
      <c r="N68" s="89">
        <f t="shared" si="70"/>
        <v>0</v>
      </c>
      <c r="O68" s="101">
        <f t="shared" si="69"/>
        <v>16223066</v>
      </c>
    </row>
    <row r="69" spans="2:15" x14ac:dyDescent="0.25">
      <c r="B69" s="99" t="s">
        <v>177</v>
      </c>
      <c r="C69" s="100">
        <f t="shared" ref="C69:G69" si="72">C66-C68</f>
        <v>12257086</v>
      </c>
      <c r="D69" s="100">
        <f t="shared" si="72"/>
        <v>12928623</v>
      </c>
      <c r="E69" s="100">
        <f t="shared" si="72"/>
        <v>5313005</v>
      </c>
      <c r="F69" s="100">
        <f t="shared" si="72"/>
        <v>11505719</v>
      </c>
      <c r="G69" s="100">
        <f t="shared" si="72"/>
        <v>12695082</v>
      </c>
      <c r="H69" s="100">
        <f t="shared" ref="H69" si="73">H66-H68</f>
        <v>17695121</v>
      </c>
      <c r="I69" s="100">
        <f>I66-I68</f>
        <v>0</v>
      </c>
      <c r="J69" s="100">
        <f t="shared" ref="J69:N69" si="74">J66-J68</f>
        <v>0</v>
      </c>
      <c r="K69" s="100">
        <f t="shared" si="74"/>
        <v>0</v>
      </c>
      <c r="L69" s="89">
        <f t="shared" si="74"/>
        <v>0</v>
      </c>
      <c r="M69" s="89">
        <f t="shared" si="74"/>
        <v>0</v>
      </c>
      <c r="N69" s="89">
        <f t="shared" si="74"/>
        <v>0</v>
      </c>
      <c r="O69" s="101">
        <f t="shared" si="69"/>
        <v>6032886.333333333</v>
      </c>
    </row>
    <row r="70" spans="2:15" x14ac:dyDescent="0.25">
      <c r="B70" s="99" t="s">
        <v>178</v>
      </c>
      <c r="C70" s="82">
        <f t="shared" ref="C70:G70" si="75">C69/C68</f>
        <v>0.39871501269408999</v>
      </c>
      <c r="D70" s="82">
        <f t="shared" si="75"/>
        <v>0.4848140116497503</v>
      </c>
      <c r="E70" s="82">
        <f t="shared" si="75"/>
        <v>0.1317554388249261</v>
      </c>
      <c r="F70" s="82">
        <f t="shared" si="75"/>
        <v>0.37035888124164995</v>
      </c>
      <c r="G70" s="82">
        <f t="shared" si="75"/>
        <v>0.34912733580354566</v>
      </c>
      <c r="H70" s="82">
        <f t="shared" ref="H70" si="76">H69/H68</f>
        <v>0.59953667092895535</v>
      </c>
      <c r="I70" s="82" t="e">
        <f>I69/I68</f>
        <v>#DIV/0!</v>
      </c>
      <c r="J70" s="82" t="e">
        <f t="shared" ref="J70:N70" si="77">J69/J68</f>
        <v>#DIV/0!</v>
      </c>
      <c r="K70" s="82" t="e">
        <f t="shared" si="77"/>
        <v>#DIV/0!</v>
      </c>
      <c r="L70" s="82" t="e">
        <f t="shared" si="77"/>
        <v>#DIV/0!</v>
      </c>
      <c r="M70" s="82" t="e">
        <f t="shared" si="77"/>
        <v>#DIV/0!</v>
      </c>
      <c r="N70" s="82" t="e">
        <f t="shared" si="77"/>
        <v>#DIV/0!</v>
      </c>
      <c r="O70" s="102" t="e">
        <f>AVERAGE(C70:N70)</f>
        <v>#DIV/0!</v>
      </c>
    </row>
    <row r="71" spans="2:15" x14ac:dyDescent="0.25">
      <c r="B71" s="99" t="s">
        <v>179</v>
      </c>
      <c r="C71" s="82">
        <f t="shared" ref="C71:G71" si="78">C69/C66</f>
        <v>0.2850580776466522</v>
      </c>
      <c r="D71" s="82">
        <f t="shared" si="78"/>
        <v>0.32651497618282987</v>
      </c>
      <c r="E71" s="82">
        <f t="shared" si="78"/>
        <v>0.11641688151437075</v>
      </c>
      <c r="F71" s="82">
        <f t="shared" si="78"/>
        <v>0.27026415219499034</v>
      </c>
      <c r="G71" s="82">
        <f t="shared" si="78"/>
        <v>0.25878012144465523</v>
      </c>
      <c r="H71" s="82">
        <f t="shared" ref="H71" si="79">H69/H66</f>
        <v>0.37481895965583911</v>
      </c>
      <c r="I71" s="82" t="e">
        <f>I69/I66</f>
        <v>#DIV/0!</v>
      </c>
      <c r="J71" s="82" t="e">
        <f t="shared" ref="J71:N71" si="80">J69/J66</f>
        <v>#DIV/0!</v>
      </c>
      <c r="K71" s="82" t="e">
        <f t="shared" si="80"/>
        <v>#DIV/0!</v>
      </c>
      <c r="L71" s="82" t="e">
        <f t="shared" si="80"/>
        <v>#DIV/0!</v>
      </c>
      <c r="M71" s="82" t="e">
        <f t="shared" si="80"/>
        <v>#DIV/0!</v>
      </c>
      <c r="N71" s="82" t="e">
        <f t="shared" si="80"/>
        <v>#DIV/0!</v>
      </c>
      <c r="O71" s="102" t="e">
        <f t="shared" si="69"/>
        <v>#DIV/0!</v>
      </c>
    </row>
    <row r="72" spans="2:15" x14ac:dyDescent="0.25">
      <c r="B72" s="99" t="s">
        <v>180</v>
      </c>
      <c r="C72" s="82">
        <f t="shared" ref="C72:N72" si="81">C9/C6</f>
        <v>0.2850580776466522</v>
      </c>
      <c r="D72" s="82">
        <f t="shared" si="81"/>
        <v>0.40661078633483488</v>
      </c>
      <c r="E72" s="82">
        <f t="shared" si="81"/>
        <v>5.1650810861551162E-2</v>
      </c>
      <c r="F72" s="82">
        <f t="shared" si="81"/>
        <v>0.44188584530102376</v>
      </c>
      <c r="G72" s="82">
        <f t="shared" si="81"/>
        <v>-8.8950459836769205E-2</v>
      </c>
      <c r="H72" s="82">
        <f t="shared" ref="H72" si="82">H9/H6</f>
        <v>0.71525534083710318</v>
      </c>
      <c r="I72" s="82" t="e">
        <f t="shared" si="81"/>
        <v>#DIV/0!</v>
      </c>
      <c r="J72" s="82" t="e">
        <f t="shared" si="81"/>
        <v>#DIV/0!</v>
      </c>
      <c r="K72" s="82" t="e">
        <f t="shared" si="81"/>
        <v>#DIV/0!</v>
      </c>
      <c r="L72" s="82" t="e">
        <f t="shared" si="81"/>
        <v>#DIV/0!</v>
      </c>
      <c r="M72" s="82" t="e">
        <f t="shared" si="81"/>
        <v>#DIV/0!</v>
      </c>
      <c r="N72" s="82" t="e">
        <f t="shared" si="81"/>
        <v>#DIV/0!</v>
      </c>
      <c r="O72" s="102" t="e">
        <f t="shared" si="69"/>
        <v>#DIV/0!</v>
      </c>
    </row>
    <row r="73" spans="2:15" x14ac:dyDescent="0.25">
      <c r="B73" s="99" t="s">
        <v>181</v>
      </c>
      <c r="C73" s="100">
        <f>C61</f>
        <v>17719941</v>
      </c>
      <c r="D73" s="100">
        <f>D61</f>
        <v>20582444</v>
      </c>
      <c r="E73" s="100">
        <f t="shared" ref="E73:N73" si="83">E61</f>
        <v>28071166</v>
      </c>
      <c r="F73" s="100">
        <f t="shared" si="83"/>
        <v>37050055</v>
      </c>
      <c r="G73" s="100">
        <f t="shared" si="83"/>
        <v>41010800</v>
      </c>
      <c r="H73" s="100">
        <f t="shared" ref="H73" si="84">H61</f>
        <v>40293657</v>
      </c>
      <c r="I73" s="100">
        <f t="shared" si="83"/>
        <v>0</v>
      </c>
      <c r="J73" s="100">
        <f t="shared" si="83"/>
        <v>0</v>
      </c>
      <c r="K73" s="100">
        <f t="shared" si="83"/>
        <v>0</v>
      </c>
      <c r="L73" s="100">
        <f t="shared" si="83"/>
        <v>0</v>
      </c>
      <c r="M73" s="100">
        <f t="shared" si="83"/>
        <v>0</v>
      </c>
      <c r="N73" s="100">
        <f t="shared" si="83"/>
        <v>0</v>
      </c>
      <c r="O73" s="101">
        <f t="shared" si="69"/>
        <v>15394005.25</v>
      </c>
    </row>
    <row r="74" spans="2:15" x14ac:dyDescent="0.25">
      <c r="B74" s="99" t="s">
        <v>182</v>
      </c>
      <c r="D74" s="100">
        <f>C75</f>
        <v>44647618</v>
      </c>
      <c r="E74" s="100">
        <f t="shared" ref="E74:H74" si="85">D75</f>
        <v>41476160</v>
      </c>
      <c r="F74" s="100">
        <f t="shared" si="85"/>
        <v>44431938</v>
      </c>
      <c r="G74" s="100">
        <f t="shared" si="85"/>
        <v>37125638</v>
      </c>
      <c r="H74" s="100">
        <f t="shared" si="85"/>
        <v>54184399</v>
      </c>
      <c r="I74" s="100"/>
      <c r="J74" s="100"/>
      <c r="K74" s="100"/>
      <c r="L74" s="100"/>
      <c r="M74" s="100"/>
      <c r="N74" s="100"/>
      <c r="O74" s="101">
        <f t="shared" si="69"/>
        <v>44373150.600000001</v>
      </c>
    </row>
    <row r="75" spans="2:15" x14ac:dyDescent="0.25">
      <c r="B75" s="99" t="s">
        <v>183</v>
      </c>
      <c r="C75" s="100">
        <f>'DONNEES FINANCIERES MENSUELLES'!B146</f>
        <v>44647618</v>
      </c>
      <c r="D75" s="100">
        <f>'DONNEES FINANCIERES MENSUELLES'!C146</f>
        <v>41476160</v>
      </c>
      <c r="E75" s="100">
        <f>'DONNEES FINANCIERES MENSUELLES'!D146</f>
        <v>44431938</v>
      </c>
      <c r="F75" s="100">
        <f>'DONNEES FINANCIERES MENSUELLES'!E146</f>
        <v>37125638</v>
      </c>
      <c r="G75" s="100">
        <f>'DONNEES FINANCIERES MENSUELLES'!F146</f>
        <v>54184399</v>
      </c>
      <c r="H75" s="100">
        <f>'DONNEES FINANCIERES MENSUELLES'!G146</f>
        <v>38112472</v>
      </c>
      <c r="I75" s="99"/>
      <c r="J75" s="99"/>
      <c r="K75" s="99"/>
      <c r="L75" s="99"/>
      <c r="M75" s="99"/>
      <c r="N75" s="99"/>
      <c r="O75" s="101">
        <f>AVERAGE(C75:N75)</f>
        <v>43329704.166666664</v>
      </c>
    </row>
    <row r="76" spans="2:15" x14ac:dyDescent="0.25">
      <c r="B76" s="99" t="s">
        <v>184</v>
      </c>
      <c r="C76" s="100">
        <f>C74-C75</f>
        <v>-44647618</v>
      </c>
      <c r="D76" s="100">
        <f t="shared" ref="D76:F76" si="86">D74-D75</f>
        <v>3171458</v>
      </c>
      <c r="E76" s="100">
        <f t="shared" si="86"/>
        <v>-2955778</v>
      </c>
      <c r="F76" s="100">
        <f t="shared" si="86"/>
        <v>7306300</v>
      </c>
      <c r="G76" s="100">
        <f t="shared" ref="G76:H76" si="87">G74-G75</f>
        <v>-17058761</v>
      </c>
      <c r="H76" s="100">
        <f t="shared" si="87"/>
        <v>16071927</v>
      </c>
      <c r="I76" s="100"/>
      <c r="J76" s="100"/>
      <c r="K76" s="100"/>
      <c r="L76" s="100"/>
      <c r="M76" s="100"/>
      <c r="N76" s="100"/>
      <c r="O76" s="101">
        <f t="shared" si="69"/>
        <v>-6352078.666666667</v>
      </c>
    </row>
    <row r="77" spans="2:15" x14ac:dyDescent="0.25">
      <c r="B77" s="99" t="s">
        <v>185</v>
      </c>
      <c r="C77" s="100">
        <f>(C74+C75)/2</f>
        <v>22323809</v>
      </c>
      <c r="D77" s="100">
        <f t="shared" ref="D77:F77" si="88">(D74+D75)/2</f>
        <v>43061889</v>
      </c>
      <c r="E77" s="100">
        <f t="shared" si="88"/>
        <v>42954049</v>
      </c>
      <c r="F77" s="100">
        <f t="shared" si="88"/>
        <v>40778788</v>
      </c>
      <c r="G77" s="100">
        <f t="shared" ref="G77:H77" si="89">(G74+G75)/2</f>
        <v>45655018.5</v>
      </c>
      <c r="H77" s="100">
        <f t="shared" si="89"/>
        <v>46148435.5</v>
      </c>
      <c r="I77" s="100"/>
      <c r="J77" s="100"/>
      <c r="K77" s="100"/>
      <c r="L77" s="89"/>
      <c r="M77" s="89"/>
      <c r="N77" s="89"/>
      <c r="O77" s="101">
        <f t="shared" si="69"/>
        <v>40153664.833333336</v>
      </c>
    </row>
    <row r="78" spans="2:15" x14ac:dyDescent="0.25">
      <c r="B78" s="99" t="s">
        <v>186</v>
      </c>
      <c r="C78" s="100">
        <f>C68+C76</f>
        <v>-13906147</v>
      </c>
      <c r="D78" s="100">
        <f t="shared" ref="D78:F78" si="90">D68+D76</f>
        <v>29838639</v>
      </c>
      <c r="E78" s="100">
        <f t="shared" si="90"/>
        <v>37368971</v>
      </c>
      <c r="F78" s="100">
        <f t="shared" si="90"/>
        <v>38372705</v>
      </c>
      <c r="G78" s="100">
        <f t="shared" ref="G78:H78" si="91">G68+G76</f>
        <v>19303565</v>
      </c>
      <c r="H78" s="100">
        <f t="shared" si="91"/>
        <v>45586587</v>
      </c>
      <c r="I78" s="100"/>
      <c r="J78" s="100"/>
      <c r="K78" s="100"/>
      <c r="L78" s="89"/>
      <c r="M78" s="89"/>
      <c r="N78" s="89"/>
      <c r="O78" s="101">
        <f t="shared" si="69"/>
        <v>26094053.333333332</v>
      </c>
    </row>
    <row r="79" spans="2:15" x14ac:dyDescent="0.25">
      <c r="B79" s="99" t="s">
        <v>187</v>
      </c>
      <c r="C79" s="100">
        <f>C75/C67</f>
        <v>31.150546284611362</v>
      </c>
      <c r="D79" s="100">
        <f t="shared" ref="D79:F79" si="92">D75/D67</f>
        <v>31.424663077936238</v>
      </c>
      <c r="E79" s="100">
        <f t="shared" si="92"/>
        <v>29.207356260345328</v>
      </c>
      <c r="F79" s="100">
        <f t="shared" si="92"/>
        <v>26.161934978860813</v>
      </c>
      <c r="G79" s="100">
        <f t="shared" ref="G79:L79" si="93">G77/G67</f>
        <v>27.919342069601395</v>
      </c>
      <c r="H79" s="100">
        <f t="shared" ref="H79" si="94">H77/H67</f>
        <v>29.325555757185146</v>
      </c>
      <c r="I79" s="100" t="e">
        <f t="shared" si="93"/>
        <v>#DIV/0!</v>
      </c>
      <c r="J79" s="100" t="e">
        <f t="shared" si="93"/>
        <v>#DIV/0!</v>
      </c>
      <c r="K79" s="100" t="e">
        <f t="shared" si="93"/>
        <v>#DIV/0!</v>
      </c>
      <c r="L79" s="100" t="e">
        <f t="shared" si="93"/>
        <v>#DIV/0!</v>
      </c>
      <c r="M79" s="100" t="e">
        <f>M77/M67</f>
        <v>#DIV/0!</v>
      </c>
      <c r="N79" s="100" t="e">
        <f>N77/N67</f>
        <v>#DIV/0!</v>
      </c>
      <c r="O79" s="101" t="e">
        <f>AVERAGE(C79:N79)</f>
        <v>#DIV/0!</v>
      </c>
    </row>
    <row r="80" spans="2:15" x14ac:dyDescent="0.25">
      <c r="B80" s="99" t="s">
        <v>188</v>
      </c>
      <c r="C80" s="103">
        <f>C10+C12+C14</f>
        <v>8018562</v>
      </c>
      <c r="D80" s="103">
        <f t="shared" ref="D80:E80" si="95">D10+D12+D14</f>
        <v>12298334</v>
      </c>
      <c r="E80" s="103">
        <f t="shared" si="95"/>
        <v>10961864</v>
      </c>
      <c r="F80" s="103">
        <f t="shared" ref="F80:N80" si="96">F10+F12+F14</f>
        <v>11050780</v>
      </c>
      <c r="G80" s="103">
        <f t="shared" si="96"/>
        <v>12728309</v>
      </c>
      <c r="H80" s="103">
        <f t="shared" ref="H80" si="97">H10+H12+H14</f>
        <v>11956299</v>
      </c>
      <c r="I80" s="103">
        <f t="shared" si="96"/>
        <v>0</v>
      </c>
      <c r="J80" s="103">
        <f t="shared" si="96"/>
        <v>0</v>
      </c>
      <c r="K80" s="103">
        <f t="shared" si="96"/>
        <v>0</v>
      </c>
      <c r="L80" s="103">
        <f t="shared" si="96"/>
        <v>0</v>
      </c>
      <c r="M80" s="103">
        <f t="shared" si="96"/>
        <v>0</v>
      </c>
      <c r="N80" s="103">
        <f t="shared" si="96"/>
        <v>0</v>
      </c>
      <c r="O80" s="101">
        <f>AVERAGE(C80:N80)</f>
        <v>5584512.333333333</v>
      </c>
    </row>
    <row r="81" spans="2:8" x14ac:dyDescent="0.25">
      <c r="B81" s="120" t="s">
        <v>210</v>
      </c>
      <c r="C81">
        <f>'DONNEES FINANCIERES MENSUELLES'!B147+'DONNEES FINANCIERES MENSUELLES'!B148</f>
        <v>27122876</v>
      </c>
      <c r="D81">
        <f>'DONNEES FINANCIERES MENSUELLES'!C147+'DONNEES FINANCIERES MENSUELLES'!C148</f>
        <v>27831287</v>
      </c>
      <c r="E81">
        <f>'DONNEES FINANCIERES MENSUELLES'!D147+'DONNEES FINANCIERES MENSUELLES'!D148</f>
        <v>31021150</v>
      </c>
      <c r="F81">
        <f>'DONNEES FINANCIERES MENSUELLES'!E147+'DONNEES FINANCIERES MENSUELLES'!E148</f>
        <v>30572297</v>
      </c>
      <c r="G81">
        <f>'DONNEES FINANCIERES MENSUELLES'!F147+'DONNEES FINANCIERES MENSUELLES'!F148</f>
        <v>27252459</v>
      </c>
      <c r="H81">
        <f>'DONNEES FINANCIERES MENSUELLES'!G147+'DONNEES FINANCIERES MENSUELLES'!G148</f>
        <v>27992182</v>
      </c>
    </row>
    <row r="82" spans="2:8" x14ac:dyDescent="0.25">
      <c r="B82" s="120" t="s">
        <v>211</v>
      </c>
      <c r="C82">
        <f>'DONNEES FINANCIERES MENSUELLES'!B149</f>
        <v>16103101</v>
      </c>
      <c r="D82">
        <f>'DONNEES FINANCIERES MENSUELLES'!C149</f>
        <v>11728632</v>
      </c>
      <c r="E82">
        <f>'DONNEES FINANCIERES MENSUELLES'!D149</f>
        <v>25519445</v>
      </c>
      <c r="F82">
        <f>'DONNEES FINANCIERES MENSUELLES'!E149</f>
        <v>18256811</v>
      </c>
      <c r="G82">
        <f>'DONNEES FINANCIERES MENSUELLES'!F149</f>
        <v>19485451</v>
      </c>
      <c r="H82">
        <f>'DONNEES FINANCIERES MENSUELLES'!G149</f>
        <v>32935577</v>
      </c>
    </row>
    <row r="83" spans="2:8" x14ac:dyDescent="0.25">
      <c r="B83" s="121" t="s">
        <v>189</v>
      </c>
      <c r="C83" s="78">
        <f>'DONNEES FINANCIERES MENSUELLES'!B3/'DONNEES FINANCIERES MENSUELLES'!B$7</f>
        <v>0.63572310112639363</v>
      </c>
      <c r="D83" s="78">
        <f>'DONNEES FINANCIERES MENSUELLES'!C3/'DONNEES FINANCIERES MENSUELLES'!C$7</f>
        <v>0.61208495728486789</v>
      </c>
      <c r="E83" s="78">
        <f>'DONNEES FINANCIERES MENSUELLES'!D3/'DONNEES FINANCIERES MENSUELLES'!D$7</f>
        <v>0.6225603039097849</v>
      </c>
      <c r="F83" s="78">
        <f>'DONNEES FINANCIERES MENSUELLES'!E3/'DONNEES FINANCIERES MENSUELLES'!E$7</f>
        <v>0.6114627966412951</v>
      </c>
      <c r="G83" s="78">
        <f>'DONNEES FINANCIERES MENSUELLES'!F3/'DONNEES FINANCIERES MENSUELLES'!F$7</f>
        <v>0.61758831612138987</v>
      </c>
      <c r="H83" s="78">
        <f>'DONNEES FINANCIERES MENSUELLES'!G3/'DONNEES FINANCIERES MENSUELLES'!G$7</f>
        <v>0.6252028578569343</v>
      </c>
    </row>
    <row r="84" spans="2:8" x14ac:dyDescent="0.25">
      <c r="B84" s="121" t="s">
        <v>190</v>
      </c>
      <c r="C84" s="78">
        <f>'DONNEES FINANCIERES MENSUELLES'!B4/'DONNEES FINANCIERES MENSUELLES'!B$7</f>
        <v>0.15670137488567348</v>
      </c>
      <c r="D84" s="78">
        <f>'DONNEES FINANCIERES MENSUELLES'!C4/'DONNEES FINANCIERES MENSUELLES'!C$7</f>
        <v>0.18138583573148306</v>
      </c>
      <c r="E84" s="78">
        <f>'DONNEES FINANCIERES MENSUELLES'!D4/'DONNEES FINANCIERES MENSUELLES'!D$7</f>
        <v>0.17589504952412865</v>
      </c>
      <c r="F84" s="78">
        <f>'DONNEES FINANCIERES MENSUELLES'!E4/'DONNEES FINANCIERES MENSUELLES'!E$7</f>
        <v>0.17563887580521001</v>
      </c>
      <c r="G84" s="78">
        <f>'DONNEES FINANCIERES MENSUELLES'!F4/'DONNEES FINANCIERES MENSUELLES'!F$7</f>
        <v>0.1706327411346315</v>
      </c>
      <c r="H84" s="78">
        <f>'DONNEES FINANCIERES MENSUELLES'!G4/'DONNEES FINANCIERES MENSUELLES'!G$7</f>
        <v>0.15514924756799867</v>
      </c>
    </row>
    <row r="85" spans="2:8" x14ac:dyDescent="0.25">
      <c r="B85" s="121" t="s">
        <v>191</v>
      </c>
      <c r="C85" s="78">
        <f>'DONNEES FINANCIERES MENSUELLES'!B5/'DONNEES FINANCIERES MENSUELLES'!B$7</f>
        <v>0.11364811614492086</v>
      </c>
      <c r="D85" s="78">
        <f>'DONNEES FINANCIERES MENSUELLES'!C5/'DONNEES FINANCIERES MENSUELLES'!C$7</f>
        <v>0.11353043873032607</v>
      </c>
      <c r="E85" s="78">
        <f>'DONNEES FINANCIERES MENSUELLES'!D5/'DONNEES FINANCIERES MENSUELLES'!D$7</f>
        <v>0.13339291412105864</v>
      </c>
      <c r="F85" s="78">
        <f>'DONNEES FINANCIERES MENSUELLES'!E5/'DONNEES FINANCIERES MENSUELLES'!E$7</f>
        <v>0.1297290922106682</v>
      </c>
      <c r="G85" s="78">
        <f>'DONNEES FINANCIERES MENSUELLES'!F5/'DONNEES FINANCIERES MENSUELLES'!F$7</f>
        <v>0.11966916393136792</v>
      </c>
      <c r="H85" s="78">
        <f>'DONNEES FINANCIERES MENSUELLES'!G5/'DONNEES FINANCIERES MENSUELLES'!G$7</f>
        <v>0.12939863033891219</v>
      </c>
    </row>
    <row r="86" spans="2:8" x14ac:dyDescent="0.25">
      <c r="B86" s="121" t="s">
        <v>209</v>
      </c>
      <c r="C86" s="78">
        <f>'DONNEES FINANCIERES MENSUELLES'!B6/'DONNEES FINANCIERES MENSUELLES'!B$7</f>
        <v>9.392740784301204E-2</v>
      </c>
      <c r="D86" s="78">
        <f>'DONNEES FINANCIERES MENSUELLES'!C6/'DONNEES FINANCIERES MENSUELLES'!C$7</f>
        <v>9.2998768253322997E-2</v>
      </c>
      <c r="E86" s="78">
        <f>'DONNEES FINANCIERES MENSUELLES'!D6/'DONNEES FINANCIERES MENSUELLES'!D$7</f>
        <v>6.8151732445027854E-2</v>
      </c>
      <c r="F86" s="78">
        <f>'DONNEES FINANCIERES MENSUELLES'!E6/'DONNEES FINANCIERES MENSUELLES'!E$7</f>
        <v>8.3169235342826678E-2</v>
      </c>
      <c r="G86" s="78">
        <f>'DONNEES FINANCIERES MENSUELLES'!F6/'DONNEES FINANCIERES MENSUELLES'!F$7</f>
        <v>9.2109778812610732E-2</v>
      </c>
      <c r="H86" s="78">
        <f>'DONNEES FINANCIERES MENSUELLES'!G6/'DONNEES FINANCIERES MENSUELLES'!G$7</f>
        <v>9.0249264236154786E-2</v>
      </c>
    </row>
    <row r="87" spans="2:8" x14ac:dyDescent="0.25">
      <c r="B87" s="121" t="s">
        <v>192</v>
      </c>
      <c r="C87" s="78">
        <f>'DONNEES FINANCIERES MENSUELLES'!B22/'DONNEES FINANCIERES MENSUELLES'!B$38</f>
        <v>5.2901675951748259E-2</v>
      </c>
      <c r="D87" s="78">
        <f>'DONNEES FINANCIERES MENSUELLES'!C22/'DONNEES FINANCIERES MENSUELLES'!C$38</f>
        <v>5.0245435797540372E-2</v>
      </c>
      <c r="E87" s="78">
        <f>'DONNEES FINANCIERES MENSUELLES'!D22/'DONNEES FINANCIERES MENSUELLES'!D$38</f>
        <v>5.6132534389678912E-2</v>
      </c>
      <c r="F87" s="78">
        <f>'DONNEES FINANCIERES MENSUELLES'!E22/'DONNEES FINANCIERES MENSUELLES'!E$38</f>
        <v>9.0235516289973922E-2</v>
      </c>
      <c r="G87" s="78">
        <f>'DONNEES FINANCIERES MENSUELLES'!F22/'DONNEES FINANCIERES MENSUELLES'!F$38</f>
        <v>7.1089305662694433E-2</v>
      </c>
      <c r="H87" s="78">
        <f>'DONNEES FINANCIERES MENSUELLES'!G22/'DONNEES FINANCIERES MENSUELLES'!G$38</f>
        <v>7.1254804468794994E-2</v>
      </c>
    </row>
    <row r="88" spans="2:8" x14ac:dyDescent="0.25">
      <c r="B88" s="121" t="s">
        <v>193</v>
      </c>
      <c r="C88" s="78">
        <f>'DONNEES FINANCIERES MENSUELLES'!B23/'DONNEES FINANCIERES MENSUELLES'!B$38</f>
        <v>0.67597552185111498</v>
      </c>
      <c r="D88" s="78">
        <f>'DONNEES FINANCIERES MENSUELLES'!C23/'DONNEES FINANCIERES MENSUELLES'!C$38</f>
        <v>0.51365760568871632</v>
      </c>
      <c r="E88" s="78">
        <f>'DONNEES FINANCIERES MENSUELLES'!D23/'DONNEES FINANCIERES MENSUELLES'!D$38</f>
        <v>0.79828044538514764</v>
      </c>
      <c r="F88" s="78">
        <f>'DONNEES FINANCIERES MENSUELLES'!E23/'DONNEES FINANCIERES MENSUELLES'!E$38</f>
        <v>1.0680529157827432</v>
      </c>
      <c r="G88" s="78">
        <f>'DONNEES FINANCIERES MENSUELLES'!F23/'DONNEES FINANCIERES MENSUELLES'!F$38</f>
        <v>0.62656331026013468</v>
      </c>
      <c r="H88" s="78">
        <f>'DONNEES FINANCIERES MENSUELLES'!G23/'DONNEES FINANCIERES MENSUELLES'!G$38</f>
        <v>0.53867738112088659</v>
      </c>
    </row>
    <row r="89" spans="2:8" x14ac:dyDescent="0.25">
      <c r="B89" s="121" t="s">
        <v>194</v>
      </c>
      <c r="C89" s="78">
        <f>'DONNEES FINANCIERES MENSUELLES'!B24/'DONNEES FINANCIERES MENSUELLES'!B$38</f>
        <v>9.0421630024074662E-2</v>
      </c>
      <c r="D89" s="78">
        <f>'DONNEES FINANCIERES MENSUELLES'!C24/'DONNEES FINANCIERES MENSUELLES'!C$38</f>
        <v>4.9800955913850677E-2</v>
      </c>
      <c r="E89" s="78">
        <f>'DONNEES FINANCIERES MENSUELLES'!D24/'DONNEES FINANCIERES MENSUELLES'!D$38</f>
        <v>9.8833610106916575E-2</v>
      </c>
      <c r="F89" s="78">
        <f>'DONNEES FINANCIERES MENSUELLES'!E24/'DONNEES FINANCIERES MENSUELLES'!E$38</f>
        <v>9.4055666462171728E-2</v>
      </c>
      <c r="G89" s="78">
        <f>'DONNEES FINANCIERES MENSUELLES'!F24/'DONNEES FINANCIERES MENSUELLES'!F$38</f>
        <v>7.8633254817379455E-2</v>
      </c>
      <c r="H89" s="78">
        <f>'DONNEES FINANCIERES MENSUELLES'!G24/'DONNEES FINANCIERES MENSUELLES'!G$38</f>
        <v>5.5115217123426721E-2</v>
      </c>
    </row>
    <row r="90" spans="2:8" x14ac:dyDescent="0.25">
      <c r="B90" s="121" t="s">
        <v>195</v>
      </c>
      <c r="C90" s="78">
        <f>'DONNEES FINANCIERES MENSUELLES'!B25/'DONNEES FINANCIERES MENSUELLES'!B$38</f>
        <v>0.14830987752966421</v>
      </c>
      <c r="D90" s="78">
        <f>'DONNEES FINANCIERES MENSUELLES'!C25/'DONNEES FINANCIERES MENSUELLES'!C$38</f>
        <v>0.17531318481789257</v>
      </c>
      <c r="E90" s="78">
        <f>'DONNEES FINANCIERES MENSUELLES'!D25/'DONNEES FINANCIERES MENSUELLES'!D$38</f>
        <v>0.20031116035225488</v>
      </c>
      <c r="F90" s="78">
        <f>'DONNEES FINANCIERES MENSUELLES'!E25/'DONNEES FINANCIERES MENSUELLES'!E$38</f>
        <v>0.35211221176230734</v>
      </c>
      <c r="G90" s="78">
        <f>'DONNEES FINANCIERES MENSUELLES'!F25/'DONNEES FINANCIERES MENSUELLES'!F$38</f>
        <v>0.21031795736403108</v>
      </c>
      <c r="H90" s="78">
        <f>'DONNEES FINANCIERES MENSUELLES'!G25/'DONNEES FINANCIERES MENSUELLES'!G$38</f>
        <v>0.12327341272643834</v>
      </c>
    </row>
    <row r="91" spans="2:8" x14ac:dyDescent="0.25">
      <c r="B91" s="121" t="s">
        <v>196</v>
      </c>
      <c r="C91" s="78">
        <f>'DONNEES FINANCIERES MENSUELLES'!B26/'DONNEES FINANCIERES MENSUELLES'!B$38</f>
        <v>9.6197990075995901E-2</v>
      </c>
      <c r="D91" s="78">
        <f>'DONNEES FINANCIERES MENSUELLES'!C26/'DONNEES FINANCIERES MENSUELLES'!C$38</f>
        <v>8.0674321869770235E-2</v>
      </c>
      <c r="E91" s="78">
        <f>'DONNEES FINANCIERES MENSUELLES'!D26/'DONNEES FINANCIERES MENSUELLES'!D$38</f>
        <v>0.52274523478032131</v>
      </c>
      <c r="F91" s="78">
        <f>'DONNEES FINANCIERES MENSUELLES'!E26/'DONNEES FINANCIERES MENSUELLES'!E$38</f>
        <v>0.14614231213162104</v>
      </c>
      <c r="G91" s="78">
        <f>'DONNEES FINANCIERES MENSUELLES'!F26/'DONNEES FINANCIERES MENSUELLES'!F$38</f>
        <v>0.18605062602068589</v>
      </c>
      <c r="H91" s="78">
        <f>'DONNEES FINANCIERES MENSUELLES'!G26/'DONNEES FINANCIERES MENSUELLES'!G$38</f>
        <v>8.3838870667999568E-2</v>
      </c>
    </row>
    <row r="92" spans="2:8" x14ac:dyDescent="0.25">
      <c r="B92" s="121" t="s">
        <v>197</v>
      </c>
      <c r="C92" s="78">
        <f>C7/C$6</f>
        <v>0.71494192235334786</v>
      </c>
      <c r="D92" s="78">
        <f t="shared" ref="D92:H92" si="98">D7/D$6</f>
        <v>0.67348502381717013</v>
      </c>
      <c r="E92" s="78">
        <f t="shared" si="98"/>
        <v>0.8835831184856292</v>
      </c>
      <c r="F92" s="78">
        <f t="shared" si="98"/>
        <v>0.72973584780500966</v>
      </c>
      <c r="G92" s="78">
        <f t="shared" si="98"/>
        <v>0.74121987855534477</v>
      </c>
      <c r="H92" s="78">
        <f t="shared" si="98"/>
        <v>0.62518104034416089</v>
      </c>
    </row>
    <row r="93" spans="2:8" x14ac:dyDescent="0.25">
      <c r="B93" s="121" t="s">
        <v>198</v>
      </c>
      <c r="C93" s="78">
        <f>C10/C$6</f>
        <v>4.4839225651223599E-2</v>
      </c>
      <c r="D93" s="78">
        <f t="shared" ref="D93:H93" si="99">D10/D$6</f>
        <v>0.11225709673681585</v>
      </c>
      <c r="E93" s="78">
        <f t="shared" si="99"/>
        <v>4.4618343838743683E-2</v>
      </c>
      <c r="F93" s="78">
        <f t="shared" si="99"/>
        <v>6.3977240130184715E-2</v>
      </c>
      <c r="G93" s="78">
        <f t="shared" si="99"/>
        <v>8.027882353670214E-2</v>
      </c>
      <c r="H93" s="78">
        <f t="shared" si="99"/>
        <v>3.4530810469127149E-2</v>
      </c>
    </row>
    <row r="94" spans="2:8" x14ac:dyDescent="0.25">
      <c r="B94" s="121" t="s">
        <v>199</v>
      </c>
      <c r="C94" s="78">
        <f>C12/C$6</f>
        <v>0.13563843549447485</v>
      </c>
      <c r="D94" s="78">
        <f t="shared" ref="D94:H94" si="100">D12/D$6</f>
        <v>0.19407417513229433</v>
      </c>
      <c r="E94" s="78">
        <f t="shared" si="100"/>
        <v>0.19025916568988036</v>
      </c>
      <c r="F94" s="78">
        <f t="shared" si="100"/>
        <v>0.1880760988105738</v>
      </c>
      <c r="G94" s="78">
        <f t="shared" si="100"/>
        <v>0.17499206236089768</v>
      </c>
      <c r="H94" s="78">
        <f t="shared" si="100"/>
        <v>0.21428110416356305</v>
      </c>
    </row>
    <row r="95" spans="2:8" x14ac:dyDescent="0.25">
      <c r="B95" s="121" t="s">
        <v>200</v>
      </c>
      <c r="C95" s="78">
        <f>C9/C$6</f>
        <v>0.2850580776466522</v>
      </c>
      <c r="D95" s="78">
        <f t="shared" ref="D95:H95" si="101">D9/D$6</f>
        <v>0.40661078633483488</v>
      </c>
      <c r="E95" s="78">
        <f t="shared" si="101"/>
        <v>5.1650810861551162E-2</v>
      </c>
      <c r="F95" s="78">
        <f t="shared" si="101"/>
        <v>0.44188584530102376</v>
      </c>
      <c r="G95" s="78">
        <f t="shared" si="101"/>
        <v>-8.8950459836769205E-2</v>
      </c>
      <c r="H95" s="78">
        <f t="shared" si="101"/>
        <v>0.71525534083710318</v>
      </c>
    </row>
    <row r="96" spans="2:8" x14ac:dyDescent="0.25">
      <c r="B96" s="121" t="s">
        <v>201</v>
      </c>
      <c r="C96" s="78">
        <f t="shared" ref="C93:H98" si="102">C11/C$6</f>
        <v>0.24021885199542858</v>
      </c>
      <c r="D96" s="78">
        <f t="shared" si="102"/>
        <v>0.294353689598019</v>
      </c>
      <c r="E96" s="78">
        <f t="shared" si="102"/>
        <v>7.0324670228074761E-3</v>
      </c>
      <c r="F96" s="78">
        <f t="shared" si="102"/>
        <v>0.37790860517083902</v>
      </c>
      <c r="G96" s="78">
        <f t="shared" si="102"/>
        <v>-0.16922928337347135</v>
      </c>
      <c r="H96" s="78">
        <f t="shared" si="102"/>
        <v>0.68072453036797609</v>
      </c>
    </row>
    <row r="97" spans="2:8" x14ac:dyDescent="0.25">
      <c r="B97" s="121" t="s">
        <v>202</v>
      </c>
      <c r="C97" s="78">
        <f>C13/C$6</f>
        <v>0.10458041650095375</v>
      </c>
      <c r="D97" s="78">
        <f t="shared" ref="D97:H97" si="103">D13/D$6</f>
        <v>0.1002795144657247</v>
      </c>
      <c r="E97" s="78">
        <f t="shared" si="103"/>
        <v>-0.18322669866707289</v>
      </c>
      <c r="F97" s="78">
        <f t="shared" si="103"/>
        <v>0.18983250636026522</v>
      </c>
      <c r="G97" s="78">
        <f t="shared" si="103"/>
        <v>-0.34422134573436902</v>
      </c>
      <c r="H97" s="78">
        <f t="shared" si="103"/>
        <v>0.46644342620441304</v>
      </c>
    </row>
    <row r="98" spans="2:8" x14ac:dyDescent="0.25">
      <c r="B98" s="121" t="s">
        <v>203</v>
      </c>
      <c r="C98" s="78">
        <f>C15/C$6</f>
        <v>9.8573633529143778E-2</v>
      </c>
      <c r="D98" s="78">
        <f t="shared" ref="D98:H98" si="104">D15/D$6</f>
        <v>9.6013885713748859E-2</v>
      </c>
      <c r="E98" s="78">
        <f t="shared" si="104"/>
        <v>-0.18854207856065835</v>
      </c>
      <c r="F98" s="78">
        <f t="shared" si="104"/>
        <v>0.18230800511621173</v>
      </c>
      <c r="G98" s="78">
        <f t="shared" si="104"/>
        <v>-0.34840788979311749</v>
      </c>
      <c r="H98" s="78">
        <f t="shared" si="104"/>
        <v>0.46199640282169496</v>
      </c>
    </row>
    <row r="99" spans="2:8" x14ac:dyDescent="0.25">
      <c r="B99" s="121" t="s">
        <v>204</v>
      </c>
      <c r="C99">
        <f>'DONNEES FINANCIERES MENSUELLES'!B147+'DONNEES FINANCIERES MENSUELLES'!B148+'DONNEES FINANCIERES MENSUELLES'!B146</f>
        <v>71770494</v>
      </c>
      <c r="D99">
        <f>'DONNEES FINANCIERES MENSUELLES'!C147+'DONNEES FINANCIERES MENSUELLES'!C148+'DONNEES FINANCIERES MENSUELLES'!C146</f>
        <v>69307447</v>
      </c>
      <c r="E99">
        <f>'DONNEES FINANCIERES MENSUELLES'!D147+'DONNEES FINANCIERES MENSUELLES'!D148+'DONNEES FINANCIERES MENSUELLES'!D146</f>
        <v>75453088</v>
      </c>
      <c r="F99">
        <f>'DONNEES FINANCIERES MENSUELLES'!E147+'DONNEES FINANCIERES MENSUELLES'!E148+'DONNEES FINANCIERES MENSUELLES'!E146</f>
        <v>67697935</v>
      </c>
      <c r="G99">
        <f>'DONNEES FINANCIERES MENSUELLES'!F147+'DONNEES FINANCIERES MENSUELLES'!F148+'DONNEES FINANCIERES MENSUELLES'!F146</f>
        <v>81436858</v>
      </c>
      <c r="H99">
        <f>'DONNEES FINANCIERES MENSUELLES'!G147+'DONNEES FINANCIERES MENSUELLES'!G148+'DONNEES FINANCIERES MENSUELLES'!G146</f>
        <v>66104654</v>
      </c>
    </row>
    <row r="100" spans="2:8" x14ac:dyDescent="0.25">
      <c r="B100" s="121" t="s">
        <v>205</v>
      </c>
      <c r="C100" s="124">
        <f>('DONNEES FINANCIERES MENSUELLES'!B150+'DONNEES FINANCIERES MENSUELLES'!B151+'DONNEES FINANCIERES MENSUELLES'!B148+'DONNEES FINANCIERES MENSUELLES'!B147+'DONNEES FINANCIERES MENSUELLES'!B146)/'DONNEES FINANCIERES MENSUELLES'!B149</f>
        <v>5.9853249383457259</v>
      </c>
      <c r="D100" s="124">
        <f>('DONNEES FINANCIERES MENSUELLES'!C150+'DONNEES FINANCIERES MENSUELLES'!C151+'DONNEES FINANCIERES MENSUELLES'!C148+'DONNEES FINANCIERES MENSUELLES'!C147+'DONNEES FINANCIERES MENSUELLES'!C146)/'DONNEES FINANCIERES MENSUELLES'!C149</f>
        <v>7.4161432467145358</v>
      </c>
      <c r="E100" s="124">
        <f>('DONNEES FINANCIERES MENSUELLES'!D150+'DONNEES FINANCIERES MENSUELLES'!D151+'DONNEES FINANCIERES MENSUELLES'!D148+'DONNEES FINANCIERES MENSUELLES'!D147+'DONNEES FINANCIERES MENSUELLES'!D146)/'DONNEES FINANCIERES MENSUELLES'!D149</f>
        <v>3.8600665492529322</v>
      </c>
      <c r="F100" s="124">
        <f>('DONNEES FINANCIERES MENSUELLES'!E150+'DONNEES FINANCIERES MENSUELLES'!E151+'DONNEES FINANCIERES MENSUELLES'!E148+'DONNEES FINANCIERES MENSUELLES'!E147+'DONNEES FINANCIERES MENSUELLES'!E146)/'DONNEES FINANCIERES MENSUELLES'!E149</f>
        <v>5.6492697985425826</v>
      </c>
      <c r="G100" s="124">
        <f>('DONNEES FINANCIERES MENSUELLES'!F150+'DONNEES FINANCIERES MENSUELLES'!F151+'DONNEES FINANCIERES MENSUELLES'!F148+'DONNEES FINANCIERES MENSUELLES'!F147+'DONNEES FINANCIERES MENSUELLES'!F146)/'DONNEES FINANCIERES MENSUELLES'!F149</f>
        <v>6.2110904181791842</v>
      </c>
      <c r="H100" s="124">
        <f>('DONNEES FINANCIERES MENSUELLES'!G150+'DONNEES FINANCIERES MENSUELLES'!G151+'DONNEES FINANCIERES MENSUELLES'!G148+'DONNEES FINANCIERES MENSUELLES'!G147+'DONNEES FINANCIERES MENSUELLES'!G146)/'DONNEES FINANCIERES MENSUELLES'!G149</f>
        <v>3.0706772193485481</v>
      </c>
    </row>
    <row r="101" spans="2:8" x14ac:dyDescent="0.25">
      <c r="B101" s="121" t="s">
        <v>206</v>
      </c>
      <c r="C101" s="124">
        <f>('DONNEES FINANCIERES MENSUELLES'!B151+'DONNEES FINANCIERES MENSUELLES'!B150+'DONNEES FINANCIERES MENSUELLES'!B148+'DONNEES FINANCIERES MENSUELLES'!B147)/'DONNEES FINANCIERES MENSUELLES'!B149</f>
        <v>3.2127149919757692</v>
      </c>
      <c r="D101" s="124">
        <f>('DONNEES FINANCIERES MENSUELLES'!C151+'DONNEES FINANCIERES MENSUELLES'!C150+'DONNEES FINANCIERES MENSUELLES'!C148+'DONNEES FINANCIERES MENSUELLES'!C147)/'DONNEES FINANCIERES MENSUELLES'!C149</f>
        <v>3.8798263088141907</v>
      </c>
      <c r="E101" s="124">
        <f>('DONNEES FINANCIERES MENSUELLES'!D151+'DONNEES FINANCIERES MENSUELLES'!D150+'DONNEES FINANCIERES MENSUELLES'!D148+'DONNEES FINANCIERES MENSUELLES'!D147)/'DONNEES FINANCIERES MENSUELLES'!D149</f>
        <v>2.1189652831399743</v>
      </c>
      <c r="F101" s="124">
        <f>('DONNEES FINANCIERES MENSUELLES'!E151+'DONNEES FINANCIERES MENSUELLES'!E150+'DONNEES FINANCIERES MENSUELLES'!E148+'DONNEES FINANCIERES MENSUELLES'!E147)/'DONNEES FINANCIERES MENSUELLES'!E149</f>
        <v>3.6157471860775687</v>
      </c>
      <c r="G101" s="124">
        <f>('DONNEES FINANCIERES MENSUELLES'!F151+'DONNEES FINANCIERES MENSUELLES'!F150+'DONNEES FINANCIERES MENSUELLES'!F148+'DONNEES FINANCIERES MENSUELLES'!F147)/'DONNEES FINANCIERES MENSUELLES'!F149</f>
        <v>3.4303285564188379</v>
      </c>
      <c r="H101" s="124">
        <f>('DONNEES FINANCIERES MENSUELLES'!G151+'DONNEES FINANCIERES MENSUELLES'!G150+'DONNEES FINANCIERES MENSUELLES'!G148+'DONNEES FINANCIERES MENSUELLES'!G147)/'DONNEES FINANCIERES MENSUELLES'!G149</f>
        <v>1.9134947597851406</v>
      </c>
    </row>
    <row r="102" spans="2:8" x14ac:dyDescent="0.25">
      <c r="B102" s="121" t="s">
        <v>207</v>
      </c>
      <c r="C102" s="122">
        <f>C60/(C50+C51)</f>
        <v>0.9944774241768618</v>
      </c>
      <c r="D102" s="122">
        <f t="shared" ref="D102:H102" si="105">D60/(D50+D51)</f>
        <v>1.1034977974937445</v>
      </c>
      <c r="E102" s="122">
        <f t="shared" si="105"/>
        <v>0.77105819558487099</v>
      </c>
      <c r="F102" s="122">
        <f t="shared" si="105"/>
        <v>0.67293062600786735</v>
      </c>
      <c r="G102" s="122">
        <f t="shared" si="105"/>
        <v>0.88701449439606628</v>
      </c>
      <c r="H102" s="122">
        <f t="shared" si="105"/>
        <v>0.9848475347387583</v>
      </c>
    </row>
    <row r="103" spans="2:8" x14ac:dyDescent="0.25">
      <c r="B103" s="121" t="s">
        <v>208</v>
      </c>
      <c r="C103" s="123">
        <f>C60/C53</f>
        <v>0.68712646293364099</v>
      </c>
      <c r="D103" s="123">
        <f t="shared" ref="D103:H103" si="106">D60/D53</f>
        <v>0.67608933855681386</v>
      </c>
      <c r="E103" s="123">
        <f t="shared" si="106"/>
        <v>0.5550530574415482</v>
      </c>
      <c r="F103" s="123">
        <f t="shared" si="106"/>
        <v>0.43733112745188862</v>
      </c>
      <c r="G103" s="123">
        <f t="shared" si="106"/>
        <v>0.51608344531576433</v>
      </c>
      <c r="H103" s="123">
        <f t="shared" si="106"/>
        <v>0.53196351444844669</v>
      </c>
    </row>
  </sheetData>
  <mergeCells count="1">
    <mergeCell ref="B54:E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80"/>
  <sheetViews>
    <sheetView tabSelected="1" topLeftCell="J1" workbookViewId="0">
      <selection activeCell="R3" sqref="R3:R15"/>
    </sheetView>
  </sheetViews>
  <sheetFormatPr baseColWidth="10" defaultRowHeight="15" x14ac:dyDescent="0.25"/>
  <cols>
    <col min="2" max="2" width="22.42578125" customWidth="1"/>
    <col min="3" max="3" width="22" customWidth="1"/>
    <col min="4" max="4" width="16.28515625" customWidth="1"/>
    <col min="5" max="5" width="16.42578125" customWidth="1"/>
    <col min="6" max="6" width="15.7109375" customWidth="1"/>
    <col min="7" max="7" width="14.42578125" customWidth="1"/>
    <col min="8" max="8" width="18.7109375" customWidth="1"/>
    <col min="9" max="9" width="20.5703125" customWidth="1"/>
    <col min="10" max="10" width="14.42578125" customWidth="1"/>
    <col min="11" max="11" width="15.28515625" customWidth="1"/>
    <col min="12" max="12" width="15.7109375" customWidth="1"/>
    <col min="13" max="13" width="16.42578125" customWidth="1"/>
    <col min="14" max="14" width="16.28515625" customWidth="1"/>
    <col min="15" max="15" width="15.7109375" customWidth="1"/>
    <col min="16" max="16" width="13.85546875" customWidth="1"/>
    <col min="17" max="18" width="14.42578125" customWidth="1"/>
    <col min="19" max="19" width="14.7109375" customWidth="1"/>
    <col min="20" max="21" width="16.7109375" customWidth="1"/>
  </cols>
  <sheetData>
    <row r="3" spans="2:23" x14ac:dyDescent="0.25">
      <c r="B3" s="74"/>
      <c r="C3" s="75" t="s">
        <v>29</v>
      </c>
      <c r="D3" s="75" t="s">
        <v>38</v>
      </c>
      <c r="E3" s="75" t="s">
        <v>45</v>
      </c>
      <c r="F3" s="75" t="s">
        <v>49</v>
      </c>
      <c r="G3" s="75" t="s">
        <v>51</v>
      </c>
      <c r="H3" s="75" t="s">
        <v>52</v>
      </c>
      <c r="I3" s="75" t="s">
        <v>124</v>
      </c>
      <c r="J3" s="75" t="s">
        <v>125</v>
      </c>
      <c r="K3" s="75" t="s">
        <v>126</v>
      </c>
      <c r="L3" s="75" t="s">
        <v>127</v>
      </c>
      <c r="M3" s="75" t="s">
        <v>128</v>
      </c>
      <c r="N3" s="75" t="s">
        <v>129</v>
      </c>
      <c r="O3" s="75" t="s">
        <v>0</v>
      </c>
      <c r="P3" s="75" t="s">
        <v>130</v>
      </c>
      <c r="Q3" s="75" t="s">
        <v>131</v>
      </c>
      <c r="R3" s="127" t="s">
        <v>212</v>
      </c>
      <c r="S3" s="75" t="s">
        <v>132</v>
      </c>
      <c r="T3" s="75" t="s">
        <v>133</v>
      </c>
      <c r="U3" s="127" t="s">
        <v>213</v>
      </c>
      <c r="V3">
        <v>2021</v>
      </c>
      <c r="W3" s="76" t="s">
        <v>134</v>
      </c>
    </row>
    <row r="4" spans="2:23" x14ac:dyDescent="0.25">
      <c r="B4" s="74" t="s">
        <v>136</v>
      </c>
      <c r="C4" s="74">
        <f>'[2]DONNEES FINANCIERES MENSUELLES'!B3+'[2]DONNEES FINANCIERES MENSUELLES'!B5+'[2]DONNEES FINANCIERES MENSUELLES'!B6</f>
        <v>42334697</v>
      </c>
      <c r="D4" s="74">
        <f>'[2]DONNEES FINANCIERES MENSUELLES'!C3+'[2]DONNEES FINANCIERES MENSUELLES'!C5+'[2]DONNEES FINANCIERES MENSUELLES'!C6</f>
        <v>31311886</v>
      </c>
      <c r="E4" s="74">
        <f>'[2]DONNEES FINANCIERES MENSUELLES'!D3+'[2]DONNEES FINANCIERES MENSUELLES'!D5+'[2]DONNEES FINANCIERES MENSUELLES'!D6</f>
        <v>33742790</v>
      </c>
      <c r="F4" s="74">
        <f>'[2]DONNEES FINANCIERES MENSUELLES'!E3+'[2]DONNEES FINANCIERES MENSUELLES'!E5+'[2]DONNEES FINANCIERES MENSUELLES'!E6</f>
        <v>31060886</v>
      </c>
      <c r="G4" s="74">
        <f>'[2]DONNEES FINANCIERES MENSUELLES'!F3+'[2]DONNEES FINANCIERES MENSUELLES'!F5+'[2]DONNEES FINANCIERES MENSUELLES'!F6</f>
        <v>32837840</v>
      </c>
      <c r="H4" s="74">
        <f>'[2]DONNEES FINANCIERES MENSUELLES'!G3+'[2]DONNEES FINANCIERES MENSUELLES'!G5+'[2]DONNEES FINANCIERES MENSUELLES'!G6</f>
        <v>30800649</v>
      </c>
      <c r="I4" s="74">
        <f>'[2]DONNEES FINANCIERES MENSUELLES'!H3+'[2]DONNEES FINANCIERES MENSUELLES'!H5+'[2]DONNEES FINANCIERES MENSUELLES'!H6</f>
        <v>35324415</v>
      </c>
      <c r="J4" s="74">
        <f>'[2]DONNEES FINANCIERES MENSUELLES'!I3+'[2]DONNEES FINANCIERES MENSUELLES'!I5+'[2]DONNEES FINANCIERES MENSUELLES'!I6</f>
        <v>34534948</v>
      </c>
      <c r="K4" s="74">
        <f>'[2]DONNEES FINANCIERES MENSUELLES'!J3+'[2]DONNEES FINANCIERES MENSUELLES'!J5+'[2]DONNEES FINANCIERES MENSUELLES'!J6</f>
        <v>32631793</v>
      </c>
      <c r="L4" s="74">
        <f>'[2]DONNEES FINANCIERES MENSUELLES'!K3+'[2]DONNEES FINANCIERES MENSUELLES'!K5+'[2]DONNEES FINANCIERES MENSUELLES'!K6</f>
        <v>34646551</v>
      </c>
      <c r="M4" s="74">
        <f>'[2]DONNEES FINANCIERES MENSUELLES'!L3+'[2]DONNEES FINANCIERES MENSUELLES'!L5+'[2]DONNEES FINANCIERES MENSUELLES'!L6</f>
        <v>33531652</v>
      </c>
      <c r="N4" s="74">
        <f>'[2]DONNEES FINANCIERES MENSUELLES'!M3+'[2]DONNEES FINANCIERES MENSUELLES'!M5+'[2]DONNEES FINANCIERES MENSUELLES'!M6</f>
        <v>35403365</v>
      </c>
      <c r="O4" s="74">
        <f>SUM(C4:N4)</f>
        <v>408161472</v>
      </c>
      <c r="P4" s="77">
        <f>C4+D4+E4</f>
        <v>107389373</v>
      </c>
      <c r="Q4" s="77">
        <f>F4+G4+H4</f>
        <v>94699375</v>
      </c>
      <c r="R4" s="128">
        <f>P4+Q4</f>
        <v>202088748</v>
      </c>
      <c r="S4" s="77">
        <f>I4+J4+K4</f>
        <v>102491156</v>
      </c>
      <c r="T4" s="77">
        <f>L4+M4+N4</f>
        <v>103581568</v>
      </c>
      <c r="U4" s="128">
        <f>S4+T4</f>
        <v>206072724</v>
      </c>
      <c r="V4">
        <v>425205986</v>
      </c>
      <c r="W4" s="77">
        <f>O4-V4</f>
        <v>-17044514</v>
      </c>
    </row>
    <row r="5" spans="2:23" x14ac:dyDescent="0.25">
      <c r="B5" s="74" t="s">
        <v>137</v>
      </c>
      <c r="C5" s="74">
        <f>'[2]DONNEES FINANCIERES MENSUELLES'!B4</f>
        <v>9521842</v>
      </c>
      <c r="D5" s="74">
        <f>'[2]DONNEES FINANCIERES MENSUELLES'!C4</f>
        <v>7653076</v>
      </c>
      <c r="E5" s="74">
        <f>'[2]DONNEES FINANCIERES MENSUELLES'!D4</f>
        <v>8562849</v>
      </c>
      <c r="F5" s="74">
        <f>'[2]DONNEES FINANCIERES MENSUELLES'!E4</f>
        <v>8533396</v>
      </c>
      <c r="G5" s="74">
        <f>'[2]DONNEES FINANCIERES MENSUELLES'!F4</f>
        <v>10329606</v>
      </c>
      <c r="H5" s="74">
        <f>'[2]DONNEES FINANCIERES MENSUELLES'!G4</f>
        <v>7932900</v>
      </c>
      <c r="I5" s="74">
        <f>'[2]DONNEES FINANCIERES MENSUELLES'!H4</f>
        <v>8527572</v>
      </c>
      <c r="J5" s="74">
        <f>'[2]DONNEES FINANCIERES MENSUELLES'!I4</f>
        <v>8824668</v>
      </c>
      <c r="K5" s="74">
        <f>'[2]DONNEES FINANCIERES MENSUELLES'!J4</f>
        <v>8504127</v>
      </c>
      <c r="L5" s="74">
        <f>'[2]DONNEES FINANCIERES MENSUELLES'!K4</f>
        <v>9073762</v>
      </c>
      <c r="M5" s="74">
        <f>'[2]DONNEES FINANCIERES MENSUELLES'!L4</f>
        <v>8423868</v>
      </c>
      <c r="N5" s="74">
        <f>'[2]DONNEES FINANCIERES MENSUELLES'!M4</f>
        <v>9360037</v>
      </c>
      <c r="O5" s="74">
        <f t="shared" ref="O5:O15" si="0">SUM(C5:N5)</f>
        <v>105247703</v>
      </c>
      <c r="P5" s="77">
        <f t="shared" ref="P5:P14" si="1">C5+D5+E5</f>
        <v>25737767</v>
      </c>
      <c r="Q5" s="77">
        <f t="shared" ref="Q5:Q15" si="2">F5+G5+H5</f>
        <v>26795902</v>
      </c>
      <c r="R5" s="128">
        <f t="shared" ref="R5:R15" si="3">P5+Q5</f>
        <v>52533669</v>
      </c>
      <c r="S5" s="77">
        <f t="shared" ref="S5:S15" si="4">I5+J5+K5</f>
        <v>25856367</v>
      </c>
      <c r="T5" s="77">
        <f t="shared" ref="T5:T15" si="5">L5+M5+N5</f>
        <v>26857667</v>
      </c>
      <c r="U5" s="128">
        <f t="shared" ref="U5:U15" si="6">S5+T5</f>
        <v>52714034</v>
      </c>
      <c r="V5">
        <v>131565642</v>
      </c>
      <c r="W5" s="77">
        <f t="shared" ref="W5:W15" si="7">O5-V5</f>
        <v>-26317939</v>
      </c>
    </row>
    <row r="6" spans="2:23" x14ac:dyDescent="0.25">
      <c r="B6" s="74" t="s">
        <v>138</v>
      </c>
      <c r="C6" s="74">
        <f>C4+C5</f>
        <v>51856539</v>
      </c>
      <c r="D6" s="74">
        <f t="shared" ref="D6:N6" si="8">D4+D5</f>
        <v>38964962</v>
      </c>
      <c r="E6" s="74">
        <f t="shared" si="8"/>
        <v>42305639</v>
      </c>
      <c r="F6" s="74">
        <f t="shared" si="8"/>
        <v>39594282</v>
      </c>
      <c r="G6" s="74">
        <f t="shared" si="8"/>
        <v>43167446</v>
      </c>
      <c r="H6" s="74">
        <f t="shared" si="8"/>
        <v>38733549</v>
      </c>
      <c r="I6" s="74">
        <f t="shared" si="8"/>
        <v>43851987</v>
      </c>
      <c r="J6" s="74">
        <f t="shared" si="8"/>
        <v>43359616</v>
      </c>
      <c r="K6" s="74">
        <f t="shared" si="8"/>
        <v>41135920</v>
      </c>
      <c r="L6" s="74">
        <f t="shared" si="8"/>
        <v>43720313</v>
      </c>
      <c r="M6" s="74">
        <f t="shared" si="8"/>
        <v>41955520</v>
      </c>
      <c r="N6" s="74">
        <f t="shared" si="8"/>
        <v>44763402</v>
      </c>
      <c r="O6" s="74">
        <f t="shared" si="0"/>
        <v>513409175</v>
      </c>
      <c r="P6" s="77">
        <f t="shared" si="1"/>
        <v>133127140</v>
      </c>
      <c r="Q6" s="77">
        <f t="shared" si="2"/>
        <v>121495277</v>
      </c>
      <c r="R6" s="128">
        <f t="shared" si="3"/>
        <v>254622417</v>
      </c>
      <c r="S6" s="77">
        <f t="shared" si="4"/>
        <v>128347523</v>
      </c>
      <c r="T6" s="77">
        <f t="shared" si="5"/>
        <v>130439235</v>
      </c>
      <c r="U6" s="128">
        <f t="shared" si="6"/>
        <v>258786758</v>
      </c>
      <c r="V6">
        <v>557122499</v>
      </c>
      <c r="W6" s="77">
        <f t="shared" si="7"/>
        <v>-43713324</v>
      </c>
    </row>
    <row r="7" spans="2:23" x14ac:dyDescent="0.25">
      <c r="B7" s="74" t="s">
        <v>60</v>
      </c>
      <c r="C7" s="74">
        <f>'[2]DONNEES FINANCIERES MENSUELLES'!B28</f>
        <v>33398268</v>
      </c>
      <c r="D7" s="74">
        <f>'[2]DONNEES FINANCIERES MENSUELLES'!C28</f>
        <v>27048889</v>
      </c>
      <c r="E7" s="74">
        <f>'[2]DONNEES FINANCIERES MENSUELLES'!D28</f>
        <v>27693329</v>
      </c>
      <c r="F7" s="74">
        <f>'[2]DONNEES FINANCIERES MENSUELLES'!E28</f>
        <v>25563315</v>
      </c>
      <c r="G7" s="74">
        <f>'[2]DONNEES FINANCIERES MENSUELLES'!F28</f>
        <v>28146122</v>
      </c>
      <c r="H7" s="74">
        <f>'[2]DONNEES FINANCIERES MENSUELLES'!G28</f>
        <v>32663509</v>
      </c>
      <c r="I7" s="74">
        <f>'[2]DONNEES FINANCIERES MENSUELLES'!H28</f>
        <v>34048216</v>
      </c>
      <c r="J7" s="74">
        <f>'[2]DONNEES FINANCIERES MENSUELLES'!I28</f>
        <v>30200995</v>
      </c>
      <c r="K7" s="74">
        <f>'[2]DONNEES FINANCIERES MENSUELLES'!J28</f>
        <v>29264734</v>
      </c>
      <c r="L7" s="74">
        <f>'[2]DONNEES FINANCIERES MENSUELLES'!K28</f>
        <v>30463220</v>
      </c>
      <c r="M7" s="74">
        <f>'[2]DONNEES FINANCIERES MENSUELLES'!L28</f>
        <v>32424641</v>
      </c>
      <c r="N7" s="74">
        <f>'[2]DONNEES FINANCIERES MENSUELLES'!M28</f>
        <v>35936756</v>
      </c>
      <c r="O7" s="74">
        <f t="shared" si="0"/>
        <v>366851994</v>
      </c>
      <c r="P7" s="77">
        <f t="shared" si="1"/>
        <v>88140486</v>
      </c>
      <c r="Q7" s="77">
        <f t="shared" si="2"/>
        <v>86372946</v>
      </c>
      <c r="R7" s="128">
        <f t="shared" si="3"/>
        <v>174513432</v>
      </c>
      <c r="S7" s="77">
        <f t="shared" si="4"/>
        <v>93513945</v>
      </c>
      <c r="T7" s="77">
        <f t="shared" si="5"/>
        <v>98824617</v>
      </c>
      <c r="U7" s="128">
        <f t="shared" si="6"/>
        <v>192338562</v>
      </c>
      <c r="V7">
        <v>380964048</v>
      </c>
      <c r="W7" s="77">
        <f t="shared" si="7"/>
        <v>-14112054</v>
      </c>
    </row>
    <row r="8" spans="2:23" x14ac:dyDescent="0.25">
      <c r="B8" s="79" t="s">
        <v>139</v>
      </c>
      <c r="C8">
        <v>1000000</v>
      </c>
      <c r="D8" s="79">
        <f>'[2]DONNEES FINANCIERES MENSUELLES'!B147-'[2]DONNEES FINANCIERES MENSUELLES'!C147</f>
        <v>-434703</v>
      </c>
      <c r="E8" s="79">
        <f>'[2]DONNEES FINANCIERES MENSUELLES'!C147-'[2]DONNEES FINANCIERES MENSUELLES'!D147</f>
        <v>-2923444</v>
      </c>
      <c r="F8" s="79">
        <f>'[2]DONNEES FINANCIERES MENSUELLES'!D147-'[2]DONNEES FINANCIERES MENSUELLES'!E147</f>
        <v>5637336</v>
      </c>
      <c r="G8" s="79"/>
      <c r="H8" s="79">
        <f>'[2]DONNEES FINANCIERES MENSUELLES'!F147-'[2]DONNEES FINANCIERES MENSUELLES'!G147</f>
        <v>0</v>
      </c>
      <c r="I8" s="79">
        <f>'[2]DONNEES FINANCIERES MENSUELLES'!G147-'[2]DONNEES FINANCIERES MENSUELLES'!H147</f>
        <v>0</v>
      </c>
      <c r="J8" s="79"/>
      <c r="K8" s="79">
        <f>'[2]DONNEES FINANCIERES MENSUELLES'!I147-'[2]DONNEES FINANCIERES MENSUELLES'!J147</f>
        <v>-1120447</v>
      </c>
      <c r="L8" s="79">
        <f>'[2]DONNEES FINANCIERES MENSUELLES'!J147-'[2]DONNEES FINANCIERES MENSUELLES'!K147</f>
        <v>-604146</v>
      </c>
      <c r="M8" s="79">
        <f>'[2]DONNEES FINANCIERES MENSUELLES'!K147-'[2]DONNEES FINANCIERES MENSUELLES'!L147</f>
        <v>229444</v>
      </c>
      <c r="N8" s="79">
        <f>'[2]DONNEES FINANCIERES MENSUELLES'!L147-'[2]DONNEES FINANCIERES MENSUELLES'!M147</f>
        <v>-3102213</v>
      </c>
      <c r="O8" s="74">
        <f>SUM(C8:K8)</f>
        <v>2158742</v>
      </c>
      <c r="P8" s="77">
        <f t="shared" si="1"/>
        <v>-2358147</v>
      </c>
      <c r="Q8" s="77">
        <f t="shared" si="2"/>
        <v>5637336</v>
      </c>
      <c r="R8" s="128">
        <f t="shared" si="3"/>
        <v>3279189</v>
      </c>
      <c r="S8" s="77">
        <f t="shared" si="4"/>
        <v>-1120447</v>
      </c>
      <c r="T8" s="77">
        <f t="shared" si="5"/>
        <v>-3476915</v>
      </c>
      <c r="U8" s="128">
        <f t="shared" si="6"/>
        <v>-4597362</v>
      </c>
      <c r="W8" s="77">
        <f t="shared" si="7"/>
        <v>2158742</v>
      </c>
    </row>
    <row r="9" spans="2:23" x14ac:dyDescent="0.25">
      <c r="B9" s="74" t="s">
        <v>140</v>
      </c>
      <c r="C9" s="74">
        <f>C6-C7+C8</f>
        <v>19458271</v>
      </c>
      <c r="D9" s="74">
        <f t="shared" ref="D9:N9" si="9">D6-D7+D8</f>
        <v>11481370</v>
      </c>
      <c r="E9" s="74">
        <f t="shared" si="9"/>
        <v>11688866</v>
      </c>
      <c r="F9" s="74">
        <f t="shared" si="9"/>
        <v>19668303</v>
      </c>
      <c r="G9" s="74">
        <f t="shared" si="9"/>
        <v>15021324</v>
      </c>
      <c r="H9" s="74">
        <f t="shared" si="9"/>
        <v>6070040</v>
      </c>
      <c r="I9" s="74">
        <f t="shared" si="9"/>
        <v>9803771</v>
      </c>
      <c r="J9" s="74">
        <f t="shared" si="9"/>
        <v>13158621</v>
      </c>
      <c r="K9" s="74">
        <f t="shared" si="9"/>
        <v>10750739</v>
      </c>
      <c r="L9" s="74">
        <f t="shared" si="9"/>
        <v>12652947</v>
      </c>
      <c r="M9" s="74">
        <f t="shared" si="9"/>
        <v>9760323</v>
      </c>
      <c r="N9" s="74">
        <f t="shared" si="9"/>
        <v>5724433</v>
      </c>
      <c r="O9" s="74">
        <f>O6-O7+O8</f>
        <v>148715923</v>
      </c>
      <c r="P9" s="77">
        <f t="shared" si="1"/>
        <v>42628507</v>
      </c>
      <c r="Q9" s="77">
        <f t="shared" si="2"/>
        <v>40759667</v>
      </c>
      <c r="R9" s="128">
        <f t="shared" si="3"/>
        <v>83388174</v>
      </c>
      <c r="S9" s="77">
        <f t="shared" si="4"/>
        <v>33713131</v>
      </c>
      <c r="T9" s="77">
        <f t="shared" si="5"/>
        <v>28137703</v>
      </c>
      <c r="U9" s="128">
        <f t="shared" si="6"/>
        <v>61850834</v>
      </c>
      <c r="V9">
        <v>176158451</v>
      </c>
      <c r="W9" s="77">
        <f t="shared" si="7"/>
        <v>-27442528</v>
      </c>
    </row>
    <row r="10" spans="2:23" x14ac:dyDescent="0.25">
      <c r="B10" s="74" t="s">
        <v>141</v>
      </c>
      <c r="C10" s="74">
        <f>'[2]DONNEES FINANCIERES MENSUELLES'!B76+'[2]DONNEES FINANCIERES MENSUELLES'!B121</f>
        <v>1690828</v>
      </c>
      <c r="D10" s="74">
        <f>'[2]DONNEES FINANCIERES MENSUELLES'!C76+'[2]DONNEES FINANCIERES MENSUELLES'!C121</f>
        <v>2591821</v>
      </c>
      <c r="E10" s="74">
        <f>'[2]DONNEES FINANCIERES MENSUELLES'!D76+'[2]DONNEES FINANCIERES MENSUELLES'!D121</f>
        <v>1431381</v>
      </c>
      <c r="F10" s="74">
        <f>'[2]DONNEES FINANCIERES MENSUELLES'!E76+'[2]DONNEES FINANCIERES MENSUELLES'!E121</f>
        <v>1661702</v>
      </c>
      <c r="G10" s="74">
        <f>'[2]DONNEES FINANCIERES MENSUELLES'!F76+'[2]DONNEES FINANCIERES MENSUELLES'!F121</f>
        <v>979900</v>
      </c>
      <c r="H10" s="74">
        <f>'[2]DONNEES FINANCIERES MENSUELLES'!G76+'[2]DONNEES FINANCIERES MENSUELLES'!G121</f>
        <v>2128028</v>
      </c>
      <c r="I10" s="74">
        <f>'[2]DONNEES FINANCIERES MENSUELLES'!H76+'[2]DONNEES FINANCIERES MENSUELLES'!H121</f>
        <v>2416141</v>
      </c>
      <c r="J10" s="74">
        <f>'[2]DONNEES FINANCIERES MENSUELLES'!I76+'[2]DONNEES FINANCIERES MENSUELLES'!I121</f>
        <v>1965586</v>
      </c>
      <c r="K10" s="74">
        <f>'[2]DONNEES FINANCIERES MENSUELLES'!J76+'[2]DONNEES FINANCIERES MENSUELLES'!J121</f>
        <v>2320404</v>
      </c>
      <c r="L10" s="74">
        <f>'[2]DONNEES FINANCIERES MENSUELLES'!K76+'[2]DONNEES FINANCIERES MENSUELLES'!K121</f>
        <v>2906492</v>
      </c>
      <c r="M10" s="74">
        <f>'[2]DONNEES FINANCIERES MENSUELLES'!L76+'[2]DONNEES FINANCIERES MENSUELLES'!L121</f>
        <v>4507090</v>
      </c>
      <c r="N10" s="74">
        <f>'[2]DONNEES FINANCIERES MENSUELLES'!M76+'[2]DONNEES FINANCIERES MENSUELLES'!M121</f>
        <v>5590933</v>
      </c>
      <c r="O10" s="74">
        <f>SUM(C10:N10)</f>
        <v>30190306</v>
      </c>
      <c r="P10" s="77">
        <f t="shared" si="1"/>
        <v>5714030</v>
      </c>
      <c r="Q10" s="77">
        <f t="shared" si="2"/>
        <v>4769630</v>
      </c>
      <c r="R10" s="128">
        <f t="shared" si="3"/>
        <v>10483660</v>
      </c>
      <c r="S10" s="77">
        <f t="shared" si="4"/>
        <v>6702131</v>
      </c>
      <c r="T10" s="77">
        <f t="shared" si="5"/>
        <v>13004515</v>
      </c>
      <c r="U10" s="128">
        <f t="shared" si="6"/>
        <v>19706646</v>
      </c>
      <c r="V10">
        <v>19563533</v>
      </c>
      <c r="W10" s="77">
        <f t="shared" si="7"/>
        <v>10626773</v>
      </c>
    </row>
    <row r="11" spans="2:23" x14ac:dyDescent="0.25">
      <c r="B11" s="74" t="s">
        <v>142</v>
      </c>
      <c r="C11" s="74">
        <f>C9-C10</f>
        <v>17767443</v>
      </c>
      <c r="D11" s="74">
        <f t="shared" ref="D11:O11" si="10">D9-D10</f>
        <v>8889549</v>
      </c>
      <c r="E11" s="74">
        <f t="shared" si="10"/>
        <v>10257485</v>
      </c>
      <c r="F11" s="74">
        <f t="shared" si="10"/>
        <v>18006601</v>
      </c>
      <c r="G11" s="74">
        <f t="shared" si="10"/>
        <v>14041424</v>
      </c>
      <c r="H11" s="74">
        <f t="shared" si="10"/>
        <v>3942012</v>
      </c>
      <c r="I11" s="74">
        <f t="shared" si="10"/>
        <v>7387630</v>
      </c>
      <c r="J11" s="74">
        <f t="shared" si="10"/>
        <v>11193035</v>
      </c>
      <c r="K11" s="74">
        <f t="shared" si="10"/>
        <v>8430335</v>
      </c>
      <c r="L11" s="74">
        <f t="shared" si="10"/>
        <v>9746455</v>
      </c>
      <c r="M11" s="74">
        <f t="shared" si="10"/>
        <v>5253233</v>
      </c>
      <c r="N11" s="74">
        <f t="shared" si="10"/>
        <v>133500</v>
      </c>
      <c r="O11" s="74">
        <f t="shared" si="10"/>
        <v>118525617</v>
      </c>
      <c r="P11" s="77">
        <f t="shared" si="1"/>
        <v>36914477</v>
      </c>
      <c r="Q11" s="77">
        <f t="shared" si="2"/>
        <v>35990037</v>
      </c>
      <c r="R11" s="128">
        <f t="shared" si="3"/>
        <v>72904514</v>
      </c>
      <c r="S11" s="77">
        <f t="shared" si="4"/>
        <v>27011000</v>
      </c>
      <c r="T11" s="77">
        <f t="shared" si="5"/>
        <v>15133188</v>
      </c>
      <c r="U11" s="128">
        <f t="shared" si="6"/>
        <v>42144188</v>
      </c>
      <c r="V11">
        <v>156594918</v>
      </c>
      <c r="W11" s="77">
        <f t="shared" si="7"/>
        <v>-38069301</v>
      </c>
    </row>
    <row r="12" spans="2:23" x14ac:dyDescent="0.25">
      <c r="B12" s="74" t="s">
        <v>143</v>
      </c>
      <c r="C12" s="74">
        <f>'[2]DONNEES FINANCIERES MENSUELLES'!B90</f>
        <v>4004916</v>
      </c>
      <c r="D12" s="74">
        <f>'[2]DONNEES FINANCIERES MENSUELLES'!C90</f>
        <v>4386934</v>
      </c>
      <c r="E12" s="74">
        <f>'[2]DONNEES FINANCIERES MENSUELLES'!D90</f>
        <v>5550269</v>
      </c>
      <c r="F12" s="74">
        <f>'[2]DONNEES FINANCIERES MENSUELLES'!E90</f>
        <v>4743051</v>
      </c>
      <c r="G12" s="74">
        <f>'[2]DONNEES FINANCIERES MENSUELLES'!F90</f>
        <v>4585658</v>
      </c>
      <c r="H12" s="74">
        <f>'[2]DONNEES FINANCIERES MENSUELLES'!G90</f>
        <v>12797492</v>
      </c>
      <c r="I12" s="74">
        <f>'[2]DONNEES FINANCIERES MENSUELLES'!H90</f>
        <v>4063200</v>
      </c>
      <c r="J12" s="74">
        <f>'[2]DONNEES FINANCIERES MENSUELLES'!I90</f>
        <v>4450945</v>
      </c>
      <c r="K12" s="74">
        <f>'[2]DONNEES FINANCIERES MENSUELLES'!J90</f>
        <v>4622094</v>
      </c>
      <c r="L12" s="74">
        <f>'[2]DONNEES FINANCIERES MENSUELLES'!K90</f>
        <v>5927675</v>
      </c>
      <c r="M12" s="74">
        <f>'[2]DONNEES FINANCIERES MENSUELLES'!L90</f>
        <v>4412496</v>
      </c>
      <c r="N12" s="74">
        <f>'[2]DONNEES FINANCIERES MENSUELLES'!M90</f>
        <v>7778838</v>
      </c>
      <c r="O12" s="74">
        <f t="shared" si="0"/>
        <v>67323568</v>
      </c>
      <c r="P12" s="77">
        <f t="shared" si="1"/>
        <v>13942119</v>
      </c>
      <c r="Q12" s="77">
        <f t="shared" si="2"/>
        <v>22126201</v>
      </c>
      <c r="R12" s="128">
        <f t="shared" si="3"/>
        <v>36068320</v>
      </c>
      <c r="S12" s="77">
        <f t="shared" si="4"/>
        <v>13136239</v>
      </c>
      <c r="T12" s="77">
        <f t="shared" si="5"/>
        <v>18119009</v>
      </c>
      <c r="U12" s="128">
        <f t="shared" si="6"/>
        <v>31255248</v>
      </c>
      <c r="V12">
        <v>40080375</v>
      </c>
      <c r="W12" s="77">
        <f t="shared" si="7"/>
        <v>27243193</v>
      </c>
    </row>
    <row r="13" spans="2:23" x14ac:dyDescent="0.25">
      <c r="B13" s="74" t="s">
        <v>144</v>
      </c>
      <c r="C13" s="74">
        <f>C11-C12</f>
        <v>13762527</v>
      </c>
      <c r="D13" s="74">
        <f t="shared" ref="D13:N13" si="11">D11-D12</f>
        <v>4502615</v>
      </c>
      <c r="E13" s="74">
        <f t="shared" si="11"/>
        <v>4707216</v>
      </c>
      <c r="F13" s="74">
        <f t="shared" si="11"/>
        <v>13263550</v>
      </c>
      <c r="G13" s="74">
        <f t="shared" si="11"/>
        <v>9455766</v>
      </c>
      <c r="H13" s="74">
        <f t="shared" si="11"/>
        <v>-8855480</v>
      </c>
      <c r="I13" s="74">
        <f t="shared" si="11"/>
        <v>3324430</v>
      </c>
      <c r="J13" s="74">
        <f t="shared" si="11"/>
        <v>6742090</v>
      </c>
      <c r="K13" s="74">
        <f t="shared" si="11"/>
        <v>3808241</v>
      </c>
      <c r="L13" s="74">
        <f t="shared" si="11"/>
        <v>3818780</v>
      </c>
      <c r="M13" s="74">
        <f t="shared" si="11"/>
        <v>840737</v>
      </c>
      <c r="N13" s="74">
        <f t="shared" si="11"/>
        <v>-7645338</v>
      </c>
      <c r="O13" s="74">
        <f t="shared" si="0"/>
        <v>47725134</v>
      </c>
      <c r="P13" s="77">
        <f t="shared" si="1"/>
        <v>22972358</v>
      </c>
      <c r="Q13" s="77">
        <f t="shared" si="2"/>
        <v>13863836</v>
      </c>
      <c r="R13" s="128">
        <f t="shared" si="3"/>
        <v>36836194</v>
      </c>
      <c r="S13" s="77">
        <f t="shared" si="4"/>
        <v>13874761</v>
      </c>
      <c r="T13" s="77">
        <f t="shared" si="5"/>
        <v>-2985821</v>
      </c>
      <c r="U13" s="128">
        <f t="shared" si="6"/>
        <v>10888940</v>
      </c>
      <c r="V13">
        <v>116514543</v>
      </c>
      <c r="W13" s="77">
        <f t="shared" si="7"/>
        <v>-68789409</v>
      </c>
    </row>
    <row r="14" spans="2:23" x14ac:dyDescent="0.25">
      <c r="B14" s="74" t="s">
        <v>145</v>
      </c>
      <c r="C14" s="74">
        <f>'[2]DONNEES FINANCIERES MENSUELLES'!B111</f>
        <v>133067</v>
      </c>
      <c r="D14" s="74">
        <f>'[2]DONNEES FINANCIERES MENSUELLES'!C111</f>
        <v>33496</v>
      </c>
      <c r="E14" s="74">
        <f>'[2]DONNEES FINANCIERES MENSUELLES'!D111</f>
        <v>158903</v>
      </c>
      <c r="F14" s="74">
        <f>'[2]DONNEES FINANCIERES MENSUELLES'!E111</f>
        <v>177880</v>
      </c>
      <c r="G14" s="74">
        <f>'[2]DONNEES FINANCIERES MENSUELLES'!F111</f>
        <v>128862</v>
      </c>
      <c r="H14" s="74">
        <f>'[2]DONNEES FINANCIERES MENSUELLES'!G111</f>
        <v>112883</v>
      </c>
      <c r="I14" s="74">
        <f>'[2]DONNEES FINANCIERES MENSUELLES'!H111</f>
        <v>177776</v>
      </c>
      <c r="J14" s="74">
        <f>'[2]DONNEES FINANCIERES MENSUELLES'!I111</f>
        <v>128877</v>
      </c>
      <c r="K14" s="74">
        <f>'[2]DONNEES FINANCIERES MENSUELLES'!J111</f>
        <v>144033</v>
      </c>
      <c r="L14" s="74">
        <f>'[2]DONNEES FINANCIERES MENSUELLES'!K111</f>
        <v>235229</v>
      </c>
      <c r="M14" s="74">
        <f>'[2]DONNEES FINANCIERES MENSUELLES'!L111</f>
        <v>139887</v>
      </c>
      <c r="N14" s="74">
        <f>'[2]DONNEES FINANCIERES MENSUELLES'!M111</f>
        <v>0</v>
      </c>
      <c r="O14" s="74">
        <f t="shared" si="0"/>
        <v>1570893</v>
      </c>
      <c r="P14" s="77">
        <f t="shared" si="1"/>
        <v>325466</v>
      </c>
      <c r="Q14" s="77">
        <f t="shared" si="2"/>
        <v>419625</v>
      </c>
      <c r="R14" s="128">
        <f t="shared" si="3"/>
        <v>745091</v>
      </c>
      <c r="S14" s="77">
        <f t="shared" si="4"/>
        <v>450686</v>
      </c>
      <c r="T14" s="77">
        <f t="shared" si="5"/>
        <v>375116</v>
      </c>
      <c r="U14" s="128">
        <f t="shared" si="6"/>
        <v>825802</v>
      </c>
      <c r="V14">
        <v>1400000</v>
      </c>
      <c r="W14" s="77">
        <f t="shared" si="7"/>
        <v>170893</v>
      </c>
    </row>
    <row r="15" spans="2:23" x14ac:dyDescent="0.25">
      <c r="B15" s="74" t="s">
        <v>146</v>
      </c>
      <c r="C15" s="74">
        <f>C13-C14</f>
        <v>13629460</v>
      </c>
      <c r="D15" s="74">
        <f t="shared" ref="D15:N15" si="12">D13-D14</f>
        <v>4469119</v>
      </c>
      <c r="E15" s="74">
        <f t="shared" si="12"/>
        <v>4548313</v>
      </c>
      <c r="F15" s="74">
        <f t="shared" si="12"/>
        <v>13085670</v>
      </c>
      <c r="G15" s="74">
        <f t="shared" si="12"/>
        <v>9326904</v>
      </c>
      <c r="H15" s="74">
        <f t="shared" si="12"/>
        <v>-8968363</v>
      </c>
      <c r="I15" s="74">
        <f t="shared" si="12"/>
        <v>3146654</v>
      </c>
      <c r="J15" s="74">
        <f t="shared" si="12"/>
        <v>6613213</v>
      </c>
      <c r="K15" s="74">
        <f t="shared" si="12"/>
        <v>3664208</v>
      </c>
      <c r="L15" s="74">
        <f t="shared" si="12"/>
        <v>3583551</v>
      </c>
      <c r="M15" s="74">
        <f t="shared" si="12"/>
        <v>700850</v>
      </c>
      <c r="N15" s="74">
        <f t="shared" si="12"/>
        <v>-7645338</v>
      </c>
      <c r="O15" s="74">
        <f t="shared" si="0"/>
        <v>46154241</v>
      </c>
      <c r="P15" s="77">
        <f>C15+D15+E15</f>
        <v>22646892</v>
      </c>
      <c r="Q15" s="77">
        <f t="shared" si="2"/>
        <v>13444211</v>
      </c>
      <c r="R15" s="128">
        <f t="shared" si="3"/>
        <v>36091103</v>
      </c>
      <c r="S15" s="77">
        <f t="shared" si="4"/>
        <v>13424075</v>
      </c>
      <c r="T15" s="77">
        <f t="shared" si="5"/>
        <v>-3360937</v>
      </c>
      <c r="U15" s="128">
        <f t="shared" si="6"/>
        <v>10063138</v>
      </c>
      <c r="V15">
        <v>115114543</v>
      </c>
      <c r="W15" s="77">
        <f t="shared" si="7"/>
        <v>-68960302</v>
      </c>
    </row>
    <row r="16" spans="2:23" x14ac:dyDescent="0.25">
      <c r="O16" s="77"/>
    </row>
    <row r="17" spans="2:21" x14ac:dyDescent="0.25">
      <c r="O17" s="77">
        <f>O10+O12+O14</f>
        <v>99084767</v>
      </c>
    </row>
    <row r="18" spans="2:21" x14ac:dyDescent="0.25">
      <c r="B18" s="74"/>
      <c r="C18" s="75" t="s">
        <v>147</v>
      </c>
      <c r="D18" s="75" t="s">
        <v>148</v>
      </c>
      <c r="E18" s="75" t="s">
        <v>45</v>
      </c>
      <c r="F18" s="75" t="s">
        <v>49</v>
      </c>
      <c r="G18" s="75" t="s">
        <v>51</v>
      </c>
      <c r="H18" s="75" t="s">
        <v>52</v>
      </c>
      <c r="I18" s="75" t="s">
        <v>124</v>
      </c>
      <c r="J18" s="75" t="s">
        <v>125</v>
      </c>
      <c r="K18" s="75" t="s">
        <v>126</v>
      </c>
      <c r="L18" s="75" t="s">
        <v>127</v>
      </c>
      <c r="M18" s="75" t="s">
        <v>128</v>
      </c>
      <c r="N18" s="75" t="s">
        <v>129</v>
      </c>
      <c r="O18" s="81" t="s">
        <v>0</v>
      </c>
      <c r="P18" s="75" t="s">
        <v>130</v>
      </c>
      <c r="Q18" s="75" t="s">
        <v>131</v>
      </c>
      <c r="R18" s="75"/>
      <c r="S18" s="75" t="s">
        <v>132</v>
      </c>
      <c r="T18" s="75" t="s">
        <v>133</v>
      </c>
      <c r="U18" s="125"/>
    </row>
    <row r="19" spans="2:21" x14ac:dyDescent="0.25">
      <c r="B19" s="74" t="s">
        <v>136</v>
      </c>
      <c r="C19" s="82">
        <f t="shared" ref="C19:T30" si="13">C4/C$6</f>
        <v>0.81638107394710624</v>
      </c>
      <c r="D19" s="82">
        <f t="shared" si="13"/>
        <v>0.80359082603493881</v>
      </c>
      <c r="E19" s="82">
        <f t="shared" si="13"/>
        <v>0.79759556403343768</v>
      </c>
      <c r="F19" s="82">
        <f t="shared" si="13"/>
        <v>0.78447908210584549</v>
      </c>
      <c r="G19" s="82">
        <f t="shared" si="13"/>
        <v>0.76070842829107843</v>
      </c>
      <c r="H19" s="82">
        <f t="shared" si="13"/>
        <v>0.79519305086141212</v>
      </c>
      <c r="I19" s="82">
        <f t="shared" si="13"/>
        <v>0.80553738648148376</v>
      </c>
      <c r="J19" s="82">
        <f t="shared" si="13"/>
        <v>0.7964772566251509</v>
      </c>
      <c r="K19" s="82">
        <f t="shared" si="13"/>
        <v>0.79326761137225077</v>
      </c>
      <c r="L19" s="82">
        <f t="shared" si="13"/>
        <v>0.79245889662317837</v>
      </c>
      <c r="M19" s="82">
        <f t="shared" si="13"/>
        <v>0.79921907772803202</v>
      </c>
      <c r="N19" s="82">
        <f t="shared" si="13"/>
        <v>0.79089978460528987</v>
      </c>
      <c r="O19" s="82">
        <f t="shared" si="13"/>
        <v>0.79500229422273183</v>
      </c>
      <c r="P19" s="82">
        <f t="shared" si="13"/>
        <v>0.80666776887117086</v>
      </c>
      <c r="Q19" s="82">
        <f t="shared" si="13"/>
        <v>0.77944902335586264</v>
      </c>
      <c r="R19" s="82"/>
      <c r="S19" s="82">
        <f t="shared" si="13"/>
        <v>0.79854409032887996</v>
      </c>
      <c r="T19" s="82">
        <f t="shared" si="13"/>
        <v>0.79409824812296703</v>
      </c>
      <c r="U19" s="126"/>
    </row>
    <row r="20" spans="2:21" x14ac:dyDescent="0.25">
      <c r="B20" s="74" t="s">
        <v>137</v>
      </c>
      <c r="C20" s="82">
        <f t="shared" si="13"/>
        <v>0.18361892605289373</v>
      </c>
      <c r="D20" s="82">
        <f t="shared" si="13"/>
        <v>0.19640917396506122</v>
      </c>
      <c r="E20" s="82">
        <f t="shared" si="13"/>
        <v>0.2024044359665623</v>
      </c>
      <c r="F20" s="82">
        <f t="shared" si="13"/>
        <v>0.21552091789415451</v>
      </c>
      <c r="G20" s="82">
        <f t="shared" si="13"/>
        <v>0.23929157170892157</v>
      </c>
      <c r="H20" s="82">
        <f t="shared" si="13"/>
        <v>0.20480694913858785</v>
      </c>
      <c r="I20" s="82">
        <f t="shared" si="13"/>
        <v>0.19446261351851626</v>
      </c>
      <c r="J20" s="82">
        <f t="shared" si="13"/>
        <v>0.20352274337484907</v>
      </c>
      <c r="K20" s="82">
        <f t="shared" si="13"/>
        <v>0.20673238862774918</v>
      </c>
      <c r="L20" s="82">
        <f t="shared" si="13"/>
        <v>0.20754110337682166</v>
      </c>
      <c r="M20" s="82">
        <f t="shared" si="13"/>
        <v>0.20078092227196803</v>
      </c>
      <c r="N20" s="82">
        <f t="shared" si="13"/>
        <v>0.20910021539471016</v>
      </c>
      <c r="O20" s="82">
        <f t="shared" si="13"/>
        <v>0.2049977057772682</v>
      </c>
      <c r="P20" s="82">
        <f t="shared" si="13"/>
        <v>0.19333223112882919</v>
      </c>
      <c r="Q20" s="82">
        <f t="shared" si="13"/>
        <v>0.22055097664413736</v>
      </c>
      <c r="R20" s="82"/>
      <c r="S20" s="82">
        <f t="shared" si="13"/>
        <v>0.20145590967112004</v>
      </c>
      <c r="T20" s="82">
        <f t="shared" si="13"/>
        <v>0.20590175187703302</v>
      </c>
      <c r="U20" s="126"/>
    </row>
    <row r="21" spans="2:21" x14ac:dyDescent="0.25">
      <c r="B21" s="74" t="s">
        <v>138</v>
      </c>
      <c r="C21" s="82">
        <f>C6/C$6</f>
        <v>1</v>
      </c>
      <c r="D21" s="82">
        <f t="shared" si="13"/>
        <v>1</v>
      </c>
      <c r="E21" s="82">
        <f t="shared" si="13"/>
        <v>1</v>
      </c>
      <c r="F21" s="82">
        <f t="shared" si="13"/>
        <v>1</v>
      </c>
      <c r="G21" s="82">
        <f t="shared" si="13"/>
        <v>1</v>
      </c>
      <c r="H21" s="82">
        <f t="shared" si="13"/>
        <v>1</v>
      </c>
      <c r="I21" s="82">
        <f t="shared" si="13"/>
        <v>1</v>
      </c>
      <c r="J21" s="82">
        <f t="shared" si="13"/>
        <v>1</v>
      </c>
      <c r="K21" s="82">
        <f t="shared" si="13"/>
        <v>1</v>
      </c>
      <c r="L21" s="82">
        <f t="shared" si="13"/>
        <v>1</v>
      </c>
      <c r="M21" s="82">
        <f t="shared" si="13"/>
        <v>1</v>
      </c>
      <c r="N21" s="82">
        <f t="shared" si="13"/>
        <v>1</v>
      </c>
      <c r="O21" s="82">
        <f>O6/O$6</f>
        <v>1</v>
      </c>
      <c r="P21" s="82">
        <f t="shared" si="13"/>
        <v>1</v>
      </c>
      <c r="Q21" s="82">
        <f t="shared" si="13"/>
        <v>1</v>
      </c>
      <c r="R21" s="82"/>
      <c r="S21" s="82">
        <f t="shared" si="13"/>
        <v>1</v>
      </c>
      <c r="T21" s="82">
        <f t="shared" si="13"/>
        <v>1</v>
      </c>
      <c r="U21" s="126"/>
    </row>
    <row r="22" spans="2:21" x14ac:dyDescent="0.25">
      <c r="B22" s="74" t="s">
        <v>60</v>
      </c>
      <c r="C22" s="82">
        <f t="shared" si="13"/>
        <v>0.64405123527430164</v>
      </c>
      <c r="D22" s="82">
        <f t="shared" si="13"/>
        <v>0.69418491926156634</v>
      </c>
      <c r="E22" s="82">
        <f t="shared" si="13"/>
        <v>0.65460136413493242</v>
      </c>
      <c r="F22" s="82">
        <f t="shared" si="13"/>
        <v>0.64563148284896288</v>
      </c>
      <c r="G22" s="82">
        <f t="shared" si="13"/>
        <v>0.6520219426463173</v>
      </c>
      <c r="H22" s="82">
        <f t="shared" si="13"/>
        <v>0.84328727532816572</v>
      </c>
      <c r="I22" s="82">
        <f t="shared" si="13"/>
        <v>0.77643496519325339</v>
      </c>
      <c r="J22" s="82">
        <f t="shared" si="13"/>
        <v>0.6965235808361403</v>
      </c>
      <c r="K22" s="82">
        <f t="shared" si="13"/>
        <v>0.71141557062538041</v>
      </c>
      <c r="L22" s="82">
        <f t="shared" si="13"/>
        <v>0.69677497505564523</v>
      </c>
      <c r="M22" s="82">
        <f t="shared" si="13"/>
        <v>0.77283372962604202</v>
      </c>
      <c r="N22" s="82">
        <f t="shared" si="13"/>
        <v>0.80281556794990694</v>
      </c>
      <c r="O22" s="82">
        <f t="shared" si="13"/>
        <v>0.71454117274004691</v>
      </c>
      <c r="P22" s="82">
        <f t="shared" si="13"/>
        <v>0.66207751477272025</v>
      </c>
      <c r="Q22" s="82">
        <f t="shared" si="13"/>
        <v>0.71091607947854629</v>
      </c>
      <c r="R22" s="82"/>
      <c r="S22" s="82">
        <f t="shared" si="13"/>
        <v>0.72859953051061221</v>
      </c>
      <c r="T22" s="82">
        <f t="shared" si="13"/>
        <v>0.75762953531581201</v>
      </c>
      <c r="U22" s="126"/>
    </row>
    <row r="23" spans="2:21" x14ac:dyDescent="0.25">
      <c r="B23" s="79" t="s">
        <v>139</v>
      </c>
      <c r="C23" s="82">
        <f t="shared" si="13"/>
        <v>1.9283971111145694E-2</v>
      </c>
      <c r="D23" s="82">
        <f t="shared" si="13"/>
        <v>-1.1156253661943774E-2</v>
      </c>
      <c r="E23" s="82">
        <f t="shared" si="13"/>
        <v>-6.9102939208647809E-2</v>
      </c>
      <c r="F23" s="82">
        <f t="shared" si="13"/>
        <v>0.14237752814914031</v>
      </c>
      <c r="G23" s="82">
        <f t="shared" si="13"/>
        <v>0</v>
      </c>
      <c r="H23" s="82">
        <f t="shared" si="13"/>
        <v>0</v>
      </c>
      <c r="I23" s="82">
        <f t="shared" si="13"/>
        <v>0</v>
      </c>
      <c r="J23" s="82">
        <f t="shared" si="13"/>
        <v>0</v>
      </c>
      <c r="K23" s="82">
        <f t="shared" si="13"/>
        <v>-2.7237679380940065E-2</v>
      </c>
      <c r="L23" s="82">
        <f t="shared" si="13"/>
        <v>-1.3818428061116579E-2</v>
      </c>
      <c r="M23" s="82">
        <f t="shared" si="13"/>
        <v>5.4687440413085098E-3</v>
      </c>
      <c r="N23" s="82">
        <f t="shared" si="13"/>
        <v>-6.9302440417732328E-2</v>
      </c>
      <c r="O23" s="82">
        <f t="shared" si="13"/>
        <v>4.204720338314951E-3</v>
      </c>
      <c r="P23" s="82">
        <f t="shared" si="13"/>
        <v>-1.7713495535170366E-2</v>
      </c>
      <c r="Q23" s="82">
        <f t="shared" si="13"/>
        <v>4.6399630826801604E-2</v>
      </c>
      <c r="R23" s="82"/>
      <c r="S23" s="82">
        <f t="shared" si="13"/>
        <v>-8.7297906014126968E-3</v>
      </c>
      <c r="T23" s="82">
        <f t="shared" si="13"/>
        <v>-2.6655438449941844E-2</v>
      </c>
      <c r="U23" s="126"/>
    </row>
    <row r="24" spans="2:21" x14ac:dyDescent="0.25">
      <c r="B24" s="74" t="s">
        <v>140</v>
      </c>
      <c r="C24" s="82">
        <f t="shared" si="13"/>
        <v>0.37523273583684402</v>
      </c>
      <c r="D24" s="82">
        <f t="shared" si="13"/>
        <v>0.29465882707648988</v>
      </c>
      <c r="E24" s="82">
        <f t="shared" si="13"/>
        <v>0.27629569665641973</v>
      </c>
      <c r="F24" s="82">
        <f t="shared" si="13"/>
        <v>0.49674604530017741</v>
      </c>
      <c r="G24" s="82">
        <f t="shared" si="13"/>
        <v>0.3479780573536827</v>
      </c>
      <c r="H24" s="82">
        <f t="shared" si="13"/>
        <v>0.15671272467183422</v>
      </c>
      <c r="I24" s="82">
        <f t="shared" si="13"/>
        <v>0.22356503480674661</v>
      </c>
      <c r="J24" s="82">
        <f t="shared" si="13"/>
        <v>0.30347641916385976</v>
      </c>
      <c r="K24" s="82">
        <f t="shared" si="13"/>
        <v>0.26134674999367952</v>
      </c>
      <c r="L24" s="82">
        <f t="shared" si="13"/>
        <v>0.28940659688323822</v>
      </c>
      <c r="M24" s="82">
        <f t="shared" si="13"/>
        <v>0.23263501441526646</v>
      </c>
      <c r="N24" s="82">
        <f t="shared" si="13"/>
        <v>0.12788199163236075</v>
      </c>
      <c r="O24" s="82">
        <f t="shared" si="13"/>
        <v>0.28966354759826801</v>
      </c>
      <c r="P24" s="82">
        <f t="shared" si="13"/>
        <v>0.32020898969210937</v>
      </c>
      <c r="Q24" s="82">
        <f t="shared" si="13"/>
        <v>0.3354835513482553</v>
      </c>
      <c r="R24" s="82"/>
      <c r="S24" s="82">
        <f t="shared" si="13"/>
        <v>0.26267067888797513</v>
      </c>
      <c r="T24" s="82">
        <f t="shared" si="13"/>
        <v>0.21571502623424615</v>
      </c>
      <c r="U24" s="126"/>
    </row>
    <row r="25" spans="2:21" x14ac:dyDescent="0.25">
      <c r="B25" s="74" t="s">
        <v>141</v>
      </c>
      <c r="C25" s="82">
        <f t="shared" si="13"/>
        <v>3.2605878305916249E-2</v>
      </c>
      <c r="D25" s="82">
        <f t="shared" si="13"/>
        <v>6.6516708010648129E-2</v>
      </c>
      <c r="E25" s="82">
        <f t="shared" si="13"/>
        <v>3.3834283888254234E-2</v>
      </c>
      <c r="F25" s="82">
        <f t="shared" si="13"/>
        <v>4.1968231675472735E-2</v>
      </c>
      <c r="G25" s="82">
        <f t="shared" si="13"/>
        <v>2.2699976273787427E-2</v>
      </c>
      <c r="H25" s="82">
        <f t="shared" si="13"/>
        <v>5.4940176021567248E-2</v>
      </c>
      <c r="I25" s="82">
        <f t="shared" si="13"/>
        <v>5.5097640159384342E-2</v>
      </c>
      <c r="J25" s="82">
        <f t="shared" si="13"/>
        <v>4.5332181908622066E-2</v>
      </c>
      <c r="K25" s="82">
        <f t="shared" si="13"/>
        <v>5.6408219385879789E-2</v>
      </c>
      <c r="L25" s="82">
        <f t="shared" si="13"/>
        <v>6.6479212991910647E-2</v>
      </c>
      <c r="M25" s="82">
        <f t="shared" si="13"/>
        <v>0.10742543531816552</v>
      </c>
      <c r="N25" s="82">
        <f t="shared" si="13"/>
        <v>0.12489964458018629</v>
      </c>
      <c r="O25" s="82">
        <f t="shared" si="13"/>
        <v>5.8803596566033317E-2</v>
      </c>
      <c r="P25" s="82">
        <f t="shared" si="13"/>
        <v>4.2921601110036615E-2</v>
      </c>
      <c r="Q25" s="82">
        <f t="shared" si="13"/>
        <v>3.9257740035441871E-2</v>
      </c>
      <c r="R25" s="82"/>
      <c r="S25" s="82">
        <f t="shared" si="13"/>
        <v>5.221862365041513E-2</v>
      </c>
      <c r="T25" s="82">
        <f t="shared" si="13"/>
        <v>9.9697878479584764E-2</v>
      </c>
      <c r="U25" s="126"/>
    </row>
    <row r="26" spans="2:21" x14ac:dyDescent="0.25">
      <c r="B26" s="74" t="s">
        <v>142</v>
      </c>
      <c r="C26" s="82">
        <f t="shared" si="13"/>
        <v>0.34262685753092775</v>
      </c>
      <c r="D26" s="82">
        <f t="shared" si="13"/>
        <v>0.22814211906584178</v>
      </c>
      <c r="E26" s="82">
        <f t="shared" si="13"/>
        <v>0.24246141276816549</v>
      </c>
      <c r="F26" s="82">
        <f t="shared" si="13"/>
        <v>0.45477781362470471</v>
      </c>
      <c r="G26" s="82">
        <f t="shared" si="13"/>
        <v>0.32527808107989525</v>
      </c>
      <c r="H26" s="82">
        <f t="shared" si="13"/>
        <v>0.10177254865026698</v>
      </c>
      <c r="I26" s="82">
        <f t="shared" si="13"/>
        <v>0.16846739464736227</v>
      </c>
      <c r="J26" s="82">
        <f t="shared" si="13"/>
        <v>0.25814423725523766</v>
      </c>
      <c r="K26" s="82">
        <f t="shared" si="13"/>
        <v>0.20493853060779971</v>
      </c>
      <c r="L26" s="82">
        <f t="shared" si="13"/>
        <v>0.22292738389132757</v>
      </c>
      <c r="M26" s="82">
        <f t="shared" si="13"/>
        <v>0.12520957909710093</v>
      </c>
      <c r="N26" s="82">
        <f t="shared" si="13"/>
        <v>2.9823470521744529E-3</v>
      </c>
      <c r="O26" s="82">
        <f t="shared" si="13"/>
        <v>0.23085995103223467</v>
      </c>
      <c r="P26" s="82">
        <f t="shared" si="13"/>
        <v>0.27728738858207275</v>
      </c>
      <c r="Q26" s="82">
        <f t="shared" si="13"/>
        <v>0.29622581131281339</v>
      </c>
      <c r="R26" s="82"/>
      <c r="S26" s="82">
        <f t="shared" si="13"/>
        <v>0.21045205523755997</v>
      </c>
      <c r="T26" s="82">
        <f t="shared" si="13"/>
        <v>0.11601714775466139</v>
      </c>
      <c r="U26" s="126"/>
    </row>
    <row r="27" spans="2:21" x14ac:dyDescent="0.25">
      <c r="B27" s="74" t="s">
        <v>143</v>
      </c>
      <c r="C27" s="82">
        <f t="shared" si="13"/>
        <v>7.7230684446565168E-2</v>
      </c>
      <c r="D27" s="82">
        <f t="shared" si="13"/>
        <v>0.11258663616815538</v>
      </c>
      <c r="E27" s="82">
        <f t="shared" si="13"/>
        <v>0.13119454359264021</v>
      </c>
      <c r="F27" s="82">
        <f t="shared" si="13"/>
        <v>0.11979131229100203</v>
      </c>
      <c r="G27" s="82">
        <f t="shared" si="13"/>
        <v>0.10622954158557353</v>
      </c>
      <c r="H27" s="82">
        <f t="shared" si="13"/>
        <v>0.33039812592437628</v>
      </c>
      <c r="I27" s="82">
        <f t="shared" si="13"/>
        <v>9.2657146869992463E-2</v>
      </c>
      <c r="J27" s="82">
        <f t="shared" si="13"/>
        <v>0.10265185466587158</v>
      </c>
      <c r="K27" s="82">
        <f t="shared" si="13"/>
        <v>0.11236150789869292</v>
      </c>
      <c r="L27" s="82">
        <f t="shared" si="13"/>
        <v>0.13558171461398275</v>
      </c>
      <c r="M27" s="82">
        <f t="shared" si="13"/>
        <v>0.10517080946678768</v>
      </c>
      <c r="N27" s="82">
        <f t="shared" si="13"/>
        <v>0.17377673841679861</v>
      </c>
      <c r="O27" s="82">
        <f t="shared" si="13"/>
        <v>0.13113043412206257</v>
      </c>
      <c r="P27" s="82">
        <f t="shared" si="13"/>
        <v>0.10472784888190342</v>
      </c>
      <c r="Q27" s="82">
        <f t="shared" si="13"/>
        <v>0.18211572948634044</v>
      </c>
      <c r="R27" s="82"/>
      <c r="S27" s="82">
        <f t="shared" si="13"/>
        <v>0.10234898728820813</v>
      </c>
      <c r="T27" s="82">
        <f t="shared" si="13"/>
        <v>0.13890766072033464</v>
      </c>
      <c r="U27" s="126"/>
    </row>
    <row r="28" spans="2:21" x14ac:dyDescent="0.25">
      <c r="B28" s="74" t="s">
        <v>144</v>
      </c>
      <c r="C28" s="82">
        <f t="shared" si="13"/>
        <v>0.26539617308436259</v>
      </c>
      <c r="D28" s="82">
        <f t="shared" si="13"/>
        <v>0.11555548289768638</v>
      </c>
      <c r="E28" s="82">
        <f t="shared" si="13"/>
        <v>0.11126686917552528</v>
      </c>
      <c r="F28" s="82">
        <f t="shared" si="13"/>
        <v>0.33498650133370267</v>
      </c>
      <c r="G28" s="82">
        <f t="shared" si="13"/>
        <v>0.21904853949432171</v>
      </c>
      <c r="H28" s="82">
        <f t="shared" si="13"/>
        <v>-0.22862557727410932</v>
      </c>
      <c r="I28" s="82">
        <f t="shared" si="13"/>
        <v>7.5810247777369819E-2</v>
      </c>
      <c r="J28" s="82">
        <f t="shared" si="13"/>
        <v>0.1554923825893661</v>
      </c>
      <c r="K28" s="82">
        <f t="shared" si="13"/>
        <v>9.2577022709106782E-2</v>
      </c>
      <c r="L28" s="82">
        <f t="shared" si="13"/>
        <v>8.7345669277344828E-2</v>
      </c>
      <c r="M28" s="82">
        <f t="shared" si="13"/>
        <v>2.0038769630313247E-2</v>
      </c>
      <c r="N28" s="82">
        <f t="shared" si="13"/>
        <v>-0.17079439136462415</v>
      </c>
      <c r="O28" s="82">
        <f t="shared" si="13"/>
        <v>9.2957306421335387E-2</v>
      </c>
      <c r="P28" s="82">
        <f t="shared" si="13"/>
        <v>0.17255953970016932</v>
      </c>
      <c r="Q28" s="82">
        <f t="shared" si="13"/>
        <v>0.11411008182647298</v>
      </c>
      <c r="R28" s="82"/>
      <c r="S28" s="82">
        <f t="shared" si="13"/>
        <v>0.10810306794935186</v>
      </c>
      <c r="T28" s="82">
        <f t="shared" si="13"/>
        <v>-2.2890512965673251E-2</v>
      </c>
      <c r="U28" s="126"/>
    </row>
    <row r="29" spans="2:21" x14ac:dyDescent="0.25">
      <c r="B29" s="74" t="s">
        <v>145</v>
      </c>
      <c r="C29" s="82">
        <f t="shared" si="13"/>
        <v>2.5660601838468238E-3</v>
      </c>
      <c r="D29" s="82">
        <f t="shared" si="13"/>
        <v>8.5964410795524447E-4</v>
      </c>
      <c r="E29" s="82">
        <f t="shared" si="13"/>
        <v>3.7560713832971533E-3</v>
      </c>
      <c r="F29" s="82">
        <f t="shared" si="13"/>
        <v>4.4925678914950395E-3</v>
      </c>
      <c r="G29" s="82">
        <f t="shared" si="13"/>
        <v>2.9851661828684513E-3</v>
      </c>
      <c r="H29" s="82">
        <f t="shared" si="13"/>
        <v>2.9143469399098955E-3</v>
      </c>
      <c r="I29" s="82">
        <f t="shared" si="13"/>
        <v>4.0540010193836828E-3</v>
      </c>
      <c r="J29" s="82">
        <f t="shared" si="13"/>
        <v>2.9722818578467114E-3</v>
      </c>
      <c r="K29" s="82">
        <f t="shared" si="13"/>
        <v>3.5013924570059451E-3</v>
      </c>
      <c r="L29" s="82">
        <f t="shared" si="13"/>
        <v>5.3803137228226154E-3</v>
      </c>
      <c r="M29" s="82">
        <f t="shared" si="13"/>
        <v>3.3341739060795813E-3</v>
      </c>
      <c r="N29" s="82">
        <f t="shared" si="13"/>
        <v>0</v>
      </c>
      <c r="O29" s="82">
        <f t="shared" si="13"/>
        <v>3.0597291137229869E-3</v>
      </c>
      <c r="P29" s="82">
        <f t="shared" si="13"/>
        <v>2.4447757234174789E-3</v>
      </c>
      <c r="Q29" s="82">
        <f t="shared" si="13"/>
        <v>3.4538379627711783E-3</v>
      </c>
      <c r="R29" s="82"/>
      <c r="S29" s="82">
        <f t="shared" si="13"/>
        <v>3.5114507040389085E-3</v>
      </c>
      <c r="T29" s="82">
        <f t="shared" si="13"/>
        <v>2.8757911682018066E-3</v>
      </c>
      <c r="U29" s="126"/>
    </row>
    <row r="30" spans="2:21" x14ac:dyDescent="0.25">
      <c r="B30" s="74" t="s">
        <v>146</v>
      </c>
      <c r="C30" s="82">
        <f t="shared" si="13"/>
        <v>0.26283011290051578</v>
      </c>
      <c r="D30" s="82">
        <f t="shared" si="13"/>
        <v>0.11469583878973115</v>
      </c>
      <c r="E30" s="82">
        <f t="shared" si="13"/>
        <v>0.10751079779222812</v>
      </c>
      <c r="F30" s="82">
        <f t="shared" si="13"/>
        <v>0.33049393344220762</v>
      </c>
      <c r="G30" s="82">
        <f t="shared" si="13"/>
        <v>0.21606337331145326</v>
      </c>
      <c r="H30" s="82">
        <f t="shared" si="13"/>
        <v>-0.23153992421401923</v>
      </c>
      <c r="I30" s="82">
        <f t="shared" si="13"/>
        <v>7.1756246757986128E-2</v>
      </c>
      <c r="J30" s="82">
        <f t="shared" si="13"/>
        <v>0.15252010073151939</v>
      </c>
      <c r="K30" s="82">
        <f t="shared" si="13"/>
        <v>8.9075630252100843E-2</v>
      </c>
      <c r="L30" s="82">
        <f t="shared" si="13"/>
        <v>8.1965355554522223E-2</v>
      </c>
      <c r="M30" s="82">
        <f t="shared" si="13"/>
        <v>1.6704595724233665E-2</v>
      </c>
      <c r="N30" s="82">
        <f t="shared" si="13"/>
        <v>-0.17079439136462415</v>
      </c>
      <c r="O30" s="82">
        <f t="shared" si="13"/>
        <v>8.9897577307612386E-2</v>
      </c>
      <c r="P30" s="82">
        <f t="shared" si="13"/>
        <v>0.17011476397675185</v>
      </c>
      <c r="Q30" s="82">
        <f t="shared" si="13"/>
        <v>0.11065624386370179</v>
      </c>
      <c r="R30" s="82"/>
      <c r="S30" s="82">
        <f t="shared" si="13"/>
        <v>0.10459161724531295</v>
      </c>
      <c r="T30" s="82">
        <f t="shared" si="13"/>
        <v>-2.5766304133875057E-2</v>
      </c>
      <c r="U30" s="126"/>
    </row>
    <row r="31" spans="2:21" x14ac:dyDescent="0.25">
      <c r="O31" s="77"/>
    </row>
    <row r="32" spans="2:21" x14ac:dyDescent="0.25">
      <c r="O32" s="77"/>
    </row>
    <row r="33" spans="2:16" x14ac:dyDescent="0.25">
      <c r="B33" s="74"/>
      <c r="C33" s="75" t="s">
        <v>149</v>
      </c>
      <c r="D33" s="75" t="s">
        <v>150</v>
      </c>
      <c r="E33" s="75" t="s">
        <v>151</v>
      </c>
      <c r="F33" s="75" t="s">
        <v>152</v>
      </c>
      <c r="G33" s="75" t="s">
        <v>153</v>
      </c>
      <c r="H33" s="75" t="s">
        <v>154</v>
      </c>
      <c r="I33" s="75" t="s">
        <v>155</v>
      </c>
      <c r="J33" s="75" t="s">
        <v>156</v>
      </c>
      <c r="K33" s="75" t="s">
        <v>157</v>
      </c>
      <c r="L33" s="75" t="s">
        <v>158</v>
      </c>
      <c r="M33" s="75" t="s">
        <v>159</v>
      </c>
      <c r="N33" s="75" t="s">
        <v>160</v>
      </c>
      <c r="O33" s="75" t="s">
        <v>161</v>
      </c>
      <c r="P33" s="75" t="s">
        <v>162</v>
      </c>
    </row>
    <row r="34" spans="2:16" x14ac:dyDescent="0.25">
      <c r="B34" s="74" t="s">
        <v>136</v>
      </c>
      <c r="C34" s="82">
        <f>(D4-C4)/C4</f>
        <v>-0.26037297491464273</v>
      </c>
      <c r="D34" s="82">
        <f t="shared" ref="D34:M34" si="14">(E4-D4)/D4</f>
        <v>7.7635183010055675E-2</v>
      </c>
      <c r="E34" s="82">
        <f t="shared" si="14"/>
        <v>-7.9480801676447027E-2</v>
      </c>
      <c r="F34" s="82">
        <f t="shared" si="14"/>
        <v>5.7208735127516966E-2</v>
      </c>
      <c r="G34" s="82">
        <f t="shared" si="14"/>
        <v>-6.2037911141536714E-2</v>
      </c>
      <c r="H34" s="82">
        <f t="shared" si="14"/>
        <v>0.14687242466871397</v>
      </c>
      <c r="I34" s="82">
        <f t="shared" si="14"/>
        <v>-2.2349046686265011E-2</v>
      </c>
      <c r="J34" s="82">
        <f t="shared" si="14"/>
        <v>-5.5108089347637064E-2</v>
      </c>
      <c r="K34" s="82">
        <f t="shared" si="14"/>
        <v>6.1742178862191237E-2</v>
      </c>
      <c r="L34" s="82">
        <f t="shared" si="14"/>
        <v>-3.2179220378963549E-2</v>
      </c>
      <c r="M34" s="82">
        <f t="shared" si="14"/>
        <v>5.581928978625926E-2</v>
      </c>
      <c r="N34" s="82">
        <f>(Q4-P4)/P4</f>
        <v>-0.11816809843931206</v>
      </c>
      <c r="O34" s="82">
        <f>(S4-Q4)/Q4</f>
        <v>8.2279117470416246E-2</v>
      </c>
      <c r="P34" s="82">
        <f>(T4-S4)/S4</f>
        <v>1.0639083824949736E-2</v>
      </c>
    </row>
    <row r="35" spans="2:16" x14ac:dyDescent="0.25">
      <c r="B35" s="74" t="s">
        <v>137</v>
      </c>
      <c r="C35" s="82">
        <f t="shared" ref="C35:M45" si="15">(D5-C5)/C5</f>
        <v>-0.1962609755549399</v>
      </c>
      <c r="D35" s="82">
        <f t="shared" si="15"/>
        <v>0.11887677582190481</v>
      </c>
      <c r="E35" s="82">
        <f t="shared" si="15"/>
        <v>-3.4396262272054544E-3</v>
      </c>
      <c r="F35" s="82">
        <f t="shared" si="15"/>
        <v>0.21049181357574406</v>
      </c>
      <c r="G35" s="82">
        <f t="shared" si="15"/>
        <v>-0.23202298325802553</v>
      </c>
      <c r="H35" s="82">
        <f t="shared" si="15"/>
        <v>7.4962750066180084E-2</v>
      </c>
      <c r="I35" s="82">
        <f t="shared" si="15"/>
        <v>3.4839459578881307E-2</v>
      </c>
      <c r="J35" s="82">
        <f t="shared" si="15"/>
        <v>-3.6323292842291632E-2</v>
      </c>
      <c r="K35" s="82">
        <f t="shared" si="15"/>
        <v>6.6983359961581002E-2</v>
      </c>
      <c r="L35" s="82">
        <f t="shared" si="15"/>
        <v>-7.1623434690043661E-2</v>
      </c>
      <c r="M35" s="82">
        <f t="shared" si="15"/>
        <v>0.11113291423844723</v>
      </c>
      <c r="N35" s="82">
        <f t="shared" ref="N35:N45" si="16">(Q5-P5)/P5</f>
        <v>4.1112152425655267E-2</v>
      </c>
      <c r="O35" s="82">
        <f>(S5-Q5)/Q5</f>
        <v>-3.5062637563012436E-2</v>
      </c>
      <c r="P35" s="82">
        <f>(T5-S5)/S5</f>
        <v>3.8725471370359185E-2</v>
      </c>
    </row>
    <row r="36" spans="2:16" x14ac:dyDescent="0.25">
      <c r="B36" s="74" t="s">
        <v>138</v>
      </c>
      <c r="C36" s="82">
        <f t="shared" si="15"/>
        <v>-0.24860079844511027</v>
      </c>
      <c r="D36" s="82">
        <f t="shared" si="15"/>
        <v>8.5735410187234365E-2</v>
      </c>
      <c r="E36" s="82">
        <f t="shared" si="15"/>
        <v>-6.4089730449408883E-2</v>
      </c>
      <c r="F36" s="82">
        <f t="shared" si="15"/>
        <v>9.0244444892320558E-2</v>
      </c>
      <c r="G36" s="82">
        <f t="shared" si="15"/>
        <v>-0.10271390621534571</v>
      </c>
      <c r="H36" s="82">
        <f t="shared" si="15"/>
        <v>0.13214482359982041</v>
      </c>
      <c r="I36" s="82">
        <f t="shared" si="15"/>
        <v>-1.1228020294724615E-2</v>
      </c>
      <c r="J36" s="82">
        <f t="shared" si="15"/>
        <v>-5.1284956029130885E-2</v>
      </c>
      <c r="K36" s="82">
        <f t="shared" si="15"/>
        <v>6.2825700750098704E-2</v>
      </c>
      <c r="L36" s="82">
        <f t="shared" si="15"/>
        <v>-4.0365516138916938E-2</v>
      </c>
      <c r="M36" s="82">
        <f t="shared" si="15"/>
        <v>6.692521031797484E-2</v>
      </c>
      <c r="N36" s="82">
        <f t="shared" si="16"/>
        <v>-8.7374092164828304E-2</v>
      </c>
      <c r="O36" s="82">
        <f>(S6-Q6)/Q6</f>
        <v>5.6399278796656432E-2</v>
      </c>
      <c r="P36" s="82">
        <f>(T6-S6)/S6</f>
        <v>1.6297252577285811E-2</v>
      </c>
    </row>
    <row r="37" spans="2:16" x14ac:dyDescent="0.25">
      <c r="B37" s="74" t="s">
        <v>60</v>
      </c>
      <c r="C37" s="82">
        <f t="shared" si="15"/>
        <v>-0.19011102611668365</v>
      </c>
      <c r="D37" s="82">
        <f t="shared" si="15"/>
        <v>2.3825008117708643E-2</v>
      </c>
      <c r="E37" s="82">
        <f t="shared" si="15"/>
        <v>-7.6914335578795887E-2</v>
      </c>
      <c r="F37" s="82">
        <f t="shared" si="15"/>
        <v>0.10103568336109774</v>
      </c>
      <c r="G37" s="82">
        <f t="shared" si="15"/>
        <v>0.16049766998096576</v>
      </c>
      <c r="H37" s="82">
        <f t="shared" si="15"/>
        <v>4.2393087650197045E-2</v>
      </c>
      <c r="I37" s="82">
        <f t="shared" si="15"/>
        <v>-0.11299332100101808</v>
      </c>
      <c r="J37" s="82">
        <f t="shared" si="15"/>
        <v>-3.1000998477036933E-2</v>
      </c>
      <c r="K37" s="82">
        <f t="shared" si="15"/>
        <v>4.0953251104213009E-2</v>
      </c>
      <c r="L37" s="82">
        <f t="shared" si="15"/>
        <v>6.4386529066855047E-2</v>
      </c>
      <c r="M37" s="82">
        <f t="shared" si="15"/>
        <v>0.10831623394072427</v>
      </c>
      <c r="N37" s="82">
        <f t="shared" si="16"/>
        <v>-2.0053667505305111E-2</v>
      </c>
      <c r="O37" s="82">
        <f>(S7-Q7)/Q7</f>
        <v>8.267633941766904E-2</v>
      </c>
      <c r="P37" s="82">
        <f>(T7-S7)/S7</f>
        <v>5.6790161082392578E-2</v>
      </c>
    </row>
    <row r="38" spans="2:16" x14ac:dyDescent="0.25">
      <c r="B38" s="79" t="s">
        <v>139</v>
      </c>
      <c r="C38" s="82">
        <f t="shared" si="15"/>
        <v>-1.4347030000000001</v>
      </c>
      <c r="D38" s="82">
        <f t="shared" si="15"/>
        <v>5.7251525754365629</v>
      </c>
      <c r="E38" s="82">
        <f t="shared" si="15"/>
        <v>-2.9283201593736701</v>
      </c>
      <c r="F38" s="82">
        <f t="shared" si="15"/>
        <v>-1</v>
      </c>
      <c r="G38" s="82" t="e">
        <f t="shared" si="15"/>
        <v>#DIV/0!</v>
      </c>
      <c r="H38" s="82" t="e">
        <f t="shared" si="15"/>
        <v>#DIV/0!</v>
      </c>
      <c r="I38" s="82" t="e">
        <f t="shared" si="15"/>
        <v>#DIV/0!</v>
      </c>
      <c r="J38" s="82" t="e">
        <f t="shared" si="15"/>
        <v>#DIV/0!</v>
      </c>
      <c r="K38" s="82">
        <f t="shared" si="15"/>
        <v>-0.46079912749108171</v>
      </c>
      <c r="L38" s="82">
        <f t="shared" si="15"/>
        <v>-1.3797823704866041</v>
      </c>
      <c r="M38" s="82">
        <f t="shared" si="15"/>
        <v>-14.520567110057357</v>
      </c>
      <c r="N38" s="82">
        <f t="shared" si="16"/>
        <v>-3.3905787043810247</v>
      </c>
      <c r="O38" s="82">
        <f>(S8-Q8)/Q8</f>
        <v>-1.1987546954802766</v>
      </c>
      <c r="P38" s="82">
        <f>(T8-S8)/S8</f>
        <v>2.1031499035652734</v>
      </c>
    </row>
    <row r="39" spans="2:16" x14ac:dyDescent="0.25">
      <c r="B39" s="74" t="s">
        <v>140</v>
      </c>
      <c r="C39" s="82">
        <f t="shared" si="15"/>
        <v>-0.4099491162395672</v>
      </c>
      <c r="D39" s="82">
        <f t="shared" si="15"/>
        <v>1.8072407735313815E-2</v>
      </c>
      <c r="E39" s="82">
        <f t="shared" si="15"/>
        <v>0.68265279112618793</v>
      </c>
      <c r="F39" s="82">
        <f t="shared" si="15"/>
        <v>-0.23626740954722936</v>
      </c>
      <c r="G39" s="82">
        <f t="shared" si="15"/>
        <v>-0.59590512793679173</v>
      </c>
      <c r="H39" s="82">
        <f t="shared" si="15"/>
        <v>0.6151081376728984</v>
      </c>
      <c r="I39" s="82">
        <f t="shared" si="15"/>
        <v>0.34219995550691668</v>
      </c>
      <c r="J39" s="82">
        <f t="shared" si="15"/>
        <v>-0.18298893174292352</v>
      </c>
      <c r="K39" s="82">
        <f t="shared" si="15"/>
        <v>0.17693741797656887</v>
      </c>
      <c r="L39" s="82">
        <f t="shared" si="15"/>
        <v>-0.22861267023405693</v>
      </c>
      <c r="M39" s="82">
        <f t="shared" si="15"/>
        <v>-0.41349963520674471</v>
      </c>
      <c r="N39" s="82">
        <f t="shared" si="16"/>
        <v>-4.3840146688693557E-2</v>
      </c>
      <c r="O39" s="82">
        <f>(S9-Q9)/Q9</f>
        <v>-0.17288011700389996</v>
      </c>
      <c r="P39" s="82">
        <f>(T9-S9)/S9</f>
        <v>-0.16537852862138494</v>
      </c>
    </row>
    <row r="40" spans="2:16" x14ac:dyDescent="0.25">
      <c r="B40" s="74" t="s">
        <v>141</v>
      </c>
      <c r="C40" s="82">
        <f>(D10-C10)/C10</f>
        <v>0.53287087746358586</v>
      </c>
      <c r="D40" s="82">
        <f t="shared" si="15"/>
        <v>-0.44773153701586643</v>
      </c>
      <c r="E40" s="82">
        <f t="shared" si="15"/>
        <v>0.16090824176092877</v>
      </c>
      <c r="F40" s="82">
        <f t="shared" si="15"/>
        <v>-0.410303411803079</v>
      </c>
      <c r="G40" s="82">
        <f t="shared" si="15"/>
        <v>1.17167874272885</v>
      </c>
      <c r="H40" s="82">
        <f t="shared" si="15"/>
        <v>0.13538966592544835</v>
      </c>
      <c r="I40" s="82">
        <f t="shared" si="15"/>
        <v>-0.18647711371149284</v>
      </c>
      <c r="J40" s="82">
        <f t="shared" si="15"/>
        <v>0.18051512373409254</v>
      </c>
      <c r="K40" s="82">
        <f t="shared" si="15"/>
        <v>0.25258015414557122</v>
      </c>
      <c r="L40" s="82">
        <f t="shared" si="15"/>
        <v>0.55069754191650966</v>
      </c>
      <c r="M40" s="82">
        <f t="shared" si="15"/>
        <v>0.2404751180917177</v>
      </c>
      <c r="N40" s="82">
        <f t="shared" si="16"/>
        <v>-0.16527739616347831</v>
      </c>
      <c r="O40" s="82">
        <f>(S10-Q10)/Q10</f>
        <v>0.40516790610592435</v>
      </c>
      <c r="P40" s="82">
        <f>(T10-S10)/S10</f>
        <v>0.94035523925151565</v>
      </c>
    </row>
    <row r="41" spans="2:16" x14ac:dyDescent="0.25">
      <c r="B41" s="74" t="s">
        <v>142</v>
      </c>
      <c r="C41" s="82">
        <f t="shared" si="15"/>
        <v>-0.49967201245559084</v>
      </c>
      <c r="D41" s="82">
        <f t="shared" si="15"/>
        <v>0.1538813723845833</v>
      </c>
      <c r="E41" s="82">
        <f t="shared" si="15"/>
        <v>0.75545964727221149</v>
      </c>
      <c r="F41" s="82">
        <f t="shared" si="15"/>
        <v>-0.22020685636339696</v>
      </c>
      <c r="G41" s="82">
        <f t="shared" si="15"/>
        <v>-0.71925838860787905</v>
      </c>
      <c r="H41" s="82">
        <f t="shared" si="15"/>
        <v>0.87407597947444093</v>
      </c>
      <c r="I41" s="82">
        <f t="shared" si="15"/>
        <v>0.51510497954012313</v>
      </c>
      <c r="J41" s="82">
        <f t="shared" si="15"/>
        <v>-0.24682313599483965</v>
      </c>
      <c r="K41" s="82">
        <f t="shared" si="15"/>
        <v>0.15611716497624353</v>
      </c>
      <c r="L41" s="82">
        <f t="shared" si="15"/>
        <v>-0.46101090088652746</v>
      </c>
      <c r="M41" s="82">
        <f t="shared" si="15"/>
        <v>-0.97458707809076806</v>
      </c>
      <c r="N41" s="82">
        <f t="shared" si="16"/>
        <v>-2.5042749488229238E-2</v>
      </c>
      <c r="O41" s="82">
        <f>(S11-Q11)/Q11</f>
        <v>-0.24948673989971168</v>
      </c>
      <c r="P41" s="82">
        <f>(T11-S11)/S11</f>
        <v>-0.43973980970715637</v>
      </c>
    </row>
    <row r="42" spans="2:16" x14ac:dyDescent="0.25">
      <c r="B42" s="74" t="s">
        <v>143</v>
      </c>
      <c r="C42" s="82">
        <f t="shared" si="15"/>
        <v>9.5387269046342052E-2</v>
      </c>
      <c r="D42" s="82">
        <f t="shared" si="15"/>
        <v>0.26518178755367644</v>
      </c>
      <c r="E42" s="82">
        <f t="shared" si="15"/>
        <v>-0.14543763554523212</v>
      </c>
      <c r="F42" s="82">
        <f t="shared" si="15"/>
        <v>-3.3183914741798055E-2</v>
      </c>
      <c r="G42" s="82">
        <f t="shared" si="15"/>
        <v>1.7907645969237129</v>
      </c>
      <c r="H42" s="82">
        <f t="shared" si="15"/>
        <v>-0.68250028990055234</v>
      </c>
      <c r="I42" s="82">
        <f t="shared" si="15"/>
        <v>9.5428480015751133E-2</v>
      </c>
      <c r="J42" s="82">
        <f t="shared" si="15"/>
        <v>3.8452283728511588E-2</v>
      </c>
      <c r="K42" s="82">
        <f t="shared" si="15"/>
        <v>0.28246526357966756</v>
      </c>
      <c r="L42" s="82">
        <f t="shared" si="15"/>
        <v>-0.2556110110625161</v>
      </c>
      <c r="M42" s="82">
        <f t="shared" si="15"/>
        <v>0.76291105986271712</v>
      </c>
      <c r="N42" s="82">
        <f t="shared" si="16"/>
        <v>0.58700417059989229</v>
      </c>
      <c r="O42" s="82">
        <f>(S12-Q12)/Q12</f>
        <v>-0.40630391091538942</v>
      </c>
      <c r="P42" s="82">
        <f>(T12-S12)/S12</f>
        <v>0.37931480996958111</v>
      </c>
    </row>
    <row r="43" spans="2:16" x14ac:dyDescent="0.25">
      <c r="B43" s="74" t="s">
        <v>144</v>
      </c>
      <c r="C43" s="82">
        <f t="shared" si="15"/>
        <v>-0.67283515592739618</v>
      </c>
      <c r="D43" s="82">
        <f t="shared" si="15"/>
        <v>4.5440482919370188E-2</v>
      </c>
      <c r="E43" s="82">
        <f t="shared" si="15"/>
        <v>1.8177058371657473</v>
      </c>
      <c r="F43" s="82">
        <f t="shared" si="15"/>
        <v>-0.28708633812214679</v>
      </c>
      <c r="G43" s="82">
        <f t="shared" si="15"/>
        <v>-1.9365164070261467</v>
      </c>
      <c r="H43" s="82">
        <f t="shared" si="15"/>
        <v>-1.375409351045906</v>
      </c>
      <c r="I43" s="82">
        <f t="shared" si="15"/>
        <v>1.0280439052709789</v>
      </c>
      <c r="J43" s="82">
        <f t="shared" si="15"/>
        <v>-0.43515423258959757</v>
      </c>
      <c r="K43" s="82">
        <f t="shared" si="15"/>
        <v>2.7674193938881492E-3</v>
      </c>
      <c r="L43" s="82">
        <f t="shared" si="15"/>
        <v>-0.77984146769387086</v>
      </c>
      <c r="M43" s="82">
        <f t="shared" si="15"/>
        <v>-10.093614293173728</v>
      </c>
      <c r="N43" s="82">
        <f t="shared" si="16"/>
        <v>-0.39649921875673366</v>
      </c>
      <c r="O43" s="82">
        <f>(S13-Q13)/Q13</f>
        <v>7.8802143937651886E-4</v>
      </c>
      <c r="P43" s="82">
        <f>(T13-S13)/S13</f>
        <v>-1.2151980131405506</v>
      </c>
    </row>
    <row r="44" spans="2:16" x14ac:dyDescent="0.25">
      <c r="B44" s="83" t="s">
        <v>145</v>
      </c>
      <c r="C44" s="82">
        <f t="shared" si="15"/>
        <v>-0.74827718367438956</v>
      </c>
      <c r="D44" s="82">
        <f t="shared" si="15"/>
        <v>3.743939574874612</v>
      </c>
      <c r="E44" s="82">
        <f t="shared" si="15"/>
        <v>0.11942505805428469</v>
      </c>
      <c r="F44" s="82">
        <f t="shared" si="15"/>
        <v>-0.27556779851585339</v>
      </c>
      <c r="G44" s="82">
        <f t="shared" si="15"/>
        <v>-0.12400086914683925</v>
      </c>
      <c r="H44" s="82">
        <f t="shared" si="15"/>
        <v>0.57486955520317495</v>
      </c>
      <c r="I44" s="82">
        <f t="shared" si="15"/>
        <v>-0.27505962559625596</v>
      </c>
      <c r="J44" s="82">
        <f t="shared" si="15"/>
        <v>0.11760050280500012</v>
      </c>
      <c r="K44" s="82">
        <f t="shared" si="15"/>
        <v>0.63316045628432371</v>
      </c>
      <c r="L44" s="82">
        <f t="shared" si="15"/>
        <v>-0.40531567111198025</v>
      </c>
      <c r="M44" s="82">
        <f t="shared" si="15"/>
        <v>-1</v>
      </c>
      <c r="N44" s="82">
        <f t="shared" si="16"/>
        <v>0.28930518087910873</v>
      </c>
      <c r="O44" s="82">
        <f>(S14-Q14)/Q14</f>
        <v>7.4020851951146854E-2</v>
      </c>
      <c r="P44" s="82">
        <f>(T14-S14)/S14</f>
        <v>-0.16767771796772032</v>
      </c>
    </row>
    <row r="45" spans="2:16" x14ac:dyDescent="0.25">
      <c r="B45" s="84" t="s">
        <v>146</v>
      </c>
      <c r="C45" s="82">
        <f t="shared" si="15"/>
        <v>-0.67209860111845954</v>
      </c>
      <c r="D45" s="82">
        <f t="shared" si="15"/>
        <v>1.77202710422345E-2</v>
      </c>
      <c r="E45" s="82">
        <f t="shared" si="15"/>
        <v>1.8770381457916374</v>
      </c>
      <c r="F45" s="82">
        <f t="shared" si="15"/>
        <v>-0.28724291534174407</v>
      </c>
      <c r="G45" s="82">
        <f t="shared" si="15"/>
        <v>-1.9615584120947316</v>
      </c>
      <c r="H45" s="82">
        <f t="shared" si="15"/>
        <v>-1.3508615786403828</v>
      </c>
      <c r="I45" s="82">
        <f t="shared" si="15"/>
        <v>1.1016651338215133</v>
      </c>
      <c r="J45" s="82">
        <f t="shared" si="15"/>
        <v>-0.4459262086371632</v>
      </c>
      <c r="K45" s="82">
        <f t="shared" si="15"/>
        <v>-2.2012123765899751E-2</v>
      </c>
      <c r="L45" s="82">
        <f t="shared" si="15"/>
        <v>-0.80442583348192898</v>
      </c>
      <c r="M45" s="82">
        <f t="shared" si="15"/>
        <v>-11.908665192266534</v>
      </c>
      <c r="N45" s="82">
        <f t="shared" si="16"/>
        <v>-0.40635514135891143</v>
      </c>
      <c r="O45" s="82">
        <f>(S15-Q15)/Q15</f>
        <v>-1.4977450145642612E-3</v>
      </c>
      <c r="P45" s="82">
        <f>(T15-S15)/S15</f>
        <v>-1.2503663753368481</v>
      </c>
    </row>
    <row r="46" spans="2:16" x14ac:dyDescent="0.25">
      <c r="O46" s="77"/>
    </row>
    <row r="47" spans="2:16" x14ac:dyDescent="0.25">
      <c r="O47" s="77"/>
    </row>
    <row r="48" spans="2:16" x14ac:dyDescent="0.25">
      <c r="B48" s="1"/>
      <c r="C48" s="78"/>
      <c r="D48" s="78"/>
      <c r="E48" s="78"/>
      <c r="F48" s="78"/>
      <c r="G48" s="78"/>
    </row>
    <row r="49" spans="2:18" x14ac:dyDescent="0.25">
      <c r="B49" s="74"/>
      <c r="C49" s="75" t="s">
        <v>29</v>
      </c>
      <c r="D49" s="75" t="s">
        <v>38</v>
      </c>
      <c r="E49" s="75" t="s">
        <v>45</v>
      </c>
      <c r="F49" s="75" t="s">
        <v>49</v>
      </c>
      <c r="G49" s="75" t="s">
        <v>51</v>
      </c>
      <c r="H49" s="75" t="s">
        <v>52</v>
      </c>
      <c r="I49" s="75" t="s">
        <v>124</v>
      </c>
      <c r="J49" s="75" t="s">
        <v>125</v>
      </c>
      <c r="K49" s="75" t="s">
        <v>126</v>
      </c>
      <c r="L49" s="75" t="s">
        <v>127</v>
      </c>
      <c r="M49" s="75" t="s">
        <v>128</v>
      </c>
      <c r="N49" s="75" t="s">
        <v>129</v>
      </c>
      <c r="O49" s="85" t="s">
        <v>0</v>
      </c>
    </row>
    <row r="50" spans="2:18" x14ac:dyDescent="0.25">
      <c r="B50" s="74" t="s">
        <v>136</v>
      </c>
      <c r="C50" s="74">
        <f>C4</f>
        <v>42334697</v>
      </c>
      <c r="D50" s="74">
        <f t="shared" ref="D50:N50" si="17">D4</f>
        <v>31311886</v>
      </c>
      <c r="E50" s="74">
        <f t="shared" si="17"/>
        <v>33742790</v>
      </c>
      <c r="F50" s="74">
        <f t="shared" si="17"/>
        <v>31060886</v>
      </c>
      <c r="G50" s="74">
        <f t="shared" si="17"/>
        <v>32837840</v>
      </c>
      <c r="H50" s="74">
        <f t="shared" si="17"/>
        <v>30800649</v>
      </c>
      <c r="I50" s="74">
        <f t="shared" si="17"/>
        <v>35324415</v>
      </c>
      <c r="J50" s="74">
        <f t="shared" si="17"/>
        <v>34534948</v>
      </c>
      <c r="K50" s="74">
        <f t="shared" si="17"/>
        <v>32631793</v>
      </c>
      <c r="L50" s="74">
        <f t="shared" si="17"/>
        <v>34646551</v>
      </c>
      <c r="M50" s="74">
        <f t="shared" si="17"/>
        <v>33531652</v>
      </c>
      <c r="N50" s="74">
        <f t="shared" si="17"/>
        <v>35403365</v>
      </c>
      <c r="O50" s="86">
        <f>SUM(C50:N50)</f>
        <v>408161472</v>
      </c>
      <c r="P50" s="87">
        <f>O50/(O50+O51)</f>
        <v>0.83130026134539092</v>
      </c>
      <c r="Q50" s="77">
        <f>O50+O51</f>
        <v>490991632</v>
      </c>
      <c r="R50" s="77"/>
    </row>
    <row r="51" spans="2:18" x14ac:dyDescent="0.25">
      <c r="B51" s="74" t="s">
        <v>163</v>
      </c>
      <c r="C51" s="74">
        <f>'[2]DONNEES FINANCIERES MENSUELLES'!B15+'[2]DONNEES FINANCIERES MENSUELLES'!B16</f>
        <v>5318932</v>
      </c>
      <c r="D51" s="74">
        <f>'[2]DONNEES FINANCIERES MENSUELLES'!C15+'[2]DONNEES FINANCIERES MENSUELLES'!C16</f>
        <v>10362803</v>
      </c>
      <c r="E51" s="74">
        <f>'[2]DONNEES FINANCIERES MENSUELLES'!D15+'[2]DONNEES FINANCIERES MENSUELLES'!D16</f>
        <v>6787281</v>
      </c>
      <c r="F51" s="74">
        <f>'[2]DONNEES FINANCIERES MENSUELLES'!E15+'[2]DONNEES FINANCIERES MENSUELLES'!E16</f>
        <v>4868897</v>
      </c>
      <c r="G51" s="74">
        <f>'[2]DONNEES FINANCIERES MENSUELLES'!F15+'[2]DONNEES FINANCIERES MENSUELLES'!F16</f>
        <v>6807066</v>
      </c>
      <c r="H51" s="74">
        <f>'[2]DONNEES FINANCIERES MENSUELLES'!G15+'[2]DONNEES FINANCIERES MENSUELLES'!G16</f>
        <v>5875894</v>
      </c>
      <c r="I51" s="74">
        <f>'[2]DONNEES FINANCIERES MENSUELLES'!H15+'[2]DONNEES FINANCIERES MENSUELLES'!H16</f>
        <v>2807782</v>
      </c>
      <c r="J51" s="74">
        <f>'[2]DONNEES FINANCIERES MENSUELLES'!I15+'[2]DONNEES FINANCIERES MENSUELLES'!I16</f>
        <v>12557762</v>
      </c>
      <c r="K51" s="74">
        <f>'[2]DONNEES FINANCIERES MENSUELLES'!J15+'[2]DONNEES FINANCIERES MENSUELLES'!J16</f>
        <v>4567406</v>
      </c>
      <c r="L51" s="74">
        <f>'[2]DONNEES FINANCIERES MENSUELLES'!K15+'[2]DONNEES FINANCIERES MENSUELLES'!K16</f>
        <v>8267501</v>
      </c>
      <c r="M51" s="74">
        <f>'[2]DONNEES FINANCIERES MENSUELLES'!L15+'[2]DONNEES FINANCIERES MENSUELLES'!L16</f>
        <v>9237018</v>
      </c>
      <c r="N51" s="74">
        <f>'[2]DONNEES FINANCIERES MENSUELLES'!M15+'[2]DONNEES FINANCIERES MENSUELLES'!M16</f>
        <v>5371818</v>
      </c>
      <c r="O51" s="86">
        <f>SUM(C51:N51)</f>
        <v>82830160</v>
      </c>
      <c r="P51" s="87">
        <f>O51/(O50+O51)</f>
        <v>0.16869973865460908</v>
      </c>
    </row>
    <row r="52" spans="2:18" x14ac:dyDescent="0.25">
      <c r="B52" s="88" t="s">
        <v>164</v>
      </c>
      <c r="C52" s="89">
        <f>'[2]DONNEES FINANCIERES MENSUELLES'!B130</f>
        <v>19090220</v>
      </c>
      <c r="D52" s="103">
        <f>C62</f>
        <v>24170820</v>
      </c>
      <c r="E52" s="103">
        <f t="shared" ref="E52:K52" si="18">D62</f>
        <v>29409213</v>
      </c>
      <c r="F52" s="103">
        <f t="shared" si="18"/>
        <v>32420324</v>
      </c>
      <c r="G52" s="103">
        <f t="shared" si="18"/>
        <v>34165355</v>
      </c>
      <c r="H52" s="103">
        <f t="shared" si="18"/>
        <v>42175914</v>
      </c>
      <c r="I52" s="103">
        <f>H62</f>
        <v>31827369</v>
      </c>
      <c r="J52" s="103">
        <f t="shared" si="18"/>
        <v>39892420</v>
      </c>
      <c r="K52" s="103">
        <f t="shared" si="18"/>
        <v>43278338</v>
      </c>
      <c r="L52" s="103">
        <f>K63</f>
        <v>20889393</v>
      </c>
      <c r="M52" s="103">
        <f>L63</f>
        <v>20845867</v>
      </c>
      <c r="N52" s="103">
        <f>M63</f>
        <v>28345864</v>
      </c>
      <c r="O52" s="86">
        <f>C52</f>
        <v>19090220</v>
      </c>
    </row>
    <row r="53" spans="2:18" x14ac:dyDescent="0.25">
      <c r="B53" s="79" t="s">
        <v>94</v>
      </c>
      <c r="C53" s="79">
        <f>SUM(C50:C52)</f>
        <v>66743849</v>
      </c>
      <c r="D53" s="79">
        <f t="shared" ref="D53:O53" si="19">SUM(D50:D52)</f>
        <v>65845509</v>
      </c>
      <c r="E53" s="79">
        <f t="shared" si="19"/>
        <v>69939284</v>
      </c>
      <c r="F53" s="79">
        <f t="shared" si="19"/>
        <v>68350107</v>
      </c>
      <c r="G53" s="79">
        <f t="shared" si="19"/>
        <v>73810261</v>
      </c>
      <c r="H53" s="79">
        <f t="shared" si="19"/>
        <v>78852457</v>
      </c>
      <c r="I53" s="79">
        <f t="shared" si="19"/>
        <v>69959566</v>
      </c>
      <c r="J53" s="79">
        <f t="shared" si="19"/>
        <v>86985130</v>
      </c>
      <c r="K53" s="79">
        <f t="shared" si="19"/>
        <v>80477537</v>
      </c>
      <c r="L53" s="79">
        <f t="shared" si="19"/>
        <v>63803445</v>
      </c>
      <c r="M53" s="79">
        <f t="shared" si="19"/>
        <v>63614537</v>
      </c>
      <c r="N53" s="79">
        <f t="shared" si="19"/>
        <v>69121047</v>
      </c>
      <c r="O53" s="79">
        <f t="shared" si="19"/>
        <v>510081852</v>
      </c>
    </row>
    <row r="54" spans="2:18" x14ac:dyDescent="0.25">
      <c r="B54" s="115" t="s">
        <v>24</v>
      </c>
      <c r="C54" s="116"/>
      <c r="D54" s="116"/>
      <c r="E54" s="117"/>
      <c r="F54" s="90"/>
      <c r="G54" s="90"/>
      <c r="H54" s="89"/>
      <c r="I54" s="89"/>
      <c r="J54" s="89"/>
      <c r="K54" s="89"/>
      <c r="L54" s="89"/>
      <c r="M54" s="89"/>
      <c r="N54" s="89"/>
      <c r="O54" s="86">
        <f t="shared" ref="O54:O59" si="20">SUM(C54:N54)</f>
        <v>0</v>
      </c>
    </row>
    <row r="55" spans="2:18" x14ac:dyDescent="0.25">
      <c r="B55" s="79" t="s">
        <v>165</v>
      </c>
      <c r="C55" s="79">
        <f>'[2]DONNEES FINANCIERES MENSUELLES'!B38</f>
        <v>36744218</v>
      </c>
      <c r="D55" s="79">
        <f>'[2]DONNEES FINANCIERES MENSUELLES'!C38</f>
        <v>29106781</v>
      </c>
      <c r="E55" s="79">
        <f>'[2]DONNEES FINANCIERES MENSUELLES'!D38</f>
        <v>29751081</v>
      </c>
      <c r="F55" s="79">
        <f>'[2]DONNEES FINANCIERES MENSUELLES'!E38</f>
        <v>27238281</v>
      </c>
      <c r="G55" s="79">
        <f>'[2]DONNEES FINANCIERES MENSUELLES'!F38</f>
        <v>25659195</v>
      </c>
      <c r="H55" s="79">
        <f>'[2]DONNEES FINANCIERES MENSUELLES'!G38</f>
        <v>30336685</v>
      </c>
      <c r="I55" s="79">
        <f>'[2]DONNEES FINANCIERES MENSUELLES'!H38</f>
        <v>20795029</v>
      </c>
      <c r="J55" s="79">
        <f>'[2]DONNEES FINANCIERES MENSUELLES'!I38</f>
        <v>36374313</v>
      </c>
      <c r="K55" s="79">
        <f>'[2]DONNEES FINANCIERES MENSUELLES'!J38</f>
        <v>28060875</v>
      </c>
      <c r="L55" s="79">
        <f>'[2]DONNEES FINANCIERES MENSUELLES'!K38</f>
        <v>31835427</v>
      </c>
      <c r="M55" s="79">
        <f>'[2]DONNEES FINANCIERES MENSUELLES'!L38</f>
        <v>32424641</v>
      </c>
      <c r="N55" s="79">
        <f>'[2]DONNEES FINANCIERES MENSUELLES'!M38</f>
        <v>33605408</v>
      </c>
      <c r="O55" s="86">
        <f t="shared" si="20"/>
        <v>361931934</v>
      </c>
      <c r="P55" s="78">
        <f>O55/Q50</f>
        <v>0.73714481146187849</v>
      </c>
    </row>
    <row r="56" spans="2:18" x14ac:dyDescent="0.25">
      <c r="B56" s="74" t="s">
        <v>166</v>
      </c>
      <c r="C56" s="74">
        <f>C12</f>
        <v>4004916</v>
      </c>
      <c r="D56" s="74">
        <f t="shared" ref="D56:N56" si="21">D12</f>
        <v>4386934</v>
      </c>
      <c r="E56" s="74">
        <f t="shared" si="21"/>
        <v>5550269</v>
      </c>
      <c r="F56" s="74">
        <f t="shared" si="21"/>
        <v>4743051</v>
      </c>
      <c r="G56" s="74">
        <f t="shared" si="21"/>
        <v>4585658</v>
      </c>
      <c r="H56" s="74">
        <f t="shared" si="21"/>
        <v>12797492</v>
      </c>
      <c r="I56" s="74">
        <f t="shared" si="21"/>
        <v>4063200</v>
      </c>
      <c r="J56" s="74">
        <f t="shared" si="21"/>
        <v>4450945</v>
      </c>
      <c r="K56" s="74">
        <f t="shared" si="21"/>
        <v>4622094</v>
      </c>
      <c r="L56" s="74">
        <f t="shared" si="21"/>
        <v>5927675</v>
      </c>
      <c r="M56" s="74">
        <f t="shared" si="21"/>
        <v>4412496</v>
      </c>
      <c r="N56" s="74">
        <f t="shared" si="21"/>
        <v>7778838</v>
      </c>
      <c r="O56" s="86">
        <f t="shared" si="20"/>
        <v>67323568</v>
      </c>
      <c r="P56" s="91">
        <f>O56/Q50</f>
        <v>0.13711754663875819</v>
      </c>
    </row>
    <row r="57" spans="2:18" x14ac:dyDescent="0.25">
      <c r="B57" s="74" t="s">
        <v>167</v>
      </c>
      <c r="C57" s="74">
        <f>C10</f>
        <v>1690828</v>
      </c>
      <c r="D57" s="74">
        <f t="shared" ref="D57:N57" si="22">D10</f>
        <v>2591821</v>
      </c>
      <c r="E57" s="74">
        <f t="shared" si="22"/>
        <v>1431381</v>
      </c>
      <c r="F57" s="74">
        <f t="shared" si="22"/>
        <v>1661702</v>
      </c>
      <c r="G57" s="74">
        <f t="shared" si="22"/>
        <v>979900</v>
      </c>
      <c r="H57" s="74">
        <f t="shared" si="22"/>
        <v>2128028</v>
      </c>
      <c r="I57" s="74">
        <f t="shared" si="22"/>
        <v>2416141</v>
      </c>
      <c r="J57" s="74">
        <f t="shared" si="22"/>
        <v>1965586</v>
      </c>
      <c r="K57" s="74">
        <f t="shared" si="22"/>
        <v>2320404</v>
      </c>
      <c r="L57" s="74">
        <f t="shared" si="22"/>
        <v>2906492</v>
      </c>
      <c r="M57" s="74">
        <f t="shared" si="22"/>
        <v>4507090</v>
      </c>
      <c r="N57" s="74">
        <f t="shared" si="22"/>
        <v>5590933</v>
      </c>
      <c r="O57" s="86">
        <f t="shared" si="20"/>
        <v>30190306</v>
      </c>
      <c r="P57" s="91">
        <f>O57/Q50</f>
        <v>6.1488432861927067E-2</v>
      </c>
    </row>
    <row r="58" spans="2:18" x14ac:dyDescent="0.25">
      <c r="B58" s="74" t="s">
        <v>64</v>
      </c>
      <c r="C58" s="74">
        <f>C14</f>
        <v>133067</v>
      </c>
      <c r="D58" s="74">
        <f t="shared" ref="D58:N58" si="23">D14</f>
        <v>33496</v>
      </c>
      <c r="E58" s="74">
        <f t="shared" si="23"/>
        <v>158903</v>
      </c>
      <c r="F58" s="74">
        <f t="shared" si="23"/>
        <v>177880</v>
      </c>
      <c r="G58" s="74">
        <f t="shared" si="23"/>
        <v>128862</v>
      </c>
      <c r="H58" s="74">
        <f t="shared" si="23"/>
        <v>112883</v>
      </c>
      <c r="I58" s="74">
        <f t="shared" si="23"/>
        <v>177776</v>
      </c>
      <c r="J58" s="74">
        <f t="shared" si="23"/>
        <v>128877</v>
      </c>
      <c r="K58" s="74">
        <f t="shared" si="23"/>
        <v>144033</v>
      </c>
      <c r="L58" s="74">
        <f t="shared" si="23"/>
        <v>235229</v>
      </c>
      <c r="M58" s="74">
        <f t="shared" si="23"/>
        <v>139887</v>
      </c>
      <c r="N58" s="74">
        <f t="shared" si="23"/>
        <v>0</v>
      </c>
      <c r="O58" s="86">
        <f t="shared" si="20"/>
        <v>1570893</v>
      </c>
      <c r="P58" s="91">
        <f>O58/O61</f>
        <v>3.3000769428268607E-3</v>
      </c>
    </row>
    <row r="59" spans="2:18" x14ac:dyDescent="0.25">
      <c r="B59" s="74" t="s">
        <v>69</v>
      </c>
      <c r="C59" s="74">
        <f>'[2]DONNEES FINANCIERES MENSUELLES'!B143</f>
        <v>0</v>
      </c>
      <c r="D59" s="74">
        <f>'[2]DONNEES FINANCIERES MENSUELLES'!C143</f>
        <v>317264</v>
      </c>
      <c r="E59" s="74">
        <f>'[2]DONNEES FINANCIERES MENSUELLES'!D143</f>
        <v>412326</v>
      </c>
      <c r="F59" s="74">
        <f>'[2]DONNEES FINANCIERES MENSUELLES'!E143</f>
        <v>281838</v>
      </c>
      <c r="G59" s="74">
        <f>'[2]DONNEES FINANCIERES MENSUELLES'!F143</f>
        <v>280732</v>
      </c>
      <c r="H59" s="74">
        <f>'[2]DONNEES FINANCIERES MENSUELLES'!G143</f>
        <v>0</v>
      </c>
      <c r="I59" s="74">
        <f>'[2]DONNEES FINANCIERES MENSUELLES'!H143</f>
        <v>0</v>
      </c>
      <c r="J59" s="74">
        <f>'[2]DONNEES FINANCIERES MENSUELLES'!I143</f>
        <v>787071</v>
      </c>
      <c r="K59" s="74">
        <f>'[2]DONNEES FINANCIERES MENSUELLES'!J143</f>
        <v>106456</v>
      </c>
      <c r="L59" s="74">
        <f>'[2]DONNEES FINANCIERES MENSUELLES'!K143</f>
        <v>383960</v>
      </c>
      <c r="M59" s="74">
        <f>'[2]DONNEES FINANCIERES MENSUELLES'!L143</f>
        <v>0</v>
      </c>
      <c r="N59" s="74">
        <f>'[2]DONNEES FINANCIERES MENSUELLES'!M144</f>
        <v>0</v>
      </c>
      <c r="O59" s="86">
        <f t="shared" si="20"/>
        <v>2569647</v>
      </c>
      <c r="P59" s="78">
        <f>O59/Q50</f>
        <v>5.2335861398142931E-3</v>
      </c>
    </row>
    <row r="60" spans="2:18" x14ac:dyDescent="0.25">
      <c r="B60" s="74" t="s">
        <v>63</v>
      </c>
      <c r="C60" s="74">
        <f>'[2]DONNEES FINANCIERES MENSUELLES'!B100</f>
        <v>0</v>
      </c>
      <c r="D60" s="74">
        <f>'[2]DONNEES FINANCIERES MENSUELLES'!C100</f>
        <v>0</v>
      </c>
      <c r="E60" s="74">
        <f>'[2]DONNEES FINANCIERES MENSUELLES'!D100</f>
        <v>215000</v>
      </c>
      <c r="F60" s="74">
        <f>'[2]DONNEES FINANCIERES MENSUELLES'!E100</f>
        <v>82000</v>
      </c>
      <c r="G60" s="74">
        <f>'[2]DONNEES FINANCIERES MENSUELLES'!F100</f>
        <v>0</v>
      </c>
      <c r="H60" s="74">
        <f>'[2]DONNEES FINANCIERES MENSUELLES'!G100</f>
        <v>1650000</v>
      </c>
      <c r="I60" s="74">
        <f>'[2]DONNEES FINANCIERES MENSUELLES'!H100</f>
        <v>2615000</v>
      </c>
      <c r="J60" s="74">
        <f>'[2]DONNEES FINANCIERES MENSUELLES'!I100</f>
        <v>0</v>
      </c>
      <c r="K60" s="74">
        <f>'[2]DONNEES FINANCIERES MENSUELLES'!J100</f>
        <v>1610000</v>
      </c>
      <c r="L60" s="74">
        <f>'[2]DONNEES FINANCIERES MENSUELLES'!K100</f>
        <v>200000</v>
      </c>
      <c r="M60" s="74">
        <f>'[2]DONNEES FINANCIERES MENSUELLES'!L100</f>
        <v>1378735</v>
      </c>
      <c r="N60" s="74">
        <f>'[2]DONNEES FINANCIERES MENSUELLES'!M100</f>
        <v>4680000</v>
      </c>
      <c r="O60" s="74">
        <f>'[2]DONNEES FINANCIERES MENSUELLES'!N100</f>
        <v>12415735</v>
      </c>
      <c r="P60" s="78">
        <f>O60/Q50</f>
        <v>2.5287060289451123E-2</v>
      </c>
    </row>
    <row r="61" spans="2:18" x14ac:dyDescent="0.25">
      <c r="B61" s="74" t="s">
        <v>168</v>
      </c>
      <c r="C61" s="74">
        <f>SUM(C55:C60)</f>
        <v>42573029</v>
      </c>
      <c r="D61" s="74">
        <f t="shared" ref="D61:M61" si="24">SUM(D55:D60)</f>
        <v>36436296</v>
      </c>
      <c r="E61" s="74">
        <f t="shared" si="24"/>
        <v>37518960</v>
      </c>
      <c r="F61" s="74">
        <f t="shared" si="24"/>
        <v>34184752</v>
      </c>
      <c r="G61" s="74">
        <f t="shared" si="24"/>
        <v>31634347</v>
      </c>
      <c r="H61" s="74">
        <f t="shared" si="24"/>
        <v>47025088</v>
      </c>
      <c r="I61" s="74">
        <f t="shared" si="24"/>
        <v>30067146</v>
      </c>
      <c r="J61" s="74">
        <f t="shared" si="24"/>
        <v>43706792</v>
      </c>
      <c r="K61" s="74">
        <f t="shared" si="24"/>
        <v>36863862</v>
      </c>
      <c r="L61" s="74">
        <f t="shared" si="24"/>
        <v>41488783</v>
      </c>
      <c r="M61" s="74">
        <f t="shared" si="24"/>
        <v>42862849</v>
      </c>
      <c r="N61" s="74">
        <f>SUM(N55:N60)</f>
        <v>51655179</v>
      </c>
      <c r="O61" s="86">
        <f>SUM(C61:N61)</f>
        <v>476017083</v>
      </c>
      <c r="P61" s="91">
        <f>O61/Q50</f>
        <v>0.96950141708321413</v>
      </c>
    </row>
    <row r="62" spans="2:18" x14ac:dyDescent="0.25">
      <c r="B62" s="74" t="s">
        <v>169</v>
      </c>
      <c r="C62" s="79">
        <f>C53-C61</f>
        <v>24170820</v>
      </c>
      <c r="D62" s="79">
        <f t="shared" ref="D62:N62" si="25">D53-D61</f>
        <v>29409213</v>
      </c>
      <c r="E62" s="79">
        <f t="shared" si="25"/>
        <v>32420324</v>
      </c>
      <c r="F62" s="79">
        <f t="shared" si="25"/>
        <v>34165355</v>
      </c>
      <c r="G62" s="79">
        <f t="shared" si="25"/>
        <v>42175914</v>
      </c>
      <c r="H62" s="79">
        <f t="shared" si="25"/>
        <v>31827369</v>
      </c>
      <c r="I62" s="79">
        <f t="shared" si="25"/>
        <v>39892420</v>
      </c>
      <c r="J62" s="79">
        <f t="shared" si="25"/>
        <v>43278338</v>
      </c>
      <c r="K62" s="79">
        <f t="shared" si="25"/>
        <v>43613675</v>
      </c>
      <c r="L62" s="79">
        <f t="shared" si="25"/>
        <v>22314662</v>
      </c>
      <c r="M62" s="79">
        <f t="shared" si="25"/>
        <v>20751688</v>
      </c>
      <c r="N62" s="79">
        <f t="shared" si="25"/>
        <v>17465868</v>
      </c>
      <c r="O62" s="92">
        <f>O53-O61</f>
        <v>34064769</v>
      </c>
    </row>
    <row r="63" spans="2:18" x14ac:dyDescent="0.25">
      <c r="B63" s="93" t="s">
        <v>170</v>
      </c>
      <c r="C63" s="94">
        <f>'[2]DONNEES FINANCIERES MENSUELLES'!B135</f>
        <v>0</v>
      </c>
      <c r="D63" s="94">
        <f>'[2]DONNEES FINANCIERES MENSUELLES'!C135</f>
        <v>0</v>
      </c>
      <c r="E63" s="94">
        <f>'[2]DONNEES FINANCIERES MENSUELLES'!D135</f>
        <v>0</v>
      </c>
      <c r="F63" s="94">
        <f>'[2]DONNEES FINANCIERES MENSUELLES'!E135</f>
        <v>0</v>
      </c>
      <c r="G63" s="94">
        <f>'[2]DONNEES FINANCIERES MENSUELLES'!F135</f>
        <v>0</v>
      </c>
      <c r="H63" s="94">
        <f>'[2]DONNEES FINANCIERES MENSUELLES'!G135</f>
        <v>0</v>
      </c>
      <c r="I63" s="94">
        <f>'[2]DONNEES FINANCIERES MENSUELLES'!H135</f>
        <v>0</v>
      </c>
      <c r="J63" s="94">
        <f>'[2]DONNEES FINANCIERES MENSUELLES'!I135</f>
        <v>0</v>
      </c>
      <c r="K63" s="94">
        <f>'[2]DONNEES FINANCIERES MENSUELLES'!J135</f>
        <v>20889393</v>
      </c>
      <c r="L63" s="94">
        <f>'[2]DONNEES FINANCIERES MENSUELLES'!K135</f>
        <v>20845867</v>
      </c>
      <c r="M63" s="94">
        <f>'[2]DONNEES FINANCIERES MENSUELLES'!L135</f>
        <v>28345864</v>
      </c>
      <c r="N63" s="94">
        <f>'[2]DONNEES FINANCIERES MENSUELLES'!M135</f>
        <v>17503830</v>
      </c>
      <c r="O63" s="95"/>
    </row>
    <row r="64" spans="2:18" x14ac:dyDescent="0.25">
      <c r="L64" s="77"/>
      <c r="M64" s="77"/>
    </row>
    <row r="65" spans="2:15" ht="18.75" x14ac:dyDescent="0.3">
      <c r="B65" s="97" t="s">
        <v>172</v>
      </c>
      <c r="C65" s="75" t="s">
        <v>29</v>
      </c>
      <c r="D65" s="75" t="s">
        <v>38</v>
      </c>
      <c r="E65" s="75" t="s">
        <v>45</v>
      </c>
      <c r="F65" s="75" t="s">
        <v>49</v>
      </c>
      <c r="G65" s="75" t="s">
        <v>51</v>
      </c>
      <c r="H65" s="75" t="s">
        <v>52</v>
      </c>
      <c r="I65" s="98" t="s">
        <v>124</v>
      </c>
      <c r="J65" s="98" t="s">
        <v>125</v>
      </c>
      <c r="K65" s="98" t="s">
        <v>126</v>
      </c>
      <c r="L65" s="98" t="s">
        <v>127</v>
      </c>
      <c r="M65" s="98" t="s">
        <v>128</v>
      </c>
      <c r="N65" s="98" t="s">
        <v>129</v>
      </c>
      <c r="O65" s="85" t="s">
        <v>173</v>
      </c>
    </row>
    <row r="66" spans="2:15" x14ac:dyDescent="0.25">
      <c r="B66" s="99" t="s">
        <v>174</v>
      </c>
      <c r="C66" s="100">
        <f t="shared" ref="C66:N66" si="26">C6</f>
        <v>51856539</v>
      </c>
      <c r="D66" s="100">
        <f t="shared" si="26"/>
        <v>38964962</v>
      </c>
      <c r="E66" s="100">
        <f t="shared" si="26"/>
        <v>42305639</v>
      </c>
      <c r="F66" s="100">
        <f t="shared" si="26"/>
        <v>39594282</v>
      </c>
      <c r="G66" s="100">
        <f t="shared" si="26"/>
        <v>43167446</v>
      </c>
      <c r="H66" s="100">
        <f t="shared" si="26"/>
        <v>38733549</v>
      </c>
      <c r="I66" s="100">
        <f t="shared" si="26"/>
        <v>43851987</v>
      </c>
      <c r="J66" s="100">
        <f t="shared" si="26"/>
        <v>43359616</v>
      </c>
      <c r="K66" s="100">
        <f t="shared" si="26"/>
        <v>41135920</v>
      </c>
      <c r="L66" s="89">
        <f t="shared" si="26"/>
        <v>43720313</v>
      </c>
      <c r="M66" s="89">
        <f t="shared" si="26"/>
        <v>41955520</v>
      </c>
      <c r="N66" s="89">
        <f t="shared" si="26"/>
        <v>44763402</v>
      </c>
      <c r="O66" s="101">
        <f>AVERAGE(C66:N66)</f>
        <v>42784097.916666664</v>
      </c>
    </row>
    <row r="67" spans="2:15" x14ac:dyDescent="0.25">
      <c r="B67" s="99" t="s">
        <v>175</v>
      </c>
      <c r="C67" s="100">
        <f t="shared" ref="C67:N67" si="27">C66/30</f>
        <v>1728551.3</v>
      </c>
      <c r="D67" s="100">
        <f t="shared" si="27"/>
        <v>1298832.0666666667</v>
      </c>
      <c r="E67" s="100">
        <f t="shared" si="27"/>
        <v>1410187.9666666666</v>
      </c>
      <c r="F67" s="100">
        <f t="shared" si="27"/>
        <v>1319809.3999999999</v>
      </c>
      <c r="G67" s="100">
        <f t="shared" si="27"/>
        <v>1438914.8666666667</v>
      </c>
      <c r="H67" s="100">
        <f t="shared" si="27"/>
        <v>1291118.3</v>
      </c>
      <c r="I67" s="100">
        <f t="shared" si="27"/>
        <v>1461732.9</v>
      </c>
      <c r="J67" s="100">
        <f t="shared" si="27"/>
        <v>1445320.5333333334</v>
      </c>
      <c r="K67" s="100">
        <f t="shared" si="27"/>
        <v>1371197.3333333333</v>
      </c>
      <c r="L67" s="100">
        <f t="shared" si="27"/>
        <v>1457343.7666666666</v>
      </c>
      <c r="M67" s="100">
        <f t="shared" si="27"/>
        <v>1398517.3333333333</v>
      </c>
      <c r="N67" s="100">
        <f t="shared" si="27"/>
        <v>1492113.4</v>
      </c>
      <c r="O67" s="101">
        <f t="shared" ref="O67:O78" si="28">AVERAGE(C67:N67)</f>
        <v>1426136.5972222222</v>
      </c>
    </row>
    <row r="68" spans="2:15" x14ac:dyDescent="0.25">
      <c r="B68" s="99" t="s">
        <v>176</v>
      </c>
      <c r="C68" s="100">
        <f t="shared" ref="C68:N68" si="29">C7</f>
        <v>33398268</v>
      </c>
      <c r="D68" s="100">
        <f t="shared" si="29"/>
        <v>27048889</v>
      </c>
      <c r="E68" s="100">
        <f t="shared" si="29"/>
        <v>27693329</v>
      </c>
      <c r="F68" s="100">
        <f t="shared" si="29"/>
        <v>25563315</v>
      </c>
      <c r="G68" s="100">
        <f t="shared" si="29"/>
        <v>28146122</v>
      </c>
      <c r="H68" s="100">
        <f t="shared" si="29"/>
        <v>32663509</v>
      </c>
      <c r="I68" s="100">
        <f t="shared" si="29"/>
        <v>34048216</v>
      </c>
      <c r="J68" s="100">
        <f t="shared" si="29"/>
        <v>30200995</v>
      </c>
      <c r="K68" s="100">
        <f t="shared" si="29"/>
        <v>29264734</v>
      </c>
      <c r="L68" s="89">
        <f t="shared" si="29"/>
        <v>30463220</v>
      </c>
      <c r="M68" s="89">
        <f t="shared" si="29"/>
        <v>32424641</v>
      </c>
      <c r="N68" s="89">
        <f t="shared" si="29"/>
        <v>35936756</v>
      </c>
      <c r="O68" s="101">
        <f t="shared" si="28"/>
        <v>30570999.5</v>
      </c>
    </row>
    <row r="69" spans="2:15" x14ac:dyDescent="0.25">
      <c r="B69" s="99" t="s">
        <v>177</v>
      </c>
      <c r="C69" s="100">
        <f t="shared" ref="C69:H69" si="30">C66-C68</f>
        <v>18458271</v>
      </c>
      <c r="D69" s="100">
        <f t="shared" si="30"/>
        <v>11916073</v>
      </c>
      <c r="E69" s="100">
        <f t="shared" si="30"/>
        <v>14612310</v>
      </c>
      <c r="F69" s="100">
        <f t="shared" si="30"/>
        <v>14030967</v>
      </c>
      <c r="G69" s="100">
        <f t="shared" si="30"/>
        <v>15021324</v>
      </c>
      <c r="H69" s="100">
        <f t="shared" si="30"/>
        <v>6070040</v>
      </c>
      <c r="I69" s="100">
        <f>I66-I68</f>
        <v>9803771</v>
      </c>
      <c r="J69" s="100">
        <f t="shared" ref="J69:N69" si="31">J66-J68</f>
        <v>13158621</v>
      </c>
      <c r="K69" s="100">
        <f t="shared" si="31"/>
        <v>11871186</v>
      </c>
      <c r="L69" s="89">
        <f t="shared" si="31"/>
        <v>13257093</v>
      </c>
      <c r="M69" s="89">
        <f t="shared" si="31"/>
        <v>9530879</v>
      </c>
      <c r="N69" s="89">
        <f t="shared" si="31"/>
        <v>8826646</v>
      </c>
      <c r="O69" s="101">
        <f t="shared" si="28"/>
        <v>12213098.416666666</v>
      </c>
    </row>
    <row r="70" spans="2:15" x14ac:dyDescent="0.25">
      <c r="B70" s="99" t="s">
        <v>178</v>
      </c>
      <c r="C70" s="82">
        <f t="shared" ref="C70:H70" si="32">C69/C68</f>
        <v>0.5526715038037302</v>
      </c>
      <c r="D70" s="82">
        <f t="shared" si="32"/>
        <v>0.44053835261034197</v>
      </c>
      <c r="E70" s="82">
        <f t="shared" si="32"/>
        <v>0.52764729007480471</v>
      </c>
      <c r="F70" s="82">
        <f t="shared" si="32"/>
        <v>0.54887118513385291</v>
      </c>
      <c r="G70" s="82">
        <f t="shared" si="32"/>
        <v>0.53369071590040007</v>
      </c>
      <c r="H70" s="82">
        <f t="shared" si="32"/>
        <v>0.18583551448804841</v>
      </c>
      <c r="I70" s="82">
        <f>I69/I68</f>
        <v>0.28793787609900029</v>
      </c>
      <c r="J70" s="82">
        <f t="shared" ref="J70:N70" si="33">J69/J68</f>
        <v>0.43570157208396609</v>
      </c>
      <c r="K70" s="82">
        <f t="shared" si="33"/>
        <v>0.40564817708577156</v>
      </c>
      <c r="L70" s="82">
        <f t="shared" si="33"/>
        <v>0.43518357547232367</v>
      </c>
      <c r="M70" s="82">
        <f t="shared" si="33"/>
        <v>0.29393938393951685</v>
      </c>
      <c r="N70" s="82">
        <f t="shared" si="33"/>
        <v>0.24561610402452574</v>
      </c>
      <c r="O70" s="102">
        <f>AVERAGE(C70:N70)</f>
        <v>0.40777343755969025</v>
      </c>
    </row>
    <row r="71" spans="2:15" x14ac:dyDescent="0.25">
      <c r="B71" s="99" t="s">
        <v>179</v>
      </c>
      <c r="C71" s="82">
        <f t="shared" ref="C71:H71" si="34">C69/C66</f>
        <v>0.35594876472569831</v>
      </c>
      <c r="D71" s="82">
        <f t="shared" si="34"/>
        <v>0.30581508073843366</v>
      </c>
      <c r="E71" s="82">
        <f t="shared" si="34"/>
        <v>0.34539863586506753</v>
      </c>
      <c r="F71" s="82">
        <f t="shared" si="34"/>
        <v>0.35436851715103712</v>
      </c>
      <c r="G71" s="82">
        <f t="shared" si="34"/>
        <v>0.3479780573536827</v>
      </c>
      <c r="H71" s="82">
        <f t="shared" si="34"/>
        <v>0.15671272467183422</v>
      </c>
      <c r="I71" s="82">
        <f>I69/I66</f>
        <v>0.22356503480674661</v>
      </c>
      <c r="J71" s="82">
        <f t="shared" ref="J71:N71" si="35">J69/J66</f>
        <v>0.30347641916385976</v>
      </c>
      <c r="K71" s="82">
        <f t="shared" si="35"/>
        <v>0.28858442937461953</v>
      </c>
      <c r="L71" s="82">
        <f t="shared" si="35"/>
        <v>0.30322502494435483</v>
      </c>
      <c r="M71" s="82">
        <f t="shared" si="35"/>
        <v>0.22716627037395795</v>
      </c>
      <c r="N71" s="82">
        <f t="shared" si="35"/>
        <v>0.19718443205009306</v>
      </c>
      <c r="O71" s="102">
        <f t="shared" si="28"/>
        <v>0.2841186159349488</v>
      </c>
    </row>
    <row r="72" spans="2:15" x14ac:dyDescent="0.25">
      <c r="B72" s="99" t="s">
        <v>180</v>
      </c>
      <c r="C72" s="82">
        <f>C9/C6</f>
        <v>0.37523273583684402</v>
      </c>
      <c r="D72" s="82">
        <f t="shared" ref="D72:N72" si="36">D9/D6</f>
        <v>0.29465882707648988</v>
      </c>
      <c r="E72" s="82">
        <f t="shared" si="36"/>
        <v>0.27629569665641973</v>
      </c>
      <c r="F72" s="82">
        <f t="shared" si="36"/>
        <v>0.49674604530017741</v>
      </c>
      <c r="G72" s="82">
        <f t="shared" si="36"/>
        <v>0.3479780573536827</v>
      </c>
      <c r="H72" s="82">
        <f t="shared" si="36"/>
        <v>0.15671272467183422</v>
      </c>
      <c r="I72" s="82">
        <f t="shared" si="36"/>
        <v>0.22356503480674661</v>
      </c>
      <c r="J72" s="82">
        <f t="shared" si="36"/>
        <v>0.30347641916385976</v>
      </c>
      <c r="K72" s="82">
        <f t="shared" si="36"/>
        <v>0.26134674999367952</v>
      </c>
      <c r="L72" s="82">
        <f t="shared" si="36"/>
        <v>0.28940659688323822</v>
      </c>
      <c r="M72" s="82">
        <f t="shared" si="36"/>
        <v>0.23263501441526646</v>
      </c>
      <c r="N72" s="82">
        <f t="shared" si="36"/>
        <v>0.12788199163236075</v>
      </c>
      <c r="O72" s="102">
        <f t="shared" si="28"/>
        <v>0.28216132448254999</v>
      </c>
    </row>
    <row r="73" spans="2:15" x14ac:dyDescent="0.25">
      <c r="B73" s="99" t="s">
        <v>181</v>
      </c>
      <c r="C73" s="100">
        <f>C62</f>
        <v>24170820</v>
      </c>
      <c r="D73" s="100">
        <f>D62</f>
        <v>29409213</v>
      </c>
      <c r="E73" s="100">
        <f t="shared" ref="E73:N73" si="37">E62</f>
        <v>32420324</v>
      </c>
      <c r="F73" s="100">
        <f t="shared" si="37"/>
        <v>34165355</v>
      </c>
      <c r="G73" s="100">
        <f t="shared" si="37"/>
        <v>42175914</v>
      </c>
      <c r="H73" s="100">
        <f t="shared" si="37"/>
        <v>31827369</v>
      </c>
      <c r="I73" s="100">
        <f t="shared" si="37"/>
        <v>39892420</v>
      </c>
      <c r="J73" s="100">
        <f t="shared" si="37"/>
        <v>43278338</v>
      </c>
      <c r="K73" s="100">
        <f t="shared" si="37"/>
        <v>43613675</v>
      </c>
      <c r="L73" s="100">
        <f t="shared" si="37"/>
        <v>22314662</v>
      </c>
      <c r="M73" s="100">
        <f t="shared" si="37"/>
        <v>20751688</v>
      </c>
      <c r="N73" s="100">
        <f t="shared" si="37"/>
        <v>17465868</v>
      </c>
      <c r="O73" s="101">
        <f t="shared" si="28"/>
        <v>31790470.5</v>
      </c>
    </row>
    <row r="74" spans="2:15" x14ac:dyDescent="0.25">
      <c r="B74" s="99" t="s">
        <v>182</v>
      </c>
      <c r="C74" s="100">
        <v>36000000</v>
      </c>
      <c r="D74" s="100">
        <f>C75</f>
        <v>37000000</v>
      </c>
      <c r="E74" s="100">
        <f t="shared" ref="E74:N74" si="38">D75</f>
        <v>37434703</v>
      </c>
      <c r="F74" s="100">
        <f t="shared" si="38"/>
        <v>40358147</v>
      </c>
      <c r="G74" s="100">
        <f t="shared" si="38"/>
        <v>34720811</v>
      </c>
      <c r="H74" s="100">
        <f t="shared" si="38"/>
        <v>0</v>
      </c>
      <c r="I74" s="100">
        <f t="shared" si="38"/>
        <v>0</v>
      </c>
      <c r="J74" s="100">
        <f t="shared" si="38"/>
        <v>0</v>
      </c>
      <c r="K74" s="100">
        <f t="shared" si="38"/>
        <v>40050256</v>
      </c>
      <c r="L74" s="100">
        <f t="shared" si="38"/>
        <v>41170703</v>
      </c>
      <c r="M74" s="100">
        <f t="shared" si="38"/>
        <v>41774849</v>
      </c>
      <c r="N74" s="100">
        <f t="shared" si="38"/>
        <v>41545405</v>
      </c>
      <c r="O74" s="101">
        <f t="shared" si="28"/>
        <v>29171239.5</v>
      </c>
    </row>
    <row r="75" spans="2:15" x14ac:dyDescent="0.25">
      <c r="B75" s="99" t="s">
        <v>183</v>
      </c>
      <c r="C75" s="99">
        <f>'[2]DONNEES FINANCIERES MENSUELLES'!B147</f>
        <v>37000000</v>
      </c>
      <c r="D75" s="99">
        <f>'[2]DONNEES FINANCIERES MENSUELLES'!C147</f>
        <v>37434703</v>
      </c>
      <c r="E75" s="99">
        <f>'[2]DONNEES FINANCIERES MENSUELLES'!D147</f>
        <v>40358147</v>
      </c>
      <c r="F75" s="99">
        <f>'[2]DONNEES FINANCIERES MENSUELLES'!E147</f>
        <v>34720811</v>
      </c>
      <c r="G75" s="99">
        <f>'[2]DONNEES FINANCIERES MENSUELLES'!F147</f>
        <v>0</v>
      </c>
      <c r="H75" s="99">
        <f>'[2]DONNEES FINANCIERES MENSUELLES'!G147</f>
        <v>0</v>
      </c>
      <c r="I75" s="99">
        <f>'[2]DONNEES FINANCIERES MENSUELLES'!H147</f>
        <v>0</v>
      </c>
      <c r="J75" s="99">
        <f>'[2]DONNEES FINANCIERES MENSUELLES'!I147</f>
        <v>40050256</v>
      </c>
      <c r="K75" s="99">
        <f>'[2]DONNEES FINANCIERES MENSUELLES'!J147</f>
        <v>41170703</v>
      </c>
      <c r="L75" s="99">
        <f>'[2]DONNEES FINANCIERES MENSUELLES'!K147</f>
        <v>41774849</v>
      </c>
      <c r="M75" s="99">
        <f>'[2]DONNEES FINANCIERES MENSUELLES'!L147</f>
        <v>41545405</v>
      </c>
      <c r="N75" s="99">
        <f>'[2]DONNEES FINANCIERES MENSUELLES'!M147</f>
        <v>44647618</v>
      </c>
      <c r="O75" s="101">
        <f t="shared" si="28"/>
        <v>29891874.333333332</v>
      </c>
    </row>
    <row r="76" spans="2:15" x14ac:dyDescent="0.25">
      <c r="B76" s="99" t="s">
        <v>184</v>
      </c>
      <c r="C76" s="100">
        <f>C74-C75</f>
        <v>-1000000</v>
      </c>
      <c r="D76" s="100">
        <f t="shared" ref="D76:N76" si="39">D74-D75</f>
        <v>-434703</v>
      </c>
      <c r="E76" s="100">
        <f t="shared" si="39"/>
        <v>-2923444</v>
      </c>
      <c r="F76" s="100">
        <f t="shared" si="39"/>
        <v>5637336</v>
      </c>
      <c r="G76" s="100">
        <f t="shared" si="39"/>
        <v>34720811</v>
      </c>
      <c r="H76" s="100">
        <f t="shared" si="39"/>
        <v>0</v>
      </c>
      <c r="I76" s="100">
        <f t="shared" si="39"/>
        <v>0</v>
      </c>
      <c r="J76" s="100">
        <f t="shared" si="39"/>
        <v>-40050256</v>
      </c>
      <c r="K76" s="100">
        <f t="shared" si="39"/>
        <v>-1120447</v>
      </c>
      <c r="L76" s="100">
        <f t="shared" si="39"/>
        <v>-604146</v>
      </c>
      <c r="M76" s="100">
        <f t="shared" si="39"/>
        <v>229444</v>
      </c>
      <c r="N76" s="100">
        <f t="shared" si="39"/>
        <v>-3102213</v>
      </c>
      <c r="O76" s="101">
        <f t="shared" si="28"/>
        <v>-720634.83333333337</v>
      </c>
    </row>
    <row r="77" spans="2:15" x14ac:dyDescent="0.25">
      <c r="B77" s="99" t="s">
        <v>185</v>
      </c>
      <c r="C77" s="100">
        <f t="shared" ref="C77:H77" si="40">(C74+C75)/2</f>
        <v>36500000</v>
      </c>
      <c r="D77" s="100">
        <f t="shared" si="40"/>
        <v>37217351.5</v>
      </c>
      <c r="E77" s="100">
        <f t="shared" si="40"/>
        <v>38896425</v>
      </c>
      <c r="F77" s="100">
        <f t="shared" si="40"/>
        <v>37539479</v>
      </c>
      <c r="G77" s="100">
        <f t="shared" si="40"/>
        <v>17360405.5</v>
      </c>
      <c r="H77" s="100">
        <f t="shared" si="40"/>
        <v>0</v>
      </c>
      <c r="I77" s="100">
        <f>(I74+I75)/2</f>
        <v>0</v>
      </c>
      <c r="J77" s="100">
        <f t="shared" ref="J77:N77" si="41">(J74+J75)/2</f>
        <v>20025128</v>
      </c>
      <c r="K77" s="100">
        <f t="shared" si="41"/>
        <v>40610479.5</v>
      </c>
      <c r="L77" s="89">
        <f t="shared" si="41"/>
        <v>41472776</v>
      </c>
      <c r="M77" s="89">
        <f t="shared" si="41"/>
        <v>41660127</v>
      </c>
      <c r="N77" s="89">
        <f t="shared" si="41"/>
        <v>43096511.5</v>
      </c>
      <c r="O77" s="101">
        <f t="shared" si="28"/>
        <v>29531556.916666668</v>
      </c>
    </row>
    <row r="78" spans="2:15" x14ac:dyDescent="0.25">
      <c r="B78" s="99" t="s">
        <v>186</v>
      </c>
      <c r="C78" s="100">
        <f t="shared" ref="C78:N78" si="42">C68+C76</f>
        <v>32398268</v>
      </c>
      <c r="D78" s="100">
        <f t="shared" si="42"/>
        <v>26614186</v>
      </c>
      <c r="E78" s="100">
        <f t="shared" si="42"/>
        <v>24769885</v>
      </c>
      <c r="F78" s="100">
        <f t="shared" si="42"/>
        <v>31200651</v>
      </c>
      <c r="G78" s="100">
        <f t="shared" si="42"/>
        <v>62866933</v>
      </c>
      <c r="H78" s="100">
        <f t="shared" si="42"/>
        <v>32663509</v>
      </c>
      <c r="I78" s="100">
        <f t="shared" si="42"/>
        <v>34048216</v>
      </c>
      <c r="J78" s="100">
        <f t="shared" si="42"/>
        <v>-9849261</v>
      </c>
      <c r="K78" s="100">
        <f t="shared" si="42"/>
        <v>28144287</v>
      </c>
      <c r="L78" s="89">
        <f t="shared" si="42"/>
        <v>29859074</v>
      </c>
      <c r="M78" s="89">
        <f t="shared" si="42"/>
        <v>32654085</v>
      </c>
      <c r="N78" s="89">
        <f t="shared" si="42"/>
        <v>32834543</v>
      </c>
      <c r="O78" s="101">
        <f t="shared" si="28"/>
        <v>29850364.666666668</v>
      </c>
    </row>
    <row r="79" spans="2:15" x14ac:dyDescent="0.25">
      <c r="B79" s="99" t="s">
        <v>187</v>
      </c>
      <c r="C79" s="100">
        <f>C77/C67</f>
        <v>21.115948366704533</v>
      </c>
      <c r="D79" s="100">
        <f t="shared" ref="D79:L79" si="43">D77/D67</f>
        <v>28.654475397666243</v>
      </c>
      <c r="E79" s="100">
        <f t="shared" si="43"/>
        <v>27.582440014675115</v>
      </c>
      <c r="F79" s="100">
        <f t="shared" si="43"/>
        <v>28.443106254584944</v>
      </c>
      <c r="G79" s="100">
        <f t="shared" si="43"/>
        <v>12.064928858658906</v>
      </c>
      <c r="H79" s="100">
        <f t="shared" si="43"/>
        <v>0</v>
      </c>
      <c r="I79" s="100">
        <f t="shared" si="43"/>
        <v>0</v>
      </c>
      <c r="J79" s="100">
        <f t="shared" si="43"/>
        <v>13.855146687645941</v>
      </c>
      <c r="K79" s="100">
        <f t="shared" si="43"/>
        <v>29.616801690590609</v>
      </c>
      <c r="L79" s="100">
        <f t="shared" si="43"/>
        <v>28.457785286212385</v>
      </c>
      <c r="M79" s="100">
        <f>M77/M67</f>
        <v>29.788781309348568</v>
      </c>
      <c r="N79" s="100">
        <f>N77/N67</f>
        <v>28.882866074388183</v>
      </c>
      <c r="O79" s="101">
        <f>AVERAGE(C79:N79)</f>
        <v>20.705189995039618</v>
      </c>
    </row>
    <row r="80" spans="2:15" x14ac:dyDescent="0.25">
      <c r="B80" s="99" t="s">
        <v>188</v>
      </c>
      <c r="C80" s="103">
        <f>C10+C12+C14</f>
        <v>5828811</v>
      </c>
      <c r="D80" s="89">
        <f t="shared" ref="D80:M80" si="44">D10+D12+D14</f>
        <v>7012251</v>
      </c>
      <c r="E80" s="89">
        <f t="shared" si="44"/>
        <v>7140553</v>
      </c>
      <c r="F80" s="89">
        <f t="shared" si="44"/>
        <v>6582633</v>
      </c>
      <c r="G80" s="89">
        <f t="shared" si="44"/>
        <v>5694420</v>
      </c>
      <c r="H80" s="89">
        <f t="shared" si="44"/>
        <v>15038403</v>
      </c>
      <c r="I80" s="89">
        <f t="shared" si="44"/>
        <v>6657117</v>
      </c>
      <c r="J80" s="89">
        <f t="shared" si="44"/>
        <v>6545408</v>
      </c>
      <c r="K80" s="89">
        <f t="shared" si="44"/>
        <v>7086531</v>
      </c>
      <c r="L80" s="89">
        <f t="shared" si="44"/>
        <v>9069396</v>
      </c>
      <c r="M80" s="89">
        <f t="shared" si="44"/>
        <v>9059473</v>
      </c>
      <c r="N80" s="103">
        <f>N10+N12+N14</f>
        <v>13369771</v>
      </c>
      <c r="O80" s="101">
        <f>AVERAGE(C80:N80)</f>
        <v>8257063.916666667</v>
      </c>
    </row>
  </sheetData>
  <mergeCells count="1">
    <mergeCell ref="B54:E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DONNEES FINANCIERES MENSUELLES</vt:lpstr>
      <vt:lpstr>CR</vt:lpstr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bi</dc:creator>
  <cp:lastModifiedBy>HP</cp:lastModifiedBy>
  <cp:lastPrinted>2022-10-10T23:14:32Z</cp:lastPrinted>
  <dcterms:created xsi:type="dcterms:W3CDTF">2015-12-21T22:35:16Z</dcterms:created>
  <dcterms:modified xsi:type="dcterms:W3CDTF">2023-07-15T17:20:26Z</dcterms:modified>
</cp:coreProperties>
</file>