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BF970C2A-B878-4A43-B8FF-74D3DC7E6A3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" sheetId="1" r:id="rId1"/>
    <sheet name="Histograms" sheetId="2" r:id="rId2"/>
    <sheet name="Model" sheetId="3" r:id="rId3"/>
    <sheet name="Validation" sheetId="4" r:id="rId4"/>
    <sheet name="Student" sheetId="5" r:id="rId5"/>
  </sheets>
  <definedNames>
    <definedName name="_xlchart.v1.0" hidden="1">Data!$C$2:$C$49</definedName>
    <definedName name="_xlchart.v1.1" hidden="1">Data!$B$2:$B$49</definedName>
    <definedName name="_xlchart.v1.2" hidden="1">Data!$F$2:$F$49</definedName>
    <definedName name="_xlchart.v1.3" hidden="1">Data!$E$2:$E$49</definedName>
    <definedName name="_xlchart.v1.4" hidden="1">Data!$D$2:$D$49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5" l="1"/>
  <c r="K10" i="5"/>
  <c r="J8" i="5"/>
  <c r="J7" i="5"/>
  <c r="H2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2" i="5"/>
  <c r="E52" i="5"/>
  <c r="G20" i="4"/>
  <c r="G1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2" i="4"/>
  <c r="G11" i="4" s="1"/>
  <c r="G5" i="4"/>
  <c r="C7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G2" i="3"/>
  <c r="F2" i="3"/>
  <c r="B52" i="3" s="1" a="1"/>
  <c r="B52" i="3" s="1"/>
  <c r="B56" i="3" s="1" a="1"/>
  <c r="B56" i="3" s="1"/>
  <c r="B60" i="3" s="1" a="1"/>
  <c r="B60" i="3" s="1"/>
  <c r="C64" i="3" s="1" a="1"/>
  <c r="C64" i="3" s="1"/>
  <c r="N22" i="1"/>
  <c r="N20" i="1"/>
  <c r="M20" i="1"/>
  <c r="M18" i="1"/>
  <c r="N18" i="1"/>
  <c r="L18" i="1"/>
  <c r="L16" i="1"/>
  <c r="M16" i="1"/>
  <c r="N16" i="1"/>
  <c r="K16" i="1"/>
  <c r="K10" i="1"/>
  <c r="L10" i="1"/>
  <c r="M10" i="1"/>
  <c r="N10" i="1"/>
  <c r="K9" i="1"/>
  <c r="L9" i="1"/>
  <c r="M9" i="1"/>
  <c r="N9" i="1"/>
  <c r="J10" i="1"/>
  <c r="J9" i="1"/>
  <c r="K8" i="1"/>
  <c r="L8" i="1"/>
  <c r="M8" i="1"/>
  <c r="N8" i="1"/>
  <c r="J8" i="1"/>
  <c r="K7" i="1"/>
  <c r="L7" i="1"/>
  <c r="M7" i="1"/>
  <c r="N7" i="1"/>
  <c r="J7" i="1"/>
  <c r="K5" i="1"/>
  <c r="L5" i="1"/>
  <c r="M5" i="1"/>
  <c r="N5" i="1"/>
  <c r="J5" i="1"/>
  <c r="K3" i="1"/>
  <c r="L3" i="1"/>
  <c r="M3" i="1"/>
  <c r="N3" i="1"/>
  <c r="J3" i="1"/>
  <c r="N2" i="1"/>
  <c r="K2" i="1"/>
  <c r="L2" i="1"/>
  <c r="M2" i="1"/>
  <c r="J2" i="1"/>
  <c r="C39" i="4" l="1"/>
  <c r="C23" i="4"/>
  <c r="G2" i="4"/>
  <c r="G8" i="4" s="1"/>
  <c r="D4" i="4"/>
  <c r="D8" i="4"/>
  <c r="D12" i="4"/>
  <c r="D16" i="4"/>
  <c r="D20" i="4"/>
  <c r="D24" i="4"/>
  <c r="D28" i="4"/>
  <c r="D32" i="4"/>
  <c r="D36" i="4"/>
  <c r="D40" i="4"/>
  <c r="D44" i="4"/>
  <c r="D48" i="4"/>
  <c r="C4" i="4"/>
  <c r="C8" i="4"/>
  <c r="C12" i="4"/>
  <c r="C16" i="4"/>
  <c r="C20" i="4"/>
  <c r="C24" i="4"/>
  <c r="C28" i="4"/>
  <c r="C32" i="4"/>
  <c r="C36" i="4"/>
  <c r="C40" i="4"/>
  <c r="C44" i="4"/>
  <c r="C48" i="4"/>
  <c r="D5" i="4"/>
  <c r="D9" i="4"/>
  <c r="D13" i="4"/>
  <c r="D17" i="4"/>
  <c r="D21" i="4"/>
  <c r="D25" i="4"/>
  <c r="D29" i="4"/>
  <c r="D33" i="4"/>
  <c r="D37" i="4"/>
  <c r="D41" i="4"/>
  <c r="D45" i="4"/>
  <c r="D49" i="4"/>
  <c r="C5" i="4"/>
  <c r="C9" i="4"/>
  <c r="C13" i="4"/>
  <c r="C17" i="4"/>
  <c r="C21" i="4"/>
  <c r="C25" i="4"/>
  <c r="C29" i="4"/>
  <c r="C33" i="4"/>
  <c r="C37" i="4"/>
  <c r="C41" i="4"/>
  <c r="C45" i="4"/>
  <c r="C49" i="4"/>
  <c r="D6" i="4"/>
  <c r="D10" i="4"/>
  <c r="D14" i="4"/>
  <c r="D18" i="4"/>
  <c r="D22" i="4"/>
  <c r="D26" i="4"/>
  <c r="D30" i="4"/>
  <c r="D34" i="4"/>
  <c r="D38" i="4"/>
  <c r="D42" i="4"/>
  <c r="D46" i="4"/>
  <c r="D2" i="4"/>
  <c r="C6" i="4"/>
  <c r="C10" i="4"/>
  <c r="C14" i="4"/>
  <c r="C18" i="4"/>
  <c r="C22" i="4"/>
  <c r="C26" i="4"/>
  <c r="C30" i="4"/>
  <c r="C34" i="4"/>
  <c r="C38" i="4"/>
  <c r="C42" i="4"/>
  <c r="C46" i="4"/>
  <c r="C2" i="4"/>
  <c r="D3" i="4"/>
  <c r="D7" i="4"/>
  <c r="D11" i="4"/>
  <c r="D15" i="4"/>
  <c r="D19" i="4"/>
  <c r="D23" i="4"/>
  <c r="D27" i="4"/>
  <c r="D31" i="4"/>
  <c r="D35" i="4"/>
  <c r="D39" i="4"/>
  <c r="D43" i="4"/>
  <c r="C35" i="4"/>
  <c r="C19" i="4"/>
  <c r="C3" i="4"/>
  <c r="C47" i="4"/>
  <c r="C31" i="4"/>
  <c r="C15" i="4"/>
  <c r="D47" i="4"/>
  <c r="C43" i="4"/>
  <c r="C27" i="4"/>
  <c r="C11" i="4"/>
  <c r="G1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<sst xmlns="http://schemas.openxmlformats.org/spreadsheetml/2006/main" count="69" uniqueCount="43">
  <si>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>№</t>
  </si>
  <si>
    <t>Витрати на зустрічі (гр)</t>
  </si>
  <si>
    <t>Витрати на концерти (гр)</t>
  </si>
  <si>
    <t>Витрати на харчування (гр)</t>
  </si>
  <si>
    <t>Витрати на друк (гр)</t>
  </si>
  <si>
    <t>Рейтинг (%)</t>
  </si>
  <si>
    <t>Середнє:</t>
  </si>
  <si>
    <t>Стандартне відхилення з генеральної сукупності:</t>
  </si>
  <si>
    <t>Стандартне відхилення з вибірки:</t>
  </si>
  <si>
    <t>Мінімальне:</t>
  </si>
  <si>
    <t>Максимальне:</t>
  </si>
  <si>
    <t>Інтервал 3-х сигм, min</t>
  </si>
  <si>
    <t>Інтервал 3-х сигм, max</t>
  </si>
  <si>
    <t>Матриця кореляції</t>
  </si>
  <si>
    <t>U</t>
  </si>
  <si>
    <t>Y</t>
  </si>
  <si>
    <t>U^T</t>
  </si>
  <si>
    <t>U^T * U</t>
  </si>
  <si>
    <t>(U^T * U)^-1</t>
  </si>
  <si>
    <t>(U^T * U)^-1 * U^T * Y</t>
  </si>
  <si>
    <t>b0</t>
  </si>
  <si>
    <t>b1</t>
  </si>
  <si>
    <t>Y^M</t>
  </si>
  <si>
    <t>Квадрати різниці відгуків</t>
  </si>
  <si>
    <t>Середньоквадратична похибка</t>
  </si>
  <si>
    <t>Відносна середньоквадратична похибка</t>
  </si>
  <si>
    <t>Середнє значення експериментальних даних</t>
  </si>
  <si>
    <t>Коефіцієнт детермінації</t>
  </si>
  <si>
    <t>(Y_сер - Y_i^M)^2</t>
  </si>
  <si>
    <t>(Y_сер - Y_i)^2</t>
  </si>
  <si>
    <t>Середня відносна похибка</t>
  </si>
  <si>
    <t>|y_i − y_i^M|/|y_i|</t>
  </si>
  <si>
    <t>Критерій Фішера</t>
  </si>
  <si>
    <t>(Y_сер - Y_i^M)^2*(m-n-1)</t>
  </si>
  <si>
    <t>Fкрит</t>
  </si>
  <si>
    <t>(x1 - x_сер)^2</t>
  </si>
  <si>
    <t>x_сер</t>
  </si>
  <si>
    <t>sigma_1</t>
  </si>
  <si>
    <t>sigma_0</t>
  </si>
  <si>
    <t>t_0</t>
  </si>
  <si>
    <t>t_1</t>
  </si>
  <si>
    <t>Ступінь вільності</t>
  </si>
  <si>
    <t>t_крит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</si>
</sst>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2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0" fillId="0" borderId="5" xfId="0" applyNumberFormat="1" applyBorder="1"/>
    <xf numFmtId="2" fontId="0" fillId="0" borderId="6" xfId="0" applyNumberFormat="1" applyBorder="1"/>
    <xf numFmtId="0" fontId="0" fillId="0" borderId="5" xfId="0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2" fontId="0" fillId="0" borderId="18" xfId="0" applyNumberFormat="1" applyBorder="1"/>
    <xf numFmtId="2" fontId="0" fillId="0" borderId="19" xfId="0" applyNumberFormat="1" applyBorder="1"/>
    <xf numFmtId="0" fontId="1" fillId="0" borderId="0" xfId="0" applyFont="1"/>
    <xf numFmtId="0" fontId="0" fillId="0" borderId="2" xfId="0" applyBorder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1" fillId="0" borderId="5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175" fontId="0" fillId="0" borderId="0" xfId="0" applyNumberFormat="1"/>
    <xf numFmtId="0" fontId="1" fillId="0" borderId="2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175" fontId="0" fillId="0" borderId="25" xfId="0" applyNumberFormat="1" applyBorder="1"/>
    <xf numFmtId="0" fontId="1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75" fontId="0" fillId="0" borderId="26" xfId="0" applyNumberFormat="1" applyBorder="1"/>
    <xf numFmtId="175" fontId="0" fillId="0" borderId="5" xfId="0" applyNumberFormat="1" applyBorder="1"/>
    <xf numFmtId="175" fontId="0" fillId="0" borderId="7" xfId="0" applyNumberFormat="1" applyBorder="1"/>
    <xf numFmtId="0" fontId="0" fillId="0" borderId="0" xfId="0" applyBorder="1" applyAlignment="1"/>
    <xf numFmtId="175" fontId="0" fillId="0" borderId="22" xfId="0" applyNumberFormat="1" applyBorder="1"/>
    <xf numFmtId="175" fontId="0" fillId="0" borderId="23" xfId="0" applyNumberFormat="1" applyBorder="1"/>
    <xf numFmtId="0" fontId="1" fillId="0" borderId="20" xfId="0" applyFont="1" applyBorder="1" applyAlignment="1">
      <alignment horizontal="center" vertical="center" wrapText="1"/>
    </xf>
    <xf numFmtId="175" fontId="0" fillId="0" borderId="27" xfId="0" applyNumberFormat="1" applyBorder="1"/>
    <xf numFmtId="175" fontId="0" fillId="0" borderId="28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3" xfId="0" applyNumberForma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2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Витрати на зустрічі (гр)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504BDC8-29CE-42EF-9441-50D27952A57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Рейтинг (%)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6A99F10-935D-43CE-9E41-72E02C9F5E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Витрати на концерти (гр)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9FEA0AE-F762-4DDD-B8A9-2C83CBA18CF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Витрати на харчування (гр)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B5F8073-D083-49A0-9F56-7421DF6CC51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Витрати на друк (гр)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286B832-465B-4150-8B48-E71D4C0688C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7</xdr:col>
      <xdr:colOff>304800</xdr:colOff>
      <xdr:row>15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4F0F62-2C91-47EE-9AA6-FD1E4C81B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2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601980</xdr:colOff>
      <xdr:row>0</xdr:row>
      <xdr:rowOff>0</xdr:rowOff>
    </xdr:from>
    <xdr:to>
      <xdr:col>22</xdr:col>
      <xdr:colOff>297180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D9DD01D-7862-4313-B445-9957030A92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638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7620</xdr:rowOff>
    </xdr:from>
    <xdr:to>
      <xdr:col>7</xdr:col>
      <xdr:colOff>304800</xdr:colOff>
      <xdr:row>30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ACEBC1-0C5C-4B93-BCFD-21598B10B9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50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312420</xdr:colOff>
      <xdr:row>14</xdr:row>
      <xdr:rowOff>175260</xdr:rowOff>
    </xdr:from>
    <xdr:to>
      <xdr:col>15</xdr:col>
      <xdr:colOff>7620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2179C0E-BB0F-4D55-8A46-2642769C3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27355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312420</xdr:colOff>
      <xdr:row>0</xdr:row>
      <xdr:rowOff>0</xdr:rowOff>
    </xdr:from>
    <xdr:to>
      <xdr:col>15</xdr:col>
      <xdr:colOff>7620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13872FF-E9E2-485D-A6F3-984BD472EC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zoomScale="55" zoomScaleNormal="55" workbookViewId="0">
      <selection activeCell="G13" sqref="G13"/>
    </sheetView>
  </sheetViews>
  <sheetFormatPr defaultRowHeight="14.4" x14ac:dyDescent="0.3"/>
  <cols>
    <col min="2" max="2" width="16.6640625" customWidth="1"/>
    <col min="3" max="3" width="18" customWidth="1"/>
    <col min="4" max="4" width="20" customWidth="1"/>
    <col min="5" max="5" width="18.88671875" customWidth="1"/>
    <col min="6" max="6" width="12" customWidth="1"/>
    <col min="9" max="9" width="13.77734375" customWidth="1"/>
    <col min="10" max="10" width="14.5546875" customWidth="1"/>
    <col min="11" max="11" width="15.44140625" customWidth="1"/>
    <col min="12" max="12" width="15.33203125" customWidth="1"/>
    <col min="13" max="13" width="12.77734375" customWidth="1"/>
    <col min="14" max="14" width="9.88671875" customWidth="1"/>
  </cols>
  <sheetData>
    <row r="1" spans="1:14" ht="28.2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65"/>
      <c r="I1" s="66"/>
      <c r="J1" s="3" t="s">
        <v>1</v>
      </c>
      <c r="K1" s="3" t="s">
        <v>2</v>
      </c>
      <c r="L1" s="3" t="s">
        <v>3</v>
      </c>
      <c r="M1" s="3" t="s">
        <v>4</v>
      </c>
      <c r="N1" s="4" t="s">
        <v>5</v>
      </c>
    </row>
    <row r="2" spans="1:14" x14ac:dyDescent="0.3">
      <c r="A2" s="5">
        <v>1</v>
      </c>
      <c r="B2" s="1">
        <v>4.99</v>
      </c>
      <c r="C2" s="1">
        <v>4.99</v>
      </c>
      <c r="D2" s="1">
        <v>2.33</v>
      </c>
      <c r="E2" s="1">
        <v>8.32</v>
      </c>
      <c r="F2" s="6">
        <v>54.17</v>
      </c>
      <c r="H2" s="67" t="s">
        <v>6</v>
      </c>
      <c r="I2" s="68"/>
      <c r="J2" s="11">
        <f>AVERAGE(B$2:B$49)</f>
        <v>4.2022916666666656</v>
      </c>
      <c r="K2" s="11">
        <f>AVERAGE(C$2:C$49)</f>
        <v>4.0962500000000013</v>
      </c>
      <c r="L2" s="11">
        <f>AVERAGE(D$2:D$49)</f>
        <v>2.6393749999999998</v>
      </c>
      <c r="M2" s="11">
        <f>AVERAGE(E$2:E$49)</f>
        <v>11.296874999999995</v>
      </c>
      <c r="N2" s="12">
        <f>AVERAGE(F$2:F$49)</f>
        <v>47.172499999999992</v>
      </c>
    </row>
    <row r="3" spans="1:14" x14ac:dyDescent="0.3">
      <c r="A3" s="5">
        <v>2</v>
      </c>
      <c r="B3" s="1">
        <v>5.22</v>
      </c>
      <c r="C3" s="1">
        <v>5.55</v>
      </c>
      <c r="D3" s="1">
        <v>2.42</v>
      </c>
      <c r="E3" s="1">
        <v>10.42</v>
      </c>
      <c r="F3" s="6">
        <v>48.64</v>
      </c>
      <c r="H3" s="69" t="s">
        <v>7</v>
      </c>
      <c r="I3" s="70"/>
      <c r="J3" s="55">
        <f>_xlfn.STDEV.P(B$2:B$49)</f>
        <v>0.8876190990118239</v>
      </c>
      <c r="K3" s="55">
        <f>_xlfn.STDEV.P(C$2:C$49)</f>
        <v>1.0003616533534194</v>
      </c>
      <c r="L3" s="55">
        <f>_xlfn.STDEV.P(D$2:D$49)</f>
        <v>0.73063444533387223</v>
      </c>
      <c r="M3" s="55">
        <f>_xlfn.STDEV.P(E$2:E$49)</f>
        <v>2.3093633287932644</v>
      </c>
      <c r="N3" s="56">
        <f>_xlfn.STDEV.P(F$2:F$49)</f>
        <v>7.6373499712487343</v>
      </c>
    </row>
    <row r="4" spans="1:14" x14ac:dyDescent="0.3">
      <c r="A4" s="5">
        <v>3</v>
      </c>
      <c r="B4" s="1">
        <v>3.42</v>
      </c>
      <c r="C4" s="1">
        <v>5.03</v>
      </c>
      <c r="D4" s="1">
        <v>2.19</v>
      </c>
      <c r="E4" s="1">
        <v>12.44</v>
      </c>
      <c r="F4" s="6">
        <v>45.67</v>
      </c>
      <c r="H4" s="69"/>
      <c r="I4" s="70"/>
      <c r="J4" s="55"/>
      <c r="K4" s="55"/>
      <c r="L4" s="55"/>
      <c r="M4" s="55"/>
      <c r="N4" s="56"/>
    </row>
    <row r="5" spans="1:14" x14ac:dyDescent="0.3">
      <c r="A5" s="7">
        <v>4</v>
      </c>
      <c r="B5" s="1">
        <v>4.5199999999999996</v>
      </c>
      <c r="C5" s="1">
        <v>3.9</v>
      </c>
      <c r="D5" s="1">
        <v>2.77</v>
      </c>
      <c r="E5" s="1">
        <v>10.97</v>
      </c>
      <c r="F5" s="6">
        <v>50.51</v>
      </c>
      <c r="H5" s="69" t="s">
        <v>8</v>
      </c>
      <c r="I5" s="70"/>
      <c r="J5" s="55">
        <f>_xlfn.STDEV.S(B$2:B$49)</f>
        <v>0.89701215528976785</v>
      </c>
      <c r="K5" s="55">
        <f>_xlfn.STDEV.S(C$2:C$49)</f>
        <v>1.0109477857594329</v>
      </c>
      <c r="L5" s="55">
        <f>_xlfn.STDEV.S(D$2:D$49)</f>
        <v>0.73836624208234969</v>
      </c>
      <c r="M5" s="55">
        <f>_xlfn.STDEV.S(E$2:E$49)</f>
        <v>2.3338017165405796</v>
      </c>
      <c r="N5" s="56">
        <f>_xlfn.STDEV.S(F$2:F$49)</f>
        <v>7.7181707401733339</v>
      </c>
    </row>
    <row r="6" spans="1:14" x14ac:dyDescent="0.3">
      <c r="A6" s="7">
        <v>5</v>
      </c>
      <c r="B6" s="1">
        <v>4.3099999999999996</v>
      </c>
      <c r="C6" s="1">
        <v>4.9000000000000004</v>
      </c>
      <c r="D6" s="1">
        <v>2.0499999999999998</v>
      </c>
      <c r="E6" s="1">
        <v>10.11</v>
      </c>
      <c r="F6" s="6">
        <v>52.62</v>
      </c>
      <c r="H6" s="69"/>
      <c r="I6" s="70"/>
      <c r="J6" s="55"/>
      <c r="K6" s="55"/>
      <c r="L6" s="55"/>
      <c r="M6" s="55"/>
      <c r="N6" s="56"/>
    </row>
    <row r="7" spans="1:14" x14ac:dyDescent="0.3">
      <c r="A7" s="7">
        <v>6</v>
      </c>
      <c r="B7" s="1">
        <v>3.24</v>
      </c>
      <c r="C7" s="1">
        <v>3.78</v>
      </c>
      <c r="D7" s="1">
        <v>3.6</v>
      </c>
      <c r="E7" s="1">
        <v>10.99</v>
      </c>
      <c r="F7" s="6">
        <v>51.82</v>
      </c>
      <c r="H7" s="61" t="s">
        <v>9</v>
      </c>
      <c r="I7" s="62"/>
      <c r="J7" s="11">
        <f>MIN(B$2:B$49)</f>
        <v>1.92</v>
      </c>
      <c r="K7" s="11">
        <f>MIN(C$2:C$49)</f>
        <v>1.59</v>
      </c>
      <c r="L7" s="11">
        <f>MIN(D$2:D$49)</f>
        <v>0.93</v>
      </c>
      <c r="M7" s="11">
        <f>MIN(E$2:E$49)</f>
        <v>5.14</v>
      </c>
      <c r="N7" s="12">
        <f>MIN(F$2:F$49)</f>
        <v>25.56</v>
      </c>
    </row>
    <row r="8" spans="1:14" ht="15" thickBot="1" x14ac:dyDescent="0.35">
      <c r="A8" s="7">
        <v>7</v>
      </c>
      <c r="B8" s="1">
        <v>4.29</v>
      </c>
      <c r="C8" s="1">
        <v>6.11</v>
      </c>
      <c r="D8" s="1">
        <v>2.83</v>
      </c>
      <c r="E8" s="1">
        <v>12.63</v>
      </c>
      <c r="F8" s="6">
        <v>42.61</v>
      </c>
      <c r="H8" s="63" t="s">
        <v>10</v>
      </c>
      <c r="I8" s="64"/>
      <c r="J8" s="13">
        <f>MAX(B$2:B$49)</f>
        <v>5.82</v>
      </c>
      <c r="K8" s="13">
        <f t="shared" ref="K8:N8" si="0">MAX(C$2:C$49)</f>
        <v>6.11</v>
      </c>
      <c r="L8" s="13">
        <f t="shared" si="0"/>
        <v>4.03</v>
      </c>
      <c r="M8" s="13">
        <f t="shared" si="0"/>
        <v>16.32</v>
      </c>
      <c r="N8" s="14">
        <f t="shared" si="0"/>
        <v>57.8</v>
      </c>
    </row>
    <row r="9" spans="1:14" x14ac:dyDescent="0.3">
      <c r="A9" s="5">
        <v>8</v>
      </c>
      <c r="B9" s="1">
        <v>4.04</v>
      </c>
      <c r="C9" s="1">
        <v>4.33</v>
      </c>
      <c r="D9" s="1">
        <v>3.09</v>
      </c>
      <c r="E9" s="1">
        <v>15.89</v>
      </c>
      <c r="F9" s="6">
        <v>27.15</v>
      </c>
      <c r="H9" s="57" t="s">
        <v>11</v>
      </c>
      <c r="I9" s="58"/>
      <c r="J9" s="15">
        <f>J$2-3*J$5</f>
        <v>1.5112552007973621</v>
      </c>
      <c r="K9" s="15">
        <f t="shared" ref="K9:N9" si="1">K$2-3*K$5</f>
        <v>1.0634066427217026</v>
      </c>
      <c r="L9" s="15">
        <f t="shared" si="1"/>
        <v>0.42427627375295085</v>
      </c>
      <c r="M9" s="15">
        <f t="shared" si="1"/>
        <v>4.2954698503782556</v>
      </c>
      <c r="N9" s="16">
        <f t="shared" si="1"/>
        <v>24.017987779479991</v>
      </c>
    </row>
    <row r="10" spans="1:14" ht="15" thickBot="1" x14ac:dyDescent="0.35">
      <c r="A10" s="5">
        <v>9</v>
      </c>
      <c r="B10" s="1">
        <v>3.99</v>
      </c>
      <c r="C10" s="1">
        <v>3.56</v>
      </c>
      <c r="D10" s="1">
        <v>2.94</v>
      </c>
      <c r="E10" s="1">
        <v>10.82</v>
      </c>
      <c r="F10" s="6">
        <v>52.16</v>
      </c>
      <c r="H10" s="59" t="s">
        <v>12</v>
      </c>
      <c r="I10" s="60"/>
      <c r="J10" s="17">
        <f>J$2+3*J$5</f>
        <v>6.8933281325359692</v>
      </c>
      <c r="K10" s="17">
        <f t="shared" ref="K10:N10" si="2">K$2+3*K$5</f>
        <v>7.1290933572783004</v>
      </c>
      <c r="L10" s="17">
        <f t="shared" si="2"/>
        <v>4.8544737262470488</v>
      </c>
      <c r="M10" s="17">
        <f t="shared" si="2"/>
        <v>18.298280149621732</v>
      </c>
      <c r="N10" s="18">
        <f t="shared" si="2"/>
        <v>70.32701222051999</v>
      </c>
    </row>
    <row r="11" spans="1:14" ht="15" thickBot="1" x14ac:dyDescent="0.35">
      <c r="A11" s="5">
        <v>10</v>
      </c>
      <c r="B11" s="1">
        <v>1.92</v>
      </c>
      <c r="C11" s="1">
        <v>4.57</v>
      </c>
      <c r="D11" s="1">
        <v>3.5</v>
      </c>
      <c r="E11" s="1">
        <v>8.4700000000000006</v>
      </c>
      <c r="F11" s="6">
        <v>55.2</v>
      </c>
    </row>
    <row r="12" spans="1:14" x14ac:dyDescent="0.3">
      <c r="A12" s="7">
        <v>11</v>
      </c>
      <c r="B12" s="1">
        <v>4.66</v>
      </c>
      <c r="C12" s="1">
        <v>2.94</v>
      </c>
      <c r="D12" s="1">
        <v>2.2999999999999998</v>
      </c>
      <c r="E12" s="1">
        <v>14.67</v>
      </c>
      <c r="F12" s="6">
        <v>34.31</v>
      </c>
      <c r="H12" s="43" t="s">
        <v>13</v>
      </c>
      <c r="I12" s="44"/>
      <c r="J12" s="44"/>
      <c r="K12" s="44"/>
      <c r="L12" s="44"/>
      <c r="M12" s="44"/>
      <c r="N12" s="45"/>
    </row>
    <row r="13" spans="1:14" ht="15" thickBot="1" x14ac:dyDescent="0.35">
      <c r="A13" s="7">
        <v>12</v>
      </c>
      <c r="B13" s="1">
        <v>4.03</v>
      </c>
      <c r="C13" s="1">
        <v>2.79</v>
      </c>
      <c r="D13" s="1">
        <v>3.52</v>
      </c>
      <c r="E13" s="1">
        <v>10.210000000000001</v>
      </c>
      <c r="F13" s="6">
        <v>54.02</v>
      </c>
      <c r="H13" s="46"/>
      <c r="I13" s="47"/>
      <c r="J13" s="47"/>
      <c r="K13" s="47"/>
      <c r="L13" s="47"/>
      <c r="M13" s="47"/>
      <c r="N13" s="48"/>
    </row>
    <row r="14" spans="1:14" x14ac:dyDescent="0.3">
      <c r="A14" s="7">
        <v>13</v>
      </c>
      <c r="B14" s="1">
        <v>5.82</v>
      </c>
      <c r="C14" s="1">
        <v>4.32</v>
      </c>
      <c r="D14" s="1">
        <v>1.69</v>
      </c>
      <c r="E14" s="1">
        <v>10.82</v>
      </c>
      <c r="F14" s="6">
        <v>46.11</v>
      </c>
      <c r="H14" s="49"/>
      <c r="I14" s="50"/>
      <c r="J14" s="52" t="s">
        <v>1</v>
      </c>
      <c r="K14" s="52" t="s">
        <v>2</v>
      </c>
      <c r="L14" s="52" t="s">
        <v>3</v>
      </c>
      <c r="M14" s="52" t="s">
        <v>4</v>
      </c>
      <c r="N14" s="53" t="s">
        <v>5</v>
      </c>
    </row>
    <row r="15" spans="1:14" x14ac:dyDescent="0.3">
      <c r="A15" s="7">
        <v>14</v>
      </c>
      <c r="B15" s="1">
        <v>4.66</v>
      </c>
      <c r="C15" s="1">
        <v>3.98</v>
      </c>
      <c r="D15" s="1">
        <v>2.21</v>
      </c>
      <c r="E15" s="1">
        <v>9.91</v>
      </c>
      <c r="F15" s="6">
        <v>53.07</v>
      </c>
      <c r="H15" s="51"/>
      <c r="I15" s="39"/>
      <c r="J15" s="42"/>
      <c r="K15" s="42"/>
      <c r="L15" s="42"/>
      <c r="M15" s="42"/>
      <c r="N15" s="54"/>
    </row>
    <row r="16" spans="1:14" x14ac:dyDescent="0.3">
      <c r="A16" s="5">
        <v>15</v>
      </c>
      <c r="B16" s="1">
        <v>4.47</v>
      </c>
      <c r="C16" s="1">
        <v>4.6100000000000003</v>
      </c>
      <c r="D16" s="1">
        <v>2.11</v>
      </c>
      <c r="E16" s="1">
        <v>13.96</v>
      </c>
      <c r="F16" s="6">
        <v>37.68</v>
      </c>
      <c r="H16" s="41" t="s">
        <v>1</v>
      </c>
      <c r="I16" s="42"/>
      <c r="J16" s="39"/>
      <c r="K16" s="39">
        <f>CORREL($B$2:$B$49, C$2:C$49)</f>
        <v>8.6351837924529107E-2</v>
      </c>
      <c r="L16" s="39">
        <f t="shared" ref="L16:N16" si="3">CORREL($B$2:$B$49, D$2:D$49)</f>
        <v>0.1503401344855457</v>
      </c>
      <c r="M16" s="39">
        <f t="shared" si="3"/>
        <v>-3.0981723876274209E-2</v>
      </c>
      <c r="N16" s="40">
        <f t="shared" si="3"/>
        <v>-4.9582773008542261E-2</v>
      </c>
    </row>
    <row r="17" spans="1:14" x14ac:dyDescent="0.3">
      <c r="A17" s="5">
        <v>16</v>
      </c>
      <c r="B17" s="1">
        <v>3.75</v>
      </c>
      <c r="C17" s="1">
        <v>5.07</v>
      </c>
      <c r="D17" s="1">
        <v>2.41</v>
      </c>
      <c r="E17" s="1">
        <v>12.9</v>
      </c>
      <c r="F17" s="6">
        <v>43.46</v>
      </c>
      <c r="H17" s="41"/>
      <c r="I17" s="42"/>
      <c r="J17" s="39"/>
      <c r="K17" s="39"/>
      <c r="L17" s="39"/>
      <c r="M17" s="39"/>
      <c r="N17" s="40"/>
    </row>
    <row r="18" spans="1:14" x14ac:dyDescent="0.3">
      <c r="A18" s="5">
        <v>17</v>
      </c>
      <c r="B18" s="1">
        <v>3.52</v>
      </c>
      <c r="C18" s="1">
        <v>5.17</v>
      </c>
      <c r="D18" s="1">
        <v>4.03</v>
      </c>
      <c r="E18" s="1">
        <v>10.039999999999999</v>
      </c>
      <c r="F18" s="6">
        <v>52.99</v>
      </c>
      <c r="H18" s="41" t="s">
        <v>2</v>
      </c>
      <c r="I18" s="42"/>
      <c r="J18" s="39"/>
      <c r="K18" s="39"/>
      <c r="L18" s="39">
        <f>CORREL($C$2:$C$49, D$2:D$49)</f>
        <v>0.16554356430098513</v>
      </c>
      <c r="M18" s="39">
        <f t="shared" ref="M18:N18" si="4">CORREL($C$2:$C$49, E$2:E$49)</f>
        <v>-0.13671951406703428</v>
      </c>
      <c r="N18" s="40">
        <f t="shared" si="4"/>
        <v>4.1827347968149985E-2</v>
      </c>
    </row>
    <row r="19" spans="1:14" x14ac:dyDescent="0.3">
      <c r="A19" s="7">
        <v>18</v>
      </c>
      <c r="B19" s="1">
        <v>3.76</v>
      </c>
      <c r="C19" s="1">
        <v>2.74</v>
      </c>
      <c r="D19" s="1">
        <v>1.1000000000000001</v>
      </c>
      <c r="E19" s="1">
        <v>16.32</v>
      </c>
      <c r="F19" s="6">
        <v>25.56</v>
      </c>
      <c r="H19" s="41"/>
      <c r="I19" s="42"/>
      <c r="J19" s="39"/>
      <c r="K19" s="39"/>
      <c r="L19" s="39"/>
      <c r="M19" s="39"/>
      <c r="N19" s="40"/>
    </row>
    <row r="20" spans="1:14" x14ac:dyDescent="0.3">
      <c r="A20" s="7">
        <v>19</v>
      </c>
      <c r="B20" s="1">
        <v>2.97</v>
      </c>
      <c r="C20" s="1">
        <v>5.01</v>
      </c>
      <c r="D20" s="1">
        <v>2.02</v>
      </c>
      <c r="E20" s="1">
        <v>5.14</v>
      </c>
      <c r="F20" s="6">
        <v>57.22</v>
      </c>
      <c r="H20" s="41" t="s">
        <v>3</v>
      </c>
      <c r="I20" s="42"/>
      <c r="J20" s="39"/>
      <c r="K20" s="39"/>
      <c r="L20" s="25"/>
      <c r="M20" s="25">
        <f>CORREL($D$2:$D$49, E$2:E$49)</f>
        <v>-0.21867023259590926</v>
      </c>
      <c r="N20" s="27">
        <f>CORREL($D$2:$D$49, F$2:F$49)</f>
        <v>0.21574009091380666</v>
      </c>
    </row>
    <row r="21" spans="1:14" x14ac:dyDescent="0.3">
      <c r="A21" s="7">
        <v>20</v>
      </c>
      <c r="B21" s="1">
        <v>4.8099999999999996</v>
      </c>
      <c r="C21" s="1">
        <v>4.6900000000000004</v>
      </c>
      <c r="D21" s="1">
        <v>3.63</v>
      </c>
      <c r="E21" s="1">
        <v>9.58</v>
      </c>
      <c r="F21" s="6">
        <v>52.58</v>
      </c>
      <c r="H21" s="41"/>
      <c r="I21" s="42"/>
      <c r="J21" s="39"/>
      <c r="K21" s="39"/>
      <c r="L21" s="26"/>
      <c r="M21" s="26"/>
      <c r="N21" s="28"/>
    </row>
    <row r="22" spans="1:14" x14ac:dyDescent="0.3">
      <c r="A22" s="7">
        <v>21</v>
      </c>
      <c r="B22" s="1">
        <v>5.05</v>
      </c>
      <c r="C22" s="1">
        <v>5.36</v>
      </c>
      <c r="D22" s="1">
        <v>3.32</v>
      </c>
      <c r="E22" s="1">
        <v>12.68</v>
      </c>
      <c r="F22" s="6">
        <v>41.28</v>
      </c>
      <c r="H22" s="41" t="s">
        <v>4</v>
      </c>
      <c r="I22" s="42"/>
      <c r="J22" s="39"/>
      <c r="K22" s="39"/>
      <c r="L22" s="25"/>
      <c r="M22" s="25"/>
      <c r="N22" s="27">
        <f>CORREL($E$2:$E$49, F$2:F$49)</f>
        <v>-0.93281288473498047</v>
      </c>
    </row>
    <row r="23" spans="1:14" x14ac:dyDescent="0.3">
      <c r="A23" s="5">
        <v>22</v>
      </c>
      <c r="B23" s="1">
        <v>5.42</v>
      </c>
      <c r="C23" s="1">
        <v>4.22</v>
      </c>
      <c r="D23" s="1">
        <v>2.4900000000000002</v>
      </c>
      <c r="E23" s="1">
        <v>11.2</v>
      </c>
      <c r="F23" s="6">
        <v>46.72</v>
      </c>
      <c r="H23" s="41"/>
      <c r="I23" s="42"/>
      <c r="J23" s="39"/>
      <c r="K23" s="39"/>
      <c r="L23" s="26"/>
      <c r="M23" s="26"/>
      <c r="N23" s="28"/>
    </row>
    <row r="24" spans="1:14" x14ac:dyDescent="0.3">
      <c r="A24" s="5">
        <v>23</v>
      </c>
      <c r="B24" s="1">
        <v>3.17</v>
      </c>
      <c r="C24" s="1">
        <v>4.01</v>
      </c>
      <c r="D24" s="1">
        <v>1.86</v>
      </c>
      <c r="E24" s="1">
        <v>10.18</v>
      </c>
      <c r="F24" s="6">
        <v>54.21</v>
      </c>
      <c r="H24" s="29" t="s">
        <v>5</v>
      </c>
      <c r="I24" s="30"/>
      <c r="J24" s="33"/>
      <c r="K24" s="33"/>
      <c r="L24" s="35"/>
      <c r="M24" s="35"/>
      <c r="N24" s="37"/>
    </row>
    <row r="25" spans="1:14" ht="15" thickBot="1" x14ac:dyDescent="0.35">
      <c r="A25" s="5">
        <v>24</v>
      </c>
      <c r="B25" s="1">
        <v>2.46</v>
      </c>
      <c r="C25" s="1">
        <v>3.53</v>
      </c>
      <c r="D25" s="1">
        <v>1.76</v>
      </c>
      <c r="E25" s="1">
        <v>8.11</v>
      </c>
      <c r="F25" s="6">
        <v>57.8</v>
      </c>
      <c r="H25" s="31"/>
      <c r="I25" s="32"/>
      <c r="J25" s="34"/>
      <c r="K25" s="34"/>
      <c r="L25" s="36"/>
      <c r="M25" s="36"/>
      <c r="N25" s="38"/>
    </row>
    <row r="26" spans="1:14" x14ac:dyDescent="0.3">
      <c r="A26" s="7">
        <v>25</v>
      </c>
      <c r="B26" s="1">
        <v>3.44</v>
      </c>
      <c r="C26" s="1">
        <v>2.5</v>
      </c>
      <c r="D26" s="1">
        <v>2.11</v>
      </c>
      <c r="E26" s="1">
        <v>12.34</v>
      </c>
      <c r="F26" s="6">
        <v>47.82</v>
      </c>
    </row>
    <row r="27" spans="1:14" x14ac:dyDescent="0.3">
      <c r="A27" s="7">
        <v>26</v>
      </c>
      <c r="B27" s="1">
        <v>5.16</v>
      </c>
      <c r="C27" s="1">
        <v>4.34</v>
      </c>
      <c r="D27" s="1">
        <v>2.95</v>
      </c>
      <c r="E27" s="1">
        <v>10.55</v>
      </c>
      <c r="F27" s="6">
        <v>49.52</v>
      </c>
    </row>
    <row r="28" spans="1:14" x14ac:dyDescent="0.3">
      <c r="A28" s="7">
        <v>27</v>
      </c>
      <c r="B28" s="1">
        <v>4.16</v>
      </c>
      <c r="C28" s="1">
        <v>3.17</v>
      </c>
      <c r="D28" s="1">
        <v>0.93</v>
      </c>
      <c r="E28" s="1">
        <v>10.76</v>
      </c>
      <c r="F28" s="6">
        <v>52.22</v>
      </c>
    </row>
    <row r="29" spans="1:14" x14ac:dyDescent="0.3">
      <c r="A29" s="7">
        <v>28</v>
      </c>
      <c r="B29" s="1">
        <v>5.28</v>
      </c>
      <c r="C29" s="1">
        <v>1.59</v>
      </c>
      <c r="D29" s="1">
        <v>3.37</v>
      </c>
      <c r="E29" s="1">
        <v>10.59</v>
      </c>
      <c r="F29" s="6">
        <v>49.81</v>
      </c>
    </row>
    <row r="30" spans="1:14" x14ac:dyDescent="0.3">
      <c r="A30" s="5">
        <v>29</v>
      </c>
      <c r="B30" s="1">
        <v>4.5</v>
      </c>
      <c r="C30" s="1">
        <v>3.83</v>
      </c>
      <c r="D30" s="1">
        <v>3.03</v>
      </c>
      <c r="E30" s="1">
        <v>12.44</v>
      </c>
      <c r="F30" s="6">
        <v>45.18</v>
      </c>
    </row>
    <row r="31" spans="1:14" x14ac:dyDescent="0.3">
      <c r="A31" s="5">
        <v>30</v>
      </c>
      <c r="B31" s="1">
        <v>5.23</v>
      </c>
      <c r="C31" s="1">
        <v>5.56</v>
      </c>
      <c r="D31" s="1">
        <v>3.57</v>
      </c>
      <c r="E31" s="1">
        <v>8.19</v>
      </c>
      <c r="F31" s="6">
        <v>52.7</v>
      </c>
    </row>
    <row r="32" spans="1:14" x14ac:dyDescent="0.3">
      <c r="A32" s="5">
        <v>31</v>
      </c>
      <c r="B32" s="1">
        <v>4.76</v>
      </c>
      <c r="C32" s="1">
        <v>4</v>
      </c>
      <c r="D32" s="1">
        <v>2.02</v>
      </c>
      <c r="E32" s="1">
        <v>10.58</v>
      </c>
      <c r="F32" s="6">
        <v>51.04</v>
      </c>
    </row>
    <row r="33" spans="1:6" x14ac:dyDescent="0.3">
      <c r="A33" s="7">
        <v>32</v>
      </c>
      <c r="B33" s="1">
        <v>5.05</v>
      </c>
      <c r="C33" s="1">
        <v>5.4</v>
      </c>
      <c r="D33" s="1">
        <v>3.75</v>
      </c>
      <c r="E33" s="1">
        <v>10.91</v>
      </c>
      <c r="F33" s="6">
        <v>47.63</v>
      </c>
    </row>
    <row r="34" spans="1:6" x14ac:dyDescent="0.3">
      <c r="A34" s="7">
        <v>33</v>
      </c>
      <c r="B34" s="1">
        <v>5.73</v>
      </c>
      <c r="C34" s="1">
        <v>3.84</v>
      </c>
      <c r="D34" s="1">
        <v>4.03</v>
      </c>
      <c r="E34" s="1">
        <v>7.96</v>
      </c>
      <c r="F34" s="6">
        <v>52.18</v>
      </c>
    </row>
    <row r="35" spans="1:6" x14ac:dyDescent="0.3">
      <c r="A35" s="7">
        <v>34</v>
      </c>
      <c r="B35" s="1">
        <v>4.4000000000000004</v>
      </c>
      <c r="C35" s="1">
        <v>4.9800000000000004</v>
      </c>
      <c r="D35" s="1">
        <v>3.17</v>
      </c>
      <c r="E35" s="1">
        <v>10.57</v>
      </c>
      <c r="F35" s="6">
        <v>50.99</v>
      </c>
    </row>
    <row r="36" spans="1:6" x14ac:dyDescent="0.3">
      <c r="A36" s="7">
        <v>35</v>
      </c>
      <c r="B36" s="1">
        <v>3.37</v>
      </c>
      <c r="C36" s="1">
        <v>3.91</v>
      </c>
      <c r="D36" s="1">
        <v>1.66</v>
      </c>
      <c r="E36" s="1">
        <v>13.19</v>
      </c>
      <c r="F36" s="6">
        <v>43.34</v>
      </c>
    </row>
    <row r="37" spans="1:6" x14ac:dyDescent="0.3">
      <c r="A37" s="5">
        <v>36</v>
      </c>
      <c r="B37" s="1">
        <v>4.6900000000000004</v>
      </c>
      <c r="C37" s="1">
        <v>4.18</v>
      </c>
      <c r="D37" s="1">
        <v>2.0699999999999998</v>
      </c>
      <c r="E37" s="1">
        <v>10.01</v>
      </c>
      <c r="F37" s="6">
        <v>52.62</v>
      </c>
    </row>
    <row r="38" spans="1:6" x14ac:dyDescent="0.3">
      <c r="A38" s="5">
        <v>37</v>
      </c>
      <c r="B38" s="1">
        <v>4</v>
      </c>
      <c r="C38" s="1">
        <v>4.4800000000000004</v>
      </c>
      <c r="D38" s="1">
        <v>2.15</v>
      </c>
      <c r="E38" s="1">
        <v>14.31</v>
      </c>
      <c r="F38" s="6">
        <v>36.72</v>
      </c>
    </row>
    <row r="39" spans="1:6" x14ac:dyDescent="0.3">
      <c r="A39" s="5">
        <v>38</v>
      </c>
      <c r="B39" s="1">
        <v>4.04</v>
      </c>
      <c r="C39" s="1">
        <v>2.23</v>
      </c>
      <c r="D39" s="1">
        <v>3.01</v>
      </c>
      <c r="E39" s="1">
        <v>12.61</v>
      </c>
      <c r="F39" s="6">
        <v>46.06</v>
      </c>
    </row>
    <row r="40" spans="1:6" x14ac:dyDescent="0.3">
      <c r="A40" s="7">
        <v>39</v>
      </c>
      <c r="B40" s="1">
        <v>3.54</v>
      </c>
      <c r="C40" s="1">
        <v>4.03</v>
      </c>
      <c r="D40" s="1">
        <v>3.07</v>
      </c>
      <c r="E40" s="1">
        <v>13.01</v>
      </c>
      <c r="F40" s="6">
        <v>43.93</v>
      </c>
    </row>
    <row r="41" spans="1:6" x14ac:dyDescent="0.3">
      <c r="A41" s="7">
        <v>40</v>
      </c>
      <c r="B41" s="1">
        <v>4.72</v>
      </c>
      <c r="C41" s="1">
        <v>3.17</v>
      </c>
      <c r="D41" s="1">
        <v>2.0499999999999998</v>
      </c>
      <c r="E41" s="1">
        <v>8.15</v>
      </c>
      <c r="F41" s="6">
        <v>56.45</v>
      </c>
    </row>
    <row r="42" spans="1:6" x14ac:dyDescent="0.3">
      <c r="A42" s="7">
        <v>41</v>
      </c>
      <c r="B42" s="1">
        <v>4.43</v>
      </c>
      <c r="C42" s="1">
        <v>3.53</v>
      </c>
      <c r="D42" s="1">
        <v>3.49</v>
      </c>
      <c r="E42" s="1">
        <v>8.02</v>
      </c>
      <c r="F42" s="6">
        <v>56.92</v>
      </c>
    </row>
    <row r="43" spans="1:6" x14ac:dyDescent="0.3">
      <c r="A43" s="7">
        <v>42</v>
      </c>
      <c r="B43" s="1">
        <v>3.94</v>
      </c>
      <c r="C43" s="1">
        <v>5.84</v>
      </c>
      <c r="D43" s="1">
        <v>3.16</v>
      </c>
      <c r="E43" s="1">
        <v>13.07</v>
      </c>
      <c r="F43" s="6">
        <v>41.44</v>
      </c>
    </row>
    <row r="44" spans="1:6" x14ac:dyDescent="0.3">
      <c r="A44" s="5">
        <v>43</v>
      </c>
      <c r="B44" s="1">
        <v>4.95</v>
      </c>
      <c r="C44" s="1">
        <v>2.52</v>
      </c>
      <c r="D44" s="1">
        <v>2.2400000000000002</v>
      </c>
      <c r="E44" s="1">
        <v>13.83</v>
      </c>
      <c r="F44" s="6">
        <v>38.18</v>
      </c>
    </row>
    <row r="45" spans="1:6" x14ac:dyDescent="0.3">
      <c r="A45" s="5">
        <v>44</v>
      </c>
      <c r="B45" s="1">
        <v>2.42</v>
      </c>
      <c r="C45" s="1">
        <v>2.86</v>
      </c>
      <c r="D45" s="1">
        <v>2.91</v>
      </c>
      <c r="E45" s="1">
        <v>9.18</v>
      </c>
      <c r="F45" s="6">
        <v>56.45</v>
      </c>
    </row>
    <row r="46" spans="1:6" x14ac:dyDescent="0.3">
      <c r="A46" s="5">
        <v>45</v>
      </c>
      <c r="B46" s="1">
        <v>4.78</v>
      </c>
      <c r="C46" s="1">
        <v>4.8</v>
      </c>
      <c r="D46" s="1">
        <v>2.2400000000000002</v>
      </c>
      <c r="E46" s="1">
        <v>12.51</v>
      </c>
      <c r="F46" s="6">
        <v>43.53</v>
      </c>
    </row>
    <row r="47" spans="1:6" x14ac:dyDescent="0.3">
      <c r="A47" s="7">
        <v>46</v>
      </c>
      <c r="B47" s="1">
        <v>2.3199999999999998</v>
      </c>
      <c r="C47" s="1">
        <v>4.18</v>
      </c>
      <c r="D47" s="1">
        <v>1.8</v>
      </c>
      <c r="E47" s="1">
        <v>14.66</v>
      </c>
      <c r="F47" s="6">
        <v>34.729999999999997</v>
      </c>
    </row>
    <row r="48" spans="1:6" x14ac:dyDescent="0.3">
      <c r="A48" s="7">
        <v>47</v>
      </c>
      <c r="B48" s="1">
        <v>4.59</v>
      </c>
      <c r="C48" s="1">
        <v>3.06</v>
      </c>
      <c r="D48" s="1">
        <v>2.9</v>
      </c>
      <c r="E48" s="1">
        <v>14.17</v>
      </c>
      <c r="F48" s="6">
        <v>37.159999999999997</v>
      </c>
    </row>
    <row r="49" spans="1:6" ht="15" thickBot="1" x14ac:dyDescent="0.35">
      <c r="A49" s="8">
        <v>48</v>
      </c>
      <c r="B49" s="9">
        <v>3.72</v>
      </c>
      <c r="C49" s="9">
        <v>3.46</v>
      </c>
      <c r="D49" s="9">
        <v>2.84</v>
      </c>
      <c r="E49" s="9">
        <v>13.86</v>
      </c>
      <c r="F49" s="10">
        <v>40.1</v>
      </c>
    </row>
  </sheetData>
  <mergeCells count="55">
    <mergeCell ref="H9:I9"/>
    <mergeCell ref="H10:I10"/>
    <mergeCell ref="H7:I7"/>
    <mergeCell ref="H8:I8"/>
    <mergeCell ref="H1:I1"/>
    <mergeCell ref="H2:I2"/>
    <mergeCell ref="H5:I6"/>
    <mergeCell ref="H3:I4"/>
    <mergeCell ref="M3:M4"/>
    <mergeCell ref="N3:N4"/>
    <mergeCell ref="J5:J6"/>
    <mergeCell ref="K5:K6"/>
    <mergeCell ref="L5:L6"/>
    <mergeCell ref="M5:M6"/>
    <mergeCell ref="N5:N6"/>
    <mergeCell ref="J3:J4"/>
    <mergeCell ref="K3:K4"/>
    <mergeCell ref="L3:L4"/>
    <mergeCell ref="H12:N13"/>
    <mergeCell ref="H14:I15"/>
    <mergeCell ref="J14:J15"/>
    <mergeCell ref="K14:K15"/>
    <mergeCell ref="L14:L15"/>
    <mergeCell ref="M14:M15"/>
    <mergeCell ref="N14:N15"/>
    <mergeCell ref="H16:I17"/>
    <mergeCell ref="H18:I19"/>
    <mergeCell ref="H20:I21"/>
    <mergeCell ref="H22:I23"/>
    <mergeCell ref="J16:J17"/>
    <mergeCell ref="J18:J19"/>
    <mergeCell ref="J20:J21"/>
    <mergeCell ref="J22:J23"/>
    <mergeCell ref="K16:K17"/>
    <mergeCell ref="K18:K19"/>
    <mergeCell ref="K20:K21"/>
    <mergeCell ref="K22:K23"/>
    <mergeCell ref="L16:L17"/>
    <mergeCell ref="L18:L19"/>
    <mergeCell ref="L20:L21"/>
    <mergeCell ref="L22:L23"/>
    <mergeCell ref="M16:M17"/>
    <mergeCell ref="N16:N17"/>
    <mergeCell ref="N18:N19"/>
    <mergeCell ref="M18:M19"/>
    <mergeCell ref="M20:M21"/>
    <mergeCell ref="N20:N21"/>
    <mergeCell ref="M22:M23"/>
    <mergeCell ref="N22:N23"/>
    <mergeCell ref="H24:I25"/>
    <mergeCell ref="J24:J25"/>
    <mergeCell ref="K24:K25"/>
    <mergeCell ref="L24:L25"/>
    <mergeCell ref="M24:M25"/>
    <mergeCell ref="N24:N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9011-A8D4-4071-B72D-DA13D5385849}">
  <dimension ref="A1"/>
  <sheetViews>
    <sheetView zoomScale="55" zoomScaleNormal="55" workbookViewId="0">
      <selection activeCell="Q20" sqref="Q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7D08-010A-488B-91EE-0C44163888A7}">
  <dimension ref="A1:BD65"/>
  <sheetViews>
    <sheetView zoomScale="40" zoomScaleNormal="40" workbookViewId="0">
      <selection activeCell="B64" sqref="B64:C65"/>
    </sheetView>
  </sheetViews>
  <sheetFormatPr defaultRowHeight="14.4" x14ac:dyDescent="0.3"/>
  <cols>
    <col min="1" max="1" width="4.21875" customWidth="1"/>
    <col min="2" max="2" width="19.5546875" customWidth="1"/>
    <col min="3" max="3" width="13.77734375" customWidth="1"/>
  </cols>
  <sheetData>
    <row r="1" spans="1:56" ht="22.8" customHeight="1" x14ac:dyDescent="0.3">
      <c r="A1" s="2" t="s">
        <v>0</v>
      </c>
      <c r="B1" s="3" t="s">
        <v>4</v>
      </c>
      <c r="C1" s="4" t="s">
        <v>5</v>
      </c>
      <c r="E1" s="71" t="s">
        <v>14</v>
      </c>
      <c r="F1" s="72"/>
      <c r="G1" s="20" t="s">
        <v>15</v>
      </c>
      <c r="I1" s="83" t="s">
        <v>22</v>
      </c>
    </row>
    <row r="2" spans="1:56" x14ac:dyDescent="0.3">
      <c r="A2" s="5">
        <v>1</v>
      </c>
      <c r="B2" s="1">
        <v>8.32</v>
      </c>
      <c r="C2" s="6">
        <v>54.17</v>
      </c>
      <c r="E2" s="7">
        <v>1</v>
      </c>
      <c r="F2" s="6">
        <f>$B2</f>
        <v>8.32</v>
      </c>
      <c r="G2" s="21">
        <f>$C2</f>
        <v>54.17</v>
      </c>
      <c r="I2" s="84">
        <f>$C$64+$C$65*$B2</f>
        <v>56.355943574668572</v>
      </c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</row>
    <row r="3" spans="1:56" x14ac:dyDescent="0.3">
      <c r="A3" s="5">
        <v>2</v>
      </c>
      <c r="B3" s="1">
        <v>10.42</v>
      </c>
      <c r="C3" s="6">
        <v>48.64</v>
      </c>
      <c r="E3" s="7">
        <v>1</v>
      </c>
      <c r="F3" s="6">
        <f t="shared" ref="F3:F49" si="0">$B3</f>
        <v>10.42</v>
      </c>
      <c r="G3" s="21">
        <f t="shared" ref="G3:G49" si="1">$C3</f>
        <v>48.64</v>
      </c>
      <c r="I3" s="84">
        <f t="shared" ref="I3:I49" si="2">$C$64+$C$65*$B3</f>
        <v>49.877595808368504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</row>
    <row r="4" spans="1:56" x14ac:dyDescent="0.3">
      <c r="A4" s="5">
        <v>3</v>
      </c>
      <c r="B4" s="1">
        <v>12.44</v>
      </c>
      <c r="C4" s="6">
        <v>45.67</v>
      </c>
      <c r="E4" s="7">
        <v>1</v>
      </c>
      <c r="F4" s="6">
        <f t="shared" si="0"/>
        <v>12.44</v>
      </c>
      <c r="G4" s="21">
        <f t="shared" si="1"/>
        <v>45.67</v>
      </c>
      <c r="I4" s="84">
        <f t="shared" si="2"/>
        <v>43.646042242689397</v>
      </c>
    </row>
    <row r="5" spans="1:56" x14ac:dyDescent="0.3">
      <c r="A5" s="7">
        <v>4</v>
      </c>
      <c r="B5" s="1">
        <v>10.97</v>
      </c>
      <c r="C5" s="6">
        <v>50.51</v>
      </c>
      <c r="E5" s="7">
        <v>1</v>
      </c>
      <c r="F5" s="6">
        <f t="shared" si="0"/>
        <v>10.97</v>
      </c>
      <c r="G5" s="21">
        <f t="shared" si="1"/>
        <v>50.51</v>
      </c>
      <c r="I5" s="84">
        <f t="shared" si="2"/>
        <v>48.18088567909944</v>
      </c>
    </row>
    <row r="6" spans="1:56" x14ac:dyDescent="0.3">
      <c r="A6" s="7">
        <v>5</v>
      </c>
      <c r="B6" s="1">
        <v>10.11</v>
      </c>
      <c r="C6" s="6">
        <v>52.62</v>
      </c>
      <c r="E6" s="7">
        <v>1</v>
      </c>
      <c r="F6" s="6">
        <f t="shared" si="0"/>
        <v>10.11</v>
      </c>
      <c r="G6" s="21">
        <f t="shared" si="1"/>
        <v>52.62</v>
      </c>
      <c r="I6" s="84">
        <f t="shared" si="2"/>
        <v>50.833923335774706</v>
      </c>
    </row>
    <row r="7" spans="1:56" x14ac:dyDescent="0.3">
      <c r="A7" s="7">
        <v>6</v>
      </c>
      <c r="B7" s="1">
        <v>10.99</v>
      </c>
      <c r="C7" s="6">
        <v>51.82</v>
      </c>
      <c r="E7" s="7">
        <v>1</v>
      </c>
      <c r="F7" s="6">
        <f t="shared" si="0"/>
        <v>10.99</v>
      </c>
      <c r="G7" s="21">
        <f t="shared" si="1"/>
        <v>51.82</v>
      </c>
      <c r="I7" s="84">
        <f t="shared" si="2"/>
        <v>48.119187128944198</v>
      </c>
    </row>
    <row r="8" spans="1:56" x14ac:dyDescent="0.3">
      <c r="A8" s="7">
        <v>7</v>
      </c>
      <c r="B8" s="1">
        <v>12.63</v>
      </c>
      <c r="C8" s="6">
        <v>42.61</v>
      </c>
      <c r="E8" s="7">
        <v>1</v>
      </c>
      <c r="F8" s="6">
        <f t="shared" si="0"/>
        <v>12.63</v>
      </c>
      <c r="G8" s="21">
        <f t="shared" si="1"/>
        <v>42.61</v>
      </c>
      <c r="I8" s="84">
        <f t="shared" si="2"/>
        <v>43.059906016214619</v>
      </c>
    </row>
    <row r="9" spans="1:56" x14ac:dyDescent="0.3">
      <c r="A9" s="5">
        <v>8</v>
      </c>
      <c r="B9" s="1">
        <v>15.89</v>
      </c>
      <c r="C9" s="6">
        <v>27.15</v>
      </c>
      <c r="E9" s="7">
        <v>1</v>
      </c>
      <c r="F9" s="6">
        <f t="shared" si="0"/>
        <v>15.89</v>
      </c>
      <c r="G9" s="21">
        <f t="shared" si="1"/>
        <v>27.15</v>
      </c>
      <c r="I9" s="84">
        <f t="shared" si="2"/>
        <v>33.00304234091071</v>
      </c>
    </row>
    <row r="10" spans="1:56" x14ac:dyDescent="0.3">
      <c r="A10" s="5">
        <v>9</v>
      </c>
      <c r="B10" s="1">
        <v>10.82</v>
      </c>
      <c r="C10" s="6">
        <v>52.16</v>
      </c>
      <c r="E10" s="7">
        <v>1</v>
      </c>
      <c r="F10" s="6">
        <f t="shared" si="0"/>
        <v>10.82</v>
      </c>
      <c r="G10" s="21">
        <f t="shared" si="1"/>
        <v>52.16</v>
      </c>
      <c r="I10" s="84">
        <f t="shared" si="2"/>
        <v>48.643624805263727</v>
      </c>
    </row>
    <row r="11" spans="1:56" x14ac:dyDescent="0.3">
      <c r="A11" s="5">
        <v>10</v>
      </c>
      <c r="B11" s="1">
        <v>8.4700000000000006</v>
      </c>
      <c r="C11" s="6">
        <v>55.2</v>
      </c>
      <c r="E11" s="7">
        <v>1</v>
      </c>
      <c r="F11" s="6">
        <f t="shared" si="0"/>
        <v>8.4700000000000006</v>
      </c>
      <c r="G11" s="21">
        <f t="shared" si="1"/>
        <v>55.2</v>
      </c>
      <c r="I11" s="84">
        <f t="shared" si="2"/>
        <v>55.893204448504278</v>
      </c>
    </row>
    <row r="12" spans="1:56" x14ac:dyDescent="0.3">
      <c r="A12" s="7">
        <v>11</v>
      </c>
      <c r="B12" s="1">
        <v>14.67</v>
      </c>
      <c r="C12" s="6">
        <v>34.31</v>
      </c>
      <c r="E12" s="7">
        <v>1</v>
      </c>
      <c r="F12" s="6">
        <f t="shared" si="0"/>
        <v>14.67</v>
      </c>
      <c r="G12" s="21">
        <f t="shared" si="1"/>
        <v>34.31</v>
      </c>
      <c r="I12" s="84">
        <f t="shared" si="2"/>
        <v>36.766653900380277</v>
      </c>
    </row>
    <row r="13" spans="1:56" x14ac:dyDescent="0.3">
      <c r="A13" s="7">
        <v>12</v>
      </c>
      <c r="B13" s="1">
        <v>10.210000000000001</v>
      </c>
      <c r="C13" s="6">
        <v>54.02</v>
      </c>
      <c r="E13" s="7">
        <v>1</v>
      </c>
      <c r="F13" s="6">
        <f t="shared" si="0"/>
        <v>10.210000000000001</v>
      </c>
      <c r="G13" s="21">
        <f t="shared" si="1"/>
        <v>54.02</v>
      </c>
      <c r="I13" s="84">
        <f t="shared" si="2"/>
        <v>50.525430584998503</v>
      </c>
    </row>
    <row r="14" spans="1:56" x14ac:dyDescent="0.3">
      <c r="A14" s="7">
        <v>13</v>
      </c>
      <c r="B14" s="1">
        <v>10.82</v>
      </c>
      <c r="C14" s="6">
        <v>46.11</v>
      </c>
      <c r="E14" s="7">
        <v>1</v>
      </c>
      <c r="F14" s="6">
        <f t="shared" si="0"/>
        <v>10.82</v>
      </c>
      <c r="G14" s="21">
        <f t="shared" si="1"/>
        <v>46.11</v>
      </c>
      <c r="I14" s="84">
        <f t="shared" si="2"/>
        <v>48.643624805263727</v>
      </c>
    </row>
    <row r="15" spans="1:56" x14ac:dyDescent="0.3">
      <c r="A15" s="7">
        <v>14</v>
      </c>
      <c r="B15" s="1">
        <v>9.91</v>
      </c>
      <c r="C15" s="6">
        <v>53.07</v>
      </c>
      <c r="E15" s="7">
        <v>1</v>
      </c>
      <c r="F15" s="6">
        <f t="shared" si="0"/>
        <v>9.91</v>
      </c>
      <c r="G15" s="21">
        <f t="shared" si="1"/>
        <v>53.07</v>
      </c>
      <c r="I15" s="84">
        <f t="shared" si="2"/>
        <v>51.450908837327091</v>
      </c>
    </row>
    <row r="16" spans="1:56" x14ac:dyDescent="0.3">
      <c r="A16" s="5">
        <v>15</v>
      </c>
      <c r="B16" s="1">
        <v>13.96</v>
      </c>
      <c r="C16" s="6">
        <v>37.68</v>
      </c>
      <c r="E16" s="7">
        <v>1</v>
      </c>
      <c r="F16" s="6">
        <f t="shared" si="0"/>
        <v>13.96</v>
      </c>
      <c r="G16" s="21">
        <f t="shared" si="1"/>
        <v>37.68</v>
      </c>
      <c r="I16" s="84">
        <f t="shared" si="2"/>
        <v>38.956952430891249</v>
      </c>
    </row>
    <row r="17" spans="1:9" x14ac:dyDescent="0.3">
      <c r="A17" s="5">
        <v>16</v>
      </c>
      <c r="B17" s="1">
        <v>12.9</v>
      </c>
      <c r="C17" s="6">
        <v>43.46</v>
      </c>
      <c r="E17" s="7">
        <v>1</v>
      </c>
      <c r="F17" s="6">
        <f t="shared" si="0"/>
        <v>12.9</v>
      </c>
      <c r="G17" s="21">
        <f t="shared" si="1"/>
        <v>43.46</v>
      </c>
      <c r="I17" s="84">
        <f t="shared" si="2"/>
        <v>42.226975589118901</v>
      </c>
    </row>
    <row r="18" spans="1:9" x14ac:dyDescent="0.3">
      <c r="A18" s="5">
        <v>17</v>
      </c>
      <c r="B18" s="1">
        <v>10.039999999999999</v>
      </c>
      <c r="C18" s="6">
        <v>52.99</v>
      </c>
      <c r="E18" s="7">
        <v>1</v>
      </c>
      <c r="F18" s="6">
        <f t="shared" si="0"/>
        <v>10.039999999999999</v>
      </c>
      <c r="G18" s="21">
        <f t="shared" si="1"/>
        <v>52.99</v>
      </c>
      <c r="I18" s="84">
        <f t="shared" si="2"/>
        <v>51.049868261318039</v>
      </c>
    </row>
    <row r="19" spans="1:9" x14ac:dyDescent="0.3">
      <c r="A19" s="7">
        <v>18</v>
      </c>
      <c r="B19" s="1">
        <v>16.32</v>
      </c>
      <c r="C19" s="6">
        <v>25.56</v>
      </c>
      <c r="E19" s="7">
        <v>1</v>
      </c>
      <c r="F19" s="6">
        <f t="shared" si="0"/>
        <v>16.32</v>
      </c>
      <c r="G19" s="21">
        <f t="shared" si="1"/>
        <v>25.56</v>
      </c>
      <c r="I19" s="84">
        <f t="shared" si="2"/>
        <v>31.676523512573077</v>
      </c>
    </row>
    <row r="20" spans="1:9" x14ac:dyDescent="0.3">
      <c r="A20" s="7">
        <v>19</v>
      </c>
      <c r="B20" s="1">
        <v>5.14</v>
      </c>
      <c r="C20" s="6">
        <v>57.22</v>
      </c>
      <c r="E20" s="7">
        <v>1</v>
      </c>
      <c r="F20" s="6">
        <f t="shared" si="0"/>
        <v>5.14</v>
      </c>
      <c r="G20" s="21">
        <f t="shared" si="1"/>
        <v>57.22</v>
      </c>
      <c r="I20" s="84">
        <f t="shared" si="2"/>
        <v>66.166013049351534</v>
      </c>
    </row>
    <row r="21" spans="1:9" x14ac:dyDescent="0.3">
      <c r="A21" s="7">
        <v>20</v>
      </c>
      <c r="B21" s="1">
        <v>9.58</v>
      </c>
      <c r="C21" s="6">
        <v>52.58</v>
      </c>
      <c r="E21" s="7">
        <v>1</v>
      </c>
      <c r="F21" s="6">
        <f t="shared" si="0"/>
        <v>9.58</v>
      </c>
      <c r="G21" s="21">
        <f t="shared" si="1"/>
        <v>52.58</v>
      </c>
      <c r="I21" s="84">
        <f t="shared" si="2"/>
        <v>52.468934914888528</v>
      </c>
    </row>
    <row r="22" spans="1:9" x14ac:dyDescent="0.3">
      <c r="A22" s="7">
        <v>21</v>
      </c>
      <c r="B22" s="1">
        <v>12.68</v>
      </c>
      <c r="C22" s="6">
        <v>41.28</v>
      </c>
      <c r="E22" s="7">
        <v>1</v>
      </c>
      <c r="F22" s="6">
        <f t="shared" si="0"/>
        <v>12.68</v>
      </c>
      <c r="G22" s="21">
        <f t="shared" si="1"/>
        <v>41.28</v>
      </c>
      <c r="I22" s="84">
        <f t="shared" si="2"/>
        <v>42.905659640826528</v>
      </c>
    </row>
    <row r="23" spans="1:9" x14ac:dyDescent="0.3">
      <c r="A23" s="5">
        <v>22</v>
      </c>
      <c r="B23" s="1">
        <v>11.2</v>
      </c>
      <c r="C23" s="6">
        <v>46.72</v>
      </c>
      <c r="E23" s="7">
        <v>1</v>
      </c>
      <c r="F23" s="6">
        <f t="shared" si="0"/>
        <v>11.2</v>
      </c>
      <c r="G23" s="21">
        <f t="shared" si="1"/>
        <v>46.72</v>
      </c>
      <c r="I23" s="84">
        <f t="shared" si="2"/>
        <v>47.471352352314199</v>
      </c>
    </row>
    <row r="24" spans="1:9" x14ac:dyDescent="0.3">
      <c r="A24" s="5">
        <v>23</v>
      </c>
      <c r="B24" s="1">
        <v>10.18</v>
      </c>
      <c r="C24" s="6">
        <v>54.21</v>
      </c>
      <c r="E24" s="7">
        <v>1</v>
      </c>
      <c r="F24" s="6">
        <f t="shared" si="0"/>
        <v>10.18</v>
      </c>
      <c r="G24" s="21">
        <f t="shared" si="1"/>
        <v>54.21</v>
      </c>
      <c r="I24" s="84">
        <f t="shared" si="2"/>
        <v>50.617978410231373</v>
      </c>
    </row>
    <row r="25" spans="1:9" x14ac:dyDescent="0.3">
      <c r="A25" s="5">
        <v>24</v>
      </c>
      <c r="B25" s="1">
        <v>8.11</v>
      </c>
      <c r="C25" s="6">
        <v>57.8</v>
      </c>
      <c r="E25" s="7">
        <v>1</v>
      </c>
      <c r="F25" s="6">
        <f t="shared" si="0"/>
        <v>8.11</v>
      </c>
      <c r="G25" s="21">
        <f t="shared" si="1"/>
        <v>57.8</v>
      </c>
      <c r="I25" s="84">
        <f t="shared" si="2"/>
        <v>57.003778351298578</v>
      </c>
    </row>
    <row r="26" spans="1:9" x14ac:dyDescent="0.3">
      <c r="A26" s="7">
        <v>25</v>
      </c>
      <c r="B26" s="1">
        <v>12.34</v>
      </c>
      <c r="C26" s="6">
        <v>47.82</v>
      </c>
      <c r="E26" s="7">
        <v>1</v>
      </c>
      <c r="F26" s="6">
        <f t="shared" si="0"/>
        <v>12.34</v>
      </c>
      <c r="G26" s="21">
        <f t="shared" si="1"/>
        <v>47.82</v>
      </c>
      <c r="I26" s="84">
        <f t="shared" si="2"/>
        <v>43.954534993465586</v>
      </c>
    </row>
    <row r="27" spans="1:9" x14ac:dyDescent="0.3">
      <c r="A27" s="7">
        <v>26</v>
      </c>
      <c r="B27" s="1">
        <v>10.55</v>
      </c>
      <c r="C27" s="6">
        <v>49.52</v>
      </c>
      <c r="E27" s="7">
        <v>1</v>
      </c>
      <c r="F27" s="6">
        <f t="shared" si="0"/>
        <v>10.55</v>
      </c>
      <c r="G27" s="21">
        <f t="shared" si="1"/>
        <v>49.52</v>
      </c>
      <c r="I27" s="84">
        <f t="shared" si="2"/>
        <v>49.476555232359452</v>
      </c>
    </row>
    <row r="28" spans="1:9" x14ac:dyDescent="0.3">
      <c r="A28" s="7">
        <v>27</v>
      </c>
      <c r="B28" s="1">
        <v>10.76</v>
      </c>
      <c r="C28" s="6">
        <v>52.22</v>
      </c>
      <c r="E28" s="7">
        <v>1</v>
      </c>
      <c r="F28" s="6">
        <f t="shared" si="0"/>
        <v>10.76</v>
      </c>
      <c r="G28" s="21">
        <f t="shared" si="1"/>
        <v>52.22</v>
      </c>
      <c r="I28" s="84">
        <f t="shared" si="2"/>
        <v>48.828720455729446</v>
      </c>
    </row>
    <row r="29" spans="1:9" x14ac:dyDescent="0.3">
      <c r="A29" s="7">
        <v>28</v>
      </c>
      <c r="B29" s="1">
        <v>10.59</v>
      </c>
      <c r="C29" s="6">
        <v>49.81</v>
      </c>
      <c r="E29" s="7">
        <v>1</v>
      </c>
      <c r="F29" s="6">
        <f t="shared" si="0"/>
        <v>10.59</v>
      </c>
      <c r="G29" s="21">
        <f t="shared" si="1"/>
        <v>49.81</v>
      </c>
      <c r="I29" s="84">
        <f t="shared" si="2"/>
        <v>49.353158132048975</v>
      </c>
    </row>
    <row r="30" spans="1:9" x14ac:dyDescent="0.3">
      <c r="A30" s="5">
        <v>29</v>
      </c>
      <c r="B30" s="1">
        <v>12.44</v>
      </c>
      <c r="C30" s="6">
        <v>45.18</v>
      </c>
      <c r="E30" s="7">
        <v>1</v>
      </c>
      <c r="F30" s="6">
        <f t="shared" si="0"/>
        <v>12.44</v>
      </c>
      <c r="G30" s="21">
        <f t="shared" si="1"/>
        <v>45.18</v>
      </c>
      <c r="I30" s="84">
        <f t="shared" si="2"/>
        <v>43.646042242689397</v>
      </c>
    </row>
    <row r="31" spans="1:9" x14ac:dyDescent="0.3">
      <c r="A31" s="5">
        <v>30</v>
      </c>
      <c r="B31" s="1">
        <v>8.19</v>
      </c>
      <c r="C31" s="6">
        <v>52.7</v>
      </c>
      <c r="E31" s="7">
        <v>1</v>
      </c>
      <c r="F31" s="6">
        <f t="shared" si="0"/>
        <v>8.19</v>
      </c>
      <c r="G31" s="21">
        <f t="shared" si="1"/>
        <v>52.7</v>
      </c>
      <c r="I31" s="84">
        <f t="shared" si="2"/>
        <v>56.756984150677624</v>
      </c>
    </row>
    <row r="32" spans="1:9" x14ac:dyDescent="0.3">
      <c r="A32" s="5">
        <v>31</v>
      </c>
      <c r="B32" s="1">
        <v>10.58</v>
      </c>
      <c r="C32" s="6">
        <v>51.04</v>
      </c>
      <c r="E32" s="7">
        <v>1</v>
      </c>
      <c r="F32" s="6">
        <f t="shared" si="0"/>
        <v>10.58</v>
      </c>
      <c r="G32" s="21">
        <f t="shared" si="1"/>
        <v>51.04</v>
      </c>
      <c r="I32" s="84">
        <f t="shared" si="2"/>
        <v>49.384007407126596</v>
      </c>
    </row>
    <row r="33" spans="1:9" x14ac:dyDescent="0.3">
      <c r="A33" s="7">
        <v>32</v>
      </c>
      <c r="B33" s="1">
        <v>10.91</v>
      </c>
      <c r="C33" s="6">
        <v>47.63</v>
      </c>
      <c r="E33" s="7">
        <v>1</v>
      </c>
      <c r="F33" s="6">
        <f t="shared" si="0"/>
        <v>10.91</v>
      </c>
      <c r="G33" s="21">
        <f t="shared" si="1"/>
        <v>47.63</v>
      </c>
      <c r="I33" s="84">
        <f t="shared" si="2"/>
        <v>48.365981329565152</v>
      </c>
    </row>
    <row r="34" spans="1:9" x14ac:dyDescent="0.3">
      <c r="A34" s="7">
        <v>33</v>
      </c>
      <c r="B34" s="1">
        <v>7.96</v>
      </c>
      <c r="C34" s="6">
        <v>52.18</v>
      </c>
      <c r="E34" s="7">
        <v>1</v>
      </c>
      <c r="F34" s="6">
        <f t="shared" si="0"/>
        <v>7.96</v>
      </c>
      <c r="G34" s="21">
        <f t="shared" si="1"/>
        <v>52.18</v>
      </c>
      <c r="I34" s="84">
        <f t="shared" si="2"/>
        <v>57.466517477462865</v>
      </c>
    </row>
    <row r="35" spans="1:9" x14ac:dyDescent="0.3">
      <c r="A35" s="7">
        <v>34</v>
      </c>
      <c r="B35" s="1">
        <v>10.57</v>
      </c>
      <c r="C35" s="6">
        <v>50.99</v>
      </c>
      <c r="E35" s="7">
        <v>1</v>
      </c>
      <c r="F35" s="6">
        <f t="shared" si="0"/>
        <v>10.57</v>
      </c>
      <c r="G35" s="21">
        <f t="shared" si="1"/>
        <v>50.99</v>
      </c>
      <c r="I35" s="84">
        <f t="shared" si="2"/>
        <v>49.41485668220421</v>
      </c>
    </row>
    <row r="36" spans="1:9" x14ac:dyDescent="0.3">
      <c r="A36" s="7">
        <v>35</v>
      </c>
      <c r="B36" s="1">
        <v>13.19</v>
      </c>
      <c r="C36" s="6">
        <v>43.34</v>
      </c>
      <c r="E36" s="7">
        <v>1</v>
      </c>
      <c r="F36" s="6">
        <f t="shared" si="0"/>
        <v>13.19</v>
      </c>
      <c r="G36" s="21">
        <f t="shared" si="1"/>
        <v>43.34</v>
      </c>
      <c r="I36" s="84">
        <f t="shared" si="2"/>
        <v>41.332346611867941</v>
      </c>
    </row>
    <row r="37" spans="1:9" x14ac:dyDescent="0.3">
      <c r="A37" s="5">
        <v>36</v>
      </c>
      <c r="B37" s="1">
        <v>10.01</v>
      </c>
      <c r="C37" s="6">
        <v>52.62</v>
      </c>
      <c r="E37" s="7">
        <v>1</v>
      </c>
      <c r="F37" s="6">
        <f t="shared" si="0"/>
        <v>10.01</v>
      </c>
      <c r="G37" s="21">
        <f t="shared" si="1"/>
        <v>52.62</v>
      </c>
      <c r="I37" s="84">
        <f t="shared" si="2"/>
        <v>51.142416086550895</v>
      </c>
    </row>
    <row r="38" spans="1:9" x14ac:dyDescent="0.3">
      <c r="A38" s="5">
        <v>37</v>
      </c>
      <c r="B38" s="1">
        <v>14.31</v>
      </c>
      <c r="C38" s="6">
        <v>36.72</v>
      </c>
      <c r="E38" s="7">
        <v>1</v>
      </c>
      <c r="F38" s="6">
        <f t="shared" si="0"/>
        <v>14.31</v>
      </c>
      <c r="G38" s="21">
        <f t="shared" si="1"/>
        <v>36.72</v>
      </c>
      <c r="I38" s="84">
        <f t="shared" si="2"/>
        <v>37.87722780317457</v>
      </c>
    </row>
    <row r="39" spans="1:9" x14ac:dyDescent="0.3">
      <c r="A39" s="5">
        <v>38</v>
      </c>
      <c r="B39" s="1">
        <v>12.61</v>
      </c>
      <c r="C39" s="6">
        <v>46.06</v>
      </c>
      <c r="E39" s="7">
        <v>1</v>
      </c>
      <c r="F39" s="6">
        <f t="shared" si="0"/>
        <v>12.61</v>
      </c>
      <c r="G39" s="21">
        <f t="shared" si="1"/>
        <v>46.06</v>
      </c>
      <c r="I39" s="84">
        <f t="shared" si="2"/>
        <v>43.121604566369868</v>
      </c>
    </row>
    <row r="40" spans="1:9" x14ac:dyDescent="0.3">
      <c r="A40" s="7">
        <v>39</v>
      </c>
      <c r="B40" s="1">
        <v>13.01</v>
      </c>
      <c r="C40" s="6">
        <v>43.93</v>
      </c>
      <c r="E40" s="7">
        <v>1</v>
      </c>
      <c r="F40" s="6">
        <f t="shared" si="0"/>
        <v>13.01</v>
      </c>
      <c r="G40" s="21">
        <f t="shared" si="1"/>
        <v>43.93</v>
      </c>
      <c r="I40" s="84">
        <f t="shared" si="2"/>
        <v>41.887633563265091</v>
      </c>
    </row>
    <row r="41" spans="1:9" x14ac:dyDescent="0.3">
      <c r="A41" s="7">
        <v>40</v>
      </c>
      <c r="B41" s="1">
        <v>8.15</v>
      </c>
      <c r="C41" s="6">
        <v>56.45</v>
      </c>
      <c r="E41" s="7">
        <v>1</v>
      </c>
      <c r="F41" s="6">
        <f t="shared" si="0"/>
        <v>8.15</v>
      </c>
      <c r="G41" s="21">
        <f t="shared" si="1"/>
        <v>56.45</v>
      </c>
      <c r="I41" s="84">
        <f t="shared" si="2"/>
        <v>56.880381250988094</v>
      </c>
    </row>
    <row r="42" spans="1:9" x14ac:dyDescent="0.3">
      <c r="A42" s="7">
        <v>41</v>
      </c>
      <c r="B42" s="1">
        <v>8.02</v>
      </c>
      <c r="C42" s="6">
        <v>56.92</v>
      </c>
      <c r="E42" s="7">
        <v>1</v>
      </c>
      <c r="F42" s="6">
        <f t="shared" si="0"/>
        <v>8.02</v>
      </c>
      <c r="G42" s="21">
        <f t="shared" si="1"/>
        <v>56.92</v>
      </c>
      <c r="I42" s="84">
        <f t="shared" si="2"/>
        <v>57.281421826997146</v>
      </c>
    </row>
    <row r="43" spans="1:9" x14ac:dyDescent="0.3">
      <c r="A43" s="7">
        <v>42</v>
      </c>
      <c r="B43" s="1">
        <v>13.07</v>
      </c>
      <c r="C43" s="6">
        <v>41.44</v>
      </c>
      <c r="E43" s="7">
        <v>1</v>
      </c>
      <c r="F43" s="6">
        <f t="shared" si="0"/>
        <v>13.07</v>
      </c>
      <c r="G43" s="21">
        <f t="shared" si="1"/>
        <v>41.44</v>
      </c>
      <c r="I43" s="84">
        <f t="shared" si="2"/>
        <v>41.702537912799372</v>
      </c>
    </row>
    <row r="44" spans="1:9" x14ac:dyDescent="0.3">
      <c r="A44" s="5">
        <v>43</v>
      </c>
      <c r="B44" s="1">
        <v>13.83</v>
      </c>
      <c r="C44" s="6">
        <v>38.18</v>
      </c>
      <c r="E44" s="7">
        <v>1</v>
      </c>
      <c r="F44" s="6">
        <f t="shared" si="0"/>
        <v>13.83</v>
      </c>
      <c r="G44" s="21">
        <f t="shared" si="1"/>
        <v>38.18</v>
      </c>
      <c r="I44" s="84">
        <f t="shared" si="2"/>
        <v>39.357993006900301</v>
      </c>
    </row>
    <row r="45" spans="1:9" x14ac:dyDescent="0.3">
      <c r="A45" s="5">
        <v>44</v>
      </c>
      <c r="B45" s="1">
        <v>9.18</v>
      </c>
      <c r="C45" s="6">
        <v>56.45</v>
      </c>
      <c r="E45" s="7">
        <v>1</v>
      </c>
      <c r="F45" s="6">
        <f t="shared" si="0"/>
        <v>9.18</v>
      </c>
      <c r="G45" s="21">
        <f t="shared" si="1"/>
        <v>56.45</v>
      </c>
      <c r="I45" s="84">
        <f t="shared" si="2"/>
        <v>53.702905917993306</v>
      </c>
    </row>
    <row r="46" spans="1:9" x14ac:dyDescent="0.3">
      <c r="A46" s="5">
        <v>45</v>
      </c>
      <c r="B46" s="1">
        <v>12.51</v>
      </c>
      <c r="C46" s="6">
        <v>43.53</v>
      </c>
      <c r="E46" s="7">
        <v>1</v>
      </c>
      <c r="F46" s="6">
        <f t="shared" si="0"/>
        <v>12.51</v>
      </c>
      <c r="G46" s="21">
        <f t="shared" si="1"/>
        <v>43.53</v>
      </c>
      <c r="I46" s="84">
        <f t="shared" si="2"/>
        <v>43.430097317146057</v>
      </c>
    </row>
    <row r="47" spans="1:9" x14ac:dyDescent="0.3">
      <c r="A47" s="7">
        <v>46</v>
      </c>
      <c r="B47" s="1">
        <v>14.66</v>
      </c>
      <c r="C47" s="6">
        <v>34.729999999999997</v>
      </c>
      <c r="E47" s="7">
        <v>1</v>
      </c>
      <c r="F47" s="6">
        <f t="shared" si="0"/>
        <v>14.66</v>
      </c>
      <c r="G47" s="21">
        <f t="shared" si="1"/>
        <v>34.729999999999997</v>
      </c>
      <c r="I47" s="84">
        <f t="shared" si="2"/>
        <v>36.797503175457891</v>
      </c>
    </row>
    <row r="48" spans="1:9" x14ac:dyDescent="0.3">
      <c r="A48" s="7">
        <v>47</v>
      </c>
      <c r="B48" s="1">
        <v>14.17</v>
      </c>
      <c r="C48" s="6">
        <v>37.159999999999997</v>
      </c>
      <c r="E48" s="7">
        <v>1</v>
      </c>
      <c r="F48" s="6">
        <f t="shared" si="0"/>
        <v>14.17</v>
      </c>
      <c r="G48" s="21">
        <f t="shared" si="1"/>
        <v>37.159999999999997</v>
      </c>
      <c r="I48" s="84">
        <f t="shared" si="2"/>
        <v>38.309117654261243</v>
      </c>
    </row>
    <row r="49" spans="1:49" ht="15" thickBot="1" x14ac:dyDescent="0.35">
      <c r="A49" s="8">
        <v>48</v>
      </c>
      <c r="B49" s="9">
        <v>13.86</v>
      </c>
      <c r="C49" s="10">
        <v>40.1</v>
      </c>
      <c r="E49" s="8">
        <v>1</v>
      </c>
      <c r="F49" s="10">
        <f t="shared" si="0"/>
        <v>13.86</v>
      </c>
      <c r="G49" s="22">
        <f t="shared" si="1"/>
        <v>40.1</v>
      </c>
      <c r="I49" s="85">
        <f t="shared" si="2"/>
        <v>39.265445181667445</v>
      </c>
    </row>
    <row r="51" spans="1:49" ht="15" thickBot="1" x14ac:dyDescent="0.35">
      <c r="B51" s="23" t="s">
        <v>16</v>
      </c>
    </row>
    <row r="52" spans="1:49" x14ac:dyDescent="0.3">
      <c r="B52" s="24" cm="1">
        <f t="array" ref="B52:AW53">TRANSPOSE(E2:F49)</f>
        <v>1</v>
      </c>
      <c r="C52" s="15">
        <v>1</v>
      </c>
      <c r="D52" s="15">
        <v>1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  <c r="AS52" s="15">
        <v>1</v>
      </c>
      <c r="AT52" s="15">
        <v>1</v>
      </c>
      <c r="AU52" s="15">
        <v>1</v>
      </c>
      <c r="AV52" s="15">
        <v>1</v>
      </c>
      <c r="AW52" s="16">
        <v>1</v>
      </c>
    </row>
    <row r="53" spans="1:49" ht="15" thickBot="1" x14ac:dyDescent="0.35">
      <c r="B53" s="8">
        <v>8.32</v>
      </c>
      <c r="C53" s="17">
        <v>10.42</v>
      </c>
      <c r="D53" s="17">
        <v>12.44</v>
      </c>
      <c r="E53" s="17">
        <v>10.97</v>
      </c>
      <c r="F53" s="17">
        <v>10.11</v>
      </c>
      <c r="G53" s="17">
        <v>10.99</v>
      </c>
      <c r="H53" s="17">
        <v>12.63</v>
      </c>
      <c r="I53" s="17">
        <v>15.89</v>
      </c>
      <c r="J53" s="17">
        <v>10.82</v>
      </c>
      <c r="K53" s="17">
        <v>8.4700000000000006</v>
      </c>
      <c r="L53" s="17">
        <v>14.67</v>
      </c>
      <c r="M53" s="17">
        <v>10.210000000000001</v>
      </c>
      <c r="N53" s="17">
        <v>10.82</v>
      </c>
      <c r="O53" s="17">
        <v>9.91</v>
      </c>
      <c r="P53" s="17">
        <v>13.96</v>
      </c>
      <c r="Q53" s="17">
        <v>12.9</v>
      </c>
      <c r="R53" s="17">
        <v>10.039999999999999</v>
      </c>
      <c r="S53" s="17">
        <v>16.32</v>
      </c>
      <c r="T53" s="17">
        <v>5.14</v>
      </c>
      <c r="U53" s="17">
        <v>9.58</v>
      </c>
      <c r="V53" s="17">
        <v>12.68</v>
      </c>
      <c r="W53" s="17">
        <v>11.2</v>
      </c>
      <c r="X53" s="17">
        <v>10.18</v>
      </c>
      <c r="Y53" s="17">
        <v>8.11</v>
      </c>
      <c r="Z53" s="17">
        <v>12.34</v>
      </c>
      <c r="AA53" s="17">
        <v>10.55</v>
      </c>
      <c r="AB53" s="17">
        <v>10.76</v>
      </c>
      <c r="AC53" s="17">
        <v>10.59</v>
      </c>
      <c r="AD53" s="17">
        <v>12.44</v>
      </c>
      <c r="AE53" s="17">
        <v>8.19</v>
      </c>
      <c r="AF53" s="17">
        <v>10.58</v>
      </c>
      <c r="AG53" s="17">
        <v>10.91</v>
      </c>
      <c r="AH53" s="17">
        <v>7.96</v>
      </c>
      <c r="AI53" s="17">
        <v>10.57</v>
      </c>
      <c r="AJ53" s="17">
        <v>13.19</v>
      </c>
      <c r="AK53" s="17">
        <v>10.01</v>
      </c>
      <c r="AL53" s="17">
        <v>14.31</v>
      </c>
      <c r="AM53" s="17">
        <v>12.61</v>
      </c>
      <c r="AN53" s="17">
        <v>13.01</v>
      </c>
      <c r="AO53" s="17">
        <v>8.15</v>
      </c>
      <c r="AP53" s="17">
        <v>8.02</v>
      </c>
      <c r="AQ53" s="17">
        <v>13.07</v>
      </c>
      <c r="AR53" s="17">
        <v>13.83</v>
      </c>
      <c r="AS53" s="17">
        <v>9.18</v>
      </c>
      <c r="AT53" s="17">
        <v>12.51</v>
      </c>
      <c r="AU53" s="17">
        <v>14.66</v>
      </c>
      <c r="AV53" s="17">
        <v>14.17</v>
      </c>
      <c r="AW53" s="18">
        <v>13.86</v>
      </c>
    </row>
    <row r="55" spans="1:49" ht="15" thickBot="1" x14ac:dyDescent="0.35">
      <c r="B55" s="23" t="s">
        <v>17</v>
      </c>
    </row>
    <row r="56" spans="1:49" x14ac:dyDescent="0.3">
      <c r="B56" s="24" cm="1">
        <f t="array" ref="B56:C57">MMULT(_xlfn.ANCHORARRAY(B52),E2:F49)</f>
        <v>48</v>
      </c>
      <c r="C56" s="16">
        <v>542.24999999999977</v>
      </c>
    </row>
    <row r="57" spans="1:49" ht="15" thickBot="1" x14ac:dyDescent="0.35">
      <c r="B57" s="8">
        <v>542.24999999999977</v>
      </c>
      <c r="C57" s="18">
        <v>6381.7221</v>
      </c>
    </row>
    <row r="59" spans="1:49" ht="15" thickBot="1" x14ac:dyDescent="0.35">
      <c r="B59" s="23" t="s">
        <v>18</v>
      </c>
    </row>
    <row r="60" spans="1:49" x14ac:dyDescent="0.3">
      <c r="B60" s="24" cm="1">
        <f t="array" ref="B60:C61">MINVERSE(_xlfn.ANCHORARRAY(B56))</f>
        <v>0.5193628522182302</v>
      </c>
      <c r="C60" s="16">
        <v>-4.4129860592853967E-2</v>
      </c>
    </row>
    <row r="61" spans="1:49" ht="15" thickBot="1" x14ac:dyDescent="0.35">
      <c r="B61" s="8">
        <v>-4.4129860592853967E-2</v>
      </c>
      <c r="C61" s="18">
        <v>3.906377701165498E-3</v>
      </c>
    </row>
    <row r="62" spans="1:49" ht="15" thickBot="1" x14ac:dyDescent="0.35"/>
    <row r="63" spans="1:49" x14ac:dyDescent="0.3">
      <c r="B63" s="79" t="s">
        <v>19</v>
      </c>
      <c r="C63" s="80"/>
    </row>
    <row r="64" spans="1:49" x14ac:dyDescent="0.3">
      <c r="B64" s="81" t="s">
        <v>20</v>
      </c>
      <c r="C64" s="19" cm="1">
        <f t="array" ref="C64:C65">MMULT(MMULT(_xlfn.ANCHORARRAY(B60),_xlfn.ANCHORARRAY(B52)),G2:G49)</f>
        <v>82.022540439247877</v>
      </c>
    </row>
    <row r="65" spans="2:3" ht="15" thickBot="1" x14ac:dyDescent="0.35">
      <c r="B65" s="82" t="s">
        <v>21</v>
      </c>
      <c r="C65" s="77">
        <v>-3.084927507761936</v>
      </c>
    </row>
  </sheetData>
  <mergeCells count="2">
    <mergeCell ref="B63:C63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3FF-ED58-485A-873D-5169A9532C56}">
  <dimension ref="A1:K50"/>
  <sheetViews>
    <sheetView zoomScale="55" zoomScaleNormal="55" workbookViewId="0">
      <selection activeCell="L28" sqref="L28"/>
    </sheetView>
  </sheetViews>
  <sheetFormatPr defaultRowHeight="14.4" x14ac:dyDescent="0.3"/>
  <cols>
    <col min="1" max="1" width="3.6640625" customWidth="1"/>
    <col min="2" max="4" width="16.5546875" customWidth="1"/>
    <col min="5" max="6" width="20.21875" customWidth="1"/>
    <col min="7" max="7" width="21.88671875" customWidth="1"/>
  </cols>
  <sheetData>
    <row r="1" spans="1:11" ht="31.8" customHeight="1" x14ac:dyDescent="0.3">
      <c r="A1" s="87" t="s">
        <v>0</v>
      </c>
      <c r="B1" s="88" t="s">
        <v>23</v>
      </c>
      <c r="C1" s="2" t="s">
        <v>28</v>
      </c>
      <c r="D1" s="88" t="s">
        <v>29</v>
      </c>
      <c r="E1" s="101" t="s">
        <v>31</v>
      </c>
      <c r="F1" s="90" t="s">
        <v>33</v>
      </c>
      <c r="G1" s="91" t="s">
        <v>24</v>
      </c>
      <c r="H1" s="91"/>
      <c r="I1" s="91"/>
      <c r="J1" s="91"/>
      <c r="K1" s="78"/>
    </row>
    <row r="2" spans="1:11" x14ac:dyDescent="0.3">
      <c r="A2" s="7">
        <v>1</v>
      </c>
      <c r="B2" s="89">
        <f>(Model!$C2-Model!$I2)^2</f>
        <v>4.7783493116348081</v>
      </c>
      <c r="C2" s="96">
        <f>($G$5-Model!$I2)^2</f>
        <v>84.335635889126067</v>
      </c>
      <c r="D2" s="89">
        <f>($G$5-Model!$G2)^2</f>
        <v>48.965006250003512</v>
      </c>
      <c r="E2" s="102">
        <f>ABS(Model!$G2-Model!$I2)/ABS(Model!$G2)</f>
        <v>4.0353398092460226E-2</v>
      </c>
      <c r="F2" s="99">
        <f>C2*COUNT(Model!$A$2:$A$49)-1-1</f>
        <v>4046.110522678051</v>
      </c>
      <c r="G2" s="93">
        <f>(1/COUNT(Model!$A$2:$A$49)*SUM($B2:$B49))^0.5</f>
        <v>2.7522038333246583</v>
      </c>
      <c r="H2" s="93"/>
      <c r="I2" s="93"/>
      <c r="J2" s="93"/>
      <c r="K2" s="98"/>
    </row>
    <row r="3" spans="1:11" x14ac:dyDescent="0.3">
      <c r="A3" s="7">
        <v>2</v>
      </c>
      <c r="B3" s="89">
        <f>(Model!$C3-Model!$I3)^2</f>
        <v>1.5316433848912896</v>
      </c>
      <c r="C3" s="96">
        <f>($G$5-Model!$I3)^2</f>
        <v>7.317543332454199</v>
      </c>
      <c r="D3" s="89">
        <f>($G$5-Model!$G3)^2</f>
        <v>2.153556250000733</v>
      </c>
      <c r="E3" s="102">
        <f>ABS(Model!$G3-Model!$I3)/ABS(Model!$G3)</f>
        <v>2.5443992770734034E-2</v>
      </c>
      <c r="F3" s="99">
        <f>C3*COUNT(Model!$A$2:$A$49)-1-1</f>
        <v>349.24207995780154</v>
      </c>
      <c r="G3" s="78"/>
      <c r="H3" s="78"/>
      <c r="I3" s="78"/>
      <c r="J3" s="78"/>
      <c r="K3" s="78"/>
    </row>
    <row r="4" spans="1:11" x14ac:dyDescent="0.3">
      <c r="A4" s="7">
        <v>3</v>
      </c>
      <c r="B4" s="89">
        <f>(Model!$C4-Model!$I4)^2</f>
        <v>4.0964050033777726</v>
      </c>
      <c r="C4" s="96">
        <f>($G$5-Model!$I4)^2</f>
        <v>12.435904314094369</v>
      </c>
      <c r="D4" s="89">
        <f>($G$5-Model!$G4)^2</f>
        <v>2.257506249999246</v>
      </c>
      <c r="E4" s="102">
        <f>ABS(Model!$G4-Model!$I4)/ABS(Model!$G4)</f>
        <v>4.4317008042710854E-2</v>
      </c>
      <c r="F4" s="99">
        <f>C4*COUNT(Model!$A$2:$A$49)-1-1</f>
        <v>594.92340707652966</v>
      </c>
      <c r="G4" s="94" t="s">
        <v>26</v>
      </c>
      <c r="H4" s="94"/>
      <c r="I4" s="94"/>
      <c r="J4" s="94"/>
      <c r="K4" s="78"/>
    </row>
    <row r="5" spans="1:11" x14ac:dyDescent="0.3">
      <c r="A5" s="7">
        <v>4</v>
      </c>
      <c r="B5" s="89">
        <f>(Model!$C5-Model!$I5)^2</f>
        <v>5.4247735198240683</v>
      </c>
      <c r="C5" s="96">
        <f>($G$5-Model!$I5)^2</f>
        <v>1.0168416778133409</v>
      </c>
      <c r="D5" s="89">
        <f>($G$5-Model!$G5)^2</f>
        <v>11.13890625000165</v>
      </c>
      <c r="E5" s="102">
        <f>ABS(Model!$G5-Model!$I5)/ABS(Model!$G5)</f>
        <v>4.6111944583261899E-2</v>
      </c>
      <c r="F5" s="99">
        <f>C5*COUNT(Model!$A$2:$A$49)-1-1</f>
        <v>46.808400535040363</v>
      </c>
      <c r="G5" s="93">
        <f>AVERAGE(Model!$I2:$I49)</f>
        <v>47.172499999999751</v>
      </c>
      <c r="H5" s="93"/>
      <c r="I5" s="93"/>
      <c r="J5" s="93"/>
      <c r="K5" s="78"/>
    </row>
    <row r="6" spans="1:11" x14ac:dyDescent="0.3">
      <c r="A6" s="7">
        <v>5</v>
      </c>
      <c r="B6" s="89">
        <f>(Model!$C6-Model!$I6)^2</f>
        <v>3.1900698504901435</v>
      </c>
      <c r="C6" s="96">
        <f>($G$5-Model!$I6)^2</f>
        <v>13.406020843757403</v>
      </c>
      <c r="D6" s="89">
        <f>($G$5-Model!$G6)^2</f>
        <v>29.675256250002686</v>
      </c>
      <c r="E6" s="102">
        <f>ABS(Model!$G6-Model!$I6)/ABS(Model!$G6)</f>
        <v>3.394292406357452E-2</v>
      </c>
      <c r="F6" s="99">
        <f>C6*COUNT(Model!$A$2:$A$49)-1-1</f>
        <v>641.48900050035536</v>
      </c>
      <c r="G6" s="78"/>
      <c r="H6" s="78"/>
      <c r="I6" s="78"/>
      <c r="J6" s="78"/>
      <c r="K6" s="78"/>
    </row>
    <row r="7" spans="1:11" x14ac:dyDescent="0.3">
      <c r="A7" s="7">
        <v>6</v>
      </c>
      <c r="B7" s="89">
        <f>(Model!$C7-Model!$I7)^2</f>
        <v>13.696015906572292</v>
      </c>
      <c r="C7" s="96">
        <f>($G$5-Model!$I7)^2</f>
        <v>0.89621652010907993</v>
      </c>
      <c r="D7" s="89">
        <f>($G$5-Model!$G7)^2</f>
        <v>21.59925625000232</v>
      </c>
      <c r="E7" s="102">
        <f>ABS(Model!$G7-Model!$I7)/ABS(Model!$G7)</f>
        <v>7.141668990844853E-2</v>
      </c>
      <c r="F7" s="99">
        <f>C7*COUNT(Model!$A$2:$A$49)-1-1</f>
        <v>41.018392965235833</v>
      </c>
      <c r="G7" s="91" t="s">
        <v>25</v>
      </c>
      <c r="H7" s="91"/>
      <c r="I7" s="91"/>
      <c r="J7" s="91"/>
      <c r="K7" s="78"/>
    </row>
    <row r="8" spans="1:11" x14ac:dyDescent="0.3">
      <c r="A8" s="7">
        <v>7</v>
      </c>
      <c r="B8" s="89">
        <f>(Model!$C8-Model!$I8)^2</f>
        <v>0.20241542342610933</v>
      </c>
      <c r="C8" s="96">
        <f>($G$5-Model!$I8)^2</f>
        <v>16.913429275465663</v>
      </c>
      <c r="D8" s="89">
        <f>($G$5-Model!$G8)^2</f>
        <v>20.81640624999773</v>
      </c>
      <c r="E8" s="102">
        <f>ABS(Model!$G8-Model!$I8)/ABS(Model!$G8)</f>
        <v>1.055869552252099E-2</v>
      </c>
      <c r="F8" s="99">
        <f>C8*COUNT(Model!$A$2:$A$49)-1-1</f>
        <v>809.8446052223519</v>
      </c>
      <c r="G8" s="93">
        <f>$G$2/ABS(G5)*100</f>
        <v>5.8343395692928564</v>
      </c>
      <c r="H8" s="93"/>
      <c r="I8" s="93"/>
      <c r="J8" s="93"/>
      <c r="K8" s="78"/>
    </row>
    <row r="9" spans="1:11" x14ac:dyDescent="0.3">
      <c r="A9" s="7">
        <v>8</v>
      </c>
      <c r="B9" s="89">
        <f>(Model!$C9-Model!$I9)^2</f>
        <v>34.258104644493542</v>
      </c>
      <c r="C9" s="96">
        <f>($G$5-Model!$I9)^2</f>
        <v>200.77353035271707</v>
      </c>
      <c r="D9" s="89">
        <f>($G$5-Model!$G9)^2</f>
        <v>400.90050624999009</v>
      </c>
      <c r="E9" s="102">
        <f>ABS(Model!$G9-Model!$I9)/ABS(Model!$G9)</f>
        <v>0.21558167001512751</v>
      </c>
      <c r="F9" s="99">
        <f>C9*COUNT(Model!$A$2:$A$49)-1-1</f>
        <v>9635.1294569304191</v>
      </c>
      <c r="G9" s="78"/>
      <c r="H9" s="78"/>
      <c r="I9" s="78"/>
      <c r="J9" s="78"/>
      <c r="K9" s="78"/>
    </row>
    <row r="10" spans="1:11" x14ac:dyDescent="0.3">
      <c r="A10" s="7">
        <v>9</v>
      </c>
      <c r="B10" s="89">
        <f>(Model!$C10-Model!$I10)^2</f>
        <v>12.364894510156539</v>
      </c>
      <c r="C10" s="96">
        <f>($G$5-Model!$I10)^2</f>
        <v>2.1642081926629713</v>
      </c>
      <c r="D10" s="89">
        <f>($G$5-Model!$G10)^2</f>
        <v>24.875156250002451</v>
      </c>
      <c r="E10" s="102">
        <f>ABS(Model!$G10-Model!$I10)/ABS(Model!$G10)</f>
        <v>6.7415168610741372E-2</v>
      </c>
      <c r="F10" s="99">
        <f>C10*COUNT(Model!$A$2:$A$49)-1-1</f>
        <v>101.88199324782262</v>
      </c>
      <c r="G10" s="94" t="s">
        <v>30</v>
      </c>
      <c r="H10" s="94"/>
      <c r="I10" s="94"/>
      <c r="J10" s="94"/>
      <c r="K10" s="78"/>
    </row>
    <row r="11" spans="1:11" x14ac:dyDescent="0.3">
      <c r="A11" s="7">
        <v>10</v>
      </c>
      <c r="B11" s="89">
        <f>(Model!$C11-Model!$I11)^2</f>
        <v>0.48053240742611636</v>
      </c>
      <c r="C11" s="96">
        <f>($G$5-Model!$I11)^2</f>
        <v>76.050686078166649</v>
      </c>
      <c r="D11" s="89">
        <f>($G$5-Model!$G11)^2</f>
        <v>64.440756250004043</v>
      </c>
      <c r="E11" s="102">
        <f>ABS(Model!$G11-Model!$I11)/ABS(Model!$G11)</f>
        <v>1.2558051603338317E-2</v>
      </c>
      <c r="F11" s="99">
        <f>C11*COUNT(Model!$A$2:$A$49)-1-1</f>
        <v>3648.4329317519991</v>
      </c>
      <c r="G11" s="93">
        <f>1/COUNT(Model!$A$2:$A$49)*SUM($E$2:$E$49)*100</f>
        <v>4.7875679100008641</v>
      </c>
      <c r="H11" s="93"/>
      <c r="I11" s="93"/>
      <c r="J11" s="93"/>
      <c r="K11" s="78"/>
    </row>
    <row r="12" spans="1:11" x14ac:dyDescent="0.3">
      <c r="A12" s="7">
        <v>11</v>
      </c>
      <c r="B12" s="89">
        <f>(Model!$C12-Model!$I12)^2</f>
        <v>6.0351483862536162</v>
      </c>
      <c r="C12" s="96">
        <f>($G$5-Model!$I12)^2</f>
        <v>108.28163304896582</v>
      </c>
      <c r="D12" s="89">
        <f>($G$5-Model!$G12)^2</f>
        <v>165.44390624999352</v>
      </c>
      <c r="E12" s="102">
        <f>ABS(Model!$G12-Model!$I12)/ABS(Model!$G12)</f>
        <v>7.1601687565732278E-2</v>
      </c>
      <c r="F12" s="99">
        <f>C12*COUNT(Model!$A$2:$A$49)-1-1</f>
        <v>5195.5183863503589</v>
      </c>
      <c r="G12" s="78"/>
      <c r="H12" s="78"/>
      <c r="I12" s="78"/>
      <c r="J12" s="78"/>
      <c r="K12" s="78"/>
    </row>
    <row r="13" spans="1:11" x14ac:dyDescent="0.3">
      <c r="A13" s="7">
        <v>12</v>
      </c>
      <c r="B13" s="89">
        <f>(Model!$C13-Model!$I13)^2</f>
        <v>12.212015396263926</v>
      </c>
      <c r="C13" s="96">
        <f>($G$5-Model!$I13)^2</f>
        <v>11.242143507820074</v>
      </c>
      <c r="D13" s="89">
        <f>($G$5-Model!$G13)^2</f>
        <v>46.888256250003458</v>
      </c>
      <c r="E13" s="102">
        <f>ABS(Model!$G13-Model!$I13)/ABS(Model!$G13)</f>
        <v>6.4690289059635322E-2</v>
      </c>
      <c r="F13" s="99">
        <f>C13*COUNT(Model!$A$2:$A$49)-1-1</f>
        <v>537.62288837536357</v>
      </c>
      <c r="G13" s="94" t="s">
        <v>27</v>
      </c>
      <c r="H13" s="94"/>
      <c r="I13" s="94"/>
      <c r="J13" s="94"/>
      <c r="K13" s="78"/>
    </row>
    <row r="14" spans="1:11" x14ac:dyDescent="0.3">
      <c r="A14" s="7">
        <v>13</v>
      </c>
      <c r="B14" s="89">
        <f>(Model!$C14-Model!$I14)^2</f>
        <v>6.41925465384766</v>
      </c>
      <c r="C14" s="96">
        <f>($G$5-Model!$I14)^2</f>
        <v>2.1642081926629713</v>
      </c>
      <c r="D14" s="89">
        <f>($G$5-Model!$G14)^2</f>
        <v>1.1289062499994715</v>
      </c>
      <c r="E14" s="102">
        <f>ABS(Model!$G14-Model!$I14)/ABS(Model!$G14)</f>
        <v>5.4947404147988016E-2</v>
      </c>
      <c r="F14" s="99">
        <f>C14*COUNT(Model!$A$2:$A$49)-1-1</f>
        <v>101.88199324782262</v>
      </c>
      <c r="G14" s="93">
        <f>SUM(C2:C49)/SUM(D2:D49)</f>
        <v>0.87013987792754088</v>
      </c>
      <c r="H14" s="93"/>
      <c r="I14" s="93"/>
      <c r="J14" s="93"/>
      <c r="K14" s="78"/>
    </row>
    <row r="15" spans="1:11" x14ac:dyDescent="0.3">
      <c r="A15" s="7">
        <v>14</v>
      </c>
      <c r="B15" s="89">
        <f>(Model!$C15-Model!$I15)^2</f>
        <v>2.6214561930455123</v>
      </c>
      <c r="C15" s="96">
        <f>($G$5-Model!$I15)^2</f>
        <v>18.304782179320686</v>
      </c>
      <c r="D15" s="89">
        <f>($G$5-Model!$G15)^2</f>
        <v>34.780506250002944</v>
      </c>
      <c r="E15" s="102">
        <f>ABS(Model!$G15-Model!$I15)/ABS(Model!$G15)</f>
        <v>3.0508595490350648E-2</v>
      </c>
      <c r="F15" s="99">
        <f>C15*COUNT(Model!$A$2:$A$49)-1-1</f>
        <v>876.62954460739297</v>
      </c>
      <c r="G15" s="78"/>
      <c r="H15" s="78"/>
      <c r="I15" s="78"/>
      <c r="J15" s="78"/>
      <c r="K15" s="78"/>
    </row>
    <row r="16" spans="1:11" x14ac:dyDescent="0.3">
      <c r="A16" s="7">
        <v>15</v>
      </c>
      <c r="B16" s="89">
        <f>(Model!$C16-Model!$I16)^2</f>
        <v>1.6306075107590712</v>
      </c>
      <c r="C16" s="96">
        <f>($G$5-Model!$I16)^2</f>
        <v>67.495221860284616</v>
      </c>
      <c r="D16" s="89">
        <f>($G$5-Model!$G16)^2</f>
        <v>90.10755624999527</v>
      </c>
      <c r="E16" s="102">
        <f>ABS(Model!$G16-Model!$I16)/ABS(Model!$G16)</f>
        <v>3.3889395724290061E-2</v>
      </c>
      <c r="F16" s="99">
        <f>C16*COUNT(Model!$A$2:$A$49)-1-1</f>
        <v>3237.7706492936613</v>
      </c>
      <c r="G16" s="94" t="s">
        <v>32</v>
      </c>
      <c r="H16" s="94"/>
      <c r="I16" s="94"/>
      <c r="J16" s="94"/>
      <c r="K16" s="78"/>
    </row>
    <row r="17" spans="1:11" x14ac:dyDescent="0.3">
      <c r="A17" s="7">
        <v>16</v>
      </c>
      <c r="B17" s="89">
        <f>(Model!$C17-Model!$I17)^2</f>
        <v>1.5203491978286841</v>
      </c>
      <c r="C17" s="96">
        <f>($G$5-Model!$I17)^2</f>
        <v>24.458211698618378</v>
      </c>
      <c r="D17" s="89">
        <f>($G$5-Model!$G17)^2</f>
        <v>13.782656249998142</v>
      </c>
      <c r="E17" s="102">
        <f>ABS(Model!$G17-Model!$I17)/ABS(Model!$G17)</f>
        <v>2.8371477470803041E-2</v>
      </c>
      <c r="F17" s="99">
        <f>C17*COUNT(Model!$A$2:$A$49)-1-1</f>
        <v>1171.994161533682</v>
      </c>
      <c r="G17" s="93">
        <f>SUM(F2:F49)/SUM(B2:B49)</f>
        <v>321.3644441454997</v>
      </c>
      <c r="H17" s="74"/>
      <c r="I17" s="74"/>
      <c r="J17" s="74"/>
      <c r="K17" s="78"/>
    </row>
    <row r="18" spans="1:11" x14ac:dyDescent="0.3">
      <c r="A18" s="7">
        <v>17</v>
      </c>
      <c r="B18" s="89">
        <f>(Model!$C18-Model!$I18)^2</f>
        <v>3.764111163441096</v>
      </c>
      <c r="C18" s="96">
        <f>($G$5-Model!$I18)^2</f>
        <v>15.033984633878408</v>
      </c>
      <c r="D18" s="89">
        <f>($G$5-Model!$G18)^2</f>
        <v>33.843306250002925</v>
      </c>
      <c r="E18" s="102">
        <f>ABS(Model!$G18-Model!$I18)/ABS(Model!$G18)</f>
        <v>3.6613167365200275E-2</v>
      </c>
      <c r="F18" s="99">
        <f>C18*COUNT(Model!$A$2:$A$49)-1-1</f>
        <v>719.63126242616363</v>
      </c>
      <c r="G18" s="98"/>
      <c r="H18" s="92"/>
      <c r="I18" s="92"/>
      <c r="J18" s="92"/>
    </row>
    <row r="19" spans="1:11" x14ac:dyDescent="0.3">
      <c r="A19" s="7">
        <v>18</v>
      </c>
      <c r="B19" s="89">
        <f>(Model!$C19-Model!$I19)^2</f>
        <v>37.411859879859307</v>
      </c>
      <c r="C19" s="96">
        <f>($G$5-Model!$I19)^2</f>
        <v>240.12528729888032</v>
      </c>
      <c r="D19" s="89">
        <f>($G$5-Model!$G19)^2</f>
        <v>467.10015624998925</v>
      </c>
      <c r="E19" s="102">
        <f>ABS(Model!$G19-Model!$I19)/ABS(Model!$G19)</f>
        <v>0.23930060690817992</v>
      </c>
      <c r="F19" s="99">
        <f>C19*COUNT(Model!$A$2:$A$49)-1-1</f>
        <v>11524.013790346256</v>
      </c>
      <c r="G19" s="73" t="s">
        <v>34</v>
      </c>
      <c r="H19" s="73"/>
      <c r="I19" s="73"/>
      <c r="J19" s="73"/>
    </row>
    <row r="20" spans="1:11" x14ac:dyDescent="0.3">
      <c r="A20" s="7">
        <v>19</v>
      </c>
      <c r="B20" s="89">
        <f>(Model!$C20-Model!$I20)^2</f>
        <v>80.031149479167951</v>
      </c>
      <c r="C20" s="96">
        <f>($G$5-Model!$I20)^2</f>
        <v>360.75353795589649</v>
      </c>
      <c r="D20" s="89">
        <f>($G$5-Model!$G20)^2</f>
        <v>100.95225625000499</v>
      </c>
      <c r="E20" s="102">
        <f>ABS(Model!$G20-Model!$I20)/ABS(Model!$G20)</f>
        <v>0.15634416374259935</v>
      </c>
      <c r="F20" s="99">
        <f>C20*COUNT(Model!$A$2:$A$49)-1-1</f>
        <v>17314.169821883032</v>
      </c>
      <c r="G20" s="74">
        <f>FINV(0.01,1,COUNT(Model!$A$2:$A$49)-1-1)</f>
        <v>7.220041507491711</v>
      </c>
      <c r="H20" s="74"/>
      <c r="I20" s="74"/>
      <c r="J20" s="74"/>
    </row>
    <row r="21" spans="1:11" x14ac:dyDescent="0.3">
      <c r="A21" s="7">
        <v>20</v>
      </c>
      <c r="B21" s="89">
        <f>(Model!$C21-Model!$I21)^2</f>
        <v>1.233545313081804E-2</v>
      </c>
      <c r="C21" s="96">
        <f>($G$5-Model!$I21)^2</f>
        <v>28.052222807652893</v>
      </c>
      <c r="D21" s="89">
        <f>($G$5-Model!$G21)^2</f>
        <v>29.241056250002678</v>
      </c>
      <c r="E21" s="102">
        <f>ABS(Model!$G21-Model!$I21)/ABS(Model!$G21)</f>
        <v>2.1123066776620359E-3</v>
      </c>
      <c r="F21" s="99">
        <f>C21*COUNT(Model!$A$2:$A$49)-1-1</f>
        <v>1344.5066947673388</v>
      </c>
    </row>
    <row r="22" spans="1:11" x14ac:dyDescent="0.3">
      <c r="A22" s="7">
        <v>21</v>
      </c>
      <c r="B22" s="89">
        <f>(Model!$C22-Model!$I22)^2</f>
        <v>2.6427692678122319</v>
      </c>
      <c r="C22" s="96">
        <f>($G$5-Model!$I22)^2</f>
        <v>18.205926650669479</v>
      </c>
      <c r="D22" s="89">
        <f>($G$5-Model!$G22)^2</f>
        <v>34.72155624999705</v>
      </c>
      <c r="E22" s="102">
        <f>ABS(Model!$G22-Model!$I22)/ABS(Model!$G22)</f>
        <v>3.9381289748704619E-2</v>
      </c>
      <c r="F22" s="99">
        <f>C22*COUNT(Model!$A$2:$A$49)-1-1</f>
        <v>871.88447923213494</v>
      </c>
    </row>
    <row r="23" spans="1:11" x14ac:dyDescent="0.3">
      <c r="A23" s="7">
        <v>22</v>
      </c>
      <c r="B23" s="89">
        <f>(Model!$C23-Model!$I23)^2</f>
        <v>0.56453035732808143</v>
      </c>
      <c r="C23" s="96">
        <f>($G$5-Model!$I23)^2</f>
        <v>8.9312728483878931E-2</v>
      </c>
      <c r="D23" s="89">
        <f>($G$5-Model!$G23)^2</f>
        <v>0.20475624999977546</v>
      </c>
      <c r="E23" s="102">
        <f>ABS(Model!$G23-Model!$I23)/ABS(Model!$G23)</f>
        <v>1.6082028088916948E-2</v>
      </c>
      <c r="F23" s="99">
        <f>C23*COUNT(Model!$A$2:$A$49)-1-1</f>
        <v>2.2870109672261885</v>
      </c>
    </row>
    <row r="24" spans="1:11" x14ac:dyDescent="0.3">
      <c r="A24" s="7">
        <v>23</v>
      </c>
      <c r="B24" s="89">
        <f>(Model!$C24-Model!$I24)^2</f>
        <v>12.902619101363939</v>
      </c>
      <c r="C24" s="96">
        <f>($G$5-Model!$I24)^2</f>
        <v>11.871321475372229</v>
      </c>
      <c r="D24" s="89">
        <f>($G$5-Model!$G24)^2</f>
        <v>49.526406250003518</v>
      </c>
      <c r="E24" s="102">
        <f>ABS(Model!$G24-Model!$I24)/ABS(Model!$G24)</f>
        <v>6.6261235745593575E-2</v>
      </c>
      <c r="F24" s="99">
        <f>C24*COUNT(Model!$A$2:$A$49)-1-1</f>
        <v>567.82343081786701</v>
      </c>
    </row>
    <row r="25" spans="1:11" x14ac:dyDescent="0.3">
      <c r="A25" s="7">
        <v>24</v>
      </c>
      <c r="B25" s="89">
        <f>(Model!$C25-Model!$I25)^2</f>
        <v>0.63396891386080567</v>
      </c>
      <c r="C25" s="96">
        <f>($G$5-Model!$I25)^2</f>
        <v>96.654034020716992</v>
      </c>
      <c r="D25" s="89">
        <f>($G$5-Model!$G25)^2</f>
        <v>112.94375625000524</v>
      </c>
      <c r="E25" s="102">
        <f>ABS(Model!$G25-Model!$I25)/ABS(Model!$G25)</f>
        <v>1.3775461050197559E-2</v>
      </c>
      <c r="F25" s="99">
        <f>C25*COUNT(Model!$A$2:$A$49)-1-1</f>
        <v>4637.3936329944154</v>
      </c>
    </row>
    <row r="26" spans="1:11" x14ac:dyDescent="0.3">
      <c r="A26" s="7">
        <v>25</v>
      </c>
      <c r="B26" s="89">
        <f>(Model!$C26-Model!$I26)^2</f>
        <v>14.941819716742099</v>
      </c>
      <c r="C26" s="96">
        <f>($G$5-Model!$I26)^2</f>
        <v>10.355298783278426</v>
      </c>
      <c r="D26" s="89">
        <f>($G$5-Model!$G26)^2</f>
        <v>0.41925625000032318</v>
      </c>
      <c r="E26" s="102">
        <f>ABS(Model!$G26-Model!$I26)/ABS(Model!$G26)</f>
        <v>8.0833647146265453E-2</v>
      </c>
      <c r="F26" s="99">
        <f>C26*COUNT(Model!$A$2:$A$49)-1-1</f>
        <v>495.05434159736444</v>
      </c>
    </row>
    <row r="27" spans="1:11" x14ac:dyDescent="0.3">
      <c r="A27" s="7">
        <v>26</v>
      </c>
      <c r="B27" s="89">
        <f>(Model!$C27-Model!$I27)^2</f>
        <v>1.8874478353414815E-3</v>
      </c>
      <c r="C27" s="96">
        <f>($G$5-Model!$I27)^2</f>
        <v>5.3086705137641168</v>
      </c>
      <c r="D27" s="89">
        <f>($G$5-Model!$G27)^2</f>
        <v>5.5107562500011849</v>
      </c>
      <c r="E27" s="102">
        <f>ABS(Model!$G27-Model!$I27)/ABS(Model!$G27)</f>
        <v>8.7731760178818977E-4</v>
      </c>
      <c r="F27" s="99">
        <f>C27*COUNT(Model!$A$2:$A$49)-1-1</f>
        <v>252.81618466067761</v>
      </c>
    </row>
    <row r="28" spans="1:11" x14ac:dyDescent="0.3">
      <c r="A28" s="7">
        <v>27</v>
      </c>
      <c r="B28" s="89">
        <f>(Model!$C28-Model!$I28)^2</f>
        <v>11.500776947387889</v>
      </c>
      <c r="C28" s="96">
        <f>($G$5-Model!$I28)^2</f>
        <v>2.7430661979774791</v>
      </c>
      <c r="D28" s="89">
        <f>($G$5-Model!$G28)^2</f>
        <v>25.477256250002505</v>
      </c>
      <c r="E28" s="102">
        <f>ABS(Model!$G28-Model!$I28)/ABS(Model!$G28)</f>
        <v>6.4942159024713772E-2</v>
      </c>
      <c r="F28" s="99">
        <f>C28*COUNT(Model!$A$2:$A$49)-1-1</f>
        <v>129.667177502919</v>
      </c>
    </row>
    <row r="29" spans="1:11" x14ac:dyDescent="0.3">
      <c r="A29" s="7">
        <v>28</v>
      </c>
      <c r="B29" s="89">
        <f>(Model!$C29-Model!$I29)^2</f>
        <v>0.20870449231298388</v>
      </c>
      <c r="C29" s="96">
        <f>($G$5-Model!$I29)^2</f>
        <v>4.7552698888724114</v>
      </c>
      <c r="D29" s="89">
        <f>($G$5-Model!$G29)^2</f>
        <v>6.9564062500013266</v>
      </c>
      <c r="E29" s="102">
        <f>ABS(Model!$G29-Model!$I29)/ABS(Model!$G29)</f>
        <v>9.17168978018525E-3</v>
      </c>
      <c r="F29" s="99">
        <f>C29*COUNT(Model!$A$2:$A$49)-1-1</f>
        <v>226.25295466587573</v>
      </c>
    </row>
    <row r="30" spans="1:11" x14ac:dyDescent="0.3">
      <c r="A30" s="7">
        <v>29</v>
      </c>
      <c r="B30" s="89">
        <f>(Model!$C30-Model!$I30)^2</f>
        <v>2.3530264012133739</v>
      </c>
      <c r="C30" s="96">
        <f>($G$5-Model!$I30)^2</f>
        <v>12.435904314094369</v>
      </c>
      <c r="D30" s="89">
        <f>($G$5-Model!$G30)^2</f>
        <v>3.9700562499990077</v>
      </c>
      <c r="E30" s="102">
        <f>ABS(Model!$G30-Model!$I30)/ABS(Model!$G30)</f>
        <v>3.3952141596073543E-2</v>
      </c>
      <c r="F30" s="99">
        <f>C30*COUNT(Model!$A$2:$A$49)-1-1</f>
        <v>594.92340707652966</v>
      </c>
    </row>
    <row r="31" spans="1:11" x14ac:dyDescent="0.3">
      <c r="A31" s="7">
        <v>30</v>
      </c>
      <c r="B31" s="89">
        <f>(Model!$C31-Model!$I31)^2</f>
        <v>16.459120398849421</v>
      </c>
      <c r="C31" s="96">
        <f>($G$5-Model!$I31)^2</f>
        <v>91.862336434595363</v>
      </c>
      <c r="D31" s="89">
        <f>($G$5-Model!$G31)^2</f>
        <v>30.553256250002786</v>
      </c>
      <c r="E31" s="102">
        <f>ABS(Model!$G31-Model!$I31)/ABS(Model!$G31)</f>
        <v>7.698262145498333E-2</v>
      </c>
      <c r="F31" s="99">
        <f>C31*COUNT(Model!$A$2:$A$49)-1-1</f>
        <v>4407.3921488605774</v>
      </c>
    </row>
    <row r="32" spans="1:11" x14ac:dyDescent="0.3">
      <c r="A32" s="7">
        <v>31</v>
      </c>
      <c r="B32" s="89">
        <f>(Model!$C32-Model!$I32)^2</f>
        <v>2.742311467651577</v>
      </c>
      <c r="C32" s="96">
        <f>($G$5-Model!$I32)^2</f>
        <v>4.8907650117769021</v>
      </c>
      <c r="D32" s="89">
        <f>($G$5-Model!$G32)^2</f>
        <v>14.957556250001922</v>
      </c>
      <c r="E32" s="102">
        <f>ABS(Model!$G32-Model!$I32)/ABS(Model!$G32)</f>
        <v>3.2444995941877025E-2</v>
      </c>
      <c r="F32" s="99">
        <f>C32*COUNT(Model!$A$2:$A$49)-1-1</f>
        <v>232.75672056529129</v>
      </c>
    </row>
    <row r="33" spans="1:6" x14ac:dyDescent="0.3">
      <c r="A33" s="7">
        <v>32</v>
      </c>
      <c r="B33" s="89">
        <f>(Model!$C33-Model!$I33)^2</f>
        <v>0.54166851746848477</v>
      </c>
      <c r="C33" s="96">
        <f>($G$5-Model!$I33)^2</f>
        <v>1.4243976840211974</v>
      </c>
      <c r="D33" s="89">
        <f>($G$5-Model!$G33)^2</f>
        <v>0.2093062500002304</v>
      </c>
      <c r="E33" s="102">
        <f>ABS(Model!$G33-Model!$I33)/ABS(Model!$G33)</f>
        <v>1.5452053948459986E-2</v>
      </c>
      <c r="F33" s="99">
        <f>C33*COUNT(Model!$A$2:$A$49)-1-1</f>
        <v>66.371088833017467</v>
      </c>
    </row>
    <row r="34" spans="1:6" x14ac:dyDescent="0.3">
      <c r="A34" s="7">
        <v>33</v>
      </c>
      <c r="B34" s="89">
        <f>(Model!$C34-Model!$I34)^2</f>
        <v>27.947267039520341</v>
      </c>
      <c r="C34" s="96">
        <f>($G$5-Model!$I34)^2</f>
        <v>105.96679582631606</v>
      </c>
      <c r="D34" s="89">
        <f>($G$5-Model!$G34)^2</f>
        <v>25.075056250002493</v>
      </c>
      <c r="E34" s="102">
        <f>ABS(Model!$G34-Model!$I34)/ABS(Model!$G34)</f>
        <v>0.10131309845655166</v>
      </c>
      <c r="F34" s="99">
        <f>C34*COUNT(Model!$A$2:$A$49)-1-1</f>
        <v>5084.4061996631708</v>
      </c>
    </row>
    <row r="35" spans="1:6" x14ac:dyDescent="0.3">
      <c r="A35" s="7">
        <v>34</v>
      </c>
      <c r="B35" s="89">
        <f>(Model!$C35-Model!$I35)^2</f>
        <v>2.4810764715967357</v>
      </c>
      <c r="C35" s="96">
        <f>($G$5-Model!$I35)^2</f>
        <v>5.0281634902269898</v>
      </c>
      <c r="D35" s="89">
        <f>($G$5-Model!$G35)^2</f>
        <v>14.573306250001918</v>
      </c>
      <c r="E35" s="102">
        <f>ABS(Model!$G35-Model!$I35)/ABS(Model!$G35)</f>
        <v>3.0891220196034359E-2</v>
      </c>
      <c r="F35" s="99">
        <f>C35*COUNT(Model!$A$2:$A$49)-1-1</f>
        <v>239.3518475308955</v>
      </c>
    </row>
    <row r="36" spans="1:6" x14ac:dyDescent="0.3">
      <c r="A36" s="7">
        <v>35</v>
      </c>
      <c r="B36" s="89">
        <f>(Model!$C36-Model!$I36)^2</f>
        <v>4.0306721268781516</v>
      </c>
      <c r="C36" s="96">
        <f>($G$5-Model!$I36)^2</f>
        <v>34.107391596907462</v>
      </c>
      <c r="D36" s="89">
        <f>($G$5-Model!$G36)^2</f>
        <v>14.688056249998063</v>
      </c>
      <c r="E36" s="102">
        <f>ABS(Model!$G36-Model!$I36)/ABS(Model!$G36)</f>
        <v>4.6323336135949765E-2</v>
      </c>
      <c r="F36" s="99">
        <f>C36*COUNT(Model!$A$2:$A$49)-1-1</f>
        <v>1635.1547966515582</v>
      </c>
    </row>
    <row r="37" spans="1:6" x14ac:dyDescent="0.3">
      <c r="A37" s="7">
        <v>36</v>
      </c>
      <c r="B37" s="89">
        <f>(Model!$C37-Model!$I37)^2</f>
        <v>2.1832542212835642</v>
      </c>
      <c r="C37" s="96">
        <f>($G$5-Model!$I37)^2</f>
        <v>15.760233734257554</v>
      </c>
      <c r="D37" s="89">
        <f>($G$5-Model!$G37)^2</f>
        <v>29.675256250002686</v>
      </c>
      <c r="E37" s="102">
        <f>ABS(Model!$G37-Model!$I37)/ABS(Model!$G37)</f>
        <v>2.8080272015376325E-2</v>
      </c>
      <c r="F37" s="99">
        <f>C37*COUNT(Model!$A$2:$A$49)-1-1</f>
        <v>754.49121924436258</v>
      </c>
    </row>
    <row r="38" spans="1:6" x14ac:dyDescent="0.3">
      <c r="A38" s="7">
        <v>37</v>
      </c>
      <c r="B38" s="89">
        <f>(Model!$C38-Model!$I38)^2</f>
        <v>1.3391761884402438</v>
      </c>
      <c r="C38" s="96">
        <f>($G$5-Model!$I38)^2</f>
        <v>86.402085213071217</v>
      </c>
      <c r="D38" s="89">
        <f>($G$5-Model!$G38)^2</f>
        <v>109.25475624999481</v>
      </c>
      <c r="E38" s="102">
        <f>ABS(Model!$G38-Model!$I38)/ABS(Model!$G38)</f>
        <v>3.1514918387107058E-2</v>
      </c>
      <c r="F38" s="99">
        <f>C38*COUNT(Model!$A$2:$A$49)-1-1</f>
        <v>4145.300090227418</v>
      </c>
    </row>
    <row r="39" spans="1:6" x14ac:dyDescent="0.3">
      <c r="A39" s="7">
        <v>38</v>
      </c>
      <c r="B39" s="89">
        <f>(Model!$C39-Model!$I39)^2</f>
        <v>8.6341677243784254</v>
      </c>
      <c r="C39" s="96">
        <f>($G$5-Model!$I39)^2</f>
        <v>16.409753814203437</v>
      </c>
      <c r="D39" s="89">
        <f>($G$5-Model!$G39)^2</f>
        <v>1.2376562499994403</v>
      </c>
      <c r="E39" s="102">
        <f>ABS(Model!$G39-Model!$I39)/ABS(Model!$G39)</f>
        <v>6.379495079526995E-2</v>
      </c>
      <c r="F39" s="99">
        <f>C39*COUNT(Model!$A$2:$A$49)-1-1</f>
        <v>785.66818308176494</v>
      </c>
    </row>
    <row r="40" spans="1:6" x14ac:dyDescent="0.3">
      <c r="A40" s="7">
        <v>39</v>
      </c>
      <c r="B40" s="89">
        <f>(Model!$C40-Model!$I40)^2</f>
        <v>4.1712606619012496</v>
      </c>
      <c r="C40" s="96">
        <f>($G$5-Model!$I40)^2</f>
        <v>27.929813254124504</v>
      </c>
      <c r="D40" s="89">
        <f>($G$5-Model!$G40)^2</f>
        <v>10.513806249998385</v>
      </c>
      <c r="E40" s="102">
        <f>ABS(Model!$G40-Model!$I40)/ABS(Model!$G40)</f>
        <v>4.6491382579897773E-2</v>
      </c>
      <c r="F40" s="99">
        <f>C40*COUNT(Model!$A$2:$A$49)-1-1</f>
        <v>1338.6310361979763</v>
      </c>
    </row>
    <row r="41" spans="1:6" x14ac:dyDescent="0.3">
      <c r="A41" s="7">
        <v>40</v>
      </c>
      <c r="B41" s="89">
        <f>(Model!$C41-Model!$I41)^2</f>
        <v>0.18522802120207446</v>
      </c>
      <c r="C41" s="96">
        <f>($G$5-Model!$I41)^2</f>
        <v>94.242958383290997</v>
      </c>
      <c r="D41" s="89">
        <f>($G$5-Model!$G41)^2</f>
        <v>86.072006250004677</v>
      </c>
      <c r="E41" s="102">
        <f>ABS(Model!$G41-Model!$I41)/ABS(Model!$G41)</f>
        <v>7.6241142779112717E-3</v>
      </c>
      <c r="F41" s="99">
        <f>C41*COUNT(Model!$A$2:$A$49)-1-1</f>
        <v>4521.6620023979676</v>
      </c>
    </row>
    <row r="42" spans="1:6" x14ac:dyDescent="0.3">
      <c r="A42" s="7">
        <v>41</v>
      </c>
      <c r="B42" s="89">
        <f>(Model!$C42-Model!$I42)^2</f>
        <v>0.13062573702995386</v>
      </c>
      <c r="C42" s="96">
        <f>($G$5-Model!$I42)^2</f>
        <v>102.19030050434436</v>
      </c>
      <c r="D42" s="89">
        <f>($G$5-Model!$G42)^2</f>
        <v>95.013756250004889</v>
      </c>
      <c r="E42" s="102">
        <f>ABS(Model!$G42-Model!$I42)/ABS(Model!$G42)</f>
        <v>6.3496455902520123E-3</v>
      </c>
      <c r="F42" s="99">
        <f>C42*COUNT(Model!$A$2:$A$49)-1-1</f>
        <v>4903.1344242085297</v>
      </c>
    </row>
    <row r="43" spans="1:6" x14ac:dyDescent="0.3">
      <c r="A43" s="7">
        <v>42</v>
      </c>
      <c r="B43" s="89">
        <f>(Model!$C43-Model!$I43)^2</f>
        <v>6.8926155657051652E-2</v>
      </c>
      <c r="C43" s="96">
        <f>($G$5-Model!$I43)^2</f>
        <v>29.920485235409529</v>
      </c>
      <c r="D43" s="89">
        <f>($G$5-Model!$G43)^2</f>
        <v>32.861556249997172</v>
      </c>
      <c r="E43" s="102">
        <f>ABS(Model!$G43-Model!$I43)/ABS(Model!$G43)</f>
        <v>6.3353743436142347E-3</v>
      </c>
      <c r="F43" s="99">
        <f>C43*COUNT(Model!$A$2:$A$49)-1-1</f>
        <v>1434.1832912996574</v>
      </c>
    </row>
    <row r="44" spans="1:6" x14ac:dyDescent="0.3">
      <c r="A44" s="7">
        <v>43</v>
      </c>
      <c r="B44" s="89">
        <f>(Model!$C44-Model!$I44)^2</f>
        <v>1.3876675243060137</v>
      </c>
      <c r="C44" s="96">
        <f>($G$5-Model!$I44)^2</f>
        <v>61.066519545200201</v>
      </c>
      <c r="D44" s="89">
        <f>($G$5-Model!$G44)^2</f>
        <v>80.865056249995519</v>
      </c>
      <c r="E44" s="102">
        <f>ABS(Model!$G44-Model!$I44)/ABS(Model!$G44)</f>
        <v>3.0853667022008945E-2</v>
      </c>
      <c r="F44" s="99">
        <f>C44*COUNT(Model!$A$2:$A$49)-1-1</f>
        <v>2929.1929381696095</v>
      </c>
    </row>
    <row r="45" spans="1:6" x14ac:dyDescent="0.3">
      <c r="A45" s="7">
        <v>44</v>
      </c>
      <c r="B45" s="89">
        <f>(Model!$C45-Model!$I45)^2</f>
        <v>7.5465258953962184</v>
      </c>
      <c r="C45" s="96">
        <f>($G$5-Model!$I45)^2</f>
        <v>42.646201453765244</v>
      </c>
      <c r="D45" s="89">
        <f>($G$5-Model!$G45)^2</f>
        <v>86.072006250004677</v>
      </c>
      <c r="E45" s="102">
        <f>ABS(Model!$G45-Model!$I45)/ABS(Model!$G45)</f>
        <v>4.86641998584003E-2</v>
      </c>
      <c r="F45" s="99">
        <f>C45*COUNT(Model!$A$2:$A$49)-1-1</f>
        <v>2045.0176697807317</v>
      </c>
    </row>
    <row r="46" spans="1:6" x14ac:dyDescent="0.3">
      <c r="A46" s="7">
        <v>45</v>
      </c>
      <c r="B46" s="89">
        <f>(Model!$C46-Model!$I46)^2</f>
        <v>9.9805460414157596E-3</v>
      </c>
      <c r="C46" s="96">
        <f>($G$5-Model!$I46)^2</f>
        <v>14.005577840630526</v>
      </c>
      <c r="D46" s="89">
        <f>($G$5-Model!$G46)^2</f>
        <v>13.267806249998175</v>
      </c>
      <c r="E46" s="102">
        <f>ABS(Model!$G46-Model!$I46)/ABS(Model!$G46)</f>
        <v>2.2950306192038644E-3</v>
      </c>
      <c r="F46" s="99">
        <f>C46*COUNT(Model!$A$2:$A$49)-1-1</f>
        <v>670.2677363502653</v>
      </c>
    </row>
    <row r="47" spans="1:6" x14ac:dyDescent="0.3">
      <c r="A47" s="7">
        <v>46</v>
      </c>
      <c r="B47" s="89">
        <f>(Model!$C47-Model!$I47)^2</f>
        <v>4.274569380528475</v>
      </c>
      <c r="C47" s="96">
        <f>($G$5-Model!$I47)^2</f>
        <v>107.64055910925367</v>
      </c>
      <c r="D47" s="89">
        <f>($G$5-Model!$G47)^2</f>
        <v>154.81580624999387</v>
      </c>
      <c r="E47" s="102">
        <f>ABS(Model!$G47-Model!$I47)/ABS(Model!$G47)</f>
        <v>5.9530756563717077E-2</v>
      </c>
      <c r="F47" s="99">
        <f>C47*COUNT(Model!$A$2:$A$49)-1-1</f>
        <v>5164.7468372441763</v>
      </c>
    </row>
    <row r="48" spans="1:6" x14ac:dyDescent="0.3">
      <c r="A48" s="7">
        <v>47</v>
      </c>
      <c r="B48" s="89">
        <f>(Model!$C48-Model!$I48)^2</f>
        <v>1.3204713833348696</v>
      </c>
      <c r="C48" s="96">
        <f>($G$5-Model!$I48)^2</f>
        <v>78.559546606749052</v>
      </c>
      <c r="D48" s="89">
        <f>($G$5-Model!$G48)^2</f>
        <v>100.25015624999507</v>
      </c>
      <c r="E48" s="102">
        <f>ABS(Model!$G48-Model!$I48)/ABS(Model!$G48)</f>
        <v>3.0923510609829025E-2</v>
      </c>
      <c r="F48" s="99">
        <f>C48*COUNT(Model!$A$2:$A$49)-1-1</f>
        <v>3768.8582371239545</v>
      </c>
    </row>
    <row r="49" spans="1:6" ht="15" thickBot="1" x14ac:dyDescent="0.35">
      <c r="A49" s="8">
        <v>48</v>
      </c>
      <c r="B49" s="95">
        <f>(Model!$C49-Model!$I49)^2</f>
        <v>0.6964817448020858</v>
      </c>
      <c r="C49" s="97">
        <f>($G$5-Model!$I49)^2</f>
        <v>62.521515900112128</v>
      </c>
      <c r="D49" s="95">
        <f>($G$5-Model!$G49)^2</f>
        <v>50.020256249996457</v>
      </c>
      <c r="E49" s="103">
        <f>ABS(Model!$G49-Model!$I49)/ABS(Model!$G49)</f>
        <v>2.0811840856173471E-2</v>
      </c>
      <c r="F49" s="100">
        <f>C49*COUNT(Model!$A$2:$A$49)-1-1</f>
        <v>2999.0327632053823</v>
      </c>
    </row>
    <row r="50" spans="1:6" x14ac:dyDescent="0.3">
      <c r="B50" s="86"/>
      <c r="C50" s="86"/>
      <c r="D50" s="86"/>
      <c r="E50" s="86"/>
      <c r="F50" s="86"/>
    </row>
  </sheetData>
  <mergeCells count="14">
    <mergeCell ref="G17:J17"/>
    <mergeCell ref="G19:J19"/>
    <mergeCell ref="G20:J20"/>
    <mergeCell ref="G13:J13"/>
    <mergeCell ref="G14:J14"/>
    <mergeCell ref="G10:J10"/>
    <mergeCell ref="G11:J11"/>
    <mergeCell ref="G16:J16"/>
    <mergeCell ref="G7:J7"/>
    <mergeCell ref="G8:J8"/>
    <mergeCell ref="G1:J1"/>
    <mergeCell ref="G2:J2"/>
    <mergeCell ref="G4:J4"/>
    <mergeCell ref="G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2455-97E1-4705-A5BE-C7493FCE583B}">
  <dimension ref="A1:K52"/>
  <sheetViews>
    <sheetView showGridLines="0" tabSelected="1" zoomScale="55" zoomScaleNormal="55" workbookViewId="0">
      <selection activeCell="L25" sqref="L25"/>
    </sheetView>
  </sheetViews>
  <sheetFormatPr defaultRowHeight="14.4" x14ac:dyDescent="0.3"/>
  <cols>
    <col min="5" max="5" width="13.6640625" customWidth="1"/>
    <col min="7" max="7" width="16.6640625" customWidth="1"/>
  </cols>
  <sheetData>
    <row r="1" spans="1:11" ht="43.2" x14ac:dyDescent="0.3">
      <c r="A1" s="2" t="s">
        <v>0</v>
      </c>
      <c r="B1" s="3" t="s">
        <v>4</v>
      </c>
      <c r="C1" s="88" t="s">
        <v>5</v>
      </c>
      <c r="D1" s="108" t="s">
        <v>22</v>
      </c>
      <c r="E1" s="90" t="s">
        <v>23</v>
      </c>
      <c r="F1" s="83" t="s">
        <v>38</v>
      </c>
      <c r="G1" s="112" t="s">
        <v>35</v>
      </c>
      <c r="H1" s="111" t="s">
        <v>37</v>
      </c>
    </row>
    <row r="2" spans="1:11" ht="15" thickBot="1" x14ac:dyDescent="0.35">
      <c r="A2" s="5">
        <v>1</v>
      </c>
      <c r="B2" s="1">
        <v>8.32</v>
      </c>
      <c r="C2" s="104">
        <v>54.17</v>
      </c>
      <c r="D2" s="109">
        <v>56.355943574668572</v>
      </c>
      <c r="E2" s="99">
        <f>($C2-$D2)^2</f>
        <v>4.7783493116348081</v>
      </c>
      <c r="F2" s="85">
        <f>(1/COUNT($A$2:$A$49)*SUM($E$2:$E$49))^0.5</f>
        <v>2.7522038333246583</v>
      </c>
      <c r="G2" s="102">
        <f>($B2-$E$52)^2</f>
        <v>8.8617847656249662</v>
      </c>
      <c r="H2" s="85">
        <f>(1/COUNT($A$2:$A$49)*SUM($G$2:$G$49))^0.5</f>
        <v>2.3093633287932409</v>
      </c>
    </row>
    <row r="3" spans="1:11" ht="15" thickBot="1" x14ac:dyDescent="0.35">
      <c r="A3" s="5">
        <v>2</v>
      </c>
      <c r="B3" s="1">
        <v>10.42</v>
      </c>
      <c r="C3" s="104">
        <v>48.64</v>
      </c>
      <c r="D3" s="109">
        <v>49.877595808368504</v>
      </c>
      <c r="E3" s="99">
        <f t="shared" ref="E3:E49" si="0">($C3-$D3)^2</f>
        <v>1.5316433848912896</v>
      </c>
      <c r="F3" s="78"/>
      <c r="G3" s="99">
        <f t="shared" ref="E3:G49" si="1">($B3-$E$52)^2</f>
        <v>0.7689097656249908</v>
      </c>
    </row>
    <row r="4" spans="1:11" x14ac:dyDescent="0.3">
      <c r="A4" s="5">
        <v>3</v>
      </c>
      <c r="B4" s="1">
        <v>12.44</v>
      </c>
      <c r="C4" s="104">
        <v>45.67</v>
      </c>
      <c r="D4" s="109">
        <v>43.646042242689397</v>
      </c>
      <c r="E4" s="99">
        <f t="shared" si="0"/>
        <v>4.0964050033777726</v>
      </c>
      <c r="F4" s="78"/>
      <c r="G4" s="99">
        <f t="shared" si="1"/>
        <v>1.306734765625011</v>
      </c>
      <c r="I4" s="24" t="s">
        <v>20</v>
      </c>
      <c r="J4" s="16">
        <v>82.022540439247877</v>
      </c>
    </row>
    <row r="5" spans="1:11" ht="15" thickBot="1" x14ac:dyDescent="0.35">
      <c r="A5" s="7">
        <v>4</v>
      </c>
      <c r="B5" s="1">
        <v>10.97</v>
      </c>
      <c r="C5" s="104">
        <v>50.51</v>
      </c>
      <c r="D5" s="109">
        <v>48.18088567909944</v>
      </c>
      <c r="E5" s="99">
        <f t="shared" si="0"/>
        <v>5.4247735198240683</v>
      </c>
      <c r="F5" s="78"/>
      <c r="G5" s="99">
        <f t="shared" si="1"/>
        <v>0.10684726562499609</v>
      </c>
      <c r="I5" s="8" t="s">
        <v>21</v>
      </c>
      <c r="J5" s="18">
        <v>-3.084927507761936</v>
      </c>
    </row>
    <row r="6" spans="1:11" ht="15" thickBot="1" x14ac:dyDescent="0.35">
      <c r="A6" s="7">
        <v>5</v>
      </c>
      <c r="B6" s="1">
        <v>10.11</v>
      </c>
      <c r="C6" s="104">
        <v>52.62</v>
      </c>
      <c r="D6" s="109">
        <v>50.833923335774706</v>
      </c>
      <c r="E6" s="99">
        <f t="shared" si="0"/>
        <v>3.1900698504901435</v>
      </c>
      <c r="F6" s="78"/>
      <c r="G6" s="99">
        <f t="shared" si="1"/>
        <v>1.4086722656249886</v>
      </c>
    </row>
    <row r="7" spans="1:11" x14ac:dyDescent="0.3">
      <c r="A7" s="7">
        <v>6</v>
      </c>
      <c r="B7" s="1">
        <v>10.99</v>
      </c>
      <c r="C7" s="104">
        <v>51.82</v>
      </c>
      <c r="D7" s="109">
        <v>48.119187128944198</v>
      </c>
      <c r="E7" s="99">
        <f t="shared" si="0"/>
        <v>13.696015906572292</v>
      </c>
      <c r="F7" s="78"/>
      <c r="G7" s="99">
        <f t="shared" si="1"/>
        <v>9.4172265624996601E-2</v>
      </c>
      <c r="I7" s="24" t="s">
        <v>39</v>
      </c>
      <c r="J7" s="16">
        <f>ABS($J4)*(COUNT($A$2:$A$49)-1-1)^0.5/$F$2</f>
        <v>202.13035407381193</v>
      </c>
    </row>
    <row r="8" spans="1:11" ht="15" thickBot="1" x14ac:dyDescent="0.35">
      <c r="A8" s="7">
        <v>7</v>
      </c>
      <c r="B8" s="1">
        <v>12.63</v>
      </c>
      <c r="C8" s="104">
        <v>42.61</v>
      </c>
      <c r="D8" s="109">
        <v>43.059906016214619</v>
      </c>
      <c r="E8" s="99">
        <f t="shared" si="0"/>
        <v>0.20241542342610933</v>
      </c>
      <c r="F8" s="78"/>
      <c r="G8" s="99">
        <f t="shared" si="1"/>
        <v>1.7772222656250163</v>
      </c>
      <c r="I8" s="8" t="s">
        <v>40</v>
      </c>
      <c r="J8" s="18">
        <f>ABS($J5)*(COUNT($A$2:$A$49)-1-1)^0.5/$F$2*$H$2</f>
        <v>17.556403298241889</v>
      </c>
    </row>
    <row r="9" spans="1:11" ht="15" thickBot="1" x14ac:dyDescent="0.35">
      <c r="A9" s="5">
        <v>8</v>
      </c>
      <c r="B9" s="1">
        <v>15.89</v>
      </c>
      <c r="C9" s="104">
        <v>27.15</v>
      </c>
      <c r="D9" s="109">
        <v>33.00304234091071</v>
      </c>
      <c r="E9" s="99">
        <f t="shared" si="0"/>
        <v>34.258104644493542</v>
      </c>
      <c r="F9" s="78"/>
      <c r="G9" s="99">
        <f t="shared" si="1"/>
        <v>21.096797265625053</v>
      </c>
    </row>
    <row r="10" spans="1:11" x14ac:dyDescent="0.3">
      <c r="A10" s="5">
        <v>9</v>
      </c>
      <c r="B10" s="1">
        <v>10.82</v>
      </c>
      <c r="C10" s="104">
        <v>52.16</v>
      </c>
      <c r="D10" s="109">
        <v>48.643624805263727</v>
      </c>
      <c r="E10" s="99">
        <f t="shared" si="0"/>
        <v>12.364894510156539</v>
      </c>
      <c r="F10" s="78"/>
      <c r="G10" s="99">
        <f t="shared" si="1"/>
        <v>0.22740976562499465</v>
      </c>
      <c r="I10" s="75" t="s">
        <v>41</v>
      </c>
      <c r="J10" s="76"/>
      <c r="K10" s="113">
        <f>COUNT($A$2:$A$49)-1-1</f>
        <v>46</v>
      </c>
    </row>
    <row r="11" spans="1:11" ht="15" thickBot="1" x14ac:dyDescent="0.35">
      <c r="A11" s="5">
        <v>10</v>
      </c>
      <c r="B11" s="1">
        <v>8.4700000000000006</v>
      </c>
      <c r="C11" s="104">
        <v>55.2</v>
      </c>
      <c r="D11" s="109">
        <v>55.893204448504278</v>
      </c>
      <c r="E11" s="99">
        <f t="shared" si="0"/>
        <v>0.48053240742611636</v>
      </c>
      <c r="F11" s="78"/>
      <c r="G11" s="99">
        <f t="shared" si="1"/>
        <v>7.9912222656249661</v>
      </c>
      <c r="I11" s="31" t="s">
        <v>42</v>
      </c>
      <c r="J11" s="32"/>
      <c r="K11" s="18">
        <f>_xlfn.T.INV.2T(0.05,K10)</f>
        <v>2.0128955989194299</v>
      </c>
    </row>
    <row r="12" spans="1:11" x14ac:dyDescent="0.3">
      <c r="A12" s="7">
        <v>11</v>
      </c>
      <c r="B12" s="1">
        <v>14.67</v>
      </c>
      <c r="C12" s="104">
        <v>34.31</v>
      </c>
      <c r="D12" s="109">
        <v>36.766653900380277</v>
      </c>
      <c r="E12" s="99">
        <f t="shared" si="0"/>
        <v>6.0351483862536162</v>
      </c>
      <c r="F12" s="78"/>
      <c r="G12" s="99">
        <f t="shared" si="1"/>
        <v>11.377972265625035</v>
      </c>
    </row>
    <row r="13" spans="1:11" x14ac:dyDescent="0.3">
      <c r="A13" s="7">
        <v>12</v>
      </c>
      <c r="B13" s="1">
        <v>10.210000000000001</v>
      </c>
      <c r="C13" s="104">
        <v>54.02</v>
      </c>
      <c r="D13" s="109">
        <v>50.525430584998503</v>
      </c>
      <c r="E13" s="99">
        <f t="shared" si="0"/>
        <v>12.212015396263926</v>
      </c>
      <c r="F13" s="78"/>
      <c r="G13" s="99">
        <f t="shared" si="1"/>
        <v>1.1812972656249865</v>
      </c>
    </row>
    <row r="14" spans="1:11" x14ac:dyDescent="0.3">
      <c r="A14" s="7">
        <v>13</v>
      </c>
      <c r="B14" s="1">
        <v>10.82</v>
      </c>
      <c r="C14" s="104">
        <v>46.11</v>
      </c>
      <c r="D14" s="109">
        <v>48.643624805263727</v>
      </c>
      <c r="E14" s="99">
        <f t="shared" si="0"/>
        <v>6.41925465384766</v>
      </c>
      <c r="F14" s="78"/>
      <c r="G14" s="99">
        <f t="shared" si="1"/>
        <v>0.22740976562499465</v>
      </c>
    </row>
    <row r="15" spans="1:11" x14ac:dyDescent="0.3">
      <c r="A15" s="7">
        <v>14</v>
      </c>
      <c r="B15" s="1">
        <v>9.91</v>
      </c>
      <c r="C15" s="104">
        <v>53.07</v>
      </c>
      <c r="D15" s="109">
        <v>51.450908837327091</v>
      </c>
      <c r="E15" s="99">
        <f t="shared" si="0"/>
        <v>2.6214561930455123</v>
      </c>
      <c r="F15" s="78"/>
      <c r="G15" s="99">
        <f t="shared" si="1"/>
        <v>1.9234222656249849</v>
      </c>
    </row>
    <row r="16" spans="1:11" x14ac:dyDescent="0.3">
      <c r="A16" s="5">
        <v>15</v>
      </c>
      <c r="B16" s="1">
        <v>13.96</v>
      </c>
      <c r="C16" s="104">
        <v>37.68</v>
      </c>
      <c r="D16" s="109">
        <v>38.956952430891249</v>
      </c>
      <c r="E16" s="99">
        <f t="shared" si="0"/>
        <v>1.6306075107590712</v>
      </c>
      <c r="F16" s="78"/>
      <c r="G16" s="99">
        <f t="shared" si="1"/>
        <v>7.0922347656250331</v>
      </c>
    </row>
    <row r="17" spans="1:7" x14ac:dyDescent="0.3">
      <c r="A17" s="5">
        <v>16</v>
      </c>
      <c r="B17" s="1">
        <v>12.9</v>
      </c>
      <c r="C17" s="104">
        <v>43.46</v>
      </c>
      <c r="D17" s="109">
        <v>42.226975589118901</v>
      </c>
      <c r="E17" s="99">
        <f t="shared" si="0"/>
        <v>1.5203491978286841</v>
      </c>
      <c r="F17" s="78"/>
      <c r="G17" s="99">
        <f t="shared" si="1"/>
        <v>2.5700097656250183</v>
      </c>
    </row>
    <row r="18" spans="1:7" x14ac:dyDescent="0.3">
      <c r="A18" s="5">
        <v>17</v>
      </c>
      <c r="B18" s="1">
        <v>10.039999999999999</v>
      </c>
      <c r="C18" s="104">
        <v>52.99</v>
      </c>
      <c r="D18" s="109">
        <v>51.049868261318039</v>
      </c>
      <c r="E18" s="99">
        <f t="shared" si="0"/>
        <v>3.764111163441096</v>
      </c>
      <c r="F18" s="78"/>
      <c r="G18" s="99">
        <f t="shared" si="1"/>
        <v>1.5797347656249887</v>
      </c>
    </row>
    <row r="19" spans="1:7" x14ac:dyDescent="0.3">
      <c r="A19" s="7">
        <v>18</v>
      </c>
      <c r="B19" s="1">
        <v>16.32</v>
      </c>
      <c r="C19" s="104">
        <v>25.56</v>
      </c>
      <c r="D19" s="109">
        <v>31.676523512573077</v>
      </c>
      <c r="E19" s="99">
        <f t="shared" si="0"/>
        <v>37.411859879859307</v>
      </c>
      <c r="F19" s="78"/>
      <c r="G19" s="99">
        <f t="shared" si="1"/>
        <v>25.231784765625058</v>
      </c>
    </row>
    <row r="20" spans="1:7" x14ac:dyDescent="0.3">
      <c r="A20" s="7">
        <v>19</v>
      </c>
      <c r="B20" s="1">
        <v>5.14</v>
      </c>
      <c r="C20" s="104">
        <v>57.22</v>
      </c>
      <c r="D20" s="109">
        <v>66.166013049351534</v>
      </c>
      <c r="E20" s="99">
        <f t="shared" si="0"/>
        <v>80.031149479167951</v>
      </c>
      <c r="F20" s="78"/>
      <c r="G20" s="99">
        <f t="shared" si="1"/>
        <v>37.907109765624938</v>
      </c>
    </row>
    <row r="21" spans="1:7" x14ac:dyDescent="0.3">
      <c r="A21" s="7">
        <v>20</v>
      </c>
      <c r="B21" s="1">
        <v>9.58</v>
      </c>
      <c r="C21" s="104">
        <v>52.58</v>
      </c>
      <c r="D21" s="109">
        <v>52.468934914888528</v>
      </c>
      <c r="E21" s="99">
        <f t="shared" si="0"/>
        <v>1.233545313081804E-2</v>
      </c>
      <c r="F21" s="78"/>
      <c r="G21" s="99">
        <f t="shared" si="1"/>
        <v>2.9476597656249814</v>
      </c>
    </row>
    <row r="22" spans="1:7" x14ac:dyDescent="0.3">
      <c r="A22" s="7">
        <v>21</v>
      </c>
      <c r="B22" s="1">
        <v>12.68</v>
      </c>
      <c r="C22" s="104">
        <v>41.28</v>
      </c>
      <c r="D22" s="109">
        <v>42.905659640826528</v>
      </c>
      <c r="E22" s="99">
        <f t="shared" si="0"/>
        <v>2.6427692678122319</v>
      </c>
      <c r="F22" s="78"/>
      <c r="G22" s="99">
        <f t="shared" si="1"/>
        <v>1.913034765625014</v>
      </c>
    </row>
    <row r="23" spans="1:7" x14ac:dyDescent="0.3">
      <c r="A23" s="5">
        <v>22</v>
      </c>
      <c r="B23" s="1">
        <v>11.2</v>
      </c>
      <c r="C23" s="104">
        <v>46.72</v>
      </c>
      <c r="D23" s="109">
        <v>47.471352352314199</v>
      </c>
      <c r="E23" s="99">
        <f t="shared" si="0"/>
        <v>0.56453035732808143</v>
      </c>
      <c r="F23" s="78"/>
      <c r="G23" s="99">
        <f t="shared" si="1"/>
        <v>9.3847656249991043E-3</v>
      </c>
    </row>
    <row r="24" spans="1:7" x14ac:dyDescent="0.3">
      <c r="A24" s="5">
        <v>23</v>
      </c>
      <c r="B24" s="1">
        <v>10.18</v>
      </c>
      <c r="C24" s="104">
        <v>54.21</v>
      </c>
      <c r="D24" s="109">
        <v>50.617978410231373</v>
      </c>
      <c r="E24" s="99">
        <f t="shared" si="0"/>
        <v>12.902619101363939</v>
      </c>
      <c r="F24" s="78"/>
      <c r="G24" s="99">
        <f t="shared" si="1"/>
        <v>1.2474097656249887</v>
      </c>
    </row>
    <row r="25" spans="1:7" x14ac:dyDescent="0.3">
      <c r="A25" s="5">
        <v>24</v>
      </c>
      <c r="B25" s="1">
        <v>8.11</v>
      </c>
      <c r="C25" s="104">
        <v>57.8</v>
      </c>
      <c r="D25" s="109">
        <v>57.003778351298578</v>
      </c>
      <c r="E25" s="99">
        <f t="shared" si="0"/>
        <v>0.63396891386080567</v>
      </c>
      <c r="F25" s="78"/>
      <c r="G25" s="99">
        <f t="shared" si="1"/>
        <v>10.156172265624969</v>
      </c>
    </row>
    <row r="26" spans="1:7" x14ac:dyDescent="0.3">
      <c r="A26" s="7">
        <v>25</v>
      </c>
      <c r="B26" s="1">
        <v>12.34</v>
      </c>
      <c r="C26" s="104">
        <v>47.82</v>
      </c>
      <c r="D26" s="109">
        <v>43.954534993465586</v>
      </c>
      <c r="E26" s="99">
        <f t="shared" si="0"/>
        <v>14.941819716742099</v>
      </c>
      <c r="F26" s="78"/>
      <c r="G26" s="99">
        <f t="shared" si="1"/>
        <v>1.0881097656250107</v>
      </c>
    </row>
    <row r="27" spans="1:7" x14ac:dyDescent="0.3">
      <c r="A27" s="7">
        <v>26</v>
      </c>
      <c r="B27" s="1">
        <v>10.55</v>
      </c>
      <c r="C27" s="104">
        <v>49.52</v>
      </c>
      <c r="D27" s="109">
        <v>49.476555232359452</v>
      </c>
      <c r="E27" s="99">
        <f t="shared" si="0"/>
        <v>1.8874478353414815E-3</v>
      </c>
      <c r="F27" s="78"/>
      <c r="G27" s="99">
        <f t="shared" si="1"/>
        <v>0.55782226562499093</v>
      </c>
    </row>
    <row r="28" spans="1:7" x14ac:dyDescent="0.3">
      <c r="A28" s="7">
        <v>27</v>
      </c>
      <c r="B28" s="1">
        <v>10.76</v>
      </c>
      <c r="C28" s="104">
        <v>52.22</v>
      </c>
      <c r="D28" s="109">
        <v>48.828720455729446</v>
      </c>
      <c r="E28" s="99">
        <f t="shared" si="0"/>
        <v>11.500776947387889</v>
      </c>
      <c r="F28" s="78"/>
      <c r="G28" s="99">
        <f t="shared" si="1"/>
        <v>0.2882347656249945</v>
      </c>
    </row>
    <row r="29" spans="1:7" x14ac:dyDescent="0.3">
      <c r="A29" s="7">
        <v>28</v>
      </c>
      <c r="B29" s="1">
        <v>10.59</v>
      </c>
      <c r="C29" s="104">
        <v>49.81</v>
      </c>
      <c r="D29" s="109">
        <v>49.353158132048975</v>
      </c>
      <c r="E29" s="99">
        <f t="shared" si="0"/>
        <v>0.20870449231298388</v>
      </c>
      <c r="F29" s="78"/>
      <c r="G29" s="99">
        <f t="shared" si="1"/>
        <v>0.49967226562499267</v>
      </c>
    </row>
    <row r="30" spans="1:7" x14ac:dyDescent="0.3">
      <c r="A30" s="5">
        <v>29</v>
      </c>
      <c r="B30" s="1">
        <v>12.44</v>
      </c>
      <c r="C30" s="104">
        <v>45.18</v>
      </c>
      <c r="D30" s="109">
        <v>43.646042242689397</v>
      </c>
      <c r="E30" s="99">
        <f t="shared" si="0"/>
        <v>2.3530264012133739</v>
      </c>
      <c r="F30" s="78"/>
      <c r="G30" s="99">
        <f t="shared" si="1"/>
        <v>1.306734765625011</v>
      </c>
    </row>
    <row r="31" spans="1:7" x14ac:dyDescent="0.3">
      <c r="A31" s="5">
        <v>30</v>
      </c>
      <c r="B31" s="1">
        <v>8.19</v>
      </c>
      <c r="C31" s="104">
        <v>52.7</v>
      </c>
      <c r="D31" s="109">
        <v>56.756984150677624</v>
      </c>
      <c r="E31" s="99">
        <f t="shared" si="0"/>
        <v>16.459120398849421</v>
      </c>
      <c r="F31" s="78"/>
      <c r="G31" s="99">
        <f t="shared" si="1"/>
        <v>9.6526722656249699</v>
      </c>
    </row>
    <row r="32" spans="1:7" x14ac:dyDescent="0.3">
      <c r="A32" s="5">
        <v>31</v>
      </c>
      <c r="B32" s="1">
        <v>10.58</v>
      </c>
      <c r="C32" s="104">
        <v>51.04</v>
      </c>
      <c r="D32" s="109">
        <v>49.384007407126596</v>
      </c>
      <c r="E32" s="99">
        <f t="shared" si="0"/>
        <v>2.742311467651577</v>
      </c>
      <c r="F32" s="78"/>
      <c r="G32" s="99">
        <f t="shared" si="1"/>
        <v>0.51390976562499224</v>
      </c>
    </row>
    <row r="33" spans="1:7" x14ac:dyDescent="0.3">
      <c r="A33" s="7">
        <v>32</v>
      </c>
      <c r="B33" s="1">
        <v>10.91</v>
      </c>
      <c r="C33" s="104">
        <v>47.63</v>
      </c>
      <c r="D33" s="109">
        <v>48.365981329565152</v>
      </c>
      <c r="E33" s="99">
        <f t="shared" si="0"/>
        <v>0.54166851746848477</v>
      </c>
      <c r="F33" s="78"/>
      <c r="G33" s="99">
        <f t="shared" si="1"/>
        <v>0.14967226562499578</v>
      </c>
    </row>
    <row r="34" spans="1:7" x14ac:dyDescent="0.3">
      <c r="A34" s="7">
        <v>33</v>
      </c>
      <c r="B34" s="1">
        <v>7.96</v>
      </c>
      <c r="C34" s="104">
        <v>52.18</v>
      </c>
      <c r="D34" s="109">
        <v>57.466517477462865</v>
      </c>
      <c r="E34" s="99">
        <f t="shared" si="0"/>
        <v>27.947267039520341</v>
      </c>
      <c r="F34" s="78"/>
      <c r="G34" s="99">
        <f t="shared" si="1"/>
        <v>11.134734765624964</v>
      </c>
    </row>
    <row r="35" spans="1:7" x14ac:dyDescent="0.3">
      <c r="A35" s="7">
        <v>34</v>
      </c>
      <c r="B35" s="1">
        <v>10.57</v>
      </c>
      <c r="C35" s="104">
        <v>50.99</v>
      </c>
      <c r="D35" s="109">
        <v>49.41485668220421</v>
      </c>
      <c r="E35" s="99">
        <f t="shared" si="0"/>
        <v>2.4810764715967357</v>
      </c>
      <c r="F35" s="78"/>
      <c r="G35" s="99">
        <f t="shared" si="1"/>
        <v>0.52834726562499179</v>
      </c>
    </row>
    <row r="36" spans="1:7" x14ac:dyDescent="0.3">
      <c r="A36" s="7">
        <v>35</v>
      </c>
      <c r="B36" s="1">
        <v>13.19</v>
      </c>
      <c r="C36" s="104">
        <v>43.34</v>
      </c>
      <c r="D36" s="109">
        <v>41.332346611867941</v>
      </c>
      <c r="E36" s="99">
        <f t="shared" si="0"/>
        <v>4.0306721268781516</v>
      </c>
      <c r="F36" s="78"/>
      <c r="G36" s="99">
        <f t="shared" si="1"/>
        <v>3.5839222656250183</v>
      </c>
    </row>
    <row r="37" spans="1:7" x14ac:dyDescent="0.3">
      <c r="A37" s="5">
        <v>36</v>
      </c>
      <c r="B37" s="1">
        <v>10.01</v>
      </c>
      <c r="C37" s="104">
        <v>52.62</v>
      </c>
      <c r="D37" s="109">
        <v>51.142416086550895</v>
      </c>
      <c r="E37" s="99">
        <f t="shared" si="0"/>
        <v>2.1832542212835642</v>
      </c>
      <c r="F37" s="78"/>
      <c r="G37" s="99">
        <f t="shared" si="1"/>
        <v>1.6560472656249869</v>
      </c>
    </row>
    <row r="38" spans="1:7" x14ac:dyDescent="0.3">
      <c r="A38" s="5">
        <v>37</v>
      </c>
      <c r="B38" s="1">
        <v>14.31</v>
      </c>
      <c r="C38" s="104">
        <v>36.72</v>
      </c>
      <c r="D38" s="109">
        <v>37.87722780317457</v>
      </c>
      <c r="E38" s="99">
        <f t="shared" si="0"/>
        <v>1.3391761884402438</v>
      </c>
      <c r="F38" s="78"/>
      <c r="G38" s="99">
        <f t="shared" si="1"/>
        <v>9.0789222656250352</v>
      </c>
    </row>
    <row r="39" spans="1:7" x14ac:dyDescent="0.3">
      <c r="A39" s="5">
        <v>38</v>
      </c>
      <c r="B39" s="1">
        <v>12.61</v>
      </c>
      <c r="C39" s="104">
        <v>46.06</v>
      </c>
      <c r="D39" s="109">
        <v>43.121604566369868</v>
      </c>
      <c r="E39" s="99">
        <f t="shared" si="0"/>
        <v>8.6341677243784254</v>
      </c>
      <c r="F39" s="78"/>
      <c r="G39" s="99">
        <f t="shared" si="1"/>
        <v>1.7242972656250124</v>
      </c>
    </row>
    <row r="40" spans="1:7" x14ac:dyDescent="0.3">
      <c r="A40" s="7">
        <v>39</v>
      </c>
      <c r="B40" s="1">
        <v>13.01</v>
      </c>
      <c r="C40" s="104">
        <v>43.93</v>
      </c>
      <c r="D40" s="109">
        <v>41.887633563265091</v>
      </c>
      <c r="E40" s="99">
        <f t="shared" si="0"/>
        <v>4.1712606619012496</v>
      </c>
      <c r="F40" s="78"/>
      <c r="G40" s="99">
        <f t="shared" si="1"/>
        <v>2.9347972656250176</v>
      </c>
    </row>
    <row r="41" spans="1:7" x14ac:dyDescent="0.3">
      <c r="A41" s="7">
        <v>40</v>
      </c>
      <c r="B41" s="1">
        <v>8.15</v>
      </c>
      <c r="C41" s="104">
        <v>56.45</v>
      </c>
      <c r="D41" s="109">
        <v>56.880381250988094</v>
      </c>
      <c r="E41" s="99">
        <f t="shared" si="0"/>
        <v>0.18522802120207446</v>
      </c>
      <c r="F41" s="78"/>
      <c r="G41" s="99">
        <f t="shared" si="1"/>
        <v>9.9028222656249643</v>
      </c>
    </row>
    <row r="42" spans="1:7" x14ac:dyDescent="0.3">
      <c r="A42" s="7">
        <v>41</v>
      </c>
      <c r="B42" s="1">
        <v>8.02</v>
      </c>
      <c r="C42" s="104">
        <v>56.92</v>
      </c>
      <c r="D42" s="109">
        <v>57.281421826997146</v>
      </c>
      <c r="E42" s="99">
        <f t="shared" si="0"/>
        <v>0.13062573702995386</v>
      </c>
      <c r="F42" s="78"/>
      <c r="G42" s="99">
        <f t="shared" si="1"/>
        <v>10.737909765624968</v>
      </c>
    </row>
    <row r="43" spans="1:7" x14ac:dyDescent="0.3">
      <c r="A43" s="7">
        <v>42</v>
      </c>
      <c r="B43" s="1">
        <v>13.07</v>
      </c>
      <c r="C43" s="104">
        <v>41.44</v>
      </c>
      <c r="D43" s="109">
        <v>41.702537912799372</v>
      </c>
      <c r="E43" s="99">
        <f t="shared" si="0"/>
        <v>6.8926155657051652E-2</v>
      </c>
      <c r="F43" s="78"/>
      <c r="G43" s="99">
        <f t="shared" si="1"/>
        <v>3.14397226562502</v>
      </c>
    </row>
    <row r="44" spans="1:7" x14ac:dyDescent="0.3">
      <c r="A44" s="5">
        <v>43</v>
      </c>
      <c r="B44" s="1">
        <v>13.83</v>
      </c>
      <c r="C44" s="104">
        <v>38.18</v>
      </c>
      <c r="D44" s="109">
        <v>39.357993006900301</v>
      </c>
      <c r="E44" s="99">
        <f t="shared" si="0"/>
        <v>1.3876675243060137</v>
      </c>
      <c r="F44" s="78"/>
      <c r="G44" s="99">
        <f t="shared" si="1"/>
        <v>6.4167222656250278</v>
      </c>
    </row>
    <row r="45" spans="1:7" x14ac:dyDescent="0.3">
      <c r="A45" s="5">
        <v>44</v>
      </c>
      <c r="B45" s="1">
        <v>9.18</v>
      </c>
      <c r="C45" s="104">
        <v>56.45</v>
      </c>
      <c r="D45" s="109">
        <v>53.702905917993306</v>
      </c>
      <c r="E45" s="99">
        <f t="shared" si="0"/>
        <v>7.5465258953962184</v>
      </c>
      <c r="F45" s="78"/>
      <c r="G45" s="99">
        <f t="shared" si="1"/>
        <v>4.4811597656249784</v>
      </c>
    </row>
    <row r="46" spans="1:7" x14ac:dyDescent="0.3">
      <c r="A46" s="5">
        <v>45</v>
      </c>
      <c r="B46" s="1">
        <v>12.51</v>
      </c>
      <c r="C46" s="104">
        <v>43.53</v>
      </c>
      <c r="D46" s="109">
        <v>43.430097317146057</v>
      </c>
      <c r="E46" s="99">
        <f t="shared" si="0"/>
        <v>9.9805460414157596E-3</v>
      </c>
      <c r="F46" s="78"/>
      <c r="G46" s="99">
        <f t="shared" si="1"/>
        <v>1.4716722656250125</v>
      </c>
    </row>
    <row r="47" spans="1:7" x14ac:dyDescent="0.3">
      <c r="A47" s="7">
        <v>46</v>
      </c>
      <c r="B47" s="1">
        <v>14.66</v>
      </c>
      <c r="C47" s="104">
        <v>34.729999999999997</v>
      </c>
      <c r="D47" s="109">
        <v>36.797503175457891</v>
      </c>
      <c r="E47" s="99">
        <f t="shared" si="0"/>
        <v>4.274569380528475</v>
      </c>
      <c r="F47" s="78"/>
      <c r="G47" s="99">
        <f t="shared" si="1"/>
        <v>11.310609765625037</v>
      </c>
    </row>
    <row r="48" spans="1:7" x14ac:dyDescent="0.3">
      <c r="A48" s="7">
        <v>47</v>
      </c>
      <c r="B48" s="1">
        <v>14.17</v>
      </c>
      <c r="C48" s="104">
        <v>37.159999999999997</v>
      </c>
      <c r="D48" s="109">
        <v>38.309117654261243</v>
      </c>
      <c r="E48" s="99">
        <f t="shared" si="0"/>
        <v>1.3204713833348696</v>
      </c>
      <c r="F48" s="78"/>
      <c r="G48" s="99">
        <f t="shared" si="1"/>
        <v>8.2548472656250294</v>
      </c>
    </row>
    <row r="49" spans="1:7" ht="15" thickBot="1" x14ac:dyDescent="0.35">
      <c r="A49" s="8">
        <v>48</v>
      </c>
      <c r="B49" s="9">
        <v>13.86</v>
      </c>
      <c r="C49" s="105">
        <v>40.1</v>
      </c>
      <c r="D49" s="110">
        <v>39.265445181667445</v>
      </c>
      <c r="E49" s="100">
        <f t="shared" si="0"/>
        <v>0.6964817448020858</v>
      </c>
      <c r="F49" s="78"/>
      <c r="G49" s="100">
        <f t="shared" si="1"/>
        <v>6.5696097656250245</v>
      </c>
    </row>
    <row r="50" spans="1:7" ht="15" thickBot="1" x14ac:dyDescent="0.35"/>
    <row r="51" spans="1:7" x14ac:dyDescent="0.3">
      <c r="E51" s="107" t="s">
        <v>36</v>
      </c>
    </row>
    <row r="52" spans="1:7" ht="15" thickBot="1" x14ac:dyDescent="0.35">
      <c r="E52" s="106">
        <f>AVERAGE(B2:B49)</f>
        <v>11.296874999999995</v>
      </c>
    </row>
  </sheetData>
  <mergeCells count="2">
    <mergeCell ref="I10:J10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Histograms</vt:lpstr>
      <vt:lpstr>Model</vt:lpstr>
      <vt:lpstr>Validation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Олександр Ковальов</cp:lastModifiedBy>
  <dcterms:created xsi:type="dcterms:W3CDTF">2015-06-05T18:17:20Z</dcterms:created>
  <dcterms:modified xsi:type="dcterms:W3CDTF">2023-10-19T21:37:19Z</dcterms:modified>
</cp:coreProperties>
</file>