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accounts/xalperte/documents/MasterUOC/Classes/Project/code/django-davinci-api/"/>
    </mc:Choice>
  </mc:AlternateContent>
  <xr:revisionPtr revIDLastSave="0" documentId="13_ncr:1_{8B89A291-2918-4645-AA7C-5FF4D823B245}" xr6:coauthVersionLast="36" xr6:coauthVersionMax="36" xr10:uidLastSave="{00000000-0000-0000-0000-000000000000}"/>
  <bookViews>
    <workbookView xWindow="240" yWindow="460" windowWidth="29580" windowHeight="12460" activeTab="6" xr2:uid="{00000000-000D-0000-FFFF-FFFF00000000}"/>
  </bookViews>
  <sheets>
    <sheet name="Active" sheetId="1" r:id="rId1"/>
    <sheet name="Passive" sheetId="2" r:id="rId2"/>
    <sheet name="Income (DRE)" sheetId="3" r:id="rId3"/>
    <sheet name="Comprehensive (DRA)" sheetId="4" r:id="rId4"/>
    <sheet name="Cash-flow" sheetId="5" r:id="rId5"/>
    <sheet name="Added value (DVA)" sheetId="6" r:id="rId6"/>
    <sheet name="Basic Indicators" sheetId="7" r:id="rId7"/>
  </sheets>
  <calcPr calcId="162913"/>
</workbook>
</file>

<file path=xl/calcChain.xml><?xml version="1.0" encoding="utf-8"?>
<calcChain xmlns="http://schemas.openxmlformats.org/spreadsheetml/2006/main">
  <c r="B2" i="7" l="1"/>
  <c r="C51" i="7"/>
  <c r="B51" i="7"/>
  <c r="C50" i="7"/>
  <c r="B50" i="7"/>
  <c r="C49" i="7"/>
  <c r="B49" i="7"/>
  <c r="C48" i="7"/>
  <c r="B48" i="7"/>
  <c r="C47" i="7"/>
  <c r="B47" i="7"/>
  <c r="C46" i="7"/>
  <c r="B46" i="7"/>
  <c r="B43" i="7"/>
  <c r="B42" i="7"/>
  <c r="B41" i="7"/>
  <c r="B38" i="7"/>
  <c r="B37" i="7"/>
  <c r="B36" i="7"/>
  <c r="E34" i="7"/>
  <c r="D34" i="7"/>
  <c r="C34" i="7"/>
  <c r="B34" i="7"/>
  <c r="E33" i="7"/>
  <c r="D33" i="7"/>
  <c r="C33" i="7"/>
  <c r="B33" i="7"/>
  <c r="E32" i="7"/>
  <c r="D32" i="7"/>
  <c r="C32" i="7"/>
  <c r="B32" i="7"/>
  <c r="B28" i="7"/>
  <c r="C25" i="7"/>
  <c r="B25" i="7"/>
  <c r="C24" i="7"/>
  <c r="B24" i="7"/>
  <c r="C23" i="7"/>
  <c r="B23" i="7"/>
  <c r="C22" i="7"/>
  <c r="B22" i="7"/>
  <c r="C21" i="7"/>
  <c r="B21" i="7"/>
  <c r="C20" i="7"/>
  <c r="B20" i="7"/>
  <c r="B17" i="7"/>
  <c r="B16" i="7"/>
  <c r="B15" i="7"/>
  <c r="B12" i="7"/>
  <c r="B11" i="7"/>
  <c r="B10" i="7"/>
  <c r="E8" i="7"/>
  <c r="D8" i="7"/>
  <c r="C8" i="7"/>
  <c r="B8" i="7"/>
  <c r="E7" i="7"/>
  <c r="D7" i="7"/>
  <c r="C7" i="7"/>
  <c r="B7" i="7"/>
  <c r="E6" i="7"/>
  <c r="D6" i="7"/>
  <c r="C6" i="7"/>
  <c r="B6" i="7"/>
  <c r="E9" i="5"/>
  <c r="H11" i="4"/>
  <c r="H47" i="3"/>
  <c r="E17" i="1"/>
  <c r="E67" i="1"/>
  <c r="E14" i="6"/>
  <c r="H70" i="3"/>
  <c r="E66" i="2"/>
  <c r="E45" i="1"/>
  <c r="E6" i="1"/>
  <c r="E27" i="1"/>
  <c r="E36" i="6"/>
  <c r="G69" i="3"/>
  <c r="E34" i="5"/>
  <c r="E67" i="5"/>
  <c r="E32" i="5"/>
  <c r="H18" i="4"/>
  <c r="E20" i="2"/>
  <c r="H14" i="3"/>
  <c r="E48" i="1"/>
  <c r="E77" i="5"/>
  <c r="E48" i="2"/>
  <c r="E66" i="1"/>
  <c r="G21" i="4"/>
  <c r="E12" i="2"/>
  <c r="G57" i="3"/>
  <c r="H31" i="3"/>
  <c r="E55" i="2"/>
  <c r="E60" i="5"/>
  <c r="E53" i="5"/>
  <c r="G55" i="3"/>
  <c r="E35" i="2"/>
  <c r="E4" i="1"/>
  <c r="H5" i="3"/>
  <c r="E41" i="2"/>
  <c r="E16" i="2"/>
  <c r="E53" i="1"/>
  <c r="E18" i="1"/>
  <c r="E5" i="5"/>
  <c r="E39" i="2"/>
  <c r="E17" i="6"/>
  <c r="G11" i="4"/>
  <c r="E82" i="2"/>
  <c r="E76" i="1"/>
  <c r="E13" i="6"/>
  <c r="E74" i="5"/>
  <c r="H15" i="4"/>
  <c r="E16" i="6"/>
  <c r="E66" i="5"/>
  <c r="E28" i="5"/>
  <c r="E64" i="2"/>
  <c r="G59" i="3"/>
  <c r="E38" i="2"/>
  <c r="E68" i="6"/>
  <c r="H26" i="4"/>
  <c r="E18" i="2"/>
  <c r="E54" i="5"/>
  <c r="E83" i="5"/>
  <c r="E4" i="5"/>
  <c r="E11" i="6"/>
  <c r="H7" i="4"/>
  <c r="H42" i="3"/>
  <c r="E7" i="1"/>
  <c r="E50" i="1"/>
  <c r="E79" i="5"/>
  <c r="H61" i="3"/>
  <c r="G9" i="3"/>
  <c r="H29" i="3"/>
  <c r="E36" i="2"/>
  <c r="G30" i="3"/>
  <c r="G16" i="3"/>
  <c r="E83" i="2"/>
  <c r="E42" i="1"/>
  <c r="H9" i="4"/>
  <c r="H49" i="3"/>
  <c r="H19" i="4"/>
  <c r="G71" i="3"/>
  <c r="E27" i="2"/>
  <c r="E6" i="5"/>
  <c r="E14" i="2"/>
  <c r="E65" i="6"/>
  <c r="E60" i="6"/>
  <c r="G52" i="3"/>
  <c r="E22" i="6"/>
  <c r="G3" i="4"/>
  <c r="E24" i="1"/>
  <c r="H69" i="3"/>
  <c r="G26" i="3"/>
  <c r="E46" i="6"/>
  <c r="E17" i="5"/>
  <c r="H25" i="4"/>
  <c r="H63" i="3"/>
  <c r="E51" i="1"/>
  <c r="E76" i="6"/>
  <c r="E7" i="5"/>
  <c r="E41" i="6"/>
  <c r="G5" i="3"/>
  <c r="G31" i="3"/>
  <c r="H7" i="3"/>
  <c r="H22" i="4"/>
  <c r="E72" i="2"/>
  <c r="H59" i="3"/>
  <c r="E4" i="2"/>
  <c r="E53" i="6"/>
  <c r="E5" i="2"/>
  <c r="H44" i="3"/>
  <c r="E70" i="5"/>
  <c r="G64" i="3"/>
  <c r="H50" i="3"/>
  <c r="E43" i="1"/>
  <c r="E52" i="2"/>
  <c r="E20" i="6"/>
  <c r="E24" i="2"/>
  <c r="E38" i="1"/>
  <c r="E47" i="5"/>
  <c r="E32" i="6"/>
  <c r="E52" i="5"/>
  <c r="H6" i="4"/>
  <c r="E28" i="1"/>
  <c r="E31" i="2"/>
  <c r="E59" i="6"/>
  <c r="H60" i="3"/>
  <c r="E29" i="6"/>
  <c r="H18" i="3"/>
  <c r="H21" i="4"/>
  <c r="E10" i="2"/>
  <c r="E21" i="5"/>
  <c r="G65" i="3"/>
  <c r="H48" i="3"/>
  <c r="E77" i="2"/>
  <c r="E80" i="5"/>
  <c r="E3" i="6"/>
  <c r="H71" i="3"/>
  <c r="E70" i="2"/>
  <c r="E9" i="1"/>
  <c r="E8" i="5"/>
  <c r="H65" i="3"/>
  <c r="E58" i="5"/>
  <c r="G48" i="3"/>
  <c r="E76" i="2"/>
  <c r="G6" i="4"/>
  <c r="G26" i="4"/>
  <c r="E37" i="2"/>
  <c r="E89" i="2"/>
  <c r="E33" i="5"/>
  <c r="E47" i="2"/>
  <c r="G15" i="3"/>
  <c r="G28" i="3"/>
  <c r="G24" i="3"/>
  <c r="E64" i="1"/>
  <c r="G66" i="3"/>
  <c r="E13" i="1"/>
  <c r="E67" i="2"/>
  <c r="E51" i="2"/>
  <c r="E19" i="1"/>
  <c r="G61" i="3"/>
  <c r="E65" i="2"/>
  <c r="E68" i="5"/>
  <c r="E50" i="2"/>
  <c r="E14" i="1"/>
  <c r="E31" i="1"/>
  <c r="E17" i="2"/>
  <c r="H26" i="3"/>
  <c r="E52" i="6"/>
  <c r="E75" i="1"/>
  <c r="E49" i="5"/>
  <c r="E82" i="5"/>
  <c r="E86" i="2"/>
  <c r="E78" i="2"/>
  <c r="E35" i="5"/>
  <c r="E69" i="2"/>
  <c r="G23" i="4"/>
  <c r="G8" i="4"/>
  <c r="H12" i="3"/>
  <c r="E61" i="6"/>
  <c r="E11" i="5"/>
  <c r="E55" i="1"/>
  <c r="E23" i="2"/>
  <c r="E79" i="2"/>
  <c r="E68" i="2"/>
  <c r="E33" i="2"/>
  <c r="E45" i="6"/>
  <c r="H46" i="3"/>
  <c r="E61" i="2"/>
  <c r="E15" i="1"/>
  <c r="E47" i="6"/>
  <c r="E10" i="1"/>
  <c r="E44" i="1"/>
  <c r="E73" i="2"/>
  <c r="E23" i="5"/>
  <c r="E55" i="5"/>
  <c r="E71" i="2"/>
  <c r="E14" i="5"/>
  <c r="E52" i="1"/>
  <c r="E50" i="6"/>
  <c r="E34" i="1"/>
  <c r="H16" i="4"/>
  <c r="G24" i="4"/>
  <c r="E3" i="5"/>
  <c r="E4" i="6"/>
  <c r="H53" i="3"/>
  <c r="E61" i="1"/>
  <c r="H10" i="4"/>
  <c r="E37" i="6"/>
  <c r="E64" i="5"/>
  <c r="E36" i="5"/>
  <c r="E47" i="1"/>
  <c r="E30" i="5"/>
  <c r="H68" i="3"/>
  <c r="E10" i="6"/>
  <c r="E31" i="5"/>
  <c r="E44" i="5"/>
  <c r="E57" i="6"/>
  <c r="H6" i="3"/>
  <c r="E20" i="5"/>
  <c r="E26" i="2"/>
  <c r="E21" i="2"/>
  <c r="E19" i="2"/>
  <c r="E59" i="1"/>
  <c r="E63" i="6"/>
  <c r="E70" i="6"/>
  <c r="E31" i="6"/>
  <c r="H43" i="3"/>
  <c r="E48" i="6"/>
  <c r="E62" i="1"/>
  <c r="G29" i="3"/>
  <c r="E28" i="2"/>
  <c r="E6" i="6"/>
  <c r="G50" i="3"/>
  <c r="E87" i="2"/>
  <c r="G20" i="3"/>
  <c r="E40" i="6"/>
  <c r="H41" i="3"/>
  <c r="H13" i="3"/>
  <c r="G18" i="3"/>
  <c r="G70" i="3"/>
  <c r="E40" i="2"/>
  <c r="E73" i="6"/>
  <c r="H28" i="3"/>
  <c r="G16" i="4"/>
  <c r="H66" i="3"/>
  <c r="E51" i="6"/>
  <c r="H12" i="4"/>
  <c r="H27" i="3"/>
  <c r="E73" i="1"/>
  <c r="H30" i="3"/>
  <c r="G44" i="3"/>
  <c r="H23" i="3"/>
  <c r="G10" i="4"/>
  <c r="E85" i="2"/>
  <c r="E35" i="1"/>
  <c r="E8" i="1"/>
  <c r="E69" i="5"/>
  <c r="E78" i="5"/>
  <c r="E74" i="6"/>
  <c r="E54" i="2"/>
  <c r="H52" i="3"/>
  <c r="E58" i="6"/>
  <c r="E84" i="5"/>
  <c r="E19" i="5"/>
  <c r="E3" i="2"/>
  <c r="E43" i="5"/>
  <c r="E12" i="1"/>
  <c r="E63" i="5"/>
  <c r="G22" i="3"/>
  <c r="E60" i="2"/>
  <c r="E72" i="5"/>
  <c r="E57" i="2"/>
  <c r="E56" i="1"/>
  <c r="H51" i="3"/>
  <c r="E15" i="5"/>
  <c r="G10" i="3"/>
  <c r="E85" i="5"/>
  <c r="E51" i="5"/>
  <c r="E55" i="6"/>
  <c r="E15" i="2"/>
  <c r="E24" i="6"/>
  <c r="E49" i="6"/>
  <c r="H24" i="4"/>
  <c r="E8" i="6"/>
  <c r="E56" i="6"/>
  <c r="H23" i="4"/>
  <c r="E12" i="6"/>
  <c r="E70" i="1"/>
  <c r="E9" i="6"/>
  <c r="E69" i="1"/>
  <c r="E62" i="6"/>
  <c r="E73" i="5"/>
  <c r="E41" i="1"/>
  <c r="E24" i="5"/>
  <c r="E36" i="1"/>
  <c r="G25" i="3"/>
  <c r="G18" i="4"/>
  <c r="E9" i="2"/>
  <c r="E16" i="1"/>
  <c r="H67" i="3"/>
  <c r="G3" i="3"/>
  <c r="G17" i="4"/>
  <c r="E56" i="2"/>
  <c r="G13" i="3"/>
  <c r="E5" i="1"/>
  <c r="H17" i="3"/>
  <c r="E56" i="5"/>
  <c r="H45" i="3"/>
  <c r="E30" i="6"/>
  <c r="E10" i="5"/>
  <c r="E7" i="2"/>
  <c r="H3" i="4"/>
  <c r="E35" i="6"/>
  <c r="H56" i="3"/>
  <c r="G53" i="3"/>
  <c r="H4" i="4"/>
  <c r="H8" i="4"/>
  <c r="H16" i="3"/>
  <c r="E59" i="2"/>
  <c r="E49" i="1"/>
  <c r="G4" i="4"/>
  <c r="G5" i="4"/>
  <c r="E71" i="1"/>
  <c r="E64" i="6"/>
  <c r="E27" i="6"/>
  <c r="E27" i="5"/>
  <c r="G19" i="3"/>
  <c r="E33" i="1"/>
  <c r="E42" i="6"/>
  <c r="E8" i="2"/>
  <c r="G54" i="3"/>
  <c r="E29" i="1"/>
  <c r="G12" i="3"/>
  <c r="H21" i="3"/>
  <c r="G43" i="3"/>
  <c r="E13" i="5"/>
  <c r="E68" i="1"/>
  <c r="E76" i="5"/>
  <c r="H9" i="3"/>
  <c r="G21" i="3"/>
  <c r="E44" i="6"/>
  <c r="E66" i="6"/>
  <c r="H3" i="3"/>
  <c r="G63" i="3"/>
  <c r="E58" i="1"/>
  <c r="G19" i="4"/>
  <c r="E71" i="6"/>
  <c r="H4" i="3"/>
  <c r="E61" i="5"/>
  <c r="E42" i="2"/>
  <c r="E80" i="2"/>
  <c r="E13" i="2"/>
  <c r="E29" i="5"/>
  <c r="E72" i="6"/>
  <c r="H55" i="3"/>
  <c r="E32" i="2"/>
  <c r="E30" i="2"/>
  <c r="G67" i="3"/>
  <c r="G27" i="3"/>
  <c r="H17" i="4"/>
  <c r="E25" i="2"/>
  <c r="E54" i="6"/>
  <c r="E63" i="1"/>
  <c r="G22" i="4"/>
  <c r="E53" i="2"/>
  <c r="E81" i="5"/>
  <c r="E18" i="6"/>
  <c r="E30" i="1"/>
  <c r="E28" i="6"/>
  <c r="H15" i="3"/>
  <c r="G4" i="3"/>
  <c r="H10" i="3"/>
  <c r="E49" i="2"/>
  <c r="H8" i="3"/>
  <c r="H20" i="4"/>
  <c r="E81" i="2"/>
  <c r="E63" i="2"/>
  <c r="E21" i="6"/>
  <c r="E7" i="6"/>
  <c r="G7" i="3"/>
  <c r="G51" i="3"/>
  <c r="E75" i="2"/>
  <c r="E6" i="2"/>
  <c r="E74" i="2"/>
  <c r="E21" i="1"/>
  <c r="E71" i="5"/>
  <c r="G62" i="3"/>
  <c r="H57" i="3"/>
  <c r="E75" i="5"/>
  <c r="H24" i="3"/>
  <c r="G8" i="3"/>
  <c r="G20" i="4"/>
  <c r="E54" i="1"/>
  <c r="E75" i="6"/>
  <c r="G9" i="4"/>
  <c r="G58" i="3"/>
  <c r="E46" i="1"/>
  <c r="E37" i="1"/>
  <c r="E48" i="5"/>
  <c r="E26" i="6"/>
  <c r="G49" i="3"/>
  <c r="H19" i="3"/>
  <c r="G14" i="3"/>
  <c r="E25" i="5"/>
  <c r="E74" i="1"/>
  <c r="E77" i="1"/>
  <c r="E37" i="5"/>
  <c r="H25" i="3"/>
  <c r="E84" i="2"/>
  <c r="E3" i="1"/>
  <c r="G25" i="4"/>
  <c r="H64" i="3"/>
  <c r="E25" i="6"/>
  <c r="G6" i="3"/>
  <c r="E57" i="5"/>
  <c r="E50" i="5"/>
  <c r="H5" i="4"/>
  <c r="E46" i="5"/>
  <c r="E62" i="2"/>
  <c r="E25" i="1"/>
  <c r="G42" i="3"/>
  <c r="E57" i="1"/>
  <c r="H54" i="3"/>
  <c r="E11" i="1"/>
  <c r="G68" i="3"/>
  <c r="E12" i="5"/>
  <c r="G47" i="3"/>
  <c r="E43" i="6"/>
  <c r="E15" i="6"/>
  <c r="G56" i="3"/>
  <c r="E38" i="5"/>
  <c r="E26" i="1"/>
  <c r="G15" i="4"/>
  <c r="H58" i="3"/>
  <c r="H22" i="3"/>
  <c r="G46" i="3"/>
  <c r="G23" i="3"/>
  <c r="E23" i="1"/>
  <c r="E26" i="5"/>
  <c r="E65" i="5"/>
  <c r="G41" i="3"/>
  <c r="E34" i="6"/>
  <c r="E23" i="6"/>
  <c r="G17" i="3"/>
  <c r="E5" i="6"/>
  <c r="E11" i="2"/>
  <c r="E39" i="5"/>
  <c r="E44" i="2"/>
  <c r="E20" i="1"/>
  <c r="E59" i="5"/>
  <c r="E69" i="6"/>
  <c r="G12" i="4"/>
  <c r="E72" i="1"/>
  <c r="E43" i="2"/>
  <c r="E22" i="2"/>
  <c r="E58" i="2"/>
  <c r="G45" i="3"/>
  <c r="H62" i="3"/>
  <c r="G60" i="3"/>
  <c r="E60" i="1"/>
  <c r="E45" i="5"/>
  <c r="E40" i="5"/>
  <c r="E65" i="1"/>
  <c r="E29" i="2"/>
  <c r="G7" i="4"/>
  <c r="G11" i="3"/>
  <c r="E67" i="6"/>
  <c r="H11" i="3"/>
  <c r="E62" i="5"/>
  <c r="E32" i="1"/>
  <c r="E19" i="6"/>
  <c r="E16" i="5"/>
  <c r="E22" i="1"/>
  <c r="E34" i="2"/>
  <c r="E22" i="5"/>
  <c r="E33" i="6"/>
  <c r="H20" i="3"/>
  <c r="E18" i="5"/>
  <c r="E88" i="2"/>
  <c r="B35" i="7" l="1"/>
  <c r="B9" i="7"/>
</calcChain>
</file>

<file path=xl/sharedStrings.xml><?xml version="1.0" encoding="utf-8"?>
<sst xmlns="http://schemas.openxmlformats.org/spreadsheetml/2006/main" count="952" uniqueCount="630">
  <si>
    <t>Individual details: Balance sheet assets (BPA)</t>
  </si>
  <si>
    <t>Account</t>
  </si>
  <si>
    <t>Description</t>
  </si>
  <si>
    <t>Current Quarter</t>
  </si>
  <si>
    <t>End Prev. Exercise</t>
  </si>
  <si>
    <t>Evolution</t>
  </si>
  <si>
    <t>1</t>
  </si>
  <si>
    <t>Ativo Total</t>
  </si>
  <si>
    <t>1.01</t>
  </si>
  <si>
    <t>Ativo Circulante</t>
  </si>
  <si>
    <t>1.01.01</t>
  </si>
  <si>
    <t>Caixa e Equivalentes de Caixa</t>
  </si>
  <si>
    <t>1.01.02</t>
  </si>
  <si>
    <t>Aplicações Financeiras</t>
  </si>
  <si>
    <t>1.01.03</t>
  </si>
  <si>
    <t>Contas a Receber</t>
  </si>
  <si>
    <t>1.01.04</t>
  </si>
  <si>
    <t>Estoques</t>
  </si>
  <si>
    <t>1.01.06</t>
  </si>
  <si>
    <t>Tributos a Recuperar</t>
  </si>
  <si>
    <t>1.01.06.01</t>
  </si>
  <si>
    <t>Tributos Correntes a Recuperar</t>
  </si>
  <si>
    <t>1.01.06.01.01</t>
  </si>
  <si>
    <t>Imposto de renda e contribuição social correntes</t>
  </si>
  <si>
    <t>1.01.06.01.02</t>
  </si>
  <si>
    <t>Outros tributos a recuperar</t>
  </si>
  <si>
    <t>1.01.08</t>
  </si>
  <si>
    <t>Outros Ativos Circulantes</t>
  </si>
  <si>
    <t>1.01.08.01</t>
  </si>
  <si>
    <t>Ativos Não-Correntes a Venda</t>
  </si>
  <si>
    <t>1.01.08.03</t>
  </si>
  <si>
    <t>Outros</t>
  </si>
  <si>
    <t>1.01.08.03.01</t>
  </si>
  <si>
    <t>Adiantamento a Fornecedores</t>
  </si>
  <si>
    <t>1.01.08.03.02</t>
  </si>
  <si>
    <t>1.02</t>
  </si>
  <si>
    <t>Ativo Não Circulante</t>
  </si>
  <si>
    <t>1.02.01</t>
  </si>
  <si>
    <t>Ativo Realizável a Longo Prazo</t>
  </si>
  <si>
    <t>1.02.01.02</t>
  </si>
  <si>
    <t>Aplicações Financeiras Avaliadas ao Custo Amortizado</t>
  </si>
  <si>
    <t>1.02.01.03</t>
  </si>
  <si>
    <t>1.02.01.04</t>
  </si>
  <si>
    <t>1.02.01.06</t>
  </si>
  <si>
    <t>Tributos Diferidos</t>
  </si>
  <si>
    <t>1.02.01.07</t>
  </si>
  <si>
    <t>Despesas Antecipadas</t>
  </si>
  <si>
    <t>1.02.01.07.01</t>
  </si>
  <si>
    <t>Imposto de Renda e Contribuição Social Diferidos</t>
  </si>
  <si>
    <t>1.02.01.07.02</t>
  </si>
  <si>
    <t>Impostos e Contribuições</t>
  </si>
  <si>
    <t>1.02.01.09</t>
  </si>
  <si>
    <t>Outros Ativos Não Circulantes</t>
  </si>
  <si>
    <t>1.02.01.09.03</t>
  </si>
  <si>
    <t>1.02.01.09.04</t>
  </si>
  <si>
    <t>Depósitos judiciais</t>
  </si>
  <si>
    <t>1.02.01.10</t>
  </si>
  <si>
    <t>1.02.01.10.03</t>
  </si>
  <si>
    <t>1.02.01.10.04</t>
  </si>
  <si>
    <t>1.02.01.10.05</t>
  </si>
  <si>
    <t>Outros Realizáeis a Longo Prazo</t>
  </si>
  <si>
    <t>1.02.02</t>
  </si>
  <si>
    <t>Investimentos</t>
  </si>
  <si>
    <t>1.02.03</t>
  </si>
  <si>
    <t>Imobilizado</t>
  </si>
  <si>
    <t>1.02.04</t>
  </si>
  <si>
    <t>Intangível</t>
  </si>
  <si>
    <t>1.02.01.06.02</t>
  </si>
  <si>
    <t>Impostos e contribuições</t>
  </si>
  <si>
    <t>1.02.01.09.05</t>
  </si>
  <si>
    <t>Outros Realizáveis a Longo Prazo</t>
  </si>
  <si>
    <t>Consolidated details: Balance sheet assets (BPA)</t>
  </si>
  <si>
    <t>1c</t>
  </si>
  <si>
    <t>1.01c</t>
  </si>
  <si>
    <t>1.01.01c</t>
  </si>
  <si>
    <t>1.01.02c</t>
  </si>
  <si>
    <t>1.01.03c</t>
  </si>
  <si>
    <t>1.01.04c</t>
  </si>
  <si>
    <t>1.01.06c</t>
  </si>
  <si>
    <t>1.01.06.01c</t>
  </si>
  <si>
    <t>1.01.06.01.01c</t>
  </si>
  <si>
    <t>1.01.06.01.02c</t>
  </si>
  <si>
    <t>1.01.08c</t>
  </si>
  <si>
    <t>1.01.08.01c</t>
  </si>
  <si>
    <t>1.01.08.03c</t>
  </si>
  <si>
    <t>1.01.08.03.01c</t>
  </si>
  <si>
    <t>1.01.08.03.02c</t>
  </si>
  <si>
    <t>1.02c</t>
  </si>
  <si>
    <t>1.02.01c</t>
  </si>
  <si>
    <t>1.02.01.02c</t>
  </si>
  <si>
    <t>1.02.01.03c</t>
  </si>
  <si>
    <t>1.02.01.04c</t>
  </si>
  <si>
    <t>1.02.01.06c</t>
  </si>
  <si>
    <t>1.02.01.07c</t>
  </si>
  <si>
    <t>1.02.01.07.01c</t>
  </si>
  <si>
    <t>1.02.01.07.02c</t>
  </si>
  <si>
    <t>1.02.01.09c</t>
  </si>
  <si>
    <t>1.02.01.09.03c</t>
  </si>
  <si>
    <t>1.02.01.09.04c</t>
  </si>
  <si>
    <t>Depósitos Judiciais</t>
  </si>
  <si>
    <t>1.02.01.10c</t>
  </si>
  <si>
    <t>1.02.01.10.03c</t>
  </si>
  <si>
    <t>1.02.01.10.04c</t>
  </si>
  <si>
    <t>1.02.01.10.05c</t>
  </si>
  <si>
    <t>1.02.02c</t>
  </si>
  <si>
    <t>1.02.03c</t>
  </si>
  <si>
    <t>1.02.04c</t>
  </si>
  <si>
    <t>1.02.01.06.01c</t>
  </si>
  <si>
    <t>1.02.01.06.02c</t>
  </si>
  <si>
    <t>1.02.01.09.05c</t>
  </si>
  <si>
    <t>Individual details: Balance sheet liabilities (BPP)</t>
  </si>
  <si>
    <t>2</t>
  </si>
  <si>
    <t>Passivo Total</t>
  </si>
  <si>
    <t>2.01</t>
  </si>
  <si>
    <t>Passivo Circulante</t>
  </si>
  <si>
    <t>2.01.01</t>
  </si>
  <si>
    <t>Obrigações Sociais e Trabalhistas</t>
  </si>
  <si>
    <t>2.01.02</t>
  </si>
  <si>
    <t>Fornecedores</t>
  </si>
  <si>
    <t>2.01.03</t>
  </si>
  <si>
    <t>Obrigações Fiscais</t>
  </si>
  <si>
    <t>2.01.03.01</t>
  </si>
  <si>
    <t>Obrigações Fiscais Federais</t>
  </si>
  <si>
    <t>2.01.03.01.01</t>
  </si>
  <si>
    <t>Imposto de Renda e Contribuição Social a Pagar</t>
  </si>
  <si>
    <t>2.01.04</t>
  </si>
  <si>
    <t>Empréstimos e Financiamentos</t>
  </si>
  <si>
    <t>2.01.04.01</t>
  </si>
  <si>
    <t>2.01.04.03</t>
  </si>
  <si>
    <t>Financiamento por Arrendamento Financeiro</t>
  </si>
  <si>
    <t>2.01.05</t>
  </si>
  <si>
    <t>Outras Obrigações</t>
  </si>
  <si>
    <t>2.01.05.02</t>
  </si>
  <si>
    <t>2.01.05.02.04</t>
  </si>
  <si>
    <t>Outros Impostos e contribuições</t>
  </si>
  <si>
    <t>2.01.05.02.05</t>
  </si>
  <si>
    <t>Outras contas e despesas a pagar</t>
  </si>
  <si>
    <t>2.01.05.02.06</t>
  </si>
  <si>
    <t>Outras Contas e Despesas a Pagar</t>
  </si>
  <si>
    <t>2.01.06</t>
  </si>
  <si>
    <t>Provisões</t>
  </si>
  <si>
    <t>2.01.06.01</t>
  </si>
  <si>
    <t>Provisões Fiscais Previdenciárias Trabalhistas e Cíveis</t>
  </si>
  <si>
    <t>2.01.06.01.04</t>
  </si>
  <si>
    <t>Provisões Cíveis</t>
  </si>
  <si>
    <t>2.01.06.02</t>
  </si>
  <si>
    <t>Outras Provisões</t>
  </si>
  <si>
    <t>2.01.06.02.04</t>
  </si>
  <si>
    <t>Plano de Pensão e de Saúde</t>
  </si>
  <si>
    <t>2.01.07</t>
  </si>
  <si>
    <t>Passivos sobre Ativos Não-Correntes a Venda e Descontinuados</t>
  </si>
  <si>
    <t>2.01.07.01</t>
  </si>
  <si>
    <t>Passivos sobre Ativos Não-Correntes a Venda</t>
  </si>
  <si>
    <t>2.02</t>
  </si>
  <si>
    <t>Passivo Não Circulante</t>
  </si>
  <si>
    <t>2.02.01</t>
  </si>
  <si>
    <t>2.02.01.01</t>
  </si>
  <si>
    <t>2.02.01.03</t>
  </si>
  <si>
    <t>2.02.02</t>
  </si>
  <si>
    <t>2.02.02.02</t>
  </si>
  <si>
    <t>2.02.02.02.03</t>
  </si>
  <si>
    <t>Imposto de Renda e Contribuição Social</t>
  </si>
  <si>
    <t>2.02.03</t>
  </si>
  <si>
    <t>2.02.03.01</t>
  </si>
  <si>
    <t>2.02.04</t>
  </si>
  <si>
    <t>2.02.04.01</t>
  </si>
  <si>
    <t>2.02.04.02</t>
  </si>
  <si>
    <t>2.02.04.02.04</t>
  </si>
  <si>
    <t>2.02.04.02.05</t>
  </si>
  <si>
    <t>Provisão para Desmantelamento de áreas</t>
  </si>
  <si>
    <t>2.02.04.02.06</t>
  </si>
  <si>
    <t>2.03</t>
  </si>
  <si>
    <t>Patrimônio Líquido</t>
  </si>
  <si>
    <t>2.03.01</t>
  </si>
  <si>
    <t>Capital Social Realizado</t>
  </si>
  <si>
    <t>2.03.02</t>
  </si>
  <si>
    <t>Reservas de Capital</t>
  </si>
  <si>
    <t>2.03.04</t>
  </si>
  <si>
    <t>Reservas de Lucros</t>
  </si>
  <si>
    <t>2.03.08</t>
  </si>
  <si>
    <t>Outros Resultados Abrangentes</t>
  </si>
  <si>
    <t>Consolidated details: Balance sheet liabilities (BPP)</t>
  </si>
  <si>
    <t>2c</t>
  </si>
  <si>
    <t>2.01c</t>
  </si>
  <si>
    <t>2.01.01c</t>
  </si>
  <si>
    <t>2.01.02c</t>
  </si>
  <si>
    <t>2.01.03c</t>
  </si>
  <si>
    <t>2.01.03.01c</t>
  </si>
  <si>
    <t>2.01.03.01.01c</t>
  </si>
  <si>
    <t>2.01.04c</t>
  </si>
  <si>
    <t>2.01.04.01c</t>
  </si>
  <si>
    <t>2.01.04.03c</t>
  </si>
  <si>
    <t>2.01.05c</t>
  </si>
  <si>
    <t>2.01.05.02c</t>
  </si>
  <si>
    <t>2.01.05.02.04c</t>
  </si>
  <si>
    <t>2.01.05.02.05c</t>
  </si>
  <si>
    <t>2.01.05.02.06c</t>
  </si>
  <si>
    <t>2.01.06c</t>
  </si>
  <si>
    <t>2.01.06.01c</t>
  </si>
  <si>
    <t>2.01.06.01.04c</t>
  </si>
  <si>
    <t>2.01.06.02c</t>
  </si>
  <si>
    <t>2.01.06.02.04c</t>
  </si>
  <si>
    <t>2.01.07c</t>
  </si>
  <si>
    <t>2.01.07.01c</t>
  </si>
  <si>
    <t>2.02c</t>
  </si>
  <si>
    <t>2.02.01c</t>
  </si>
  <si>
    <t>2.02.01.01c</t>
  </si>
  <si>
    <t>2.02.01.03c</t>
  </si>
  <si>
    <t>2.02.02c</t>
  </si>
  <si>
    <t>2.02.02.02c</t>
  </si>
  <si>
    <t>2.02.02.02.03c</t>
  </si>
  <si>
    <t>Imposto de renda e contribuição social</t>
  </si>
  <si>
    <t>2.02.03c</t>
  </si>
  <si>
    <t>2.02.03.01c</t>
  </si>
  <si>
    <t>2.02.04c</t>
  </si>
  <si>
    <t>2.02.04.01c</t>
  </si>
  <si>
    <t>2.02.04.02c</t>
  </si>
  <si>
    <t>2.02.04.02.04c</t>
  </si>
  <si>
    <t>2.02.04.02.05c</t>
  </si>
  <si>
    <t>Provisão para Desmantelamento de Áreas</t>
  </si>
  <si>
    <t>2.02.04.02.06c</t>
  </si>
  <si>
    <t>2.03c</t>
  </si>
  <si>
    <t>Patrimônio Líquido Consolidado</t>
  </si>
  <si>
    <t>2.03.01c</t>
  </si>
  <si>
    <t>2.03.02c</t>
  </si>
  <si>
    <t>2.03.04c</t>
  </si>
  <si>
    <t>2.03.08c</t>
  </si>
  <si>
    <t>2.03.09c</t>
  </si>
  <si>
    <t>Participação dos Acionistas Não Controladores</t>
  </si>
  <si>
    <t>Individual details: Income statement (DRE)</t>
  </si>
  <si>
    <t>Accum. Year</t>
  </si>
  <si>
    <t>Quarter Prev. Exercise</t>
  </si>
  <si>
    <t>Accum. Prev. Exercise</t>
  </si>
  <si>
    <t>Quarter Evolution</t>
  </si>
  <si>
    <t>Accum. Evolution</t>
  </si>
  <si>
    <t>3.01</t>
  </si>
  <si>
    <t>Receita de Venda de Bens e/ou Serviços</t>
  </si>
  <si>
    <t>3.02</t>
  </si>
  <si>
    <t>Custo dos Bens e/ou Serviços Vendidos</t>
  </si>
  <si>
    <t>3.03</t>
  </si>
  <si>
    <t>Resultado Bruto</t>
  </si>
  <si>
    <t>3.04</t>
  </si>
  <si>
    <t>Despesas/Receitas Operacionais</t>
  </si>
  <si>
    <t>3.04.01</t>
  </si>
  <si>
    <t>Despesas com Vendas</t>
  </si>
  <si>
    <t>3.04.02</t>
  </si>
  <si>
    <t>Despesas Gerais e Administrativas</t>
  </si>
  <si>
    <t>3.04.05</t>
  </si>
  <si>
    <t>Outras Despesas Operacionais</t>
  </si>
  <si>
    <t>3.04.05.01</t>
  </si>
  <si>
    <t>Tributárias</t>
  </si>
  <si>
    <t>3.04.05.02</t>
  </si>
  <si>
    <t>Custo com Pesquisa e Desenvolvimento Tecnológico</t>
  </si>
  <si>
    <t>3.04.05.03</t>
  </si>
  <si>
    <t>Custo Exploratório para Extração de Petróleo e Gás</t>
  </si>
  <si>
    <t>3.04.05.05</t>
  </si>
  <si>
    <t>Outras Despesas/Receitas Operacionais Líquidas</t>
  </si>
  <si>
    <t>3.04.06</t>
  </si>
  <si>
    <t>Resultado de Equivalência Patrimonial</t>
  </si>
  <si>
    <t>3.05</t>
  </si>
  <si>
    <t>Resultado Antes do Resultado Financeiro e dos Tributos</t>
  </si>
  <si>
    <t>3.06</t>
  </si>
  <si>
    <t>Resultado Financeiro</t>
  </si>
  <si>
    <t>3.06.01</t>
  </si>
  <si>
    <t>Receitas Financeiras</t>
  </si>
  <si>
    <t>3.06.01.01</t>
  </si>
  <si>
    <t>3.06.02</t>
  </si>
  <si>
    <t>Despesas Financeiras</t>
  </si>
  <si>
    <t>3.06.02.01</t>
  </si>
  <si>
    <t>3.06.02.02</t>
  </si>
  <si>
    <t>Variações Monetárias e Cambiais Líquidas</t>
  </si>
  <si>
    <t>3.07</t>
  </si>
  <si>
    <t>Resultado Antes dos Tributos sobre o Lucro</t>
  </si>
  <si>
    <t>3.08</t>
  </si>
  <si>
    <t>Imposto de Renda e Contribuição Social sobre o Lucro</t>
  </si>
  <si>
    <t>3.08.01</t>
  </si>
  <si>
    <t>Corrente</t>
  </si>
  <si>
    <t>3.08.02</t>
  </si>
  <si>
    <t>Diferido</t>
  </si>
  <si>
    <t>3.09</t>
  </si>
  <si>
    <t>Resultado Líquido das Operações Continuadas</t>
  </si>
  <si>
    <t>3.11</t>
  </si>
  <si>
    <t>Lucro/Prejuízo do Período</t>
  </si>
  <si>
    <t>3.99.01.01</t>
  </si>
  <si>
    <t>ON</t>
  </si>
  <si>
    <t>3.99.01.02</t>
  </si>
  <si>
    <t>PN</t>
  </si>
  <si>
    <t>3.99.02.01</t>
  </si>
  <si>
    <t>3.99.02.02</t>
  </si>
  <si>
    <t>3.99.99.10</t>
  </si>
  <si>
    <t>Ordinary shares in treasury</t>
  </si>
  <si>
    <t>3.99.99.11</t>
  </si>
  <si>
    <t>Preferred shares in treasury</t>
  </si>
  <si>
    <t>3.99.99.12</t>
  </si>
  <si>
    <t>Total shares in treasury</t>
  </si>
  <si>
    <t>3.99.99.20</t>
  </si>
  <si>
    <t>Ordinary shares</t>
  </si>
  <si>
    <t>3.99.99.21</t>
  </si>
  <si>
    <t>Preferred shares</t>
  </si>
  <si>
    <t>3.99.99.22</t>
  </si>
  <si>
    <t>Total shares</t>
  </si>
  <si>
    <t>3.99.99.30</t>
  </si>
  <si>
    <t>Stock price</t>
  </si>
  <si>
    <t>Consolidated details: Income statement (DRE)</t>
  </si>
  <si>
    <t>3.01c</t>
  </si>
  <si>
    <t>3.02c</t>
  </si>
  <si>
    <t>3.03c</t>
  </si>
  <si>
    <t>3.04c</t>
  </si>
  <si>
    <t>3.04.01c</t>
  </si>
  <si>
    <t>3.04.02c</t>
  </si>
  <si>
    <t>3.04.05c</t>
  </si>
  <si>
    <t>3.04.05.01c</t>
  </si>
  <si>
    <t>3.04.05.02c</t>
  </si>
  <si>
    <t>3.04.05.03c</t>
  </si>
  <si>
    <t>3.04.05.05c</t>
  </si>
  <si>
    <t>3.04.06c</t>
  </si>
  <si>
    <t>3.05c</t>
  </si>
  <si>
    <t>3.06c</t>
  </si>
  <si>
    <t>3.06.01c</t>
  </si>
  <si>
    <t>3.06.01.01c</t>
  </si>
  <si>
    <t>3.06.02c</t>
  </si>
  <si>
    <t>3.06.02.01c</t>
  </si>
  <si>
    <t>3.06.02.02c</t>
  </si>
  <si>
    <t>3.07c</t>
  </si>
  <si>
    <t>3.08c</t>
  </si>
  <si>
    <t>3.08.01c</t>
  </si>
  <si>
    <t>3.08.02c</t>
  </si>
  <si>
    <t>3.09c</t>
  </si>
  <si>
    <t>3.11c</t>
  </si>
  <si>
    <t>Lucro/Prejuízo Consolidado do Período</t>
  </si>
  <si>
    <t>3.11.01c</t>
  </si>
  <si>
    <t>Atribuído a Sócios da Empresa Controladora</t>
  </si>
  <si>
    <t>3.11.02c</t>
  </si>
  <si>
    <t>Atribuído a Sócios Não Controladores</t>
  </si>
  <si>
    <t>3.99.01.01c</t>
  </si>
  <si>
    <t>3.99.01.02c</t>
  </si>
  <si>
    <t>3.99.02.01c</t>
  </si>
  <si>
    <t>3.99.02.02c</t>
  </si>
  <si>
    <t>Individual details: Comprehensive Income (DRA)</t>
  </si>
  <si>
    <t>4.01</t>
  </si>
  <si>
    <t>Lucro Líquido do Período</t>
  </si>
  <si>
    <t>4.02</t>
  </si>
  <si>
    <t>4.02.03</t>
  </si>
  <si>
    <t>Ajustes acumulados de conversão</t>
  </si>
  <si>
    <t>4.02.04</t>
  </si>
  <si>
    <t>Resultados não realizados em títulos disponíveis para a venda reconhecidos no PL</t>
  </si>
  <si>
    <t>4.02.06</t>
  </si>
  <si>
    <t>IR e CSLL diferidos s/ títulos disponíveis para a venda</t>
  </si>
  <si>
    <t>4.02.07</t>
  </si>
  <si>
    <t>Resultados não realizados com hedge de fluxo de caixa Reconhecidos no PL</t>
  </si>
  <si>
    <t>4.02.08</t>
  </si>
  <si>
    <t>Resultados não realizados com hedge de fluxo de caixa transferidos para o resultado</t>
  </si>
  <si>
    <t>4.02.09</t>
  </si>
  <si>
    <t>IR e CSLL diferidos s/ Resultados não realizados com hedge de fluxo de caixa</t>
  </si>
  <si>
    <t>4.02.10</t>
  </si>
  <si>
    <t>Equivalência patrimonial sobre outros resultados abrangentes em Investidas</t>
  </si>
  <si>
    <t>4.03</t>
  </si>
  <si>
    <t>Resultado Abrangente do Período</t>
  </si>
  <si>
    <t>Consolidated details: Comprehensive Income (DRA)</t>
  </si>
  <si>
    <t>4.01c</t>
  </si>
  <si>
    <t>Lucro Líquido Consolidado do Período</t>
  </si>
  <si>
    <t>4.02c</t>
  </si>
  <si>
    <t>4.02.03c</t>
  </si>
  <si>
    <t>4.02.04c</t>
  </si>
  <si>
    <t>4.02.06c</t>
  </si>
  <si>
    <t>4.02.07c</t>
  </si>
  <si>
    <t>4.02.08c</t>
  </si>
  <si>
    <t>4.02.09c</t>
  </si>
  <si>
    <t>4.02.10c</t>
  </si>
  <si>
    <t>4.03c</t>
  </si>
  <si>
    <t>Resultado Abrangente Consolidado do Período</t>
  </si>
  <si>
    <t>4.03.01c</t>
  </si>
  <si>
    <t>4.03.02c</t>
  </si>
  <si>
    <t>Individual details: Cash-flow</t>
  </si>
  <si>
    <t>6.01</t>
  </si>
  <si>
    <t>Caixa Líquido Atividades Operacionais</t>
  </si>
  <si>
    <t>6.01.01</t>
  </si>
  <si>
    <t>Caixa Gerado nas Operações</t>
  </si>
  <si>
    <t>6.01.01.01</t>
  </si>
  <si>
    <t>Lucro (Prejuízo) do Exercício</t>
  </si>
  <si>
    <t>6.01.01.02</t>
  </si>
  <si>
    <t>Despesa atuarial com plano de pensão e saúde</t>
  </si>
  <si>
    <t>6.01.01.03</t>
  </si>
  <si>
    <t>Resultado de Participações em Investimentos</t>
  </si>
  <si>
    <t>6.01.01.04</t>
  </si>
  <si>
    <t>Depreciação, Depleção e Amortização</t>
  </si>
  <si>
    <t>6.01.01.05</t>
  </si>
  <si>
    <t>Perda na Recuperação de Ativos Impairment</t>
  </si>
  <si>
    <t>6.01.01.06</t>
  </si>
  <si>
    <t>Baixa de Poços Secos</t>
  </si>
  <si>
    <t>6.01.01.07</t>
  </si>
  <si>
    <t>Resultado com alienação, baixa de ativos e devolução de campos e projetos cancelados do E&amp;P</t>
  </si>
  <si>
    <t>6.01.01.08</t>
  </si>
  <si>
    <t>Variação Cambial Monetária e Enc. sobre Financiamentos</t>
  </si>
  <si>
    <t>6.01.01.09</t>
  </si>
  <si>
    <t>Imposto de Renda e Contrib. Soc. Dif. Líquidos</t>
  </si>
  <si>
    <t>6.01.01.10</t>
  </si>
  <si>
    <t>Perdas em créditos de liquidação duvidosa</t>
  </si>
  <si>
    <t>6.01.01.13</t>
  </si>
  <si>
    <t>Revisão e Atualização financeira de abandono</t>
  </si>
  <si>
    <t>6.01.01.15</t>
  </si>
  <si>
    <t>Ganhos/ perdas na remensuração - Participações societárias</t>
  </si>
  <si>
    <t>6.01.02</t>
  </si>
  <si>
    <t>Variações nos Ativos e Passivos</t>
  </si>
  <si>
    <t>6.01.02.01</t>
  </si>
  <si>
    <t>6.01.02.02</t>
  </si>
  <si>
    <t>6.01.02.03</t>
  </si>
  <si>
    <t>6.01.02.04</t>
  </si>
  <si>
    <t>Outros Ativos</t>
  </si>
  <si>
    <t>6.01.02.05</t>
  </si>
  <si>
    <t>6.01.02.06</t>
  </si>
  <si>
    <t>Impostos, Taxas e Contribuições</t>
  </si>
  <si>
    <t>6.01.02.07</t>
  </si>
  <si>
    <t>Plano de Pensão e Saúde</t>
  </si>
  <si>
    <t>6.01.02.08</t>
  </si>
  <si>
    <t>Imposto de Renda e Contribuição Social Pagos</t>
  </si>
  <si>
    <t>6.01.02.09</t>
  </si>
  <si>
    <t>Outros Passivos</t>
  </si>
  <si>
    <t>6.02</t>
  </si>
  <si>
    <t>Caixa Líquido Atividades de Investimento</t>
  </si>
  <si>
    <t>6.02.01</t>
  </si>
  <si>
    <t>Aquisições de Imobilizados e Intangíveis</t>
  </si>
  <si>
    <t>6.02.02</t>
  </si>
  <si>
    <t>(Adições) Redução em Investimentos</t>
  </si>
  <si>
    <t>6.02.03</t>
  </si>
  <si>
    <t>Recebimentos pela venda de Ativos (desinvestimentos)</t>
  </si>
  <si>
    <t>6.02.04</t>
  </si>
  <si>
    <t>Investimentos em Títulos e Valores Mobiliários</t>
  </si>
  <si>
    <t>6.02.05</t>
  </si>
  <si>
    <t>Dividendos recebidos</t>
  </si>
  <si>
    <t>6.03</t>
  </si>
  <si>
    <t>Caixa Líquido Atividades de Financiamento</t>
  </si>
  <si>
    <t>6.03.02</t>
  </si>
  <si>
    <t>Captações</t>
  </si>
  <si>
    <t>6.03.03</t>
  </si>
  <si>
    <t>Amortizações de Principal</t>
  </si>
  <si>
    <t>6.03.04</t>
  </si>
  <si>
    <t>Amortizações de Juros</t>
  </si>
  <si>
    <t>6.03.05</t>
  </si>
  <si>
    <t>Dividendos Pagos a Acionistas</t>
  </si>
  <si>
    <t>6.05</t>
  </si>
  <si>
    <t>Aumento (Redução) de Caixa e Equivalentes</t>
  </si>
  <si>
    <t>6.05.01</t>
  </si>
  <si>
    <t>Saldo Inicial de Caixa e Equivalentes</t>
  </si>
  <si>
    <t>6.05.02</t>
  </si>
  <si>
    <t>Saldo Final de Caixa e Equivalentes</t>
  </si>
  <si>
    <t>Consolidated details: Cash-flow</t>
  </si>
  <si>
    <t>6.01c</t>
  </si>
  <si>
    <t>6.01.01c</t>
  </si>
  <si>
    <t>6.01.01.01c</t>
  </si>
  <si>
    <t>6.01.01.02c</t>
  </si>
  <si>
    <t>Despesa Atuarial com Plano de Pensão e Saúde</t>
  </si>
  <si>
    <t>6.01.01.03c</t>
  </si>
  <si>
    <t>6.01.01.04c</t>
  </si>
  <si>
    <t>6.01.01.05c</t>
  </si>
  <si>
    <t>Perda na Recuperação de Ativos</t>
  </si>
  <si>
    <t>6.01.01.06c</t>
  </si>
  <si>
    <t>6.01.01.07c</t>
  </si>
  <si>
    <t>Resultado com alienações, baixas de ativos, áreas devolvidas e projetos cancelados</t>
  </si>
  <si>
    <t>6.01.01.08c</t>
  </si>
  <si>
    <t>6.01.01.09c</t>
  </si>
  <si>
    <t>6.01.01.10c</t>
  </si>
  <si>
    <t>6.01.01.11c</t>
  </si>
  <si>
    <t>Ajuste ao valor de mercado dos estoques</t>
  </si>
  <si>
    <t>6.01.01.12c</t>
  </si>
  <si>
    <t>Realização de ajustes acumulados de conversão - CTA</t>
  </si>
  <si>
    <t>6.01.01.13c</t>
  </si>
  <si>
    <t>6.01.01.15c</t>
  </si>
  <si>
    <t>6.01.02c</t>
  </si>
  <si>
    <t>6.01.02.01c</t>
  </si>
  <si>
    <t>6.01.02.02c</t>
  </si>
  <si>
    <t>6.01.02.03c</t>
  </si>
  <si>
    <t>6.01.02.04c</t>
  </si>
  <si>
    <t>6.01.02.05c</t>
  </si>
  <si>
    <t>6.01.02.06c</t>
  </si>
  <si>
    <t>6.01.02.07c</t>
  </si>
  <si>
    <t>6.01.02.08c</t>
  </si>
  <si>
    <t>6.01.02.09c</t>
  </si>
  <si>
    <t>6.02c</t>
  </si>
  <si>
    <t>6.02.01c</t>
  </si>
  <si>
    <t>6.02.02c</t>
  </si>
  <si>
    <t>6.02.03c</t>
  </si>
  <si>
    <t>Recebimentos pela venda de ativos (Desinvestimentos)</t>
  </si>
  <si>
    <t>6.02.04c</t>
  </si>
  <si>
    <t>6.02.05c</t>
  </si>
  <si>
    <t>Dividendos Recebidos</t>
  </si>
  <si>
    <t>6.03c</t>
  </si>
  <si>
    <t>6.03.01c</t>
  </si>
  <si>
    <t>Participação de acionistas não controladores</t>
  </si>
  <si>
    <t>6.03.02c</t>
  </si>
  <si>
    <t>6.03.03c</t>
  </si>
  <si>
    <t>6.03.04c</t>
  </si>
  <si>
    <t>6.03.05c</t>
  </si>
  <si>
    <t>6.03.06c</t>
  </si>
  <si>
    <t>Dividendos Pagos a Acionistas não controladores</t>
  </si>
  <si>
    <t>6.04c</t>
  </si>
  <si>
    <t>Variação Cambial s/ Caixa e Equivalentes</t>
  </si>
  <si>
    <t>6.05c</t>
  </si>
  <si>
    <t>6.05.01c</t>
  </si>
  <si>
    <t>6.05.02c</t>
  </si>
  <si>
    <t>Individual details: Added value</t>
  </si>
  <si>
    <t>7.01</t>
  </si>
  <si>
    <t>Receitas</t>
  </si>
  <si>
    <t>7.01.01</t>
  </si>
  <si>
    <t>Vendas de Mercadorias, Produtos e Serviços</t>
  </si>
  <si>
    <t>7.01.02</t>
  </si>
  <si>
    <t>Outras Receitas</t>
  </si>
  <si>
    <t>7.01.03</t>
  </si>
  <si>
    <t>Receitas refs. à Construção de Ativos Próprios</t>
  </si>
  <si>
    <t>7.01.04</t>
  </si>
  <si>
    <t>Provisão/Reversão de Créds. Liquidação Duvidosa</t>
  </si>
  <si>
    <t>7.02</t>
  </si>
  <si>
    <t>Insumos Adquiridos de Terceiros</t>
  </si>
  <si>
    <t>7.02.01</t>
  </si>
  <si>
    <t>Custos Prods., Mercs. e Servs. Vendidos</t>
  </si>
  <si>
    <t>7.02.02</t>
  </si>
  <si>
    <t>Materiais, Energia, Servs. de Terceiros e Outros</t>
  </si>
  <si>
    <t>7.02.03</t>
  </si>
  <si>
    <t>Perda/Recuperação de Valores Ativos</t>
  </si>
  <si>
    <t>7.02.04</t>
  </si>
  <si>
    <t>7.02.04.01</t>
  </si>
  <si>
    <t>Créditos Fiscais sobre Insumos adquiridos de terceiros</t>
  </si>
  <si>
    <t>7.03</t>
  </si>
  <si>
    <t>Valor Adicionado Bruto</t>
  </si>
  <si>
    <t>7.04</t>
  </si>
  <si>
    <t>Retenções</t>
  </si>
  <si>
    <t>7.04.01</t>
  </si>
  <si>
    <t>Depreciação, Amortização e Exaustão</t>
  </si>
  <si>
    <t>7.05</t>
  </si>
  <si>
    <t>Valor Adicionado Líquido Produzido</t>
  </si>
  <si>
    <t>7.06</t>
  </si>
  <si>
    <t>Vlr Adicionado Recebido em Transferência</t>
  </si>
  <si>
    <t>7.06.01</t>
  </si>
  <si>
    <t>7.06.02</t>
  </si>
  <si>
    <t>7.06.03</t>
  </si>
  <si>
    <t>7.07</t>
  </si>
  <si>
    <t>Valor Adicionado Total a Distribuir</t>
  </si>
  <si>
    <t>7.08</t>
  </si>
  <si>
    <t>Distribuição do Valor Adicionado</t>
  </si>
  <si>
    <t>7.08.01</t>
  </si>
  <si>
    <t>Pessoal</t>
  </si>
  <si>
    <t>7.08.01.01</t>
  </si>
  <si>
    <t>Remuneração Direta</t>
  </si>
  <si>
    <t>7.08.01.02</t>
  </si>
  <si>
    <t>Benefícios</t>
  </si>
  <si>
    <t>7.08.01.03</t>
  </si>
  <si>
    <t>F.G.T.S.</t>
  </si>
  <si>
    <t>7.08.02</t>
  </si>
  <si>
    <t>7.08.02.01</t>
  </si>
  <si>
    <t>Federais</t>
  </si>
  <si>
    <t>7.08.02.02</t>
  </si>
  <si>
    <t>Estaduais</t>
  </si>
  <si>
    <t>7.08.02.03</t>
  </si>
  <si>
    <t>Municipais</t>
  </si>
  <si>
    <t>7.08.03</t>
  </si>
  <si>
    <t>Remuneração de Capitais de Terceiros</t>
  </si>
  <si>
    <t>7.08.03.01</t>
  </si>
  <si>
    <t>Juros</t>
  </si>
  <si>
    <t>7.08.03.02</t>
  </si>
  <si>
    <t>Aluguéis</t>
  </si>
  <si>
    <t>7.08.04</t>
  </si>
  <si>
    <t>Remuneração de Capitais Próprios</t>
  </si>
  <si>
    <t>7.08.04.01</t>
  </si>
  <si>
    <t>Juros sobre o Capital Próprio</t>
  </si>
  <si>
    <t>7.08.04.03</t>
  </si>
  <si>
    <t>Lucros Retidos / Prejuízo do Período</t>
  </si>
  <si>
    <t>Consolidated details: Added value</t>
  </si>
  <si>
    <t>7.01c</t>
  </si>
  <si>
    <t>7.01.01c</t>
  </si>
  <si>
    <t>7.01.02c</t>
  </si>
  <si>
    <t>7.01.03c</t>
  </si>
  <si>
    <t>7.01.04c</t>
  </si>
  <si>
    <t>7.02c</t>
  </si>
  <si>
    <t>7.02.01c</t>
  </si>
  <si>
    <t>7.02.02c</t>
  </si>
  <si>
    <t>7.02.03c</t>
  </si>
  <si>
    <t>7.02.04c</t>
  </si>
  <si>
    <t>7.02.04.01c</t>
  </si>
  <si>
    <t>7.02.04.02c</t>
  </si>
  <si>
    <t>Ajuste Ao Valor De Mercado Dos Estoques</t>
  </si>
  <si>
    <t>7.03c</t>
  </si>
  <si>
    <t>7.04c</t>
  </si>
  <si>
    <t>7.04.01c</t>
  </si>
  <si>
    <t>7.05c</t>
  </si>
  <si>
    <t>7.06c</t>
  </si>
  <si>
    <t>7.06.01c</t>
  </si>
  <si>
    <t>7.06.02c</t>
  </si>
  <si>
    <t>7.06.03c</t>
  </si>
  <si>
    <t>7.07c</t>
  </si>
  <si>
    <t>7.08c</t>
  </si>
  <si>
    <t>7.08.01c</t>
  </si>
  <si>
    <t>7.08.01.01c</t>
  </si>
  <si>
    <t>7.08.01.02c</t>
  </si>
  <si>
    <t>7.08.01.03c</t>
  </si>
  <si>
    <t>7.08.02c</t>
  </si>
  <si>
    <t>7.08.02.01c</t>
  </si>
  <si>
    <t>7.08.02.02c</t>
  </si>
  <si>
    <t>7.08.02.03c</t>
  </si>
  <si>
    <t>7.08.03c</t>
  </si>
  <si>
    <t>7.08.03.01c</t>
  </si>
  <si>
    <t>7.08.03.02c</t>
  </si>
  <si>
    <t>7.08.04c</t>
  </si>
  <si>
    <t>7.08.04.01c</t>
  </si>
  <si>
    <t>7.08.04.03c</t>
  </si>
  <si>
    <t>7.08.04.04c</t>
  </si>
  <si>
    <t>Part. Não Controladores nos Lucros Retidos</t>
  </si>
  <si>
    <t>Individual Indicators</t>
  </si>
  <si>
    <t>Market Cap</t>
  </si>
  <si>
    <t>Operational efficiency</t>
  </si>
  <si>
    <t>Quarter Prev. Year</t>
  </si>
  <si>
    <t>Accum. Prev. Year</t>
  </si>
  <si>
    <t>Gross Margin</t>
  </si>
  <si>
    <t>EBIT Margin</t>
  </si>
  <si>
    <t>Net Margin</t>
  </si>
  <si>
    <t>ROE</t>
  </si>
  <si>
    <t>Annualized ROE</t>
  </si>
  <si>
    <t>Annualized EBIT/Assets</t>
  </si>
  <si>
    <t>Annualized RL/Assets</t>
  </si>
  <si>
    <t>Price indicators</t>
  </si>
  <si>
    <t>Price Earnings Ratio (PER)</t>
  </si>
  <si>
    <t>Price per Book Value (P/BV)</t>
  </si>
  <si>
    <t>Enterprise Value per EBIT (EV/EBIT)</t>
  </si>
  <si>
    <t>Debt indicators</t>
  </si>
  <si>
    <t>Loans / Equity (L/E ratio)</t>
  </si>
  <si>
    <t>Total Debt / Equity (D/E)</t>
  </si>
  <si>
    <t>Long Term Debt / Equity (LTD/E)</t>
  </si>
  <si>
    <t>Current Liabilities / Total Debt (Financial Indebtedness)</t>
  </si>
  <si>
    <t>Long Term Debt / Total Debt</t>
  </si>
  <si>
    <t>Quick Ratio</t>
  </si>
  <si>
    <t>Consolidated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</si>
</sst>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0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t="s">
        <v>6</v>
      </c>
      <c r="B3" t="s">
        <v>7</v>
      </c>
      <c r="C3" s="3">
        <v>814913000</v>
      </c>
      <c r="D3" s="3">
        <v>723855000</v>
      </c>
      <c r="E3" s="4">
        <f t="shared" ref="E3:E38" ca="1" si="0">(INDIRECT("RC[-2]",0)-INDIRECT("RC[-1]",0))/INDIRECT("RC[-1]",0)</f>
        <v>0.12579591216472913</v>
      </c>
    </row>
    <row r="4" spans="1:5" x14ac:dyDescent="0.2">
      <c r="A4" t="s">
        <v>8</v>
      </c>
      <c r="B4" t="s">
        <v>9</v>
      </c>
      <c r="C4" s="3">
        <v>99611000</v>
      </c>
      <c r="D4" s="3">
        <v>81883000</v>
      </c>
      <c r="E4" s="4">
        <f t="shared" ca="1" si="0"/>
        <v>0.21650403624684</v>
      </c>
    </row>
    <row r="5" spans="1:5" x14ac:dyDescent="0.2">
      <c r="A5" t="s">
        <v>10</v>
      </c>
      <c r="B5" t="s">
        <v>11</v>
      </c>
      <c r="C5" s="3">
        <v>4089000</v>
      </c>
      <c r="D5" s="3">
        <v>1305000</v>
      </c>
      <c r="E5" s="4">
        <f t="shared" ca="1" si="0"/>
        <v>2.1333333333333333</v>
      </c>
    </row>
    <row r="6" spans="1:5" x14ac:dyDescent="0.2">
      <c r="A6" t="s">
        <v>12</v>
      </c>
      <c r="B6" t="s">
        <v>13</v>
      </c>
      <c r="C6" s="3">
        <v>3950000</v>
      </c>
      <c r="D6" s="3">
        <v>3531000</v>
      </c>
      <c r="E6" s="4">
        <f t="shared" ca="1" si="0"/>
        <v>0.11866326819597847</v>
      </c>
    </row>
    <row r="7" spans="1:5" x14ac:dyDescent="0.2">
      <c r="A7" t="s">
        <v>14</v>
      </c>
      <c r="B7" t="s">
        <v>15</v>
      </c>
      <c r="C7" s="3">
        <v>39370000</v>
      </c>
      <c r="D7" s="3">
        <v>34239000</v>
      </c>
      <c r="E7" s="4">
        <f t="shared" ca="1" si="0"/>
        <v>0.14985834866672507</v>
      </c>
    </row>
    <row r="8" spans="1:5" x14ac:dyDescent="0.2">
      <c r="A8" t="s">
        <v>16</v>
      </c>
      <c r="B8" t="s">
        <v>17</v>
      </c>
      <c r="C8" s="3">
        <v>32439000</v>
      </c>
      <c r="D8" s="3">
        <v>23165000</v>
      </c>
      <c r="E8" s="4">
        <f t="shared" ca="1" si="0"/>
        <v>0.40034534858622922</v>
      </c>
    </row>
    <row r="9" spans="1:5" x14ac:dyDescent="0.2">
      <c r="A9" t="s">
        <v>18</v>
      </c>
      <c r="B9" t="s">
        <v>19</v>
      </c>
      <c r="C9" s="3">
        <v>7225000</v>
      </c>
      <c r="D9" s="3">
        <v>6183000</v>
      </c>
      <c r="E9" s="4">
        <f t="shared" ca="1" si="0"/>
        <v>0.16852660520782792</v>
      </c>
    </row>
    <row r="10" spans="1:5" x14ac:dyDescent="0.2">
      <c r="A10" t="s">
        <v>20</v>
      </c>
      <c r="B10" t="s">
        <v>21</v>
      </c>
      <c r="C10" s="3">
        <v>7225000</v>
      </c>
      <c r="D10" s="3">
        <v>6183000</v>
      </c>
      <c r="E10" s="4">
        <f t="shared" ca="1" si="0"/>
        <v>0.16852660520782792</v>
      </c>
    </row>
    <row r="11" spans="1:5" x14ac:dyDescent="0.2">
      <c r="A11" t="s">
        <v>22</v>
      </c>
      <c r="B11" t="s">
        <v>23</v>
      </c>
      <c r="C11" s="3">
        <v>171000</v>
      </c>
      <c r="D11" s="3">
        <v>669000</v>
      </c>
      <c r="E11" s="4">
        <f t="shared" ca="1" si="0"/>
        <v>-0.74439461883408076</v>
      </c>
    </row>
    <row r="12" spans="1:5" x14ac:dyDescent="0.2">
      <c r="A12" t="s">
        <v>24</v>
      </c>
      <c r="B12" t="s">
        <v>25</v>
      </c>
      <c r="C12" s="3">
        <v>7054000</v>
      </c>
      <c r="D12" s="3">
        <v>5514000</v>
      </c>
      <c r="E12" s="4">
        <f t="shared" ca="1" si="0"/>
        <v>0.27928908233587235</v>
      </c>
    </row>
    <row r="13" spans="1:5" x14ac:dyDescent="0.2">
      <c r="A13" t="s">
        <v>26</v>
      </c>
      <c r="B13" t="s">
        <v>27</v>
      </c>
      <c r="C13" s="3">
        <v>12538000</v>
      </c>
      <c r="D13" s="3">
        <v>13460000</v>
      </c>
      <c r="E13" s="4">
        <f t="shared" ca="1" si="0"/>
        <v>-6.8499257057949486E-2</v>
      </c>
    </row>
    <row r="14" spans="1:5" x14ac:dyDescent="0.2">
      <c r="A14" t="s">
        <v>28</v>
      </c>
      <c r="B14" t="s">
        <v>29</v>
      </c>
      <c r="C14" s="3">
        <v>325000</v>
      </c>
      <c r="D14" s="3">
        <v>9520000</v>
      </c>
      <c r="E14" s="4">
        <f t="shared" ca="1" si="0"/>
        <v>-0.96586134453781514</v>
      </c>
    </row>
    <row r="15" spans="1:5" x14ac:dyDescent="0.2">
      <c r="A15" t="s">
        <v>30</v>
      </c>
      <c r="B15" t="s">
        <v>31</v>
      </c>
      <c r="C15" s="3">
        <v>12213000</v>
      </c>
      <c r="D15" s="3">
        <v>3940000</v>
      </c>
      <c r="E15" s="4">
        <f t="shared" ca="1" si="0"/>
        <v>2.0997461928934009</v>
      </c>
    </row>
    <row r="16" spans="1:5" x14ac:dyDescent="0.2">
      <c r="A16" t="s">
        <v>32</v>
      </c>
      <c r="B16" t="s">
        <v>33</v>
      </c>
      <c r="C16" s="3">
        <v>117000</v>
      </c>
      <c r="D16" s="3">
        <v>173000</v>
      </c>
      <c r="E16" s="4">
        <f t="shared" ca="1" si="0"/>
        <v>-0.32369942196531792</v>
      </c>
    </row>
    <row r="17" spans="1:5" x14ac:dyDescent="0.2">
      <c r="A17" t="s">
        <v>34</v>
      </c>
      <c r="B17" t="s">
        <v>31</v>
      </c>
      <c r="C17" s="3">
        <v>12096000</v>
      </c>
      <c r="D17" s="3">
        <v>3767000</v>
      </c>
      <c r="E17" s="4">
        <f t="shared" ca="1" si="0"/>
        <v>2.2110432705070346</v>
      </c>
    </row>
    <row r="18" spans="1:5" x14ac:dyDescent="0.2">
      <c r="A18" t="s">
        <v>35</v>
      </c>
      <c r="B18" t="s">
        <v>36</v>
      </c>
      <c r="C18" s="3">
        <v>715302000</v>
      </c>
      <c r="D18" s="3">
        <v>641972000</v>
      </c>
      <c r="E18" s="4">
        <f t="shared" ca="1" si="0"/>
        <v>0.11422616562716131</v>
      </c>
    </row>
    <row r="19" spans="1:5" x14ac:dyDescent="0.2">
      <c r="A19" t="s">
        <v>37</v>
      </c>
      <c r="B19" t="s">
        <v>38</v>
      </c>
      <c r="C19" s="3">
        <v>60505000</v>
      </c>
      <c r="D19" s="3">
        <v>50816000</v>
      </c>
      <c r="E19" s="4">
        <f t="shared" ca="1" si="0"/>
        <v>0.1906682934508816</v>
      </c>
    </row>
    <row r="20" spans="1:5" x14ac:dyDescent="0.2">
      <c r="A20" t="s">
        <v>39</v>
      </c>
      <c r="B20" t="s">
        <v>40</v>
      </c>
      <c r="C20" s="3">
        <v>0</v>
      </c>
      <c r="D20" s="3">
        <v>204000</v>
      </c>
      <c r="E20" s="4">
        <f t="shared" ca="1" si="0"/>
        <v>-1</v>
      </c>
    </row>
    <row r="21" spans="1:5" x14ac:dyDescent="0.2">
      <c r="A21" t="s">
        <v>41</v>
      </c>
      <c r="B21" t="s">
        <v>15</v>
      </c>
      <c r="C21" s="3">
        <v>192000</v>
      </c>
      <c r="D21" s="3">
        <v>15211000</v>
      </c>
      <c r="E21" s="4">
        <f t="shared" ca="1" si="0"/>
        <v>-0.98737755571625796</v>
      </c>
    </row>
    <row r="22" spans="1:5" x14ac:dyDescent="0.2">
      <c r="A22" t="s">
        <v>42</v>
      </c>
      <c r="B22" t="s">
        <v>17</v>
      </c>
      <c r="C22" s="3">
        <v>15652000</v>
      </c>
      <c r="D22" s="3">
        <v>0</v>
      </c>
      <c r="E22" s="4" t="e">
        <f t="shared" ca="1" si="0"/>
        <v>#DIV/0!</v>
      </c>
    </row>
    <row r="23" spans="1:5" x14ac:dyDescent="0.2">
      <c r="A23" t="s">
        <v>43</v>
      </c>
      <c r="B23" t="s">
        <v>44</v>
      </c>
      <c r="C23" s="3">
        <v>0</v>
      </c>
      <c r="D23" s="3">
        <v>8999000</v>
      </c>
      <c r="E23" s="4">
        <f t="shared" ca="1" si="0"/>
        <v>-1</v>
      </c>
    </row>
    <row r="24" spans="1:5" x14ac:dyDescent="0.2">
      <c r="A24" t="s">
        <v>45</v>
      </c>
      <c r="B24" t="s">
        <v>46</v>
      </c>
      <c r="C24" s="3">
        <v>12400000</v>
      </c>
      <c r="D24" s="3">
        <v>0</v>
      </c>
      <c r="E24" s="4" t="e">
        <f t="shared" ca="1" si="0"/>
        <v>#DIV/0!</v>
      </c>
    </row>
    <row r="25" spans="1:5" x14ac:dyDescent="0.2">
      <c r="A25" t="s">
        <v>47</v>
      </c>
      <c r="B25" t="s">
        <v>48</v>
      </c>
      <c r="C25" s="3">
        <v>3983000</v>
      </c>
      <c r="D25" s="3">
        <v>0</v>
      </c>
      <c r="E25" s="4" t="e">
        <f t="shared" ca="1" si="0"/>
        <v>#DIV/0!</v>
      </c>
    </row>
    <row r="26" spans="1:5" x14ac:dyDescent="0.2">
      <c r="A26" t="s">
        <v>49</v>
      </c>
      <c r="B26" t="s">
        <v>50</v>
      </c>
      <c r="C26" s="3">
        <v>8417000</v>
      </c>
      <c r="D26" s="3">
        <v>0</v>
      </c>
      <c r="E26" s="4" t="e">
        <f t="shared" ca="1" si="0"/>
        <v>#DIV/0!</v>
      </c>
    </row>
    <row r="27" spans="1:5" x14ac:dyDescent="0.2">
      <c r="A27" t="s">
        <v>51</v>
      </c>
      <c r="B27" t="s">
        <v>52</v>
      </c>
      <c r="C27" s="3">
        <v>0</v>
      </c>
      <c r="D27" s="3">
        <v>26402000</v>
      </c>
      <c r="E27" s="4">
        <f t="shared" ca="1" si="0"/>
        <v>-1</v>
      </c>
    </row>
    <row r="28" spans="1:5" x14ac:dyDescent="0.2">
      <c r="A28" t="s">
        <v>53</v>
      </c>
      <c r="B28" t="s">
        <v>33</v>
      </c>
      <c r="C28" s="3">
        <v>0</v>
      </c>
      <c r="D28" s="3">
        <v>502000</v>
      </c>
      <c r="E28" s="4">
        <f t="shared" ca="1" si="0"/>
        <v>-1</v>
      </c>
    </row>
    <row r="29" spans="1:5" x14ac:dyDescent="0.2">
      <c r="A29" t="s">
        <v>54</v>
      </c>
      <c r="B29" t="s">
        <v>55</v>
      </c>
      <c r="C29" s="3">
        <v>0</v>
      </c>
      <c r="D29" s="3">
        <v>17085000</v>
      </c>
      <c r="E29" s="4">
        <f t="shared" ca="1" si="0"/>
        <v>-1</v>
      </c>
    </row>
    <row r="30" spans="1:5" x14ac:dyDescent="0.2">
      <c r="A30" t="s">
        <v>56</v>
      </c>
      <c r="B30" t="s">
        <v>52</v>
      </c>
      <c r="C30" s="3">
        <v>32261000</v>
      </c>
      <c r="D30" s="3">
        <v>0</v>
      </c>
      <c r="E30" s="4" t="e">
        <f t="shared" ca="1" si="0"/>
        <v>#DIV/0!</v>
      </c>
    </row>
    <row r="31" spans="1:5" x14ac:dyDescent="0.2">
      <c r="A31" t="s">
        <v>57</v>
      </c>
      <c r="B31" t="s">
        <v>33</v>
      </c>
      <c r="C31" s="3">
        <v>394000</v>
      </c>
      <c r="D31" s="3">
        <v>0</v>
      </c>
      <c r="E31" s="4" t="e">
        <f t="shared" ca="1" si="0"/>
        <v>#DIV/0!</v>
      </c>
    </row>
    <row r="32" spans="1:5" x14ac:dyDescent="0.2">
      <c r="A32" t="s">
        <v>58</v>
      </c>
      <c r="B32" t="s">
        <v>55</v>
      </c>
      <c r="C32" s="3">
        <v>22654000</v>
      </c>
      <c r="D32" s="3">
        <v>0</v>
      </c>
      <c r="E32" s="4" t="e">
        <f t="shared" ca="1" si="0"/>
        <v>#DIV/0!</v>
      </c>
    </row>
    <row r="33" spans="1:5" x14ac:dyDescent="0.2">
      <c r="A33" t="s">
        <v>59</v>
      </c>
      <c r="B33" t="s">
        <v>60</v>
      </c>
      <c r="C33" s="3">
        <v>9213000</v>
      </c>
      <c r="D33" s="3">
        <v>0</v>
      </c>
      <c r="E33" s="4" t="e">
        <f t="shared" ca="1" si="0"/>
        <v>#DIV/0!</v>
      </c>
    </row>
    <row r="34" spans="1:5" x14ac:dyDescent="0.2">
      <c r="A34" t="s">
        <v>61</v>
      </c>
      <c r="B34" t="s">
        <v>62</v>
      </c>
      <c r="C34" s="3">
        <v>185086000</v>
      </c>
      <c r="D34" s="3">
        <v>149356000</v>
      </c>
      <c r="E34" s="4">
        <f t="shared" ca="1" si="0"/>
        <v>0.23922708160368517</v>
      </c>
    </row>
    <row r="35" spans="1:5" x14ac:dyDescent="0.2">
      <c r="A35" t="s">
        <v>63</v>
      </c>
      <c r="B35" t="s">
        <v>64</v>
      </c>
      <c r="C35" s="3">
        <v>460437000</v>
      </c>
      <c r="D35" s="3">
        <v>435536000</v>
      </c>
      <c r="E35" s="4">
        <f t="shared" ca="1" si="0"/>
        <v>5.7173230226663235E-2</v>
      </c>
    </row>
    <row r="36" spans="1:5" x14ac:dyDescent="0.2">
      <c r="A36" t="s">
        <v>65</v>
      </c>
      <c r="B36" t="s">
        <v>66</v>
      </c>
      <c r="C36" s="3">
        <v>9274000</v>
      </c>
      <c r="D36" s="3">
        <v>6264000</v>
      </c>
      <c r="E36" s="4">
        <f t="shared" ca="1" si="0"/>
        <v>0.48052362707535123</v>
      </c>
    </row>
    <row r="37" spans="1:5" x14ac:dyDescent="0.2">
      <c r="A37" t="s">
        <v>67</v>
      </c>
      <c r="B37" t="s">
        <v>68</v>
      </c>
      <c r="C37" s="3">
        <v>0</v>
      </c>
      <c r="D37" s="3">
        <v>8999000</v>
      </c>
      <c r="E37" s="4">
        <f t="shared" ca="1" si="0"/>
        <v>-1</v>
      </c>
    </row>
    <row r="38" spans="1:5" x14ac:dyDescent="0.2">
      <c r="A38" t="s">
        <v>69</v>
      </c>
      <c r="B38" t="s">
        <v>70</v>
      </c>
      <c r="C38" s="3">
        <v>0</v>
      </c>
      <c r="D38" s="3">
        <v>8815000</v>
      </c>
      <c r="E38" s="4">
        <f t="shared" ca="1" si="0"/>
        <v>-1</v>
      </c>
    </row>
    <row r="39" spans="1:5" ht="26" x14ac:dyDescent="0.3">
      <c r="A39" s="1" t="s">
        <v>71</v>
      </c>
    </row>
    <row r="40" spans="1:5" ht="20" x14ac:dyDescent="0.25">
      <c r="A40" s="2" t="s">
        <v>1</v>
      </c>
      <c r="B40" s="2" t="s">
        <v>2</v>
      </c>
      <c r="C40" s="2" t="s">
        <v>3</v>
      </c>
      <c r="D40" s="2" t="s">
        <v>4</v>
      </c>
      <c r="E40" s="2" t="s">
        <v>5</v>
      </c>
    </row>
    <row r="41" spans="1:5" x14ac:dyDescent="0.2">
      <c r="A41" t="s">
        <v>72</v>
      </c>
      <c r="B41" t="s">
        <v>7</v>
      </c>
      <c r="C41" s="3">
        <v>866756000</v>
      </c>
      <c r="D41" s="3">
        <v>831515000</v>
      </c>
      <c r="E41" s="4">
        <f t="shared" ref="E41:E77" ca="1" si="1">(INDIRECT("RC[-2]",0)-INDIRECT("RC[-1]",0))/INDIRECT("RC[-1]",0)</f>
        <v>4.2381676818818666E-2</v>
      </c>
    </row>
    <row r="42" spans="1:5" x14ac:dyDescent="0.2">
      <c r="A42" t="s">
        <v>73</v>
      </c>
      <c r="B42" t="s">
        <v>9</v>
      </c>
      <c r="C42" s="3">
        <v>150201000</v>
      </c>
      <c r="D42" s="3">
        <v>155909000</v>
      </c>
      <c r="E42" s="4">
        <f t="shared" ca="1" si="1"/>
        <v>-3.6611100064781382E-2</v>
      </c>
    </row>
    <row r="43" spans="1:5" x14ac:dyDescent="0.2">
      <c r="A43" t="s">
        <v>74</v>
      </c>
      <c r="B43" t="s">
        <v>11</v>
      </c>
      <c r="C43" s="3">
        <v>56803000</v>
      </c>
      <c r="D43" s="3">
        <v>74494000</v>
      </c>
      <c r="E43" s="4">
        <f t="shared" ca="1" si="1"/>
        <v>-0.2374822133326174</v>
      </c>
    </row>
    <row r="44" spans="1:5" x14ac:dyDescent="0.2">
      <c r="A44" t="s">
        <v>75</v>
      </c>
      <c r="B44" t="s">
        <v>13</v>
      </c>
      <c r="C44" s="3">
        <v>4164000</v>
      </c>
      <c r="D44" s="3">
        <v>6237000</v>
      </c>
      <c r="E44" s="4">
        <f t="shared" ca="1" si="1"/>
        <v>-0.33237133237133237</v>
      </c>
    </row>
    <row r="45" spans="1:5" x14ac:dyDescent="0.2">
      <c r="A45" t="s">
        <v>76</v>
      </c>
      <c r="B45" t="s">
        <v>15</v>
      </c>
      <c r="C45" s="3">
        <v>25660000</v>
      </c>
      <c r="D45" s="3">
        <v>16446000</v>
      </c>
      <c r="E45" s="4">
        <f t="shared" ca="1" si="1"/>
        <v>0.56025781345007908</v>
      </c>
    </row>
    <row r="46" spans="1:5" x14ac:dyDescent="0.2">
      <c r="A46" t="s">
        <v>77</v>
      </c>
      <c r="B46" t="s">
        <v>17</v>
      </c>
      <c r="C46" s="3">
        <v>38865000</v>
      </c>
      <c r="D46" s="3">
        <v>28081000</v>
      </c>
      <c r="E46" s="4">
        <f t="shared" ca="1" si="1"/>
        <v>0.38403190769559487</v>
      </c>
    </row>
    <row r="47" spans="1:5" x14ac:dyDescent="0.2">
      <c r="A47" t="s">
        <v>78</v>
      </c>
      <c r="B47" t="s">
        <v>19</v>
      </c>
      <c r="C47" s="3">
        <v>9441000</v>
      </c>
      <c r="D47" s="3">
        <v>8062000</v>
      </c>
      <c r="E47" s="4">
        <f t="shared" ca="1" si="1"/>
        <v>0.17104936740262963</v>
      </c>
    </row>
    <row r="48" spans="1:5" x14ac:dyDescent="0.2">
      <c r="A48" t="s">
        <v>79</v>
      </c>
      <c r="B48" t="s">
        <v>21</v>
      </c>
      <c r="C48" s="3">
        <v>9441000</v>
      </c>
      <c r="D48" s="3">
        <v>8062000</v>
      </c>
      <c r="E48" s="4">
        <f t="shared" ca="1" si="1"/>
        <v>0.17104936740262963</v>
      </c>
    </row>
    <row r="49" spans="1:5" x14ac:dyDescent="0.2">
      <c r="A49" t="s">
        <v>80</v>
      </c>
      <c r="B49" t="s">
        <v>23</v>
      </c>
      <c r="C49" s="3">
        <v>1115000</v>
      </c>
      <c r="D49" s="3">
        <v>1584000</v>
      </c>
      <c r="E49" s="4">
        <f t="shared" ca="1" si="1"/>
        <v>-0.29608585858585856</v>
      </c>
    </row>
    <row r="50" spans="1:5" x14ac:dyDescent="0.2">
      <c r="A50" t="s">
        <v>81</v>
      </c>
      <c r="B50" t="s">
        <v>25</v>
      </c>
      <c r="C50" s="3">
        <v>8326000</v>
      </c>
      <c r="D50" s="3">
        <v>6478000</v>
      </c>
      <c r="E50" s="4">
        <f t="shared" ca="1" si="1"/>
        <v>0.28527323247916025</v>
      </c>
    </row>
    <row r="51" spans="1:5" x14ac:dyDescent="0.2">
      <c r="A51" t="s">
        <v>82</v>
      </c>
      <c r="B51" t="s">
        <v>27</v>
      </c>
      <c r="C51" s="3">
        <v>15268000</v>
      </c>
      <c r="D51" s="3">
        <v>22589000</v>
      </c>
      <c r="E51" s="4">
        <f t="shared" ca="1" si="1"/>
        <v>-0.32409579884014345</v>
      </c>
    </row>
    <row r="52" spans="1:5" x14ac:dyDescent="0.2">
      <c r="A52" t="s">
        <v>83</v>
      </c>
      <c r="B52" t="s">
        <v>29</v>
      </c>
      <c r="C52" s="3">
        <v>1510000</v>
      </c>
      <c r="D52" s="3">
        <v>17592000</v>
      </c>
      <c r="E52" s="4">
        <f t="shared" ca="1" si="1"/>
        <v>-0.91416552978626653</v>
      </c>
    </row>
    <row r="53" spans="1:5" x14ac:dyDescent="0.2">
      <c r="A53" t="s">
        <v>84</v>
      </c>
      <c r="B53" t="s">
        <v>31</v>
      </c>
      <c r="C53" s="3">
        <v>13758000</v>
      </c>
      <c r="D53" s="3">
        <v>4997000</v>
      </c>
      <c r="E53" s="4">
        <f t="shared" ca="1" si="1"/>
        <v>1.7532519511707023</v>
      </c>
    </row>
    <row r="54" spans="1:5" x14ac:dyDescent="0.2">
      <c r="A54" t="s">
        <v>85</v>
      </c>
      <c r="B54" t="s">
        <v>33</v>
      </c>
      <c r="C54" s="3">
        <v>265000</v>
      </c>
      <c r="D54" s="3">
        <v>258000</v>
      </c>
      <c r="E54" s="4">
        <f t="shared" ca="1" si="1"/>
        <v>2.7131782945736434E-2</v>
      </c>
    </row>
    <row r="55" spans="1:5" x14ac:dyDescent="0.2">
      <c r="A55" t="s">
        <v>86</v>
      </c>
      <c r="B55" t="s">
        <v>31</v>
      </c>
      <c r="C55" s="3">
        <v>13493000</v>
      </c>
      <c r="D55" s="3">
        <v>4739000</v>
      </c>
      <c r="E55" s="4">
        <f t="shared" ca="1" si="1"/>
        <v>1.8472251529858621</v>
      </c>
    </row>
    <row r="56" spans="1:5" x14ac:dyDescent="0.2">
      <c r="A56" t="s">
        <v>87</v>
      </c>
      <c r="B56" t="s">
        <v>36</v>
      </c>
      <c r="C56" s="3">
        <v>716555000</v>
      </c>
      <c r="D56" s="3">
        <v>675606000</v>
      </c>
      <c r="E56" s="4">
        <f t="shared" ca="1" si="1"/>
        <v>6.0610770182621232E-2</v>
      </c>
    </row>
    <row r="57" spans="1:5" x14ac:dyDescent="0.2">
      <c r="A57" t="s">
        <v>88</v>
      </c>
      <c r="B57" t="s">
        <v>38</v>
      </c>
      <c r="C57" s="3">
        <v>81576000</v>
      </c>
      <c r="D57" s="3">
        <v>70955000</v>
      </c>
      <c r="E57" s="4">
        <f t="shared" ca="1" si="1"/>
        <v>0.14968642097103799</v>
      </c>
    </row>
    <row r="58" spans="1:5" x14ac:dyDescent="0.2">
      <c r="A58" t="s">
        <v>89</v>
      </c>
      <c r="B58" t="s">
        <v>40</v>
      </c>
      <c r="C58" s="3">
        <v>0</v>
      </c>
      <c r="D58" s="3">
        <v>211000</v>
      </c>
      <c r="E58" s="4">
        <f t="shared" ca="1" si="1"/>
        <v>-1</v>
      </c>
    </row>
    <row r="59" spans="1:5" x14ac:dyDescent="0.2">
      <c r="A59" t="s">
        <v>90</v>
      </c>
      <c r="B59" t="s">
        <v>15</v>
      </c>
      <c r="C59" s="3">
        <v>199000</v>
      </c>
      <c r="D59" s="3">
        <v>17120000</v>
      </c>
      <c r="E59" s="4">
        <f t="shared" ca="1" si="1"/>
        <v>-0.98837616822429908</v>
      </c>
    </row>
    <row r="60" spans="1:5" x14ac:dyDescent="0.2">
      <c r="A60" t="s">
        <v>91</v>
      </c>
      <c r="B60" t="s">
        <v>17</v>
      </c>
      <c r="C60" s="3">
        <v>17827000</v>
      </c>
      <c r="D60" s="3">
        <v>0</v>
      </c>
      <c r="E60" s="4" t="e">
        <f t="shared" ca="1" si="1"/>
        <v>#DIV/0!</v>
      </c>
    </row>
    <row r="61" spans="1:5" x14ac:dyDescent="0.2">
      <c r="A61" t="s">
        <v>92</v>
      </c>
      <c r="B61" t="s">
        <v>44</v>
      </c>
      <c r="C61" s="3">
        <v>0</v>
      </c>
      <c r="D61" s="3">
        <v>21544000</v>
      </c>
      <c r="E61" s="4">
        <f t="shared" ca="1" si="1"/>
        <v>-1</v>
      </c>
    </row>
    <row r="62" spans="1:5" x14ac:dyDescent="0.2">
      <c r="A62" t="s">
        <v>93</v>
      </c>
      <c r="B62" t="s">
        <v>46</v>
      </c>
      <c r="C62" s="3">
        <v>25684000</v>
      </c>
      <c r="D62" s="3">
        <v>0</v>
      </c>
      <c r="E62" s="4" t="e">
        <f t="shared" ca="1" si="1"/>
        <v>#DIV/0!</v>
      </c>
    </row>
    <row r="63" spans="1:5" x14ac:dyDescent="0.2">
      <c r="A63" t="s">
        <v>94</v>
      </c>
      <c r="B63" t="s">
        <v>48</v>
      </c>
      <c r="C63" s="3">
        <v>15976000</v>
      </c>
      <c r="D63" s="3">
        <v>0</v>
      </c>
      <c r="E63" s="4" t="e">
        <f t="shared" ca="1" si="1"/>
        <v>#DIV/0!</v>
      </c>
    </row>
    <row r="64" spans="1:5" x14ac:dyDescent="0.2">
      <c r="A64" t="s">
        <v>95</v>
      </c>
      <c r="B64" t="s">
        <v>50</v>
      </c>
      <c r="C64" s="3">
        <v>9708000</v>
      </c>
      <c r="D64" s="3">
        <v>0</v>
      </c>
      <c r="E64" s="4" t="e">
        <f t="shared" ca="1" si="1"/>
        <v>#DIV/0!</v>
      </c>
    </row>
    <row r="65" spans="1:5" x14ac:dyDescent="0.2">
      <c r="A65" t="s">
        <v>96</v>
      </c>
      <c r="B65" t="s">
        <v>52</v>
      </c>
      <c r="C65" s="3">
        <v>0</v>
      </c>
      <c r="D65" s="3">
        <v>32080000</v>
      </c>
      <c r="E65" s="4">
        <f t="shared" ca="1" si="1"/>
        <v>-1</v>
      </c>
    </row>
    <row r="66" spans="1:5" x14ac:dyDescent="0.2">
      <c r="A66" t="s">
        <v>97</v>
      </c>
      <c r="B66" t="s">
        <v>33</v>
      </c>
      <c r="C66" s="3">
        <v>0</v>
      </c>
      <c r="D66" s="3">
        <v>3413000</v>
      </c>
      <c r="E66" s="4">
        <f t="shared" ca="1" si="1"/>
        <v>-1</v>
      </c>
    </row>
    <row r="67" spans="1:5" x14ac:dyDescent="0.2">
      <c r="A67" t="s">
        <v>98</v>
      </c>
      <c r="B67" t="s">
        <v>99</v>
      </c>
      <c r="C67" s="3">
        <v>0</v>
      </c>
      <c r="D67" s="3">
        <v>18465000</v>
      </c>
      <c r="E67" s="4">
        <f t="shared" ca="1" si="1"/>
        <v>-1</v>
      </c>
    </row>
    <row r="68" spans="1:5" x14ac:dyDescent="0.2">
      <c r="A68" t="s">
        <v>100</v>
      </c>
      <c r="B68" t="s">
        <v>52</v>
      </c>
      <c r="C68" s="3">
        <v>37866000</v>
      </c>
      <c r="D68" s="3">
        <v>0</v>
      </c>
      <c r="E68" s="4" t="e">
        <f t="shared" ca="1" si="1"/>
        <v>#DIV/0!</v>
      </c>
    </row>
    <row r="69" spans="1:5" x14ac:dyDescent="0.2">
      <c r="A69" t="s">
        <v>101</v>
      </c>
      <c r="B69" t="s">
        <v>33</v>
      </c>
      <c r="C69" s="3">
        <v>2984000</v>
      </c>
      <c r="D69" s="3">
        <v>0</v>
      </c>
      <c r="E69" s="4" t="e">
        <f t="shared" ca="1" si="1"/>
        <v>#DIV/0!</v>
      </c>
    </row>
    <row r="70" spans="1:5" x14ac:dyDescent="0.2">
      <c r="A70" t="s">
        <v>102</v>
      </c>
      <c r="B70" t="s">
        <v>99</v>
      </c>
      <c r="C70" s="3">
        <v>24185000</v>
      </c>
      <c r="D70" s="3">
        <v>0</v>
      </c>
      <c r="E70" s="4" t="e">
        <f t="shared" ca="1" si="1"/>
        <v>#DIV/0!</v>
      </c>
    </row>
    <row r="71" spans="1:5" x14ac:dyDescent="0.2">
      <c r="A71" t="s">
        <v>103</v>
      </c>
      <c r="B71" t="s">
        <v>70</v>
      </c>
      <c r="C71" s="3">
        <v>10697000</v>
      </c>
      <c r="D71" s="3">
        <v>0</v>
      </c>
      <c r="E71" s="4" t="e">
        <f t="shared" ca="1" si="1"/>
        <v>#DIV/0!</v>
      </c>
    </row>
    <row r="72" spans="1:5" x14ac:dyDescent="0.2">
      <c r="A72" t="s">
        <v>104</v>
      </c>
      <c r="B72" t="s">
        <v>62</v>
      </c>
      <c r="C72" s="3">
        <v>13396000</v>
      </c>
      <c r="D72" s="3">
        <v>12554000</v>
      </c>
      <c r="E72" s="4">
        <f t="shared" ca="1" si="1"/>
        <v>6.7070256491954749E-2</v>
      </c>
    </row>
    <row r="73" spans="1:5" x14ac:dyDescent="0.2">
      <c r="A73" t="s">
        <v>105</v>
      </c>
      <c r="B73" t="s">
        <v>64</v>
      </c>
      <c r="C73" s="3">
        <v>610728000</v>
      </c>
      <c r="D73" s="3">
        <v>584357000</v>
      </c>
      <c r="E73" s="4">
        <f t="shared" ca="1" si="1"/>
        <v>4.5128234965954028E-2</v>
      </c>
    </row>
    <row r="74" spans="1:5" x14ac:dyDescent="0.2">
      <c r="A74" t="s">
        <v>106</v>
      </c>
      <c r="B74" t="s">
        <v>66</v>
      </c>
      <c r="C74" s="3">
        <v>10855000</v>
      </c>
      <c r="D74" s="3">
        <v>7740000</v>
      </c>
      <c r="E74" s="4">
        <f t="shared" ca="1" si="1"/>
        <v>0.40245478036175708</v>
      </c>
    </row>
    <row r="75" spans="1:5" x14ac:dyDescent="0.2">
      <c r="A75" t="s">
        <v>107</v>
      </c>
      <c r="B75" t="s">
        <v>48</v>
      </c>
      <c r="C75" s="3">
        <v>0</v>
      </c>
      <c r="D75" s="3">
        <v>11373000</v>
      </c>
      <c r="E75" s="4">
        <f t="shared" ca="1" si="1"/>
        <v>-1</v>
      </c>
    </row>
    <row r="76" spans="1:5" x14ac:dyDescent="0.2">
      <c r="A76" t="s">
        <v>108</v>
      </c>
      <c r="B76" t="s">
        <v>50</v>
      </c>
      <c r="C76" s="3">
        <v>0</v>
      </c>
      <c r="D76" s="3">
        <v>10171000</v>
      </c>
      <c r="E76" s="4">
        <f t="shared" ca="1" si="1"/>
        <v>-1</v>
      </c>
    </row>
    <row r="77" spans="1:5" x14ac:dyDescent="0.2">
      <c r="A77" t="s">
        <v>109</v>
      </c>
      <c r="B77" t="s">
        <v>70</v>
      </c>
      <c r="C77" s="3">
        <v>0</v>
      </c>
      <c r="D77" s="3">
        <v>10202000</v>
      </c>
      <c r="E77" s="4">
        <f t="shared" ca="1" si="1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opLeftCell="A49"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110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t="s">
        <v>111</v>
      </c>
      <c r="B3" t="s">
        <v>112</v>
      </c>
      <c r="C3" s="3">
        <v>814913000</v>
      </c>
      <c r="D3" s="3">
        <v>723855000</v>
      </c>
      <c r="E3" s="4">
        <f t="shared" ref="E3:E44" ca="1" si="0">(INDIRECT("RC[-2]",0)-INDIRECT("RC[-1]",0))/INDIRECT("RC[-1]",0)</f>
        <v>0.12579591216472913</v>
      </c>
    </row>
    <row r="4" spans="1:5" x14ac:dyDescent="0.2">
      <c r="A4" t="s">
        <v>113</v>
      </c>
      <c r="B4" t="s">
        <v>114</v>
      </c>
      <c r="C4" s="3">
        <v>204579000</v>
      </c>
      <c r="D4" s="3">
        <v>132319000</v>
      </c>
      <c r="E4" s="4">
        <f t="shared" ca="1" si="0"/>
        <v>0.54610448990696725</v>
      </c>
    </row>
    <row r="5" spans="1:5" x14ac:dyDescent="0.2">
      <c r="A5" t="s">
        <v>115</v>
      </c>
      <c r="B5" t="s">
        <v>116</v>
      </c>
      <c r="C5" s="3">
        <v>5736000</v>
      </c>
      <c r="D5" s="3">
        <v>3662000</v>
      </c>
      <c r="E5" s="4">
        <f t="shared" ca="1" si="0"/>
        <v>0.56635718186783179</v>
      </c>
    </row>
    <row r="6" spans="1:5" x14ac:dyDescent="0.2">
      <c r="A6" t="s">
        <v>117</v>
      </c>
      <c r="B6" t="s">
        <v>118</v>
      </c>
      <c r="C6" s="3">
        <v>32793000</v>
      </c>
      <c r="D6" s="3">
        <v>22179000</v>
      </c>
      <c r="E6" s="4">
        <f t="shared" ca="1" si="0"/>
        <v>0.47856080075747326</v>
      </c>
    </row>
    <row r="7" spans="1:5" x14ac:dyDescent="0.2">
      <c r="A7" t="s">
        <v>119</v>
      </c>
      <c r="B7" t="s">
        <v>120</v>
      </c>
      <c r="C7" s="3">
        <v>1278000</v>
      </c>
      <c r="D7" s="3">
        <v>243000</v>
      </c>
      <c r="E7" s="4">
        <f t="shared" ca="1" si="0"/>
        <v>4.2592592592592595</v>
      </c>
    </row>
    <row r="8" spans="1:5" x14ac:dyDescent="0.2">
      <c r="A8" t="s">
        <v>121</v>
      </c>
      <c r="B8" t="s">
        <v>122</v>
      </c>
      <c r="C8" s="3">
        <v>1278000</v>
      </c>
      <c r="D8" s="3">
        <v>243000</v>
      </c>
      <c r="E8" s="4">
        <f t="shared" ca="1" si="0"/>
        <v>4.2592592592592595</v>
      </c>
    </row>
    <row r="9" spans="1:5" x14ac:dyDescent="0.2">
      <c r="A9" t="s">
        <v>123</v>
      </c>
      <c r="B9" t="s">
        <v>124</v>
      </c>
      <c r="C9" s="3">
        <v>1278000</v>
      </c>
      <c r="D9" s="3">
        <v>243000</v>
      </c>
      <c r="E9" s="4">
        <f t="shared" ca="1" si="0"/>
        <v>4.2592592592592595</v>
      </c>
    </row>
    <row r="10" spans="1:5" x14ac:dyDescent="0.2">
      <c r="A10" t="s">
        <v>125</v>
      </c>
      <c r="B10" t="s">
        <v>126</v>
      </c>
      <c r="C10" s="3">
        <v>128620000</v>
      </c>
      <c r="D10" s="3">
        <v>75985000</v>
      </c>
      <c r="E10" s="4">
        <f t="shared" ca="1" si="0"/>
        <v>0.69270250707376457</v>
      </c>
    </row>
    <row r="11" spans="1:5" x14ac:dyDescent="0.2">
      <c r="A11" t="s">
        <v>127</v>
      </c>
      <c r="B11" t="s">
        <v>126</v>
      </c>
      <c r="C11" s="3">
        <v>127454000</v>
      </c>
      <c r="D11" s="3">
        <v>74724000</v>
      </c>
      <c r="E11" s="4">
        <f t="shared" ca="1" si="0"/>
        <v>0.70566350837749581</v>
      </c>
    </row>
    <row r="12" spans="1:5" x14ac:dyDescent="0.2">
      <c r="A12" t="s">
        <v>128</v>
      </c>
      <c r="B12" t="s">
        <v>129</v>
      </c>
      <c r="C12" s="3">
        <v>1166000</v>
      </c>
      <c r="D12" s="3">
        <v>1261000</v>
      </c>
      <c r="E12" s="4">
        <f t="shared" ca="1" si="0"/>
        <v>-7.5337034099920694E-2</v>
      </c>
    </row>
    <row r="13" spans="1:5" x14ac:dyDescent="0.2">
      <c r="A13" t="s">
        <v>130</v>
      </c>
      <c r="B13" t="s">
        <v>131</v>
      </c>
      <c r="C13" s="3">
        <v>23139000</v>
      </c>
      <c r="D13" s="3">
        <v>20590000</v>
      </c>
      <c r="E13" s="4">
        <f t="shared" ca="1" si="0"/>
        <v>0.12379796017484215</v>
      </c>
    </row>
    <row r="14" spans="1:5" x14ac:dyDescent="0.2">
      <c r="A14" t="s">
        <v>132</v>
      </c>
      <c r="B14" t="s">
        <v>31</v>
      </c>
      <c r="C14" s="3">
        <v>23139000</v>
      </c>
      <c r="D14" s="3">
        <v>20590000</v>
      </c>
      <c r="E14" s="4">
        <f t="shared" ca="1" si="0"/>
        <v>0.12379796017484215</v>
      </c>
    </row>
    <row r="15" spans="1:5" x14ac:dyDescent="0.2">
      <c r="A15" t="s">
        <v>133</v>
      </c>
      <c r="B15" t="s">
        <v>134</v>
      </c>
      <c r="C15" s="3">
        <v>14152000</v>
      </c>
      <c r="D15" s="3">
        <v>14485000</v>
      </c>
      <c r="E15" s="4">
        <f t="shared" ca="1" si="0"/>
        <v>-2.2989299275112184E-2</v>
      </c>
    </row>
    <row r="16" spans="1:5" x14ac:dyDescent="0.2">
      <c r="A16" t="s">
        <v>135</v>
      </c>
      <c r="B16" t="s">
        <v>136</v>
      </c>
      <c r="C16" s="3">
        <v>3536000</v>
      </c>
      <c r="D16" s="3">
        <v>6105000</v>
      </c>
      <c r="E16" s="4">
        <f t="shared" ca="1" si="0"/>
        <v>-0.42080262080262082</v>
      </c>
    </row>
    <row r="17" spans="1:5" x14ac:dyDescent="0.2">
      <c r="A17" t="s">
        <v>137</v>
      </c>
      <c r="B17" t="s">
        <v>138</v>
      </c>
      <c r="C17" s="3">
        <v>5451000</v>
      </c>
      <c r="D17" s="3">
        <v>0</v>
      </c>
      <c r="E17" s="4" t="e">
        <f t="shared" ca="1" si="0"/>
        <v>#DIV/0!</v>
      </c>
    </row>
    <row r="18" spans="1:5" x14ac:dyDescent="0.2">
      <c r="A18" t="s">
        <v>139</v>
      </c>
      <c r="B18" t="s">
        <v>140</v>
      </c>
      <c r="C18" s="3">
        <v>13013000</v>
      </c>
      <c r="D18" s="3">
        <v>9054000</v>
      </c>
      <c r="E18" s="4">
        <f t="shared" ca="1" si="0"/>
        <v>0.43726529710625139</v>
      </c>
    </row>
    <row r="19" spans="1:5" x14ac:dyDescent="0.2">
      <c r="A19" t="s">
        <v>141</v>
      </c>
      <c r="B19" t="s">
        <v>142</v>
      </c>
      <c r="C19" s="3">
        <v>10167000</v>
      </c>
      <c r="D19" s="3">
        <v>6397000</v>
      </c>
      <c r="E19" s="4">
        <f t="shared" ca="1" si="0"/>
        <v>0.58933875254025325</v>
      </c>
    </row>
    <row r="20" spans="1:5" x14ac:dyDescent="0.2">
      <c r="A20" t="s">
        <v>143</v>
      </c>
      <c r="B20" t="s">
        <v>144</v>
      </c>
      <c r="C20" s="3">
        <v>10167000</v>
      </c>
      <c r="D20" s="3">
        <v>6397000</v>
      </c>
      <c r="E20" s="4">
        <f t="shared" ca="1" si="0"/>
        <v>0.58933875254025325</v>
      </c>
    </row>
    <row r="21" spans="1:5" x14ac:dyDescent="0.2">
      <c r="A21" t="s">
        <v>145</v>
      </c>
      <c r="B21" t="s">
        <v>146</v>
      </c>
      <c r="C21" s="3">
        <v>2846000</v>
      </c>
      <c r="D21" s="3">
        <v>2657000</v>
      </c>
      <c r="E21" s="4">
        <f t="shared" ca="1" si="0"/>
        <v>7.1132856605193834E-2</v>
      </c>
    </row>
    <row r="22" spans="1:5" x14ac:dyDescent="0.2">
      <c r="A22" t="s">
        <v>147</v>
      </c>
      <c r="B22" t="s">
        <v>148</v>
      </c>
      <c r="C22" s="3">
        <v>2846000</v>
      </c>
      <c r="D22" s="3">
        <v>2657000</v>
      </c>
      <c r="E22" s="4">
        <f t="shared" ca="1" si="0"/>
        <v>7.1132856605193834E-2</v>
      </c>
    </row>
    <row r="23" spans="1:5" x14ac:dyDescent="0.2">
      <c r="A23" t="s">
        <v>149</v>
      </c>
      <c r="B23" t="s">
        <v>150</v>
      </c>
      <c r="C23" s="3">
        <v>0</v>
      </c>
      <c r="D23" s="3">
        <v>606000</v>
      </c>
      <c r="E23" s="4">
        <f t="shared" ca="1" si="0"/>
        <v>-1</v>
      </c>
    </row>
    <row r="24" spans="1:5" x14ac:dyDescent="0.2">
      <c r="A24" t="s">
        <v>151</v>
      </c>
      <c r="B24" t="s">
        <v>152</v>
      </c>
      <c r="C24" s="3">
        <v>0</v>
      </c>
      <c r="D24" s="3">
        <v>606000</v>
      </c>
      <c r="E24" s="4">
        <f t="shared" ca="1" si="0"/>
        <v>-1</v>
      </c>
    </row>
    <row r="25" spans="1:5" x14ac:dyDescent="0.2">
      <c r="A25" t="s">
        <v>153</v>
      </c>
      <c r="B25" t="s">
        <v>154</v>
      </c>
      <c r="C25" s="3">
        <v>319969000</v>
      </c>
      <c r="D25" s="3">
        <v>327551000</v>
      </c>
      <c r="E25" s="4">
        <f t="shared" ca="1" si="0"/>
        <v>-2.3147540383024322E-2</v>
      </c>
    </row>
    <row r="26" spans="1:5" x14ac:dyDescent="0.2">
      <c r="A26" t="s">
        <v>155</v>
      </c>
      <c r="B26" t="s">
        <v>126</v>
      </c>
      <c r="C26" s="3">
        <v>191224000</v>
      </c>
      <c r="D26" s="3">
        <v>197501000</v>
      </c>
      <c r="E26" s="4">
        <f t="shared" ca="1" si="0"/>
        <v>-3.1782117558898433E-2</v>
      </c>
    </row>
    <row r="27" spans="1:5" x14ac:dyDescent="0.2">
      <c r="A27" t="s">
        <v>156</v>
      </c>
      <c r="B27" t="s">
        <v>126</v>
      </c>
      <c r="C27" s="3">
        <v>187756000</v>
      </c>
      <c r="D27" s="3">
        <v>193393000</v>
      </c>
      <c r="E27" s="4">
        <f t="shared" ca="1" si="0"/>
        <v>-2.9147900906444389E-2</v>
      </c>
    </row>
    <row r="28" spans="1:5" x14ac:dyDescent="0.2">
      <c r="A28" t="s">
        <v>157</v>
      </c>
      <c r="B28" t="s">
        <v>129</v>
      </c>
      <c r="C28" s="3">
        <v>3468000</v>
      </c>
      <c r="D28" s="3">
        <v>4108000</v>
      </c>
      <c r="E28" s="4">
        <f t="shared" ca="1" si="0"/>
        <v>-0.15579357351509251</v>
      </c>
    </row>
    <row r="29" spans="1:5" x14ac:dyDescent="0.2">
      <c r="A29" t="s">
        <v>158</v>
      </c>
      <c r="B29" t="s">
        <v>131</v>
      </c>
      <c r="C29" s="3">
        <v>2112000</v>
      </c>
      <c r="D29" s="3">
        <v>2169000</v>
      </c>
      <c r="E29" s="4">
        <f t="shared" ca="1" si="0"/>
        <v>-2.6279391424619641E-2</v>
      </c>
    </row>
    <row r="30" spans="1:5" x14ac:dyDescent="0.2">
      <c r="A30" t="s">
        <v>159</v>
      </c>
      <c r="B30" t="s">
        <v>31</v>
      </c>
      <c r="C30" s="3">
        <v>2112000</v>
      </c>
      <c r="D30" s="3">
        <v>2169000</v>
      </c>
      <c r="E30" s="4">
        <f t="shared" ca="1" si="0"/>
        <v>-2.6279391424619641E-2</v>
      </c>
    </row>
    <row r="31" spans="1:5" x14ac:dyDescent="0.2">
      <c r="A31" t="s">
        <v>160</v>
      </c>
      <c r="B31" t="s">
        <v>161</v>
      </c>
      <c r="C31" s="3">
        <v>2112000</v>
      </c>
      <c r="D31" s="3">
        <v>2169000</v>
      </c>
      <c r="E31" s="4">
        <f t="shared" ca="1" si="0"/>
        <v>-2.6279391424619641E-2</v>
      </c>
    </row>
    <row r="32" spans="1:5" x14ac:dyDescent="0.2">
      <c r="A32" t="s">
        <v>162</v>
      </c>
      <c r="B32" t="s">
        <v>44</v>
      </c>
      <c r="C32" s="3">
        <v>0</v>
      </c>
      <c r="D32" s="3">
        <v>2762000</v>
      </c>
      <c r="E32" s="4">
        <f t="shared" ca="1" si="0"/>
        <v>-1</v>
      </c>
    </row>
    <row r="33" spans="1:5" x14ac:dyDescent="0.2">
      <c r="A33" t="s">
        <v>163</v>
      </c>
      <c r="B33" t="s">
        <v>48</v>
      </c>
      <c r="C33" s="3">
        <v>0</v>
      </c>
      <c r="D33" s="3">
        <v>2762000</v>
      </c>
      <c r="E33" s="4">
        <f t="shared" ca="1" si="0"/>
        <v>-1</v>
      </c>
    </row>
    <row r="34" spans="1:5" x14ac:dyDescent="0.2">
      <c r="A34" t="s">
        <v>164</v>
      </c>
      <c r="B34" t="s">
        <v>140</v>
      </c>
      <c r="C34" s="3">
        <v>126633000</v>
      </c>
      <c r="D34" s="3">
        <v>125119000</v>
      </c>
      <c r="E34" s="4">
        <f t="shared" ca="1" si="0"/>
        <v>1.2100480342713736E-2</v>
      </c>
    </row>
    <row r="35" spans="1:5" x14ac:dyDescent="0.2">
      <c r="A35" t="s">
        <v>165</v>
      </c>
      <c r="B35" t="s">
        <v>142</v>
      </c>
      <c r="C35" s="3">
        <v>10306000</v>
      </c>
      <c r="D35" s="3">
        <v>12680000</v>
      </c>
      <c r="E35" s="4">
        <f t="shared" ca="1" si="0"/>
        <v>-0.18722397476340694</v>
      </c>
    </row>
    <row r="36" spans="1:5" x14ac:dyDescent="0.2">
      <c r="A36" t="s">
        <v>166</v>
      </c>
      <c r="B36" t="s">
        <v>146</v>
      </c>
      <c r="C36" s="3">
        <v>116327000</v>
      </c>
      <c r="D36" s="3">
        <v>112439000</v>
      </c>
      <c r="E36" s="4">
        <f t="shared" ca="1" si="0"/>
        <v>3.4578749366323075E-2</v>
      </c>
    </row>
    <row r="37" spans="1:5" x14ac:dyDescent="0.2">
      <c r="A37" t="s">
        <v>167</v>
      </c>
      <c r="B37" t="s">
        <v>148</v>
      </c>
      <c r="C37" s="3">
        <v>67178000</v>
      </c>
      <c r="D37" s="3">
        <v>64519000</v>
      </c>
      <c r="E37" s="4">
        <f t="shared" ca="1" si="0"/>
        <v>4.1212666036361381E-2</v>
      </c>
    </row>
    <row r="38" spans="1:5" x14ac:dyDescent="0.2">
      <c r="A38" t="s">
        <v>168</v>
      </c>
      <c r="B38" t="s">
        <v>169</v>
      </c>
      <c r="C38" s="3">
        <v>46105000</v>
      </c>
      <c r="D38" s="3">
        <v>45677000</v>
      </c>
      <c r="E38" s="4">
        <f t="shared" ca="1" si="0"/>
        <v>9.3701425224949099E-3</v>
      </c>
    </row>
    <row r="39" spans="1:5" x14ac:dyDescent="0.2">
      <c r="A39" t="s">
        <v>170</v>
      </c>
      <c r="B39" t="s">
        <v>146</v>
      </c>
      <c r="C39" s="3">
        <v>3044000</v>
      </c>
      <c r="D39" s="3">
        <v>2243000</v>
      </c>
      <c r="E39" s="4">
        <f t="shared" ca="1" si="0"/>
        <v>0.35711101203744983</v>
      </c>
    </row>
    <row r="40" spans="1:5" x14ac:dyDescent="0.2">
      <c r="A40" t="s">
        <v>171</v>
      </c>
      <c r="B40" t="s">
        <v>172</v>
      </c>
      <c r="C40" s="3">
        <v>290365000</v>
      </c>
      <c r="D40" s="3">
        <v>263985000</v>
      </c>
      <c r="E40" s="4">
        <f t="shared" ca="1" si="0"/>
        <v>9.9929920260620864E-2</v>
      </c>
    </row>
    <row r="41" spans="1:5" x14ac:dyDescent="0.2">
      <c r="A41" t="s">
        <v>173</v>
      </c>
      <c r="B41" t="s">
        <v>174</v>
      </c>
      <c r="C41" s="3">
        <v>205432000</v>
      </c>
      <c r="D41" s="3">
        <v>205432000</v>
      </c>
      <c r="E41" s="4">
        <f t="shared" ca="1" si="0"/>
        <v>0</v>
      </c>
    </row>
    <row r="42" spans="1:5" x14ac:dyDescent="0.2">
      <c r="A42" t="s">
        <v>175</v>
      </c>
      <c r="B42" t="s">
        <v>176</v>
      </c>
      <c r="C42" s="3">
        <v>2673000</v>
      </c>
      <c r="D42" s="3">
        <v>2673000</v>
      </c>
      <c r="E42" s="4">
        <f t="shared" ca="1" si="0"/>
        <v>0</v>
      </c>
    </row>
    <row r="43" spans="1:5" x14ac:dyDescent="0.2">
      <c r="A43" t="s">
        <v>177</v>
      </c>
      <c r="B43" t="s">
        <v>178</v>
      </c>
      <c r="C43" s="3">
        <v>98510000</v>
      </c>
      <c r="D43" s="3">
        <v>77148000</v>
      </c>
      <c r="E43" s="4">
        <f t="shared" ca="1" si="0"/>
        <v>0.27689635505781096</v>
      </c>
    </row>
    <row r="44" spans="1:5" x14ac:dyDescent="0.2">
      <c r="A44" t="s">
        <v>179</v>
      </c>
      <c r="B44" t="s">
        <v>180</v>
      </c>
      <c r="C44" s="3">
        <v>-16250000</v>
      </c>
      <c r="D44" s="3">
        <v>-21268000</v>
      </c>
      <c r="E44" s="4">
        <f t="shared" ca="1" si="0"/>
        <v>-0.23594132029339854</v>
      </c>
    </row>
    <row r="45" spans="1:5" ht="26" x14ac:dyDescent="0.3">
      <c r="A45" s="1" t="s">
        <v>181</v>
      </c>
    </row>
    <row r="46" spans="1:5" ht="20" x14ac:dyDescent="0.25">
      <c r="A46" s="2" t="s">
        <v>1</v>
      </c>
      <c r="B46" s="2" t="s">
        <v>2</v>
      </c>
      <c r="C46" s="2" t="s">
        <v>3</v>
      </c>
      <c r="D46" s="2" t="s">
        <v>4</v>
      </c>
      <c r="E46" s="2" t="s">
        <v>5</v>
      </c>
    </row>
    <row r="47" spans="1:5" x14ac:dyDescent="0.2">
      <c r="A47" t="s">
        <v>182</v>
      </c>
      <c r="B47" t="s">
        <v>112</v>
      </c>
      <c r="C47" s="3">
        <v>866756000</v>
      </c>
      <c r="D47" s="3">
        <v>831515000</v>
      </c>
      <c r="E47" s="4">
        <f t="shared" ref="E47:E89" ca="1" si="1">(INDIRECT("RC[-2]",0)-INDIRECT("RC[-1]",0))/INDIRECT("RC[-1]",0)</f>
        <v>4.2381676818818666E-2</v>
      </c>
    </row>
    <row r="48" spans="1:5" x14ac:dyDescent="0.2">
      <c r="A48" t="s">
        <v>183</v>
      </c>
      <c r="B48" t="s">
        <v>114</v>
      </c>
      <c r="C48" s="3">
        <v>94072000</v>
      </c>
      <c r="D48" s="3">
        <v>82535000</v>
      </c>
      <c r="E48" s="4">
        <f t="shared" ca="1" si="1"/>
        <v>0.13978312231174653</v>
      </c>
    </row>
    <row r="49" spans="1:5" x14ac:dyDescent="0.2">
      <c r="A49" t="s">
        <v>184</v>
      </c>
      <c r="B49" t="s">
        <v>116</v>
      </c>
      <c r="C49" s="3">
        <v>6781000</v>
      </c>
      <c r="D49" s="3">
        <v>4331000</v>
      </c>
      <c r="E49" s="4">
        <f t="shared" ca="1" si="1"/>
        <v>0.5656892172708381</v>
      </c>
    </row>
    <row r="50" spans="1:5" x14ac:dyDescent="0.2">
      <c r="A50" t="s">
        <v>185</v>
      </c>
      <c r="B50" t="s">
        <v>118</v>
      </c>
      <c r="C50" s="3">
        <v>27458000</v>
      </c>
      <c r="D50" s="3">
        <v>19077000</v>
      </c>
      <c r="E50" s="4">
        <f t="shared" ca="1" si="1"/>
        <v>0.439324841432091</v>
      </c>
    </row>
    <row r="51" spans="1:5" x14ac:dyDescent="0.2">
      <c r="A51" t="s">
        <v>186</v>
      </c>
      <c r="B51" t="s">
        <v>120</v>
      </c>
      <c r="C51" s="3">
        <v>1514000</v>
      </c>
      <c r="D51" s="3">
        <v>990000</v>
      </c>
      <c r="E51" s="4">
        <f t="shared" ca="1" si="1"/>
        <v>0.52929292929292926</v>
      </c>
    </row>
    <row r="52" spans="1:5" x14ac:dyDescent="0.2">
      <c r="A52" t="s">
        <v>187</v>
      </c>
      <c r="B52" t="s">
        <v>122</v>
      </c>
      <c r="C52" s="3">
        <v>1514000</v>
      </c>
      <c r="D52" s="3">
        <v>990000</v>
      </c>
      <c r="E52" s="4">
        <f t="shared" ca="1" si="1"/>
        <v>0.52929292929292926</v>
      </c>
    </row>
    <row r="53" spans="1:5" x14ac:dyDescent="0.2">
      <c r="A53" t="s">
        <v>188</v>
      </c>
      <c r="B53" t="s">
        <v>124</v>
      </c>
      <c r="C53" s="3">
        <v>1514000</v>
      </c>
      <c r="D53" s="3">
        <v>990000</v>
      </c>
      <c r="E53" s="4">
        <f t="shared" ca="1" si="1"/>
        <v>0.52929292929292926</v>
      </c>
    </row>
    <row r="54" spans="1:5" x14ac:dyDescent="0.2">
      <c r="A54" t="s">
        <v>189</v>
      </c>
      <c r="B54" t="s">
        <v>126</v>
      </c>
      <c r="C54" s="3">
        <v>16235000</v>
      </c>
      <c r="D54" s="3">
        <v>23244000</v>
      </c>
      <c r="E54" s="4">
        <f t="shared" ca="1" si="1"/>
        <v>-0.30154018241266561</v>
      </c>
    </row>
    <row r="55" spans="1:5" x14ac:dyDescent="0.2">
      <c r="A55" t="s">
        <v>190</v>
      </c>
      <c r="B55" t="s">
        <v>126</v>
      </c>
      <c r="C55" s="3">
        <v>16146000</v>
      </c>
      <c r="D55" s="3">
        <v>23160000</v>
      </c>
      <c r="E55" s="4">
        <f t="shared" ca="1" si="1"/>
        <v>-0.3028497409326425</v>
      </c>
    </row>
    <row r="56" spans="1:5" x14ac:dyDescent="0.2">
      <c r="A56" t="s">
        <v>191</v>
      </c>
      <c r="B56" t="s">
        <v>129</v>
      </c>
      <c r="C56" s="3">
        <v>89000</v>
      </c>
      <c r="D56" s="3">
        <v>84000</v>
      </c>
      <c r="E56" s="4">
        <f t="shared" ca="1" si="1"/>
        <v>5.9523809523809521E-2</v>
      </c>
    </row>
    <row r="57" spans="1:5" x14ac:dyDescent="0.2">
      <c r="A57" t="s">
        <v>192</v>
      </c>
      <c r="B57" t="s">
        <v>131</v>
      </c>
      <c r="C57" s="3">
        <v>26862000</v>
      </c>
      <c r="D57" s="3">
        <v>23344000</v>
      </c>
      <c r="E57" s="4">
        <f t="shared" ca="1" si="1"/>
        <v>0.15070253598355038</v>
      </c>
    </row>
    <row r="58" spans="1:5" x14ac:dyDescent="0.2">
      <c r="A58" t="s">
        <v>193</v>
      </c>
      <c r="B58" t="s">
        <v>31</v>
      </c>
      <c r="C58" s="3">
        <v>26862000</v>
      </c>
      <c r="D58" s="3">
        <v>23344000</v>
      </c>
      <c r="E58" s="4">
        <f t="shared" ca="1" si="1"/>
        <v>0.15070253598355038</v>
      </c>
    </row>
    <row r="59" spans="1:5" x14ac:dyDescent="0.2">
      <c r="A59" t="s">
        <v>194</v>
      </c>
      <c r="B59" t="s">
        <v>134</v>
      </c>
      <c r="C59" s="3">
        <v>14776000</v>
      </c>
      <c r="D59" s="3">
        <v>15046000</v>
      </c>
      <c r="E59" s="4">
        <f t="shared" ca="1" si="1"/>
        <v>-1.7944968762461783E-2</v>
      </c>
    </row>
    <row r="60" spans="1:5" x14ac:dyDescent="0.2">
      <c r="A60" t="s">
        <v>195</v>
      </c>
      <c r="B60" t="s">
        <v>136</v>
      </c>
      <c r="C60" s="3">
        <v>3536000</v>
      </c>
      <c r="D60" s="3">
        <v>8298000</v>
      </c>
      <c r="E60" s="4">
        <f t="shared" ca="1" si="1"/>
        <v>-0.57387322246324413</v>
      </c>
    </row>
    <row r="61" spans="1:5" x14ac:dyDescent="0.2">
      <c r="A61" t="s">
        <v>196</v>
      </c>
      <c r="B61" t="s">
        <v>138</v>
      </c>
      <c r="C61" s="3">
        <v>8550000</v>
      </c>
      <c r="D61" s="3">
        <v>0</v>
      </c>
      <c r="E61" s="4" t="e">
        <f t="shared" ca="1" si="1"/>
        <v>#DIV/0!</v>
      </c>
    </row>
    <row r="62" spans="1:5" x14ac:dyDescent="0.2">
      <c r="A62" t="s">
        <v>197</v>
      </c>
      <c r="B62" t="s">
        <v>140</v>
      </c>
      <c r="C62" s="3">
        <v>15070000</v>
      </c>
      <c r="D62" s="3">
        <v>10254000</v>
      </c>
      <c r="E62" s="4">
        <f t="shared" ca="1" si="1"/>
        <v>0.46967037253754634</v>
      </c>
    </row>
    <row r="63" spans="1:5" x14ac:dyDescent="0.2">
      <c r="A63" t="s">
        <v>198</v>
      </c>
      <c r="B63" t="s">
        <v>142</v>
      </c>
      <c r="C63" s="3">
        <v>12077000</v>
      </c>
      <c r="D63" s="3">
        <v>7463000</v>
      </c>
      <c r="E63" s="4">
        <f t="shared" ca="1" si="1"/>
        <v>0.61825003349859309</v>
      </c>
    </row>
    <row r="64" spans="1:5" x14ac:dyDescent="0.2">
      <c r="A64" t="s">
        <v>199</v>
      </c>
      <c r="B64" t="s">
        <v>144</v>
      </c>
      <c r="C64" s="3">
        <v>12077000</v>
      </c>
      <c r="D64" s="3">
        <v>7463000</v>
      </c>
      <c r="E64" s="4">
        <f t="shared" ca="1" si="1"/>
        <v>0.61825003349859309</v>
      </c>
    </row>
    <row r="65" spans="1:5" x14ac:dyDescent="0.2">
      <c r="A65" t="s">
        <v>200</v>
      </c>
      <c r="B65" t="s">
        <v>146</v>
      </c>
      <c r="C65" s="3">
        <v>2993000</v>
      </c>
      <c r="D65" s="3">
        <v>2791000</v>
      </c>
      <c r="E65" s="4">
        <f t="shared" ca="1" si="1"/>
        <v>7.2375492654962376E-2</v>
      </c>
    </row>
    <row r="66" spans="1:5" x14ac:dyDescent="0.2">
      <c r="A66" t="s">
        <v>201</v>
      </c>
      <c r="B66" t="s">
        <v>148</v>
      </c>
      <c r="C66" s="3">
        <v>2993000</v>
      </c>
      <c r="D66" s="3">
        <v>2791000</v>
      </c>
      <c r="E66" s="4">
        <f t="shared" ca="1" si="1"/>
        <v>7.2375492654962376E-2</v>
      </c>
    </row>
    <row r="67" spans="1:5" x14ac:dyDescent="0.2">
      <c r="A67" t="s">
        <v>202</v>
      </c>
      <c r="B67" t="s">
        <v>150</v>
      </c>
      <c r="C67" s="3">
        <v>152000</v>
      </c>
      <c r="D67" s="3">
        <v>1295000</v>
      </c>
      <c r="E67" s="4">
        <f t="shared" ca="1" si="1"/>
        <v>-0.88262548262548257</v>
      </c>
    </row>
    <row r="68" spans="1:5" x14ac:dyDescent="0.2">
      <c r="A68" t="s">
        <v>203</v>
      </c>
      <c r="B68" t="s">
        <v>152</v>
      </c>
      <c r="C68" s="3">
        <v>152000</v>
      </c>
      <c r="D68" s="3">
        <v>1295000</v>
      </c>
      <c r="E68" s="4">
        <f t="shared" ca="1" si="1"/>
        <v>-0.88262548262548257</v>
      </c>
    </row>
    <row r="69" spans="1:5" x14ac:dyDescent="0.2">
      <c r="A69" t="s">
        <v>204</v>
      </c>
      <c r="B69" t="s">
        <v>154</v>
      </c>
      <c r="C69" s="3">
        <v>476509000</v>
      </c>
      <c r="D69" s="3">
        <v>479371000</v>
      </c>
      <c r="E69" s="4">
        <f t="shared" ca="1" si="1"/>
        <v>-5.9703236115659893E-3</v>
      </c>
    </row>
    <row r="70" spans="1:5" x14ac:dyDescent="0.2">
      <c r="A70" t="s">
        <v>205</v>
      </c>
      <c r="B70" t="s">
        <v>126</v>
      </c>
      <c r="C70" s="3">
        <v>336566000</v>
      </c>
      <c r="D70" s="3">
        <v>338239000</v>
      </c>
      <c r="E70" s="4">
        <f t="shared" ca="1" si="1"/>
        <v>-4.9462066763442418E-3</v>
      </c>
    </row>
    <row r="71" spans="1:5" x14ac:dyDescent="0.2">
      <c r="A71" t="s">
        <v>206</v>
      </c>
      <c r="B71" t="s">
        <v>126</v>
      </c>
      <c r="C71" s="3">
        <v>335902000</v>
      </c>
      <c r="D71" s="3">
        <v>337564000</v>
      </c>
      <c r="E71" s="4">
        <f t="shared" ca="1" si="1"/>
        <v>-4.9235108009147892E-3</v>
      </c>
    </row>
    <row r="72" spans="1:5" x14ac:dyDescent="0.2">
      <c r="A72" t="s">
        <v>207</v>
      </c>
      <c r="B72" t="s">
        <v>129</v>
      </c>
      <c r="C72" s="3">
        <v>664000</v>
      </c>
      <c r="D72" s="3">
        <v>675000</v>
      </c>
      <c r="E72" s="4">
        <f t="shared" ca="1" si="1"/>
        <v>-1.6296296296296295E-2</v>
      </c>
    </row>
    <row r="73" spans="1:5" x14ac:dyDescent="0.2">
      <c r="A73" t="s">
        <v>208</v>
      </c>
      <c r="B73" t="s">
        <v>131</v>
      </c>
      <c r="C73" s="3">
        <v>2161000</v>
      </c>
      <c r="D73" s="3">
        <v>2219000</v>
      </c>
      <c r="E73" s="4">
        <f t="shared" ca="1" si="1"/>
        <v>-2.6137899954934655E-2</v>
      </c>
    </row>
    <row r="74" spans="1:5" x14ac:dyDescent="0.2">
      <c r="A74" t="s">
        <v>209</v>
      </c>
      <c r="B74" t="s">
        <v>31</v>
      </c>
      <c r="C74" s="3">
        <v>2161000</v>
      </c>
      <c r="D74" s="3">
        <v>2219000</v>
      </c>
      <c r="E74" s="4">
        <f t="shared" ca="1" si="1"/>
        <v>-2.6137899954934655E-2</v>
      </c>
    </row>
    <row r="75" spans="1:5" x14ac:dyDescent="0.2">
      <c r="A75" t="s">
        <v>210</v>
      </c>
      <c r="B75" t="s">
        <v>211</v>
      </c>
      <c r="C75" s="3">
        <v>2161000</v>
      </c>
      <c r="D75" s="3">
        <v>2219000</v>
      </c>
      <c r="E75" s="4">
        <f t="shared" ca="1" si="1"/>
        <v>-2.6137899954934655E-2</v>
      </c>
    </row>
    <row r="76" spans="1:5" x14ac:dyDescent="0.2">
      <c r="A76" t="s">
        <v>212</v>
      </c>
      <c r="B76" t="s">
        <v>44</v>
      </c>
      <c r="C76" s="3">
        <v>1745000</v>
      </c>
      <c r="D76" s="3">
        <v>3956000</v>
      </c>
      <c r="E76" s="4">
        <f t="shared" ca="1" si="1"/>
        <v>-0.55889787664307378</v>
      </c>
    </row>
    <row r="77" spans="1:5" x14ac:dyDescent="0.2">
      <c r="A77" t="s">
        <v>213</v>
      </c>
      <c r="B77" t="s">
        <v>48</v>
      </c>
      <c r="C77" s="3">
        <v>1745000</v>
      </c>
      <c r="D77" s="3">
        <v>3956000</v>
      </c>
      <c r="E77" s="4">
        <f t="shared" ca="1" si="1"/>
        <v>-0.55889787664307378</v>
      </c>
    </row>
    <row r="78" spans="1:5" x14ac:dyDescent="0.2">
      <c r="A78" t="s">
        <v>214</v>
      </c>
      <c r="B78" t="s">
        <v>140</v>
      </c>
      <c r="C78" s="3">
        <v>136037000</v>
      </c>
      <c r="D78" s="3">
        <v>134957000</v>
      </c>
      <c r="E78" s="4">
        <f t="shared" ca="1" si="1"/>
        <v>8.0025489600391228E-3</v>
      </c>
    </row>
    <row r="79" spans="1:5" x14ac:dyDescent="0.2">
      <c r="A79" t="s">
        <v>215</v>
      </c>
      <c r="B79" t="s">
        <v>142</v>
      </c>
      <c r="C79" s="3">
        <v>12175000</v>
      </c>
      <c r="D79" s="3">
        <v>15778000</v>
      </c>
      <c r="E79" s="4">
        <f t="shared" ca="1" si="1"/>
        <v>-0.22835593864875142</v>
      </c>
    </row>
    <row r="80" spans="1:5" x14ac:dyDescent="0.2">
      <c r="A80" t="s">
        <v>216</v>
      </c>
      <c r="B80" t="s">
        <v>146</v>
      </c>
      <c r="C80" s="3">
        <v>123862000</v>
      </c>
      <c r="D80" s="3">
        <v>119179000</v>
      </c>
      <c r="E80" s="4">
        <f t="shared" ca="1" si="1"/>
        <v>3.9293835323337162E-2</v>
      </c>
    </row>
    <row r="81" spans="1:5" x14ac:dyDescent="0.2">
      <c r="A81" t="s">
        <v>217</v>
      </c>
      <c r="B81" t="s">
        <v>148</v>
      </c>
      <c r="C81" s="3">
        <v>72516000</v>
      </c>
      <c r="D81" s="3">
        <v>69421000</v>
      </c>
      <c r="E81" s="4">
        <f t="shared" ca="1" si="1"/>
        <v>4.4583051238097984E-2</v>
      </c>
    </row>
    <row r="82" spans="1:5" x14ac:dyDescent="0.2">
      <c r="A82" t="s">
        <v>218</v>
      </c>
      <c r="B82" t="s">
        <v>219</v>
      </c>
      <c r="C82" s="3">
        <v>47631000</v>
      </c>
      <c r="D82" s="3">
        <v>46785000</v>
      </c>
      <c r="E82" s="4">
        <f t="shared" ca="1" si="1"/>
        <v>1.8082718820134659E-2</v>
      </c>
    </row>
    <row r="83" spans="1:5" x14ac:dyDescent="0.2">
      <c r="A83" t="s">
        <v>220</v>
      </c>
      <c r="B83" t="s">
        <v>146</v>
      </c>
      <c r="C83" s="3">
        <v>3715000</v>
      </c>
      <c r="D83" s="3">
        <v>2973000</v>
      </c>
      <c r="E83" s="4">
        <f t="shared" ca="1" si="1"/>
        <v>0.24957954927682477</v>
      </c>
    </row>
    <row r="84" spans="1:5" x14ac:dyDescent="0.2">
      <c r="A84" t="s">
        <v>221</v>
      </c>
      <c r="B84" t="s">
        <v>222</v>
      </c>
      <c r="C84" s="3">
        <v>296175000</v>
      </c>
      <c r="D84" s="3">
        <v>269609000</v>
      </c>
      <c r="E84" s="4">
        <f t="shared" ca="1" si="1"/>
        <v>9.8535286284953394E-2</v>
      </c>
    </row>
    <row r="85" spans="1:5" x14ac:dyDescent="0.2">
      <c r="A85" t="s">
        <v>223</v>
      </c>
      <c r="B85" t="s">
        <v>174</v>
      </c>
      <c r="C85" s="3">
        <v>205432000</v>
      </c>
      <c r="D85" s="3">
        <v>205432000</v>
      </c>
      <c r="E85" s="4">
        <f t="shared" ca="1" si="1"/>
        <v>0</v>
      </c>
    </row>
    <row r="86" spans="1:5" x14ac:dyDescent="0.2">
      <c r="A86" t="s">
        <v>224</v>
      </c>
      <c r="B86" t="s">
        <v>176</v>
      </c>
      <c r="C86" s="3">
        <v>2457000</v>
      </c>
      <c r="D86" s="3">
        <v>2457000</v>
      </c>
      <c r="E86" s="4">
        <f t="shared" ca="1" si="1"/>
        <v>0</v>
      </c>
    </row>
    <row r="87" spans="1:5" x14ac:dyDescent="0.2">
      <c r="A87" t="s">
        <v>225</v>
      </c>
      <c r="B87" t="s">
        <v>178</v>
      </c>
      <c r="C87" s="3">
        <v>98726000</v>
      </c>
      <c r="D87" s="3">
        <v>77364000</v>
      </c>
      <c r="E87" s="4">
        <f t="shared" ca="1" si="1"/>
        <v>0.27612326146528099</v>
      </c>
    </row>
    <row r="88" spans="1:5" x14ac:dyDescent="0.2">
      <c r="A88" t="s">
        <v>226</v>
      </c>
      <c r="B88" t="s">
        <v>180</v>
      </c>
      <c r="C88" s="3">
        <v>-16250000</v>
      </c>
      <c r="D88" s="3">
        <v>-21268000</v>
      </c>
      <c r="E88" s="4">
        <f t="shared" ca="1" si="1"/>
        <v>-0.23594132029339854</v>
      </c>
    </row>
    <row r="89" spans="1:5" x14ac:dyDescent="0.2">
      <c r="A89" t="s">
        <v>227</v>
      </c>
      <c r="B89" t="s">
        <v>228</v>
      </c>
      <c r="C89" s="3">
        <v>5810000</v>
      </c>
      <c r="D89" s="3">
        <v>5624000</v>
      </c>
      <c r="E89" s="4">
        <f t="shared" ca="1" si="1"/>
        <v>3.3072546230440966E-2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8"/>
  <sheetViews>
    <sheetView topLeftCell="A32" workbookViewId="0">
      <selection activeCell="C38" sqref="C38"/>
    </sheetView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8" ht="26" x14ac:dyDescent="0.3">
      <c r="A1" s="1" t="s">
        <v>229</v>
      </c>
    </row>
    <row r="2" spans="1:8" ht="20" x14ac:dyDescent="0.25">
      <c r="A2" s="2" t="s">
        <v>1</v>
      </c>
      <c r="B2" s="2" t="s">
        <v>2</v>
      </c>
      <c r="C2" s="2" t="s">
        <v>3</v>
      </c>
      <c r="D2" s="2" t="s">
        <v>230</v>
      </c>
      <c r="E2" s="2" t="s">
        <v>231</v>
      </c>
      <c r="F2" s="2" t="s">
        <v>232</v>
      </c>
      <c r="G2" s="2" t="s">
        <v>233</v>
      </c>
      <c r="H2" s="2" t="s">
        <v>234</v>
      </c>
    </row>
    <row r="3" spans="1:8" x14ac:dyDescent="0.2">
      <c r="A3" t="s">
        <v>235</v>
      </c>
      <c r="B3" t="s">
        <v>236</v>
      </c>
      <c r="C3" s="3">
        <v>83035000</v>
      </c>
      <c r="D3" s="3">
        <v>204186000</v>
      </c>
      <c r="E3" s="3">
        <v>56391000</v>
      </c>
      <c r="F3" s="3">
        <v>165950000</v>
      </c>
      <c r="G3" s="4">
        <f t="shared" ref="G3:H31" ca="1" si="0">(INDIRECT("RC[-4]",0)-INDIRECT("RC[-2]",0))/INDIRECT("RC[-2]",0)</f>
        <v>0.47248674433863558</v>
      </c>
      <c r="H3" s="4">
        <f t="shared" ca="1" si="0"/>
        <v>0.23040674902078939</v>
      </c>
    </row>
    <row r="4" spans="1:8" x14ac:dyDescent="0.2">
      <c r="A4" t="s">
        <v>237</v>
      </c>
      <c r="B4" t="s">
        <v>238</v>
      </c>
      <c r="C4" s="3">
        <v>-54056000</v>
      </c>
      <c r="D4" s="3">
        <v>-130056000</v>
      </c>
      <c r="E4" s="3">
        <v>-40491000</v>
      </c>
      <c r="F4" s="3">
        <v>-114509000</v>
      </c>
      <c r="G4" s="4">
        <f t="shared" ca="1" si="0"/>
        <v>0.33501271887579959</v>
      </c>
      <c r="H4" s="4">
        <f t="shared" ca="1" si="0"/>
        <v>0.13577098743330218</v>
      </c>
    </row>
    <row r="5" spans="1:8" x14ac:dyDescent="0.2">
      <c r="A5" t="s">
        <v>239</v>
      </c>
      <c r="B5" t="s">
        <v>240</v>
      </c>
      <c r="C5" s="3">
        <v>28979000</v>
      </c>
      <c r="D5" s="3">
        <v>74130000</v>
      </c>
      <c r="E5" s="3">
        <v>15900000</v>
      </c>
      <c r="F5" s="3">
        <v>51441000</v>
      </c>
      <c r="G5" s="4">
        <f t="shared" ca="1" si="0"/>
        <v>0.82257861635220131</v>
      </c>
      <c r="H5" s="4">
        <f t="shared" ca="1" si="0"/>
        <v>0.44106840846795359</v>
      </c>
    </row>
    <row r="6" spans="1:8" x14ac:dyDescent="0.2">
      <c r="A6" t="s">
        <v>241</v>
      </c>
      <c r="B6" t="s">
        <v>242</v>
      </c>
      <c r="C6" s="3">
        <v>-12648000</v>
      </c>
      <c r="D6" s="3">
        <v>-27652000</v>
      </c>
      <c r="E6" s="3">
        <v>-10880000</v>
      </c>
      <c r="F6" s="3">
        <v>-22236000</v>
      </c>
      <c r="G6" s="4">
        <f t="shared" ca="1" si="0"/>
        <v>0.16250000000000001</v>
      </c>
      <c r="H6" s="4">
        <f t="shared" ca="1" si="0"/>
        <v>0.2435689872279187</v>
      </c>
    </row>
    <row r="7" spans="1:8" x14ac:dyDescent="0.2">
      <c r="A7" t="s">
        <v>243</v>
      </c>
      <c r="B7" t="s">
        <v>244</v>
      </c>
      <c r="C7" s="3">
        <v>-6414000</v>
      </c>
      <c r="D7" s="3">
        <v>-15853000</v>
      </c>
      <c r="E7" s="3">
        <v>-5001000</v>
      </c>
      <c r="F7" s="3">
        <v>-13829000</v>
      </c>
      <c r="G7" s="4">
        <f t="shared" ca="1" si="0"/>
        <v>0.28254349130173967</v>
      </c>
      <c r="H7" s="4">
        <f t="shared" ca="1" si="0"/>
        <v>0.14635910044110204</v>
      </c>
    </row>
    <row r="8" spans="1:8" x14ac:dyDescent="0.2">
      <c r="A8" t="s">
        <v>245</v>
      </c>
      <c r="B8" t="s">
        <v>246</v>
      </c>
      <c r="C8" s="3">
        <v>-1527000</v>
      </c>
      <c r="D8" s="3">
        <v>-4554000</v>
      </c>
      <c r="E8" s="3">
        <v>-1711000</v>
      </c>
      <c r="F8" s="3">
        <v>-4844000</v>
      </c>
      <c r="G8" s="4">
        <f t="shared" ca="1" si="0"/>
        <v>-0.10753945061367622</v>
      </c>
      <c r="H8" s="4">
        <f t="shared" ca="1" si="0"/>
        <v>-5.9867877786952933E-2</v>
      </c>
    </row>
    <row r="9" spans="1:8" x14ac:dyDescent="0.2">
      <c r="A9" t="s">
        <v>247</v>
      </c>
      <c r="B9" t="s">
        <v>248</v>
      </c>
      <c r="C9" s="3">
        <v>-8495000</v>
      </c>
      <c r="D9" s="3">
        <v>-17587000</v>
      </c>
      <c r="E9" s="3">
        <v>-5858000</v>
      </c>
      <c r="F9" s="3">
        <v>-8959000</v>
      </c>
      <c r="G9" s="4">
        <f t="shared" ca="1" si="0"/>
        <v>0.45015363605326048</v>
      </c>
      <c r="H9" s="4">
        <f t="shared" ca="1" si="0"/>
        <v>0.96305391226699411</v>
      </c>
    </row>
    <row r="10" spans="1:8" x14ac:dyDescent="0.2">
      <c r="A10" t="s">
        <v>249</v>
      </c>
      <c r="B10" t="s">
        <v>250</v>
      </c>
      <c r="C10" s="3">
        <v>-477000</v>
      </c>
      <c r="D10" s="3">
        <v>-1048000</v>
      </c>
      <c r="E10" s="3">
        <v>-743000</v>
      </c>
      <c r="F10" s="3">
        <v>-3353000</v>
      </c>
      <c r="G10" s="4">
        <f t="shared" ca="1" si="0"/>
        <v>-0.35800807537012114</v>
      </c>
      <c r="H10" s="4">
        <f t="shared" ca="1" si="0"/>
        <v>-0.68744407992842227</v>
      </c>
    </row>
    <row r="11" spans="1:8" x14ac:dyDescent="0.2">
      <c r="A11" t="s">
        <v>251</v>
      </c>
      <c r="B11" t="s">
        <v>252</v>
      </c>
      <c r="C11" s="3">
        <v>-625000</v>
      </c>
      <c r="D11" s="3">
        <v>-1710000</v>
      </c>
      <c r="E11" s="3">
        <v>-424000</v>
      </c>
      <c r="F11" s="3">
        <v>-1309000</v>
      </c>
      <c r="G11" s="4">
        <f t="shared" ca="1" si="0"/>
        <v>0.47405660377358488</v>
      </c>
      <c r="H11" s="4">
        <f t="shared" ca="1" si="0"/>
        <v>0.30634071810542401</v>
      </c>
    </row>
    <row r="12" spans="1:8" x14ac:dyDescent="0.2">
      <c r="A12" t="s">
        <v>253</v>
      </c>
      <c r="B12" t="s">
        <v>254</v>
      </c>
      <c r="C12" s="3">
        <v>-404000</v>
      </c>
      <c r="D12" s="3">
        <v>-1421000</v>
      </c>
      <c r="E12" s="3">
        <v>-436000</v>
      </c>
      <c r="F12" s="3">
        <v>-1324000</v>
      </c>
      <c r="G12" s="4">
        <f t="shared" ca="1" si="0"/>
        <v>-7.3394495412844041E-2</v>
      </c>
      <c r="H12" s="4">
        <f t="shared" ca="1" si="0"/>
        <v>7.3262839879154079E-2</v>
      </c>
    </row>
    <row r="13" spans="1:8" x14ac:dyDescent="0.2">
      <c r="A13" t="s">
        <v>255</v>
      </c>
      <c r="B13" t="s">
        <v>256</v>
      </c>
      <c r="C13" s="3">
        <v>-6989000</v>
      </c>
      <c r="D13" s="3">
        <v>-13408000</v>
      </c>
      <c r="E13" s="3">
        <v>-4217000</v>
      </c>
      <c r="F13" s="3">
        <v>-2935000</v>
      </c>
      <c r="G13" s="4">
        <f t="shared" ca="1" si="0"/>
        <v>0.65733934076357603</v>
      </c>
      <c r="H13" s="4">
        <f t="shared" ca="1" si="0"/>
        <v>3.568313458262351</v>
      </c>
    </row>
    <row r="14" spans="1:8" x14ac:dyDescent="0.2">
      <c r="A14" t="s">
        <v>257</v>
      </c>
      <c r="B14" t="s">
        <v>258</v>
      </c>
      <c r="C14" s="3">
        <v>3788000</v>
      </c>
      <c r="D14" s="3">
        <v>10342000</v>
      </c>
      <c r="E14" s="3">
        <v>1690000</v>
      </c>
      <c r="F14" s="3">
        <v>5396000</v>
      </c>
      <c r="G14" s="4">
        <f t="shared" ca="1" si="0"/>
        <v>1.2414201183431952</v>
      </c>
      <c r="H14" s="4">
        <f t="shared" ca="1" si="0"/>
        <v>0.91660489251297261</v>
      </c>
    </row>
    <row r="15" spans="1:8" x14ac:dyDescent="0.2">
      <c r="A15" t="s">
        <v>259</v>
      </c>
      <c r="B15" t="s">
        <v>260</v>
      </c>
      <c r="C15" s="3">
        <v>16331000</v>
      </c>
      <c r="D15" s="3">
        <v>46478000</v>
      </c>
      <c r="E15" s="3">
        <v>5020000</v>
      </c>
      <c r="F15" s="3">
        <v>29205000</v>
      </c>
      <c r="G15" s="4">
        <f t="shared" ca="1" si="0"/>
        <v>2.253187250996016</v>
      </c>
      <c r="H15" s="4">
        <f t="shared" ca="1" si="0"/>
        <v>0.59143982194829647</v>
      </c>
    </row>
    <row r="16" spans="1:8" x14ac:dyDescent="0.2">
      <c r="A16" t="s">
        <v>261</v>
      </c>
      <c r="B16" t="s">
        <v>262</v>
      </c>
      <c r="C16" s="3">
        <v>-5405000</v>
      </c>
      <c r="D16" s="3">
        <v>-12033000</v>
      </c>
      <c r="E16" s="3">
        <v>-4834000</v>
      </c>
      <c r="F16" s="3">
        <v>-16020000</v>
      </c>
      <c r="G16" s="4">
        <f t="shared" ca="1" si="0"/>
        <v>0.11812163839470417</v>
      </c>
      <c r="H16" s="4">
        <f t="shared" ca="1" si="0"/>
        <v>-0.24887640449438203</v>
      </c>
    </row>
    <row r="17" spans="1:8" x14ac:dyDescent="0.2">
      <c r="A17" t="s">
        <v>263</v>
      </c>
      <c r="B17" t="s">
        <v>264</v>
      </c>
      <c r="C17" s="3">
        <v>1121000</v>
      </c>
      <c r="D17" s="3">
        <v>4576000</v>
      </c>
      <c r="E17" s="3">
        <v>796000</v>
      </c>
      <c r="F17" s="3">
        <v>2166000</v>
      </c>
      <c r="G17" s="4">
        <f t="shared" ca="1" si="0"/>
        <v>0.40829145728643218</v>
      </c>
      <c r="H17" s="4">
        <f t="shared" ca="1" si="0"/>
        <v>1.1126500461680517</v>
      </c>
    </row>
    <row r="18" spans="1:8" x14ac:dyDescent="0.2">
      <c r="A18" t="s">
        <v>265</v>
      </c>
      <c r="B18" t="s">
        <v>264</v>
      </c>
      <c r="C18" s="3">
        <v>1121000</v>
      </c>
      <c r="D18" s="3">
        <v>4576000</v>
      </c>
      <c r="E18" s="3">
        <v>796000</v>
      </c>
      <c r="F18" s="3">
        <v>2166000</v>
      </c>
      <c r="G18" s="4">
        <f t="shared" ca="1" si="0"/>
        <v>0.40829145728643218</v>
      </c>
      <c r="H18" s="4">
        <f t="shared" ca="1" si="0"/>
        <v>1.1126500461680517</v>
      </c>
    </row>
    <row r="19" spans="1:8" x14ac:dyDescent="0.2">
      <c r="A19" t="s">
        <v>266</v>
      </c>
      <c r="B19" t="s">
        <v>267</v>
      </c>
      <c r="C19" s="3">
        <v>-6526000</v>
      </c>
      <c r="D19" s="3">
        <v>-16609000</v>
      </c>
      <c r="E19" s="3">
        <v>-5630000</v>
      </c>
      <c r="F19" s="3">
        <v>-18186000</v>
      </c>
      <c r="G19" s="4">
        <f t="shared" ca="1" si="0"/>
        <v>0.15914742451154529</v>
      </c>
      <c r="H19" s="4">
        <f t="shared" ca="1" si="0"/>
        <v>-8.6715055537226443E-2</v>
      </c>
    </row>
    <row r="20" spans="1:8" x14ac:dyDescent="0.2">
      <c r="A20" t="s">
        <v>268</v>
      </c>
      <c r="B20" t="s">
        <v>267</v>
      </c>
      <c r="C20" s="3">
        <v>-3799000</v>
      </c>
      <c r="D20" s="3">
        <v>-10475000</v>
      </c>
      <c r="E20" s="3">
        <v>-3688000</v>
      </c>
      <c r="F20" s="3">
        <v>-13108000</v>
      </c>
      <c r="G20" s="4">
        <f t="shared" ca="1" si="0"/>
        <v>3.009761388286334E-2</v>
      </c>
      <c r="H20" s="4">
        <f t="shared" ca="1" si="0"/>
        <v>-0.20086969789441561</v>
      </c>
    </row>
    <row r="21" spans="1:8" x14ac:dyDescent="0.2">
      <c r="A21" t="s">
        <v>269</v>
      </c>
      <c r="B21" t="s">
        <v>270</v>
      </c>
      <c r="C21" s="3">
        <v>-2727000</v>
      </c>
      <c r="D21" s="3">
        <v>-6134000</v>
      </c>
      <c r="E21" s="3">
        <v>-1942000</v>
      </c>
      <c r="F21" s="3">
        <v>-5078000</v>
      </c>
      <c r="G21" s="4">
        <f t="shared" ca="1" si="0"/>
        <v>0.4042224510813594</v>
      </c>
      <c r="H21" s="4">
        <f t="shared" ca="1" si="0"/>
        <v>0.20795588814493896</v>
      </c>
    </row>
    <row r="22" spans="1:8" x14ac:dyDescent="0.2">
      <c r="A22" t="s">
        <v>271</v>
      </c>
      <c r="B22" t="s">
        <v>272</v>
      </c>
      <c r="C22" s="3">
        <v>10926000</v>
      </c>
      <c r="D22" s="3">
        <v>34445000</v>
      </c>
      <c r="E22" s="3">
        <v>186000</v>
      </c>
      <c r="F22" s="3">
        <v>13185000</v>
      </c>
      <c r="G22" s="4">
        <f t="shared" ca="1" si="0"/>
        <v>57.741935483870968</v>
      </c>
      <c r="H22" s="4">
        <f t="shared" ca="1" si="0"/>
        <v>1.6124383769434965</v>
      </c>
    </row>
    <row r="23" spans="1:8" x14ac:dyDescent="0.2">
      <c r="A23" t="s">
        <v>273</v>
      </c>
      <c r="B23" t="s">
        <v>274</v>
      </c>
      <c r="C23" s="3">
        <v>-4282000</v>
      </c>
      <c r="D23" s="3">
        <v>-10768000</v>
      </c>
      <c r="E23" s="3">
        <v>80000</v>
      </c>
      <c r="F23" s="3">
        <v>-8154000</v>
      </c>
      <c r="G23" s="4">
        <f t="shared" ca="1" si="0"/>
        <v>-54.524999999999999</v>
      </c>
      <c r="H23" s="4">
        <f t="shared" ca="1" si="0"/>
        <v>0.32057885700269806</v>
      </c>
    </row>
    <row r="24" spans="1:8" x14ac:dyDescent="0.2">
      <c r="A24" t="s">
        <v>275</v>
      </c>
      <c r="B24" t="s">
        <v>276</v>
      </c>
      <c r="C24" s="3">
        <v>-4172000</v>
      </c>
      <c r="D24" s="3">
        <v>-10432000</v>
      </c>
      <c r="E24" s="3">
        <v>-36000</v>
      </c>
      <c r="F24" s="3">
        <v>-1945000</v>
      </c>
      <c r="G24" s="4">
        <f t="shared" ca="1" si="0"/>
        <v>114.88888888888889</v>
      </c>
      <c r="H24" s="4">
        <f t="shared" ca="1" si="0"/>
        <v>4.3634961439588693</v>
      </c>
    </row>
    <row r="25" spans="1:8" x14ac:dyDescent="0.2">
      <c r="A25" t="s">
        <v>277</v>
      </c>
      <c r="B25" t="s">
        <v>278</v>
      </c>
      <c r="C25" s="3">
        <v>-110000</v>
      </c>
      <c r="D25" s="3">
        <v>-336000</v>
      </c>
      <c r="E25" s="3">
        <v>116000</v>
      </c>
      <c r="F25" s="3">
        <v>-6209000</v>
      </c>
      <c r="G25" s="4">
        <f t="shared" ca="1" si="0"/>
        <v>-1.9482758620689655</v>
      </c>
      <c r="H25" s="4">
        <f t="shared" ca="1" si="0"/>
        <v>-0.94588500563697853</v>
      </c>
    </row>
    <row r="26" spans="1:8" x14ac:dyDescent="0.2">
      <c r="A26" t="s">
        <v>279</v>
      </c>
      <c r="B26" t="s">
        <v>280</v>
      </c>
      <c r="C26" s="3">
        <v>6644000</v>
      </c>
      <c r="D26" s="3">
        <v>23677000</v>
      </c>
      <c r="E26" s="3">
        <v>266000</v>
      </c>
      <c r="F26" s="3">
        <v>5031000</v>
      </c>
      <c r="G26" s="4">
        <f t="shared" ca="1" si="0"/>
        <v>23.977443609022558</v>
      </c>
      <c r="H26" s="4">
        <f t="shared" ca="1" si="0"/>
        <v>3.7062214271516596</v>
      </c>
    </row>
    <row r="27" spans="1:8" x14ac:dyDescent="0.2">
      <c r="A27" t="s">
        <v>281</v>
      </c>
      <c r="B27" t="s">
        <v>282</v>
      </c>
      <c r="C27" s="3">
        <v>6644000</v>
      </c>
      <c r="D27" s="3">
        <v>23677000</v>
      </c>
      <c r="E27" s="3">
        <v>266000</v>
      </c>
      <c r="F27" s="3">
        <v>5031000</v>
      </c>
      <c r="G27" s="4">
        <f t="shared" ca="1" si="0"/>
        <v>23.977443609022558</v>
      </c>
      <c r="H27" s="4">
        <f t="shared" ca="1" si="0"/>
        <v>3.7062214271516596</v>
      </c>
    </row>
    <row r="28" spans="1:8" x14ac:dyDescent="0.2">
      <c r="A28" t="s">
        <v>283</v>
      </c>
      <c r="B28" t="s">
        <v>284</v>
      </c>
      <c r="C28" s="3">
        <v>0.51</v>
      </c>
      <c r="D28" s="3">
        <v>1.8120000000000001</v>
      </c>
      <c r="E28" s="3">
        <v>0.02</v>
      </c>
      <c r="F28" s="3">
        <v>0.38400000000000001</v>
      </c>
      <c r="G28" s="4">
        <f t="shared" ca="1" si="0"/>
        <v>24.5</v>
      </c>
      <c r="H28" s="4">
        <f t="shared" ca="1" si="0"/>
        <v>3.7187499999999996</v>
      </c>
    </row>
    <row r="29" spans="1:8" x14ac:dyDescent="0.2">
      <c r="A29" t="s">
        <v>285</v>
      </c>
      <c r="B29" t="s">
        <v>286</v>
      </c>
      <c r="C29" s="3">
        <v>0.51</v>
      </c>
      <c r="D29" s="3">
        <v>1.8120000000000001</v>
      </c>
      <c r="E29" s="3">
        <v>0.02</v>
      </c>
      <c r="F29" s="3">
        <v>0.38400000000000001</v>
      </c>
      <c r="G29" s="4">
        <f t="shared" ca="1" si="0"/>
        <v>24.5</v>
      </c>
      <c r="H29" s="4">
        <f t="shared" ca="1" si="0"/>
        <v>3.7187499999999996</v>
      </c>
    </row>
    <row r="30" spans="1:8" x14ac:dyDescent="0.2">
      <c r="A30" t="s">
        <v>287</v>
      </c>
      <c r="B30" t="s">
        <v>284</v>
      </c>
      <c r="C30" s="3">
        <v>0.51</v>
      </c>
      <c r="D30" s="3">
        <v>1.8120000000000001</v>
      </c>
      <c r="E30" s="3">
        <v>0.02</v>
      </c>
      <c r="F30" s="3">
        <v>0.38400000000000001</v>
      </c>
      <c r="G30" s="4">
        <f t="shared" ca="1" si="0"/>
        <v>24.5</v>
      </c>
      <c r="H30" s="4">
        <f t="shared" ca="1" si="0"/>
        <v>3.7187499999999996</v>
      </c>
    </row>
    <row r="31" spans="1:8" x14ac:dyDescent="0.2">
      <c r="A31" t="s">
        <v>288</v>
      </c>
      <c r="B31" t="s">
        <v>286</v>
      </c>
      <c r="C31" s="3">
        <v>0.51</v>
      </c>
      <c r="D31" s="3">
        <v>1.8120000000000001</v>
      </c>
      <c r="E31" s="3">
        <v>0.02</v>
      </c>
      <c r="F31" s="3">
        <v>0.38400000000000001</v>
      </c>
      <c r="G31" s="4">
        <f t="shared" ca="1" si="0"/>
        <v>24.5</v>
      </c>
      <c r="H31" s="4">
        <f t="shared" ca="1" si="0"/>
        <v>3.7187499999999996</v>
      </c>
    </row>
    <row r="32" spans="1:8" x14ac:dyDescent="0.2">
      <c r="A32" t="s">
        <v>289</v>
      </c>
      <c r="B32" t="s">
        <v>290</v>
      </c>
      <c r="C32" s="3">
        <v>0</v>
      </c>
    </row>
    <row r="33" spans="1:8" x14ac:dyDescent="0.2">
      <c r="A33" t="s">
        <v>291</v>
      </c>
      <c r="B33" t="s">
        <v>292</v>
      </c>
      <c r="C33" s="3">
        <v>0</v>
      </c>
    </row>
    <row r="34" spans="1:8" x14ac:dyDescent="0.2">
      <c r="A34" t="s">
        <v>293</v>
      </c>
      <c r="B34" t="s">
        <v>294</v>
      </c>
      <c r="C34" s="3">
        <v>0</v>
      </c>
    </row>
    <row r="35" spans="1:8" x14ac:dyDescent="0.2">
      <c r="A35" t="s">
        <v>295</v>
      </c>
      <c r="B35" t="s">
        <v>296</v>
      </c>
      <c r="C35" s="3">
        <v>7442454</v>
      </c>
    </row>
    <row r="36" spans="1:8" x14ac:dyDescent="0.2">
      <c r="A36" t="s">
        <v>297</v>
      </c>
      <c r="B36" t="s">
        <v>298</v>
      </c>
      <c r="C36" s="3">
        <v>5602043</v>
      </c>
    </row>
    <row r="37" spans="1:8" x14ac:dyDescent="0.2">
      <c r="A37" t="s">
        <v>299</v>
      </c>
      <c r="B37" t="s">
        <v>300</v>
      </c>
      <c r="C37" s="3">
        <v>13044497</v>
      </c>
    </row>
    <row r="38" spans="1:8" x14ac:dyDescent="0.2">
      <c r="A38" t="s">
        <v>301</v>
      </c>
      <c r="B38" t="s">
        <v>302</v>
      </c>
      <c r="C38" s="5">
        <v>21.01</v>
      </c>
    </row>
    <row r="39" spans="1:8" ht="26" x14ac:dyDescent="0.3">
      <c r="A39" s="1" t="s">
        <v>303</v>
      </c>
    </row>
    <row r="40" spans="1:8" ht="20" x14ac:dyDescent="0.25">
      <c r="A40" s="2" t="s">
        <v>1</v>
      </c>
      <c r="B40" s="2" t="s">
        <v>2</v>
      </c>
      <c r="C40" s="2" t="s">
        <v>3</v>
      </c>
      <c r="D40" s="2" t="s">
        <v>230</v>
      </c>
      <c r="E40" s="2" t="s">
        <v>231</v>
      </c>
      <c r="F40" s="2" t="s">
        <v>232</v>
      </c>
      <c r="G40" s="2" t="s">
        <v>233</v>
      </c>
      <c r="H40" s="2" t="s">
        <v>234</v>
      </c>
    </row>
    <row r="41" spans="1:8" x14ac:dyDescent="0.2">
      <c r="A41" t="s">
        <v>304</v>
      </c>
      <c r="B41" t="s">
        <v>236</v>
      </c>
      <c r="C41" s="3">
        <v>98260000</v>
      </c>
      <c r="D41" s="3">
        <v>257116000</v>
      </c>
      <c r="E41" s="3">
        <v>71822000</v>
      </c>
      <c r="F41" s="3">
        <v>207183000</v>
      </c>
      <c r="G41" s="4">
        <f t="shared" ref="G41:H71" ca="1" si="1">(INDIRECT("RC[-4]",0)-INDIRECT("RC[-2]",0))/INDIRECT("RC[-2]",0)</f>
        <v>0.36810448052128875</v>
      </c>
      <c r="H41" s="4">
        <f t="shared" ca="1" si="1"/>
        <v>0.24100915615663449</v>
      </c>
    </row>
    <row r="42" spans="1:8" x14ac:dyDescent="0.2">
      <c r="A42" t="s">
        <v>305</v>
      </c>
      <c r="B42" t="s">
        <v>238</v>
      </c>
      <c r="C42" s="3">
        <v>-63616000</v>
      </c>
      <c r="D42" s="3">
        <v>-164076000</v>
      </c>
      <c r="E42" s="3">
        <v>-50585000</v>
      </c>
      <c r="F42" s="3">
        <v>-140791000</v>
      </c>
      <c r="G42" s="4">
        <f t="shared" ca="1" si="1"/>
        <v>0.25760600968666603</v>
      </c>
      <c r="H42" s="4">
        <f t="shared" ca="1" si="1"/>
        <v>0.16538699206625423</v>
      </c>
    </row>
    <row r="43" spans="1:8" x14ac:dyDescent="0.2">
      <c r="A43" t="s">
        <v>306</v>
      </c>
      <c r="B43" t="s">
        <v>240</v>
      </c>
      <c r="C43" s="3">
        <v>34644000</v>
      </c>
      <c r="D43" s="3">
        <v>93040000</v>
      </c>
      <c r="E43" s="3">
        <v>21237000</v>
      </c>
      <c r="F43" s="3">
        <v>66392000</v>
      </c>
      <c r="G43" s="4">
        <f t="shared" ca="1" si="1"/>
        <v>0.63130385647690357</v>
      </c>
      <c r="H43" s="4">
        <f t="shared" ca="1" si="1"/>
        <v>0.40137365947704545</v>
      </c>
    </row>
    <row r="44" spans="1:8" x14ac:dyDescent="0.2">
      <c r="A44" t="s">
        <v>307</v>
      </c>
      <c r="B44" t="s">
        <v>242</v>
      </c>
      <c r="C44" s="3">
        <v>-16650000</v>
      </c>
      <c r="D44" s="3">
        <v>-39744000</v>
      </c>
      <c r="E44" s="3">
        <v>-13021000</v>
      </c>
      <c r="F44" s="3">
        <v>-27689000</v>
      </c>
      <c r="G44" s="4">
        <f t="shared" ca="1" si="1"/>
        <v>0.27870363259350278</v>
      </c>
      <c r="H44" s="4">
        <f t="shared" ca="1" si="1"/>
        <v>0.43537144714507564</v>
      </c>
    </row>
    <row r="45" spans="1:8" x14ac:dyDescent="0.2">
      <c r="A45" t="s">
        <v>308</v>
      </c>
      <c r="B45" t="s">
        <v>244</v>
      </c>
      <c r="C45" s="3">
        <v>-5899000</v>
      </c>
      <c r="D45" s="3">
        <v>-14775000</v>
      </c>
      <c r="E45" s="3">
        <v>-4237000</v>
      </c>
      <c r="F45" s="3">
        <v>-10516000</v>
      </c>
      <c r="G45" s="4">
        <f t="shared" ca="1" si="1"/>
        <v>0.3922586735898041</v>
      </c>
      <c r="H45" s="4">
        <f t="shared" ca="1" si="1"/>
        <v>0.40500190186382656</v>
      </c>
    </row>
    <row r="46" spans="1:8" x14ac:dyDescent="0.2">
      <c r="A46" t="s">
        <v>309</v>
      </c>
      <c r="B46" t="s">
        <v>246</v>
      </c>
      <c r="C46" s="3">
        <v>-2213000</v>
      </c>
      <c r="D46" s="3">
        <v>-6561000</v>
      </c>
      <c r="E46" s="3">
        <v>-2451000</v>
      </c>
      <c r="F46" s="3">
        <v>-6979000</v>
      </c>
      <c r="G46" s="4">
        <f t="shared" ca="1" si="1"/>
        <v>-9.7103223174214603E-2</v>
      </c>
      <c r="H46" s="4">
        <f t="shared" ca="1" si="1"/>
        <v>-5.9893967617137125E-2</v>
      </c>
    </row>
    <row r="47" spans="1:8" x14ac:dyDescent="0.2">
      <c r="A47" t="s">
        <v>310</v>
      </c>
      <c r="B47" t="s">
        <v>248</v>
      </c>
      <c r="C47" s="3">
        <v>-9513000</v>
      </c>
      <c r="D47" s="3">
        <v>-20204000</v>
      </c>
      <c r="E47" s="3">
        <v>-6771000</v>
      </c>
      <c r="F47" s="3">
        <v>-11859000</v>
      </c>
      <c r="G47" s="4">
        <f t="shared" ca="1" si="1"/>
        <v>0.4049623393885689</v>
      </c>
      <c r="H47" s="4">
        <f t="shared" ca="1" si="1"/>
        <v>0.70368496500548106</v>
      </c>
    </row>
    <row r="48" spans="1:8" x14ac:dyDescent="0.2">
      <c r="A48" t="s">
        <v>311</v>
      </c>
      <c r="B48" t="s">
        <v>250</v>
      </c>
      <c r="C48" s="3">
        <v>-791000</v>
      </c>
      <c r="D48" s="3">
        <v>-1631000</v>
      </c>
      <c r="E48" s="3">
        <v>-1013000</v>
      </c>
      <c r="F48" s="3">
        <v>-4373000</v>
      </c>
      <c r="G48" s="4">
        <f t="shared" ca="1" si="1"/>
        <v>-0.21915103652517276</v>
      </c>
      <c r="H48" s="4">
        <f t="shared" ca="1" si="1"/>
        <v>-0.62702949919963413</v>
      </c>
    </row>
    <row r="49" spans="1:8" x14ac:dyDescent="0.2">
      <c r="A49" t="s">
        <v>312</v>
      </c>
      <c r="B49" t="s">
        <v>252</v>
      </c>
      <c r="C49" s="3">
        <v>-627000</v>
      </c>
      <c r="D49" s="3">
        <v>-1715000</v>
      </c>
      <c r="E49" s="3">
        <v>-425000</v>
      </c>
      <c r="F49" s="3">
        <v>-1311000</v>
      </c>
      <c r="G49" s="4">
        <f t="shared" ca="1" si="1"/>
        <v>0.47529411764705881</v>
      </c>
      <c r="H49" s="4">
        <f t="shared" ca="1" si="1"/>
        <v>0.30816170861937453</v>
      </c>
    </row>
    <row r="50" spans="1:8" x14ac:dyDescent="0.2">
      <c r="A50" t="s">
        <v>313</v>
      </c>
      <c r="B50" t="s">
        <v>254</v>
      </c>
      <c r="C50" s="3">
        <v>-412000</v>
      </c>
      <c r="D50" s="3">
        <v>-1438000</v>
      </c>
      <c r="E50" s="3">
        <v>-671000</v>
      </c>
      <c r="F50" s="3">
        <v>-1570000</v>
      </c>
      <c r="G50" s="4">
        <f t="shared" ca="1" si="1"/>
        <v>-0.38599105812220569</v>
      </c>
      <c r="H50" s="4">
        <f t="shared" ca="1" si="1"/>
        <v>-8.4076433121019103E-2</v>
      </c>
    </row>
    <row r="51" spans="1:8" x14ac:dyDescent="0.2">
      <c r="A51" t="s">
        <v>314</v>
      </c>
      <c r="B51" t="s">
        <v>256</v>
      </c>
      <c r="C51" s="3">
        <v>-7683000</v>
      </c>
      <c r="D51" s="3">
        <v>-15420000</v>
      </c>
      <c r="E51" s="3">
        <v>-4518000</v>
      </c>
      <c r="F51" s="3">
        <v>-4461000</v>
      </c>
      <c r="G51" s="4">
        <f t="shared" ca="1" si="1"/>
        <v>0.70053120849933603</v>
      </c>
      <c r="H51" s="4">
        <f t="shared" ca="1" si="1"/>
        <v>2.4566240753194353</v>
      </c>
    </row>
    <row r="52" spans="1:8" x14ac:dyDescent="0.2">
      <c r="A52" t="s">
        <v>315</v>
      </c>
      <c r="B52" t="s">
        <v>258</v>
      </c>
      <c r="C52" s="3">
        <v>975000</v>
      </c>
      <c r="D52" s="3">
        <v>1796000</v>
      </c>
      <c r="E52" s="3">
        <v>438000</v>
      </c>
      <c r="F52" s="3">
        <v>1665000</v>
      </c>
      <c r="G52" s="4">
        <f t="shared" ca="1" si="1"/>
        <v>1.226027397260274</v>
      </c>
      <c r="H52" s="4">
        <f t="shared" ca="1" si="1"/>
        <v>7.8678678678678685E-2</v>
      </c>
    </row>
    <row r="53" spans="1:8" x14ac:dyDescent="0.2">
      <c r="A53" t="s">
        <v>316</v>
      </c>
      <c r="B53" t="s">
        <v>260</v>
      </c>
      <c r="C53" s="3">
        <v>17994000</v>
      </c>
      <c r="D53" s="3">
        <v>53296000</v>
      </c>
      <c r="E53" s="3">
        <v>8216000</v>
      </c>
      <c r="F53" s="3">
        <v>38703000</v>
      </c>
      <c r="G53" s="4">
        <f t="shared" ca="1" si="1"/>
        <v>1.1901168451801363</v>
      </c>
      <c r="H53" s="4">
        <f t="shared" ca="1" si="1"/>
        <v>0.37705087460920345</v>
      </c>
    </row>
    <row r="54" spans="1:8" x14ac:dyDescent="0.2">
      <c r="A54" t="s">
        <v>317</v>
      </c>
      <c r="B54" t="s">
        <v>262</v>
      </c>
      <c r="C54" s="3">
        <v>-5841000</v>
      </c>
      <c r="D54" s="3">
        <v>-15734000</v>
      </c>
      <c r="E54" s="3">
        <v>-7411000</v>
      </c>
      <c r="F54" s="3">
        <v>-24001000</v>
      </c>
      <c r="G54" s="4">
        <f t="shared" ca="1" si="1"/>
        <v>-0.21184725408177035</v>
      </c>
      <c r="H54" s="4">
        <f t="shared" ca="1" si="1"/>
        <v>-0.34444398150077082</v>
      </c>
    </row>
    <row r="55" spans="1:8" x14ac:dyDescent="0.2">
      <c r="A55" t="s">
        <v>318</v>
      </c>
      <c r="B55" t="s">
        <v>264</v>
      </c>
      <c r="C55" s="3">
        <v>2254000</v>
      </c>
      <c r="D55" s="3">
        <v>7951000</v>
      </c>
      <c r="E55" s="3">
        <v>741000</v>
      </c>
      <c r="F55" s="3">
        <v>2725000</v>
      </c>
      <c r="G55" s="4">
        <f t="shared" ca="1" si="1"/>
        <v>2.0418353576248314</v>
      </c>
      <c r="H55" s="4">
        <f t="shared" ca="1" si="1"/>
        <v>1.9177981651376146</v>
      </c>
    </row>
    <row r="56" spans="1:8" x14ac:dyDescent="0.2">
      <c r="A56" t="s">
        <v>319</v>
      </c>
      <c r="B56" t="s">
        <v>264</v>
      </c>
      <c r="C56" s="3">
        <v>2254000</v>
      </c>
      <c r="D56" s="3">
        <v>7951000</v>
      </c>
      <c r="E56" s="3">
        <v>741000</v>
      </c>
      <c r="F56" s="3">
        <v>2725000</v>
      </c>
      <c r="G56" s="4">
        <f t="shared" ca="1" si="1"/>
        <v>2.0418353576248314</v>
      </c>
      <c r="H56" s="4">
        <f t="shared" ca="1" si="1"/>
        <v>1.9177981651376146</v>
      </c>
    </row>
    <row r="57" spans="1:8" x14ac:dyDescent="0.2">
      <c r="A57" t="s">
        <v>320</v>
      </c>
      <c r="B57" t="s">
        <v>267</v>
      </c>
      <c r="C57" s="3">
        <v>-8095000</v>
      </c>
      <c r="D57" s="3">
        <v>-23685000</v>
      </c>
      <c r="E57" s="3">
        <v>-8152000</v>
      </c>
      <c r="F57" s="3">
        <v>-26726000</v>
      </c>
      <c r="G57" s="4">
        <f t="shared" ca="1" si="1"/>
        <v>-6.9921491658488715E-3</v>
      </c>
      <c r="H57" s="4">
        <f t="shared" ca="1" si="1"/>
        <v>-0.11378432986604804</v>
      </c>
    </row>
    <row r="58" spans="1:8" x14ac:dyDescent="0.2">
      <c r="A58" t="s">
        <v>321</v>
      </c>
      <c r="B58" t="s">
        <v>267</v>
      </c>
      <c r="C58" s="3">
        <v>-4752000</v>
      </c>
      <c r="D58" s="3">
        <v>-15948000</v>
      </c>
      <c r="E58" s="3">
        <v>-5231000</v>
      </c>
      <c r="F58" s="3">
        <v>-18044000</v>
      </c>
      <c r="G58" s="4">
        <f t="shared" ca="1" si="1"/>
        <v>-9.1569489581342006E-2</v>
      </c>
      <c r="H58" s="4">
        <f t="shared" ca="1" si="1"/>
        <v>-0.11616049656395477</v>
      </c>
    </row>
    <row r="59" spans="1:8" x14ac:dyDescent="0.2">
      <c r="A59" t="s">
        <v>322</v>
      </c>
      <c r="B59" t="s">
        <v>270</v>
      </c>
      <c r="C59" s="3">
        <v>-3343000</v>
      </c>
      <c r="D59" s="3">
        <v>-7737000</v>
      </c>
      <c r="E59" s="3">
        <v>-2921000</v>
      </c>
      <c r="F59" s="3">
        <v>-8682000</v>
      </c>
      <c r="G59" s="4">
        <f t="shared" ca="1" si="1"/>
        <v>0.14447107155083874</v>
      </c>
      <c r="H59" s="4">
        <f t="shared" ca="1" si="1"/>
        <v>-0.10884588804422944</v>
      </c>
    </row>
    <row r="60" spans="1:8" x14ac:dyDescent="0.2">
      <c r="A60" t="s">
        <v>323</v>
      </c>
      <c r="B60" t="s">
        <v>272</v>
      </c>
      <c r="C60" s="3">
        <v>12153000</v>
      </c>
      <c r="D60" s="3">
        <v>37562000</v>
      </c>
      <c r="E60" s="3">
        <v>805000</v>
      </c>
      <c r="F60" s="3">
        <v>14702000</v>
      </c>
      <c r="G60" s="4">
        <f t="shared" ca="1" si="1"/>
        <v>14.096894409937889</v>
      </c>
      <c r="H60" s="4">
        <f t="shared" ca="1" si="1"/>
        <v>1.5548904910896477</v>
      </c>
    </row>
    <row r="61" spans="1:8" x14ac:dyDescent="0.2">
      <c r="A61" t="s">
        <v>324</v>
      </c>
      <c r="B61" t="s">
        <v>274</v>
      </c>
      <c r="C61" s="3">
        <v>-5249000</v>
      </c>
      <c r="D61" s="3">
        <v>-13842000</v>
      </c>
      <c r="E61" s="3">
        <v>-155000</v>
      </c>
      <c r="F61" s="3">
        <v>-8953000</v>
      </c>
      <c r="G61" s="4">
        <f t="shared" ca="1" si="1"/>
        <v>32.86451612903226</v>
      </c>
      <c r="H61" s="4">
        <f t="shared" ca="1" si="1"/>
        <v>0.54607394169552104</v>
      </c>
    </row>
    <row r="62" spans="1:8" x14ac:dyDescent="0.2">
      <c r="A62" t="s">
        <v>325</v>
      </c>
      <c r="B62" t="s">
        <v>276</v>
      </c>
      <c r="C62" s="3">
        <v>-4853000</v>
      </c>
      <c r="D62" s="3">
        <v>-12282000</v>
      </c>
      <c r="E62" s="3">
        <v>-853000</v>
      </c>
      <c r="F62" s="3">
        <v>-4252000</v>
      </c>
      <c r="G62" s="4">
        <f t="shared" ca="1" si="1"/>
        <v>4.6893317702227435</v>
      </c>
      <c r="H62" s="4">
        <f t="shared" ca="1" si="1"/>
        <v>1.8885230479774224</v>
      </c>
    </row>
    <row r="63" spans="1:8" x14ac:dyDescent="0.2">
      <c r="A63" t="s">
        <v>326</v>
      </c>
      <c r="B63" t="s">
        <v>278</v>
      </c>
      <c r="C63" s="3">
        <v>-396000</v>
      </c>
      <c r="D63" s="3">
        <v>-1560000</v>
      </c>
      <c r="E63" s="3">
        <v>698000</v>
      </c>
      <c r="F63" s="3">
        <v>-4701000</v>
      </c>
      <c r="G63" s="4">
        <f t="shared" ca="1" si="1"/>
        <v>-1.5673352435530086</v>
      </c>
      <c r="H63" s="4">
        <f t="shared" ca="1" si="1"/>
        <v>-0.66815571155073383</v>
      </c>
    </row>
    <row r="64" spans="1:8" x14ac:dyDescent="0.2">
      <c r="A64" t="s">
        <v>327</v>
      </c>
      <c r="B64" t="s">
        <v>280</v>
      </c>
      <c r="C64" s="3">
        <v>6904000</v>
      </c>
      <c r="D64" s="3">
        <v>23720000</v>
      </c>
      <c r="E64" s="3">
        <v>650000</v>
      </c>
      <c r="F64" s="3">
        <v>5749000</v>
      </c>
      <c r="G64" s="4">
        <f t="shared" ca="1" si="1"/>
        <v>9.6215384615384618</v>
      </c>
      <c r="H64" s="4">
        <f t="shared" ca="1" si="1"/>
        <v>3.1259349452078622</v>
      </c>
    </row>
    <row r="65" spans="1:8" x14ac:dyDescent="0.2">
      <c r="A65" t="s">
        <v>328</v>
      </c>
      <c r="B65" t="s">
        <v>329</v>
      </c>
      <c r="C65" s="3">
        <v>6904000</v>
      </c>
      <c r="D65" s="3">
        <v>23720000</v>
      </c>
      <c r="E65" s="3">
        <v>650000</v>
      </c>
      <c r="F65" s="3">
        <v>5749000</v>
      </c>
      <c r="G65" s="4">
        <f t="shared" ca="1" si="1"/>
        <v>9.6215384615384618</v>
      </c>
      <c r="H65" s="4">
        <f t="shared" ca="1" si="1"/>
        <v>3.1259349452078622</v>
      </c>
    </row>
    <row r="66" spans="1:8" x14ac:dyDescent="0.2">
      <c r="A66" t="s">
        <v>330</v>
      </c>
      <c r="B66" t="s">
        <v>331</v>
      </c>
      <c r="C66" s="3">
        <v>6644000</v>
      </c>
      <c r="D66" s="3">
        <v>23677000</v>
      </c>
      <c r="E66" s="3">
        <v>266000</v>
      </c>
      <c r="F66" s="3">
        <v>5031000</v>
      </c>
      <c r="G66" s="4">
        <f t="shared" ca="1" si="1"/>
        <v>23.977443609022558</v>
      </c>
      <c r="H66" s="4">
        <f t="shared" ca="1" si="1"/>
        <v>3.7062214271516596</v>
      </c>
    </row>
    <row r="67" spans="1:8" x14ac:dyDescent="0.2">
      <c r="A67" t="s">
        <v>332</v>
      </c>
      <c r="B67" t="s">
        <v>333</v>
      </c>
      <c r="C67" s="3">
        <v>260000</v>
      </c>
      <c r="D67" s="3">
        <v>43000</v>
      </c>
      <c r="E67" s="3">
        <v>384000</v>
      </c>
      <c r="F67" s="3">
        <v>718000</v>
      </c>
      <c r="G67" s="4">
        <f t="shared" ca="1" si="1"/>
        <v>-0.32291666666666669</v>
      </c>
      <c r="H67" s="4">
        <f t="shared" ca="1" si="1"/>
        <v>-0.94011142061281339</v>
      </c>
    </row>
    <row r="68" spans="1:8" x14ac:dyDescent="0.2">
      <c r="A68" t="s">
        <v>334</v>
      </c>
      <c r="B68" t="s">
        <v>284</v>
      </c>
      <c r="C68" s="3">
        <v>0.51</v>
      </c>
      <c r="D68" s="3">
        <v>1.81</v>
      </c>
      <c r="E68" s="3">
        <v>0.02</v>
      </c>
      <c r="F68" s="3">
        <v>0.38400000000000001</v>
      </c>
      <c r="G68" s="4">
        <f t="shared" ca="1" si="1"/>
        <v>24.5</v>
      </c>
      <c r="H68" s="4">
        <f t="shared" ca="1" si="1"/>
        <v>3.713541666666667</v>
      </c>
    </row>
    <row r="69" spans="1:8" x14ac:dyDescent="0.2">
      <c r="A69" t="s">
        <v>335</v>
      </c>
      <c r="B69" t="s">
        <v>286</v>
      </c>
      <c r="C69" s="3">
        <v>0.51</v>
      </c>
      <c r="D69" s="3">
        <v>1.81</v>
      </c>
      <c r="E69" s="3">
        <v>0.02</v>
      </c>
      <c r="F69" s="3">
        <v>0.38400000000000001</v>
      </c>
      <c r="G69" s="4">
        <f t="shared" ca="1" si="1"/>
        <v>24.5</v>
      </c>
      <c r="H69" s="4">
        <f t="shared" ca="1" si="1"/>
        <v>3.713541666666667</v>
      </c>
    </row>
    <row r="70" spans="1:8" x14ac:dyDescent="0.2">
      <c r="A70" t="s">
        <v>336</v>
      </c>
      <c r="B70" t="s">
        <v>284</v>
      </c>
      <c r="C70" s="3">
        <v>0.51</v>
      </c>
      <c r="D70" s="3">
        <v>1.81</v>
      </c>
      <c r="E70" s="3">
        <v>0.02</v>
      </c>
      <c r="F70" s="3">
        <v>0.38400000000000001</v>
      </c>
      <c r="G70" s="4">
        <f t="shared" ca="1" si="1"/>
        <v>24.5</v>
      </c>
      <c r="H70" s="4">
        <f t="shared" ca="1" si="1"/>
        <v>3.713541666666667</v>
      </c>
    </row>
    <row r="71" spans="1:8" x14ac:dyDescent="0.2">
      <c r="A71" t="s">
        <v>337</v>
      </c>
      <c r="B71" t="s">
        <v>286</v>
      </c>
      <c r="C71" s="3">
        <v>0.51</v>
      </c>
      <c r="D71" s="3">
        <v>1.81</v>
      </c>
      <c r="E71" s="3">
        <v>0.02</v>
      </c>
      <c r="F71" s="3">
        <v>0.38400000000000001</v>
      </c>
      <c r="G71" s="4">
        <f t="shared" ca="1" si="1"/>
        <v>24.5</v>
      </c>
      <c r="H71" s="4">
        <f t="shared" ca="1" si="1"/>
        <v>3.713541666666667</v>
      </c>
    </row>
    <row r="72" spans="1:8" x14ac:dyDescent="0.2">
      <c r="A72" t="s">
        <v>289</v>
      </c>
      <c r="B72" t="s">
        <v>290</v>
      </c>
      <c r="C72" s="3">
        <v>0</v>
      </c>
    </row>
    <row r="73" spans="1:8" x14ac:dyDescent="0.2">
      <c r="A73" t="s">
        <v>291</v>
      </c>
      <c r="B73" t="s">
        <v>292</v>
      </c>
      <c r="C73" s="3">
        <v>0</v>
      </c>
    </row>
    <row r="74" spans="1:8" x14ac:dyDescent="0.2">
      <c r="A74" t="s">
        <v>293</v>
      </c>
      <c r="B74" t="s">
        <v>294</v>
      </c>
      <c r="C74" s="3">
        <v>0</v>
      </c>
    </row>
    <row r="75" spans="1:8" x14ac:dyDescent="0.2">
      <c r="A75" t="s">
        <v>295</v>
      </c>
      <c r="B75" t="s">
        <v>296</v>
      </c>
      <c r="C75" s="3">
        <v>7442454</v>
      </c>
    </row>
    <row r="76" spans="1:8" x14ac:dyDescent="0.2">
      <c r="A76" t="s">
        <v>297</v>
      </c>
      <c r="B76" t="s">
        <v>298</v>
      </c>
      <c r="C76" s="3">
        <v>5602043</v>
      </c>
    </row>
    <row r="77" spans="1:8" x14ac:dyDescent="0.2">
      <c r="A77" t="s">
        <v>299</v>
      </c>
      <c r="B77" t="s">
        <v>300</v>
      </c>
      <c r="C77" s="3">
        <v>13044497</v>
      </c>
    </row>
    <row r="78" spans="1:8" x14ac:dyDescent="0.2">
      <c r="A78" t="s">
        <v>301</v>
      </c>
      <c r="B78" t="s">
        <v>302</v>
      </c>
      <c r="C78" s="5">
        <v>21.01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8" ht="26" x14ac:dyDescent="0.3">
      <c r="A1" s="1" t="s">
        <v>338</v>
      </c>
    </row>
    <row r="2" spans="1:8" ht="20" x14ac:dyDescent="0.25">
      <c r="A2" s="2" t="s">
        <v>1</v>
      </c>
      <c r="B2" s="2" t="s">
        <v>2</v>
      </c>
      <c r="C2" s="2" t="s">
        <v>3</v>
      </c>
      <c r="D2" s="2" t="s">
        <v>230</v>
      </c>
      <c r="E2" s="2" t="s">
        <v>231</v>
      </c>
      <c r="F2" s="2" t="s">
        <v>232</v>
      </c>
      <c r="G2" s="2" t="s">
        <v>233</v>
      </c>
      <c r="H2" s="2" t="s">
        <v>234</v>
      </c>
    </row>
    <row r="3" spans="1:8" x14ac:dyDescent="0.2">
      <c r="A3" t="s">
        <v>339</v>
      </c>
      <c r="B3" t="s">
        <v>340</v>
      </c>
      <c r="C3" s="3">
        <v>6644000</v>
      </c>
      <c r="D3" s="3">
        <v>23677000</v>
      </c>
      <c r="E3" s="3">
        <v>266000</v>
      </c>
      <c r="F3" s="3">
        <v>5031000</v>
      </c>
      <c r="G3" s="4">
        <f t="shared" ref="G3:H12" ca="1" si="0">(INDIRECT("RC[-4]",0)-INDIRECT("RC[-2]",0))/INDIRECT("RC[-2]",0)</f>
        <v>23.977443609022558</v>
      </c>
      <c r="H3" s="4">
        <f t="shared" ca="1" si="0"/>
        <v>3.7062214271516596</v>
      </c>
    </row>
    <row r="4" spans="1:8" x14ac:dyDescent="0.2">
      <c r="A4" t="s">
        <v>341</v>
      </c>
      <c r="B4" t="s">
        <v>180</v>
      </c>
      <c r="C4" s="3">
        <v>2263000</v>
      </c>
      <c r="D4" s="3">
        <v>5092000</v>
      </c>
      <c r="E4" s="3">
        <v>2873000</v>
      </c>
      <c r="F4" s="3">
        <v>6502000</v>
      </c>
      <c r="G4" s="4">
        <f t="shared" ca="1" si="0"/>
        <v>-0.21232161503654717</v>
      </c>
      <c r="H4" s="4">
        <f t="shared" ca="1" si="0"/>
        <v>-0.21685635189172561</v>
      </c>
    </row>
    <row r="5" spans="1:8" x14ac:dyDescent="0.2">
      <c r="A5" t="s">
        <v>342</v>
      </c>
      <c r="B5" t="s">
        <v>343</v>
      </c>
      <c r="C5" s="3">
        <v>5580000</v>
      </c>
      <c r="D5" s="3">
        <v>26370000</v>
      </c>
      <c r="E5" s="3">
        <v>-4193000</v>
      </c>
      <c r="F5" s="3">
        <v>-2618000</v>
      </c>
      <c r="G5" s="4">
        <f t="shared" ca="1" si="0"/>
        <v>-2.330789410922967</v>
      </c>
      <c r="H5" s="4">
        <f t="shared" ca="1" si="0"/>
        <v>-11.07257448433919</v>
      </c>
    </row>
    <row r="6" spans="1:8" x14ac:dyDescent="0.2">
      <c r="A6" t="s">
        <v>344</v>
      </c>
      <c r="B6" t="s">
        <v>345</v>
      </c>
      <c r="C6" s="3">
        <v>-5000</v>
      </c>
      <c r="D6" s="3">
        <v>-22000</v>
      </c>
      <c r="E6" s="3">
        <v>0</v>
      </c>
      <c r="F6" s="3">
        <v>0</v>
      </c>
      <c r="G6" s="4" t="e">
        <f t="shared" ca="1" si="0"/>
        <v>#DIV/0!</v>
      </c>
      <c r="H6" s="4" t="e">
        <f t="shared" ca="1" si="0"/>
        <v>#DIV/0!</v>
      </c>
    </row>
    <row r="7" spans="1:8" x14ac:dyDescent="0.2">
      <c r="A7" t="s">
        <v>346</v>
      </c>
      <c r="B7" t="s">
        <v>347</v>
      </c>
      <c r="C7" s="3">
        <v>7000</v>
      </c>
      <c r="D7" s="3">
        <v>8000</v>
      </c>
      <c r="E7" s="3">
        <v>0</v>
      </c>
      <c r="F7" s="3">
        <v>0</v>
      </c>
      <c r="G7" s="4" t="e">
        <f t="shared" ca="1" si="0"/>
        <v>#DIV/0!</v>
      </c>
      <c r="H7" s="4" t="e">
        <f t="shared" ca="1" si="0"/>
        <v>#DIV/0!</v>
      </c>
    </row>
    <row r="8" spans="1:8" x14ac:dyDescent="0.2">
      <c r="A8" t="s">
        <v>348</v>
      </c>
      <c r="B8" t="s">
        <v>349</v>
      </c>
      <c r="C8" s="3">
        <v>-8100000</v>
      </c>
      <c r="D8" s="3">
        <v>-39455000</v>
      </c>
      <c r="E8" s="3">
        <v>7725000</v>
      </c>
      <c r="F8" s="3">
        <v>5297000</v>
      </c>
      <c r="G8" s="4">
        <f t="shared" ca="1" si="0"/>
        <v>-2.0485436893203883</v>
      </c>
      <c r="H8" s="4">
        <f t="shared" ca="1" si="0"/>
        <v>-8.4485557862941292</v>
      </c>
    </row>
    <row r="9" spans="1:8" x14ac:dyDescent="0.2">
      <c r="A9" t="s">
        <v>350</v>
      </c>
      <c r="B9" t="s">
        <v>351</v>
      </c>
      <c r="C9" s="3">
        <v>2875000</v>
      </c>
      <c r="D9" s="3">
        <v>7911000</v>
      </c>
      <c r="E9" s="3">
        <v>2046000</v>
      </c>
      <c r="F9" s="3">
        <v>5880000</v>
      </c>
      <c r="G9" s="4">
        <f t="shared" ca="1" si="0"/>
        <v>0.40518084066471161</v>
      </c>
      <c r="H9" s="4">
        <f t="shared" ca="1" si="0"/>
        <v>0.3454081632653061</v>
      </c>
    </row>
    <row r="10" spans="1:8" x14ac:dyDescent="0.2">
      <c r="A10" t="s">
        <v>352</v>
      </c>
      <c r="B10" t="s">
        <v>353</v>
      </c>
      <c r="C10" s="3">
        <v>1777000</v>
      </c>
      <c r="D10" s="3">
        <v>10725000</v>
      </c>
      <c r="E10" s="3">
        <v>-3322000</v>
      </c>
      <c r="F10" s="3">
        <v>-3800000</v>
      </c>
      <c r="G10" s="4">
        <f t="shared" ca="1" si="0"/>
        <v>-1.5349187236604456</v>
      </c>
      <c r="H10" s="4">
        <f t="shared" ca="1" si="0"/>
        <v>-3.8223684210526314</v>
      </c>
    </row>
    <row r="11" spans="1:8" x14ac:dyDescent="0.2">
      <c r="A11" t="s">
        <v>354</v>
      </c>
      <c r="B11" t="s">
        <v>355</v>
      </c>
      <c r="C11" s="3">
        <v>129000</v>
      </c>
      <c r="D11" s="3">
        <v>-445000</v>
      </c>
      <c r="E11" s="3">
        <v>617000</v>
      </c>
      <c r="F11" s="3">
        <v>1743000</v>
      </c>
      <c r="G11" s="4">
        <f t="shared" ca="1" si="0"/>
        <v>-0.79092382495948133</v>
      </c>
      <c r="H11" s="4">
        <f t="shared" ca="1" si="0"/>
        <v>-1.25530694205393</v>
      </c>
    </row>
    <row r="12" spans="1:8" x14ac:dyDescent="0.2">
      <c r="A12" t="s">
        <v>356</v>
      </c>
      <c r="B12" t="s">
        <v>357</v>
      </c>
      <c r="C12" s="3">
        <v>8907000</v>
      </c>
      <c r="D12" s="3">
        <v>28769000</v>
      </c>
      <c r="E12" s="3">
        <v>3139000</v>
      </c>
      <c r="F12" s="3">
        <v>11533000</v>
      </c>
      <c r="G12" s="4">
        <f t="shared" ca="1" si="0"/>
        <v>1.8375278751194648</v>
      </c>
      <c r="H12" s="4">
        <f t="shared" ca="1" si="0"/>
        <v>1.4944940605219803</v>
      </c>
    </row>
    <row r="13" spans="1:8" ht="26" x14ac:dyDescent="0.3">
      <c r="A13" s="1" t="s">
        <v>358</v>
      </c>
    </row>
    <row r="14" spans="1:8" ht="20" x14ac:dyDescent="0.25">
      <c r="A14" s="2" t="s">
        <v>1</v>
      </c>
      <c r="B14" s="2" t="s">
        <v>2</v>
      </c>
      <c r="C14" s="2" t="s">
        <v>3</v>
      </c>
      <c r="D14" s="2" t="s">
        <v>230</v>
      </c>
      <c r="E14" s="2" t="s">
        <v>231</v>
      </c>
      <c r="F14" s="2" t="s">
        <v>232</v>
      </c>
      <c r="G14" s="2" t="s">
        <v>233</v>
      </c>
      <c r="H14" s="2" t="s">
        <v>234</v>
      </c>
    </row>
    <row r="15" spans="1:8" x14ac:dyDescent="0.2">
      <c r="A15" t="s">
        <v>359</v>
      </c>
      <c r="B15" t="s">
        <v>360</v>
      </c>
      <c r="C15" s="3">
        <v>6904000</v>
      </c>
      <c r="D15" s="3">
        <v>23720000</v>
      </c>
      <c r="E15" s="3">
        <v>650000</v>
      </c>
      <c r="F15" s="3">
        <v>5749000</v>
      </c>
      <c r="G15" s="4">
        <f t="shared" ref="G15:H26" ca="1" si="1">(INDIRECT("RC[-4]",0)-INDIRECT("RC[-2]",0))/INDIRECT("RC[-2]",0)</f>
        <v>9.6215384615384618</v>
      </c>
      <c r="H15" s="4">
        <f t="shared" ca="1" si="1"/>
        <v>3.1259349452078622</v>
      </c>
    </row>
    <row r="16" spans="1:8" x14ac:dyDescent="0.2">
      <c r="A16" t="s">
        <v>361</v>
      </c>
      <c r="B16" t="s">
        <v>180</v>
      </c>
      <c r="C16" s="3">
        <v>2362000</v>
      </c>
      <c r="D16" s="3">
        <v>5587000</v>
      </c>
      <c r="E16" s="3">
        <v>2786000</v>
      </c>
      <c r="F16" s="3">
        <v>6426000</v>
      </c>
      <c r="G16" s="4">
        <f t="shared" ca="1" si="1"/>
        <v>-0.15218951902368988</v>
      </c>
      <c r="H16" s="4">
        <f t="shared" ca="1" si="1"/>
        <v>-0.13056333644568938</v>
      </c>
    </row>
    <row r="17" spans="1:8" x14ac:dyDescent="0.2">
      <c r="A17" t="s">
        <v>362</v>
      </c>
      <c r="B17" t="s">
        <v>343</v>
      </c>
      <c r="C17" s="3">
        <v>5679000</v>
      </c>
      <c r="D17" s="3">
        <v>26865000</v>
      </c>
      <c r="E17" s="3">
        <v>-4280000</v>
      </c>
      <c r="F17" s="3">
        <v>-2694000</v>
      </c>
      <c r="G17" s="4">
        <f t="shared" ca="1" si="1"/>
        <v>-2.3268691588785049</v>
      </c>
      <c r="H17" s="4">
        <f t="shared" ca="1" si="1"/>
        <v>-10.972160356347439</v>
      </c>
    </row>
    <row r="18" spans="1:8" x14ac:dyDescent="0.2">
      <c r="A18" t="s">
        <v>363</v>
      </c>
      <c r="B18" t="s">
        <v>345</v>
      </c>
      <c r="C18" s="3">
        <v>-5000</v>
      </c>
      <c r="D18" s="3">
        <v>-22000</v>
      </c>
      <c r="E18" s="3">
        <v>15000</v>
      </c>
      <c r="F18" s="3">
        <v>-27000</v>
      </c>
      <c r="G18" s="4">
        <f t="shared" ca="1" si="1"/>
        <v>-1.3333333333333333</v>
      </c>
      <c r="H18" s="4">
        <f t="shared" ca="1" si="1"/>
        <v>-0.18518518518518517</v>
      </c>
    </row>
    <row r="19" spans="1:8" x14ac:dyDescent="0.2">
      <c r="A19" t="s">
        <v>364</v>
      </c>
      <c r="B19" t="s">
        <v>347</v>
      </c>
      <c r="C19" s="3">
        <v>7000</v>
      </c>
      <c r="D19" s="3">
        <v>8000</v>
      </c>
      <c r="E19" s="3">
        <v>0</v>
      </c>
      <c r="F19" s="3">
        <v>0</v>
      </c>
      <c r="G19" s="4" t="e">
        <f t="shared" ca="1" si="1"/>
        <v>#DIV/0!</v>
      </c>
      <c r="H19" s="4" t="e">
        <f t="shared" ca="1" si="1"/>
        <v>#DIV/0!</v>
      </c>
    </row>
    <row r="20" spans="1:8" x14ac:dyDescent="0.2">
      <c r="A20" t="s">
        <v>365</v>
      </c>
      <c r="B20" t="s">
        <v>349</v>
      </c>
      <c r="C20" s="3">
        <v>-8143000</v>
      </c>
      <c r="D20" s="3">
        <v>-39831000</v>
      </c>
      <c r="E20" s="3">
        <v>7772000</v>
      </c>
      <c r="F20" s="3">
        <v>5491000</v>
      </c>
      <c r="G20" s="4">
        <f t="shared" ca="1" si="1"/>
        <v>-2.0477354606278948</v>
      </c>
      <c r="H20" s="4">
        <f t="shared" ca="1" si="1"/>
        <v>-8.2538699690402471</v>
      </c>
    </row>
    <row r="21" spans="1:8" x14ac:dyDescent="0.2">
      <c r="A21" t="s">
        <v>366</v>
      </c>
      <c r="B21" t="s">
        <v>351</v>
      </c>
      <c r="C21" s="3">
        <v>3166000</v>
      </c>
      <c r="D21" s="3">
        <v>8673000</v>
      </c>
      <c r="E21" s="3">
        <v>2569000</v>
      </c>
      <c r="F21" s="3">
        <v>7375000</v>
      </c>
      <c r="G21" s="4">
        <f t="shared" ca="1" si="1"/>
        <v>0.23238614246788633</v>
      </c>
      <c r="H21" s="4">
        <f t="shared" ca="1" si="1"/>
        <v>0.17599999999999999</v>
      </c>
    </row>
    <row r="22" spans="1:8" x14ac:dyDescent="0.2">
      <c r="A22" t="s">
        <v>367</v>
      </c>
      <c r="B22" t="s">
        <v>353</v>
      </c>
      <c r="C22" s="3">
        <v>1692000</v>
      </c>
      <c r="D22" s="3">
        <v>10594000</v>
      </c>
      <c r="E22" s="3">
        <v>-3516000</v>
      </c>
      <c r="F22" s="3">
        <v>-4375000</v>
      </c>
      <c r="G22" s="4">
        <f t="shared" ca="1" si="1"/>
        <v>-1.4812286689419796</v>
      </c>
      <c r="H22" s="4">
        <f t="shared" ca="1" si="1"/>
        <v>-3.4214857142857142</v>
      </c>
    </row>
    <row r="23" spans="1:8" x14ac:dyDescent="0.2">
      <c r="A23" t="s">
        <v>368</v>
      </c>
      <c r="B23" t="s">
        <v>355</v>
      </c>
      <c r="C23" s="3">
        <v>-34000</v>
      </c>
      <c r="D23" s="3">
        <v>-700000</v>
      </c>
      <c r="E23" s="3">
        <v>226000</v>
      </c>
      <c r="F23" s="3">
        <v>656000</v>
      </c>
      <c r="G23" s="4">
        <f t="shared" ca="1" si="1"/>
        <v>-1.1504424778761062</v>
      </c>
      <c r="H23" s="4">
        <f t="shared" ca="1" si="1"/>
        <v>-2.0670731707317072</v>
      </c>
    </row>
    <row r="24" spans="1:8" x14ac:dyDescent="0.2">
      <c r="A24" t="s">
        <v>369</v>
      </c>
      <c r="B24" t="s">
        <v>370</v>
      </c>
      <c r="C24" s="3">
        <v>9266000</v>
      </c>
      <c r="D24" s="3">
        <v>29307000</v>
      </c>
      <c r="E24" s="3">
        <v>3436000</v>
      </c>
      <c r="F24" s="3">
        <v>12175000</v>
      </c>
      <c r="G24" s="4">
        <f t="shared" ca="1" si="1"/>
        <v>1.6967403958090803</v>
      </c>
      <c r="H24" s="4">
        <f t="shared" ca="1" si="1"/>
        <v>1.4071457905544147</v>
      </c>
    </row>
    <row r="25" spans="1:8" x14ac:dyDescent="0.2">
      <c r="A25" t="s">
        <v>371</v>
      </c>
      <c r="B25" t="s">
        <v>331</v>
      </c>
      <c r="C25" s="3">
        <v>8907000</v>
      </c>
      <c r="D25" s="3">
        <v>28769000</v>
      </c>
      <c r="E25" s="3">
        <v>3139000</v>
      </c>
      <c r="F25" s="3">
        <v>11533000</v>
      </c>
      <c r="G25" s="4">
        <f t="shared" ca="1" si="1"/>
        <v>1.8375278751194648</v>
      </c>
      <c r="H25" s="4">
        <f t="shared" ca="1" si="1"/>
        <v>1.4944940605219803</v>
      </c>
    </row>
    <row r="26" spans="1:8" x14ac:dyDescent="0.2">
      <c r="A26" t="s">
        <v>372</v>
      </c>
      <c r="B26" t="s">
        <v>333</v>
      </c>
      <c r="C26" s="3">
        <v>359000</v>
      </c>
      <c r="D26" s="3">
        <v>538000</v>
      </c>
      <c r="E26" s="3">
        <v>297000</v>
      </c>
      <c r="F26" s="3">
        <v>642000</v>
      </c>
      <c r="G26" s="4">
        <f t="shared" ca="1" si="1"/>
        <v>0.20875420875420875</v>
      </c>
      <c r="H26" s="4">
        <f t="shared" ca="1" si="1"/>
        <v>-0.16199376947040497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373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232</v>
      </c>
      <c r="E2" s="2" t="s">
        <v>5</v>
      </c>
    </row>
    <row r="3" spans="1:5" x14ac:dyDescent="0.2">
      <c r="A3" t="s">
        <v>374</v>
      </c>
      <c r="B3" t="s">
        <v>375</v>
      </c>
      <c r="C3" s="3">
        <v>26759000</v>
      </c>
      <c r="D3" s="3">
        <v>29028000</v>
      </c>
      <c r="E3" s="4">
        <f t="shared" ref="E3:E40" ca="1" si="0">(INDIRECT("RC[-2]",0)-INDIRECT("RC[-1]",0))/INDIRECT("RC[-1]",0)</f>
        <v>-7.8165908777731843E-2</v>
      </c>
    </row>
    <row r="4" spans="1:5" x14ac:dyDescent="0.2">
      <c r="A4" t="s">
        <v>376</v>
      </c>
      <c r="B4" t="s">
        <v>377</v>
      </c>
      <c r="C4" s="3">
        <v>64106000</v>
      </c>
      <c r="D4" s="3">
        <v>49052000</v>
      </c>
      <c r="E4" s="4">
        <f t="shared" ca="1" si="0"/>
        <v>0.30689880127211938</v>
      </c>
    </row>
    <row r="5" spans="1:5" x14ac:dyDescent="0.2">
      <c r="A5" t="s">
        <v>378</v>
      </c>
      <c r="B5" t="s">
        <v>379</v>
      </c>
      <c r="C5" s="3">
        <v>23677000</v>
      </c>
      <c r="D5" s="3">
        <v>5031000</v>
      </c>
      <c r="E5" s="4">
        <f t="shared" ca="1" si="0"/>
        <v>3.7062214271516596</v>
      </c>
    </row>
    <row r="6" spans="1:5" x14ac:dyDescent="0.2">
      <c r="A6" t="s">
        <v>380</v>
      </c>
      <c r="B6" t="s">
        <v>381</v>
      </c>
      <c r="C6" s="3">
        <v>5347000</v>
      </c>
      <c r="D6" s="3">
        <v>5994000</v>
      </c>
      <c r="E6" s="4">
        <f t="shared" ca="1" si="0"/>
        <v>-0.10794127460794127</v>
      </c>
    </row>
    <row r="7" spans="1:5" x14ac:dyDescent="0.2">
      <c r="A7" t="s">
        <v>382</v>
      </c>
      <c r="B7" t="s">
        <v>383</v>
      </c>
      <c r="C7" s="3">
        <v>-10342000</v>
      </c>
      <c r="D7" s="3">
        <v>-5396000</v>
      </c>
      <c r="E7" s="4">
        <f t="shared" ca="1" si="0"/>
        <v>0.91660489251297261</v>
      </c>
    </row>
    <row r="8" spans="1:5" x14ac:dyDescent="0.2">
      <c r="A8" t="s">
        <v>384</v>
      </c>
      <c r="B8" t="s">
        <v>385</v>
      </c>
      <c r="C8" s="3">
        <v>24950000</v>
      </c>
      <c r="D8" s="3">
        <v>24455000</v>
      </c>
      <c r="E8" s="4">
        <f t="shared" ca="1" si="0"/>
        <v>2.0241259456143936E-2</v>
      </c>
    </row>
    <row r="9" spans="1:5" x14ac:dyDescent="0.2">
      <c r="A9" t="s">
        <v>386</v>
      </c>
      <c r="B9" t="s">
        <v>387</v>
      </c>
      <c r="C9" s="3">
        <v>115000</v>
      </c>
      <c r="D9" s="3">
        <v>129000</v>
      </c>
      <c r="E9" s="4">
        <f t="shared" ca="1" si="0"/>
        <v>-0.10852713178294573</v>
      </c>
    </row>
    <row r="10" spans="1:5" x14ac:dyDescent="0.2">
      <c r="A10" t="s">
        <v>388</v>
      </c>
      <c r="B10" t="s">
        <v>389</v>
      </c>
      <c r="C10" s="3">
        <v>259000</v>
      </c>
      <c r="D10" s="3">
        <v>486000</v>
      </c>
      <c r="E10" s="4">
        <f t="shared" ca="1" si="0"/>
        <v>-0.46707818930041151</v>
      </c>
    </row>
    <row r="11" spans="1:5" x14ac:dyDescent="0.2">
      <c r="A11" t="s">
        <v>390</v>
      </c>
      <c r="B11" t="s">
        <v>391</v>
      </c>
      <c r="C11" s="3">
        <v>-2269000</v>
      </c>
      <c r="D11" s="3">
        <v>-4878000</v>
      </c>
      <c r="E11" s="4">
        <f t="shared" ca="1" si="0"/>
        <v>-0.53485034850348501</v>
      </c>
    </row>
    <row r="12" spans="1:5" x14ac:dyDescent="0.2">
      <c r="A12" t="s">
        <v>392</v>
      </c>
      <c r="B12" t="s">
        <v>393</v>
      </c>
      <c r="C12" s="3">
        <v>16966000</v>
      </c>
      <c r="D12" s="3">
        <v>15302000</v>
      </c>
      <c r="E12" s="4">
        <f t="shared" ca="1" si="0"/>
        <v>0.10874395503855705</v>
      </c>
    </row>
    <row r="13" spans="1:5" x14ac:dyDescent="0.2">
      <c r="A13" t="s">
        <v>394</v>
      </c>
      <c r="B13" t="s">
        <v>395</v>
      </c>
      <c r="C13" s="3">
        <v>337000</v>
      </c>
      <c r="D13" s="3">
        <v>6209000</v>
      </c>
      <c r="E13" s="4">
        <f t="shared" ca="1" si="0"/>
        <v>-0.94572394910613622</v>
      </c>
    </row>
    <row r="14" spans="1:5" x14ac:dyDescent="0.2">
      <c r="A14" t="s">
        <v>396</v>
      </c>
      <c r="B14" t="s">
        <v>397</v>
      </c>
      <c r="C14" s="3">
        <v>3338000</v>
      </c>
      <c r="D14" s="3">
        <v>646000</v>
      </c>
      <c r="E14" s="4">
        <f t="shared" ca="1" si="0"/>
        <v>4.1671826625386998</v>
      </c>
    </row>
    <row r="15" spans="1:5" x14ac:dyDescent="0.2">
      <c r="A15" t="s">
        <v>398</v>
      </c>
      <c r="B15" t="s">
        <v>399</v>
      </c>
      <c r="C15" s="3">
        <v>1728000</v>
      </c>
      <c r="D15" s="3">
        <v>1772000</v>
      </c>
      <c r="E15" s="4">
        <f t="shared" ca="1" si="0"/>
        <v>-2.4830699774266364E-2</v>
      </c>
    </row>
    <row r="16" spans="1:5" x14ac:dyDescent="0.2">
      <c r="A16" t="s">
        <v>400</v>
      </c>
      <c r="B16" t="s">
        <v>401</v>
      </c>
      <c r="C16" s="3">
        <v>0</v>
      </c>
      <c r="D16" s="3">
        <v>-698000</v>
      </c>
      <c r="E16" s="4">
        <f t="shared" ca="1" si="0"/>
        <v>-1</v>
      </c>
    </row>
    <row r="17" spans="1:5" x14ac:dyDescent="0.2">
      <c r="A17" t="s">
        <v>402</v>
      </c>
      <c r="B17" t="s">
        <v>403</v>
      </c>
      <c r="C17" s="3">
        <v>-37347000</v>
      </c>
      <c r="D17" s="3">
        <v>-20024000</v>
      </c>
      <c r="E17" s="4">
        <f t="shared" ca="1" si="0"/>
        <v>0.86511186576108667</v>
      </c>
    </row>
    <row r="18" spans="1:5" x14ac:dyDescent="0.2">
      <c r="A18" t="s">
        <v>404</v>
      </c>
      <c r="B18" t="s">
        <v>15</v>
      </c>
      <c r="C18" s="3">
        <v>-30940000</v>
      </c>
      <c r="D18" s="3">
        <v>-17579000</v>
      </c>
      <c r="E18" s="4">
        <f t="shared" ca="1" si="0"/>
        <v>0.76005461061493829</v>
      </c>
    </row>
    <row r="19" spans="1:5" x14ac:dyDescent="0.2">
      <c r="A19" t="s">
        <v>405</v>
      </c>
      <c r="B19" t="s">
        <v>17</v>
      </c>
      <c r="C19" s="3">
        <v>-9141000</v>
      </c>
      <c r="D19" s="3">
        <v>758000</v>
      </c>
      <c r="E19" s="4">
        <f t="shared" ca="1" si="0"/>
        <v>-13.059366754617415</v>
      </c>
    </row>
    <row r="20" spans="1:5" x14ac:dyDescent="0.2">
      <c r="A20" t="s">
        <v>406</v>
      </c>
      <c r="B20" t="s">
        <v>55</v>
      </c>
      <c r="C20" s="3">
        <v>-5573000</v>
      </c>
      <c r="D20" s="3">
        <v>-1868000</v>
      </c>
      <c r="E20" s="4">
        <f t="shared" ca="1" si="0"/>
        <v>1.9834047109207709</v>
      </c>
    </row>
    <row r="21" spans="1:5" x14ac:dyDescent="0.2">
      <c r="A21" t="s">
        <v>407</v>
      </c>
      <c r="B21" t="s">
        <v>408</v>
      </c>
      <c r="C21" s="3">
        <v>-4088000</v>
      </c>
      <c r="D21" s="3">
        <v>-794000</v>
      </c>
      <c r="E21" s="4">
        <f t="shared" ca="1" si="0"/>
        <v>4.1486146095717888</v>
      </c>
    </row>
    <row r="22" spans="1:5" x14ac:dyDescent="0.2">
      <c r="A22" t="s">
        <v>409</v>
      </c>
      <c r="B22" t="s">
        <v>118</v>
      </c>
      <c r="C22" s="3">
        <v>5668000</v>
      </c>
      <c r="D22" s="3">
        <v>-1440000</v>
      </c>
      <c r="E22" s="4">
        <f t="shared" ca="1" si="0"/>
        <v>-4.9361111111111109</v>
      </c>
    </row>
    <row r="23" spans="1:5" x14ac:dyDescent="0.2">
      <c r="A23" t="s">
        <v>410</v>
      </c>
      <c r="B23" t="s">
        <v>411</v>
      </c>
      <c r="C23" s="3">
        <v>9356000</v>
      </c>
      <c r="D23" s="3">
        <v>6004000</v>
      </c>
      <c r="E23" s="4">
        <f t="shared" ca="1" si="0"/>
        <v>0.55829447035309798</v>
      </c>
    </row>
    <row r="24" spans="1:5" x14ac:dyDescent="0.2">
      <c r="A24" t="s">
        <v>412</v>
      </c>
      <c r="B24" t="s">
        <v>413</v>
      </c>
      <c r="C24" s="3">
        <v>-2500000</v>
      </c>
      <c r="D24" s="3">
        <v>-1870000</v>
      </c>
      <c r="E24" s="4">
        <f t="shared" ca="1" si="0"/>
        <v>0.33689839572192515</v>
      </c>
    </row>
    <row r="25" spans="1:5" x14ac:dyDescent="0.2">
      <c r="A25" t="s">
        <v>414</v>
      </c>
      <c r="B25" t="s">
        <v>415</v>
      </c>
      <c r="C25" s="3">
        <v>-5920000</v>
      </c>
      <c r="D25" s="3">
        <v>-1391000</v>
      </c>
      <c r="E25" s="4">
        <f t="shared" ca="1" si="0"/>
        <v>3.2559309849029474</v>
      </c>
    </row>
    <row r="26" spans="1:5" x14ac:dyDescent="0.2">
      <c r="A26" t="s">
        <v>416</v>
      </c>
      <c r="B26" t="s">
        <v>417</v>
      </c>
      <c r="C26" s="3">
        <v>5791000</v>
      </c>
      <c r="D26" s="3">
        <v>-1844000</v>
      </c>
      <c r="E26" s="4">
        <f t="shared" ca="1" si="0"/>
        <v>-4.1404555314533624</v>
      </c>
    </row>
    <row r="27" spans="1:5" x14ac:dyDescent="0.2">
      <c r="A27" t="s">
        <v>418</v>
      </c>
      <c r="B27" t="s">
        <v>419</v>
      </c>
      <c r="C27" s="3">
        <v>-36869000</v>
      </c>
      <c r="D27" s="3">
        <v>-24682000</v>
      </c>
      <c r="E27" s="4">
        <f t="shared" ca="1" si="0"/>
        <v>0.49376063528077141</v>
      </c>
    </row>
    <row r="28" spans="1:5" x14ac:dyDescent="0.2">
      <c r="A28" t="s">
        <v>420</v>
      </c>
      <c r="B28" t="s">
        <v>421</v>
      </c>
      <c r="C28" s="3">
        <v>-48817000</v>
      </c>
      <c r="D28" s="3">
        <v>-20126000</v>
      </c>
      <c r="E28" s="4">
        <f t="shared" ca="1" si="0"/>
        <v>1.4255689158302693</v>
      </c>
    </row>
    <row r="29" spans="1:5" x14ac:dyDescent="0.2">
      <c r="A29" t="s">
        <v>422</v>
      </c>
      <c r="B29" t="s">
        <v>423</v>
      </c>
      <c r="C29" s="3">
        <v>-5464000</v>
      </c>
      <c r="D29" s="3">
        <v>-12589000</v>
      </c>
      <c r="E29" s="4">
        <f t="shared" ca="1" si="0"/>
        <v>-0.56597029152434664</v>
      </c>
    </row>
    <row r="30" spans="1:5" x14ac:dyDescent="0.2">
      <c r="A30" t="s">
        <v>424</v>
      </c>
      <c r="B30" t="s">
        <v>425</v>
      </c>
      <c r="C30" s="3">
        <v>8906000</v>
      </c>
      <c r="D30" s="3">
        <v>7854000</v>
      </c>
      <c r="E30" s="4">
        <f t="shared" ca="1" si="0"/>
        <v>0.13394448688566335</v>
      </c>
    </row>
    <row r="31" spans="1:5" x14ac:dyDescent="0.2">
      <c r="A31" t="s">
        <v>426</v>
      </c>
      <c r="B31" t="s">
        <v>427</v>
      </c>
      <c r="C31" s="3">
        <v>3213000</v>
      </c>
      <c r="D31" s="3">
        <v>-3443000</v>
      </c>
      <c r="E31" s="4">
        <f t="shared" ca="1" si="0"/>
        <v>-1.9331977926227129</v>
      </c>
    </row>
    <row r="32" spans="1:5" x14ac:dyDescent="0.2">
      <c r="A32" t="s">
        <v>428</v>
      </c>
      <c r="B32" t="s">
        <v>429</v>
      </c>
      <c r="C32" s="3">
        <v>5293000</v>
      </c>
      <c r="D32" s="3">
        <v>3622000</v>
      </c>
      <c r="E32" s="4">
        <f t="shared" ca="1" si="0"/>
        <v>0.46134732192159028</v>
      </c>
    </row>
    <row r="33" spans="1:5" x14ac:dyDescent="0.2">
      <c r="A33" t="s">
        <v>430</v>
      </c>
      <c r="B33" t="s">
        <v>431</v>
      </c>
      <c r="C33" s="3">
        <v>12894000</v>
      </c>
      <c r="D33" s="3">
        <v>-7429000</v>
      </c>
      <c r="E33" s="4">
        <f t="shared" ca="1" si="0"/>
        <v>-2.7356306366940371</v>
      </c>
    </row>
    <row r="34" spans="1:5" x14ac:dyDescent="0.2">
      <c r="A34" t="s">
        <v>432</v>
      </c>
      <c r="B34" t="s">
        <v>433</v>
      </c>
      <c r="C34" s="3">
        <v>81915000</v>
      </c>
      <c r="D34" s="3">
        <v>69697000</v>
      </c>
      <c r="E34" s="4">
        <f t="shared" ca="1" si="0"/>
        <v>0.17530166291232047</v>
      </c>
    </row>
    <row r="35" spans="1:5" x14ac:dyDescent="0.2">
      <c r="A35" t="s">
        <v>434</v>
      </c>
      <c r="B35" t="s">
        <v>435</v>
      </c>
      <c r="C35" s="3">
        <v>-61277000</v>
      </c>
      <c r="D35" s="3">
        <v>-66165000</v>
      </c>
      <c r="E35" s="4">
        <f t="shared" ca="1" si="0"/>
        <v>-7.387591626993123E-2</v>
      </c>
    </row>
    <row r="36" spans="1:5" x14ac:dyDescent="0.2">
      <c r="A36" t="s">
        <v>436</v>
      </c>
      <c r="B36" t="s">
        <v>437</v>
      </c>
      <c r="C36" s="3">
        <v>-6554000</v>
      </c>
      <c r="D36" s="3">
        <v>-10961000</v>
      </c>
      <c r="E36" s="4">
        <f t="shared" ca="1" si="0"/>
        <v>-0.40206185567010311</v>
      </c>
    </row>
    <row r="37" spans="1:5" x14ac:dyDescent="0.2">
      <c r="A37" t="s">
        <v>438</v>
      </c>
      <c r="B37" t="s">
        <v>439</v>
      </c>
      <c r="C37" s="3">
        <v>-1190000</v>
      </c>
      <c r="D37" s="3">
        <v>0</v>
      </c>
      <c r="E37" s="4" t="e">
        <f t="shared" ca="1" si="0"/>
        <v>#DIV/0!</v>
      </c>
    </row>
    <row r="38" spans="1:5" x14ac:dyDescent="0.2">
      <c r="A38" t="s">
        <v>440</v>
      </c>
      <c r="B38" t="s">
        <v>441</v>
      </c>
      <c r="C38" s="3">
        <v>2784000</v>
      </c>
      <c r="D38" s="3">
        <v>-3083000</v>
      </c>
      <c r="E38" s="4">
        <f t="shared" ca="1" si="0"/>
        <v>-1.9030165423289005</v>
      </c>
    </row>
    <row r="39" spans="1:5" x14ac:dyDescent="0.2">
      <c r="A39" t="s">
        <v>442</v>
      </c>
      <c r="B39" t="s">
        <v>443</v>
      </c>
      <c r="C39" s="3">
        <v>1305000</v>
      </c>
      <c r="D39" s="3">
        <v>6267000</v>
      </c>
      <c r="E39" s="4">
        <f t="shared" ca="1" si="0"/>
        <v>-0.79176639540449978</v>
      </c>
    </row>
    <row r="40" spans="1:5" x14ac:dyDescent="0.2">
      <c r="A40" t="s">
        <v>444</v>
      </c>
      <c r="B40" t="s">
        <v>445</v>
      </c>
      <c r="C40" s="3">
        <v>4089000</v>
      </c>
      <c r="D40" s="3">
        <v>3184000</v>
      </c>
      <c r="E40" s="4">
        <f t="shared" ca="1" si="0"/>
        <v>0.28423366834170855</v>
      </c>
    </row>
    <row r="41" spans="1:5" ht="26" x14ac:dyDescent="0.3">
      <c r="A41" s="1" t="s">
        <v>446</v>
      </c>
    </row>
    <row r="42" spans="1:5" ht="20" x14ac:dyDescent="0.25">
      <c r="A42" s="2" t="s">
        <v>1</v>
      </c>
      <c r="B42" s="2" t="s">
        <v>2</v>
      </c>
      <c r="C42" s="2" t="s">
        <v>3</v>
      </c>
      <c r="D42" s="2" t="s">
        <v>232</v>
      </c>
      <c r="E42" s="2" t="s">
        <v>5</v>
      </c>
    </row>
    <row r="43" spans="1:5" x14ac:dyDescent="0.2">
      <c r="A43" t="s">
        <v>447</v>
      </c>
      <c r="B43" t="s">
        <v>375</v>
      </c>
      <c r="C43" s="3">
        <v>69738000</v>
      </c>
      <c r="D43" s="3">
        <v>66900000</v>
      </c>
      <c r="E43" s="4">
        <f t="shared" ref="E43:E85" ca="1" si="1">(INDIRECT("RC[-2]",0)-INDIRECT("RC[-1]",0))/INDIRECT("RC[-1]",0)</f>
        <v>4.2421524663677129E-2</v>
      </c>
    </row>
    <row r="44" spans="1:5" x14ac:dyDescent="0.2">
      <c r="A44" t="s">
        <v>448</v>
      </c>
      <c r="B44" t="s">
        <v>377</v>
      </c>
      <c r="C44" s="3">
        <v>88867000</v>
      </c>
      <c r="D44" s="3">
        <v>70194000</v>
      </c>
      <c r="E44" s="4">
        <f t="shared" ca="1" si="1"/>
        <v>0.26601988773969287</v>
      </c>
    </row>
    <row r="45" spans="1:5" x14ac:dyDescent="0.2">
      <c r="A45" t="s">
        <v>449</v>
      </c>
      <c r="B45" t="s">
        <v>379</v>
      </c>
      <c r="C45" s="3">
        <v>23720000</v>
      </c>
      <c r="D45" s="3">
        <v>5749000</v>
      </c>
      <c r="E45" s="4">
        <f t="shared" ca="1" si="1"/>
        <v>3.1259349452078622</v>
      </c>
    </row>
    <row r="46" spans="1:5" x14ac:dyDescent="0.2">
      <c r="A46" t="s">
        <v>450</v>
      </c>
      <c r="B46" t="s">
        <v>451</v>
      </c>
      <c r="C46" s="3">
        <v>5828000</v>
      </c>
      <c r="D46" s="3">
        <v>6528000</v>
      </c>
      <c r="E46" s="4">
        <f t="shared" ca="1" si="1"/>
        <v>-0.10723039215686274</v>
      </c>
    </row>
    <row r="47" spans="1:5" x14ac:dyDescent="0.2">
      <c r="A47" t="s">
        <v>452</v>
      </c>
      <c r="B47" t="s">
        <v>383</v>
      </c>
      <c r="C47" s="3">
        <v>-1796000</v>
      </c>
      <c r="D47" s="3">
        <v>-1665000</v>
      </c>
      <c r="E47" s="4">
        <f t="shared" ca="1" si="1"/>
        <v>7.8678678678678685E-2</v>
      </c>
    </row>
    <row r="48" spans="1:5" x14ac:dyDescent="0.2">
      <c r="A48" t="s">
        <v>453</v>
      </c>
      <c r="B48" t="s">
        <v>385</v>
      </c>
      <c r="C48" s="3">
        <v>32720000</v>
      </c>
      <c r="D48" s="3">
        <v>32033000</v>
      </c>
      <c r="E48" s="4">
        <f t="shared" ca="1" si="1"/>
        <v>2.144663315955421E-2</v>
      </c>
    </row>
    <row r="49" spans="1:5" x14ac:dyDescent="0.2">
      <c r="A49" t="s">
        <v>454</v>
      </c>
      <c r="B49" t="s">
        <v>455</v>
      </c>
      <c r="C49" s="3">
        <v>1382000</v>
      </c>
      <c r="D49" s="3">
        <v>351000</v>
      </c>
      <c r="E49" s="4">
        <f t="shared" ca="1" si="1"/>
        <v>2.9373219373219372</v>
      </c>
    </row>
    <row r="50" spans="1:5" x14ac:dyDescent="0.2">
      <c r="A50" t="s">
        <v>456</v>
      </c>
      <c r="B50" t="s">
        <v>389</v>
      </c>
      <c r="C50" s="3">
        <v>259000</v>
      </c>
      <c r="D50" s="3">
        <v>715000</v>
      </c>
      <c r="E50" s="4">
        <f t="shared" ca="1" si="1"/>
        <v>-0.63776223776223773</v>
      </c>
    </row>
    <row r="51" spans="1:5" x14ac:dyDescent="0.2">
      <c r="A51" t="s">
        <v>457</v>
      </c>
      <c r="B51" t="s">
        <v>458</v>
      </c>
      <c r="C51" s="3">
        <v>-1873000</v>
      </c>
      <c r="D51" s="3">
        <v>-5269000</v>
      </c>
      <c r="E51" s="4">
        <f t="shared" ca="1" si="1"/>
        <v>-0.64452457771873217</v>
      </c>
    </row>
    <row r="52" spans="1:5" x14ac:dyDescent="0.2">
      <c r="A52" t="s">
        <v>459</v>
      </c>
      <c r="B52" t="s">
        <v>393</v>
      </c>
      <c r="C52" s="3">
        <v>21703000</v>
      </c>
      <c r="D52" s="3">
        <v>23494000</v>
      </c>
      <c r="E52" s="4">
        <f t="shared" ca="1" si="1"/>
        <v>-7.6232229505405633E-2</v>
      </c>
    </row>
    <row r="53" spans="1:5" x14ac:dyDescent="0.2">
      <c r="A53" t="s">
        <v>460</v>
      </c>
      <c r="B53" t="s">
        <v>395</v>
      </c>
      <c r="C53" s="3">
        <v>1560000</v>
      </c>
      <c r="D53" s="3">
        <v>4701000</v>
      </c>
      <c r="E53" s="4">
        <f t="shared" ca="1" si="1"/>
        <v>-0.66815571155073383</v>
      </c>
    </row>
    <row r="54" spans="1:5" x14ac:dyDescent="0.2">
      <c r="A54" t="s">
        <v>461</v>
      </c>
      <c r="B54" t="s">
        <v>397</v>
      </c>
      <c r="C54" s="3">
        <v>3445000</v>
      </c>
      <c r="D54" s="3">
        <v>2033000</v>
      </c>
      <c r="E54" s="4">
        <f t="shared" ca="1" si="1"/>
        <v>0.69454008853910476</v>
      </c>
    </row>
    <row r="55" spans="1:5" x14ac:dyDescent="0.2">
      <c r="A55" t="s">
        <v>462</v>
      </c>
      <c r="B55" t="s">
        <v>463</v>
      </c>
      <c r="C55" s="3">
        <v>132000</v>
      </c>
      <c r="D55" s="3">
        <v>216000</v>
      </c>
      <c r="E55" s="4">
        <f t="shared" ca="1" si="1"/>
        <v>-0.3888888888888889</v>
      </c>
    </row>
    <row r="56" spans="1:5" x14ac:dyDescent="0.2">
      <c r="A56" t="s">
        <v>464</v>
      </c>
      <c r="B56" t="s">
        <v>465</v>
      </c>
      <c r="C56" s="3">
        <v>0</v>
      </c>
      <c r="D56" s="3">
        <v>185000</v>
      </c>
      <c r="E56" s="4">
        <f t="shared" ca="1" si="1"/>
        <v>-1</v>
      </c>
    </row>
    <row r="57" spans="1:5" x14ac:dyDescent="0.2">
      <c r="A57" t="s">
        <v>466</v>
      </c>
      <c r="B57" t="s">
        <v>399</v>
      </c>
      <c r="C57" s="3">
        <v>1787000</v>
      </c>
      <c r="D57" s="3">
        <v>1821000</v>
      </c>
      <c r="E57" s="4">
        <f t="shared" ca="1" si="1"/>
        <v>-1.8671059857221308E-2</v>
      </c>
    </row>
    <row r="58" spans="1:5" x14ac:dyDescent="0.2">
      <c r="A58" t="s">
        <v>467</v>
      </c>
      <c r="B58" t="s">
        <v>401</v>
      </c>
      <c r="C58" s="3">
        <v>0</v>
      </c>
      <c r="D58" s="3">
        <v>-698000</v>
      </c>
      <c r="E58" s="4">
        <f t="shared" ca="1" si="1"/>
        <v>-1</v>
      </c>
    </row>
    <row r="59" spans="1:5" x14ac:dyDescent="0.2">
      <c r="A59" t="s">
        <v>468</v>
      </c>
      <c r="B59" t="s">
        <v>403</v>
      </c>
      <c r="C59" s="3">
        <v>-19129000</v>
      </c>
      <c r="D59" s="3">
        <v>-3294000</v>
      </c>
      <c r="E59" s="4">
        <f t="shared" ca="1" si="1"/>
        <v>4.8072252580449302</v>
      </c>
    </row>
    <row r="60" spans="1:5" x14ac:dyDescent="0.2">
      <c r="A60" t="s">
        <v>469</v>
      </c>
      <c r="B60" t="s">
        <v>15</v>
      </c>
      <c r="C60" s="3">
        <v>-9644000</v>
      </c>
      <c r="D60" s="3">
        <v>-2476000</v>
      </c>
      <c r="E60" s="4">
        <f t="shared" ca="1" si="1"/>
        <v>2.8949919224555734</v>
      </c>
    </row>
    <row r="61" spans="1:5" x14ac:dyDescent="0.2">
      <c r="A61" t="s">
        <v>470</v>
      </c>
      <c r="B61" t="s">
        <v>17</v>
      </c>
      <c r="C61" s="3">
        <v>-9667000</v>
      </c>
      <c r="D61" s="3">
        <v>977000</v>
      </c>
      <c r="E61" s="4">
        <f t="shared" ca="1" si="1"/>
        <v>-10.894575230296827</v>
      </c>
    </row>
    <row r="62" spans="1:5" x14ac:dyDescent="0.2">
      <c r="A62" t="s">
        <v>471</v>
      </c>
      <c r="B62" t="s">
        <v>99</v>
      </c>
      <c r="C62" s="3">
        <v>-5604000</v>
      </c>
      <c r="D62" s="3">
        <v>-1840000</v>
      </c>
      <c r="E62" s="4">
        <f t="shared" ca="1" si="1"/>
        <v>2.0456521739130435</v>
      </c>
    </row>
    <row r="63" spans="1:5" x14ac:dyDescent="0.2">
      <c r="A63" t="s">
        <v>472</v>
      </c>
      <c r="B63" t="s">
        <v>408</v>
      </c>
      <c r="C63" s="3">
        <v>-4699000</v>
      </c>
      <c r="D63" s="3">
        <v>-526000</v>
      </c>
      <c r="E63" s="4">
        <f t="shared" ca="1" si="1"/>
        <v>7.9334600760456278</v>
      </c>
    </row>
    <row r="64" spans="1:5" x14ac:dyDescent="0.2">
      <c r="A64" t="s">
        <v>473</v>
      </c>
      <c r="B64" t="s">
        <v>118</v>
      </c>
      <c r="C64" s="3">
        <v>5977000</v>
      </c>
      <c r="D64" s="3">
        <v>-226000</v>
      </c>
      <c r="E64" s="4">
        <f t="shared" ca="1" si="1"/>
        <v>-27.446902654867255</v>
      </c>
    </row>
    <row r="65" spans="1:5" x14ac:dyDescent="0.2">
      <c r="A65" t="s">
        <v>474</v>
      </c>
      <c r="B65" t="s">
        <v>411</v>
      </c>
      <c r="C65" s="3">
        <v>9491000</v>
      </c>
      <c r="D65" s="3">
        <v>7217000</v>
      </c>
      <c r="E65" s="4">
        <f t="shared" ca="1" si="1"/>
        <v>0.31508937231536649</v>
      </c>
    </row>
    <row r="66" spans="1:5" x14ac:dyDescent="0.2">
      <c r="A66" t="s">
        <v>475</v>
      </c>
      <c r="B66" t="s">
        <v>413</v>
      </c>
      <c r="C66" s="3">
        <v>-2646000</v>
      </c>
      <c r="D66" s="3">
        <v>-1973000</v>
      </c>
      <c r="E66" s="4">
        <f t="shared" ca="1" si="1"/>
        <v>0.34110491637100859</v>
      </c>
    </row>
    <row r="67" spans="1:5" x14ac:dyDescent="0.2">
      <c r="A67" t="s">
        <v>476</v>
      </c>
      <c r="B67" t="s">
        <v>415</v>
      </c>
      <c r="C67" s="3">
        <v>-6911000</v>
      </c>
      <c r="D67" s="3">
        <v>-2127000</v>
      </c>
      <c r="E67" s="4">
        <f t="shared" ca="1" si="1"/>
        <v>2.2491772449459333</v>
      </c>
    </row>
    <row r="68" spans="1:5" x14ac:dyDescent="0.2">
      <c r="A68" t="s">
        <v>477</v>
      </c>
      <c r="B68" t="s">
        <v>417</v>
      </c>
      <c r="C68" s="3">
        <v>4574000</v>
      </c>
      <c r="D68" s="3">
        <v>-2320000</v>
      </c>
      <c r="E68" s="4">
        <f t="shared" ca="1" si="1"/>
        <v>-2.9715517241379312</v>
      </c>
    </row>
    <row r="69" spans="1:5" x14ac:dyDescent="0.2">
      <c r="A69" t="s">
        <v>478</v>
      </c>
      <c r="B69" t="s">
        <v>419</v>
      </c>
      <c r="C69" s="3">
        <v>-13231000</v>
      </c>
      <c r="D69" s="3">
        <v>-22910000</v>
      </c>
      <c r="E69" s="4">
        <f t="shared" ca="1" si="1"/>
        <v>-0.42247926669576602</v>
      </c>
    </row>
    <row r="70" spans="1:5" x14ac:dyDescent="0.2">
      <c r="A70" t="s">
        <v>479</v>
      </c>
      <c r="B70" t="s">
        <v>421</v>
      </c>
      <c r="C70" s="3">
        <v>-33962000</v>
      </c>
      <c r="D70" s="3">
        <v>-30113000</v>
      </c>
      <c r="E70" s="4">
        <f t="shared" ca="1" si="1"/>
        <v>0.12781855012785176</v>
      </c>
    </row>
    <row r="71" spans="1:5" x14ac:dyDescent="0.2">
      <c r="A71" t="s">
        <v>480</v>
      </c>
      <c r="B71" t="s">
        <v>423</v>
      </c>
      <c r="C71" s="3">
        <v>-105000</v>
      </c>
      <c r="D71" s="3">
        <v>-137000</v>
      </c>
      <c r="E71" s="4">
        <f t="shared" ca="1" si="1"/>
        <v>-0.23357664233576642</v>
      </c>
    </row>
    <row r="72" spans="1:5" x14ac:dyDescent="0.2">
      <c r="A72" t="s">
        <v>481</v>
      </c>
      <c r="B72" t="s">
        <v>482</v>
      </c>
      <c r="C72" s="3">
        <v>16883000</v>
      </c>
      <c r="D72" s="3">
        <v>9458000</v>
      </c>
      <c r="E72" s="4">
        <f t="shared" ca="1" si="1"/>
        <v>0.78504969338126451</v>
      </c>
    </row>
    <row r="73" spans="1:5" x14ac:dyDescent="0.2">
      <c r="A73" t="s">
        <v>483</v>
      </c>
      <c r="B73" t="s">
        <v>427</v>
      </c>
      <c r="C73" s="3">
        <v>2143000</v>
      </c>
      <c r="D73" s="3">
        <v>-2924000</v>
      </c>
      <c r="E73" s="4">
        <f t="shared" ca="1" si="1"/>
        <v>-1.7329001367989056</v>
      </c>
    </row>
    <row r="74" spans="1:5" x14ac:dyDescent="0.2">
      <c r="A74" t="s">
        <v>484</v>
      </c>
      <c r="B74" t="s">
        <v>485</v>
      </c>
      <c r="C74" s="3">
        <v>1810000</v>
      </c>
      <c r="D74" s="3">
        <v>806000</v>
      </c>
      <c r="E74" s="4">
        <f t="shared" ca="1" si="1"/>
        <v>1.2456575682382134</v>
      </c>
    </row>
    <row r="75" spans="1:5" x14ac:dyDescent="0.2">
      <c r="A75" t="s">
        <v>486</v>
      </c>
      <c r="B75" t="s">
        <v>431</v>
      </c>
      <c r="C75" s="3">
        <v>-84380000</v>
      </c>
      <c r="D75" s="3">
        <v>-36617000</v>
      </c>
      <c r="E75" s="4">
        <f t="shared" ca="1" si="1"/>
        <v>1.3043941338722451</v>
      </c>
    </row>
    <row r="76" spans="1:5" x14ac:dyDescent="0.2">
      <c r="A76" t="s">
        <v>487</v>
      </c>
      <c r="B76" t="s">
        <v>488</v>
      </c>
      <c r="C76" s="3">
        <v>119000</v>
      </c>
      <c r="D76" s="3">
        <v>-194000</v>
      </c>
      <c r="E76" s="4">
        <f t="shared" ca="1" si="1"/>
        <v>-1.6134020618556701</v>
      </c>
    </row>
    <row r="77" spans="1:5" x14ac:dyDescent="0.2">
      <c r="A77" t="s">
        <v>489</v>
      </c>
      <c r="B77" t="s">
        <v>433</v>
      </c>
      <c r="C77" s="3">
        <v>30626000</v>
      </c>
      <c r="D77" s="3">
        <v>72082000</v>
      </c>
      <c r="E77" s="4">
        <f t="shared" ca="1" si="1"/>
        <v>-0.57512277683749069</v>
      </c>
    </row>
    <row r="78" spans="1:5" x14ac:dyDescent="0.2">
      <c r="A78" t="s">
        <v>490</v>
      </c>
      <c r="B78" t="s">
        <v>435</v>
      </c>
      <c r="C78" s="3">
        <v>-97105000</v>
      </c>
      <c r="D78" s="3">
        <v>-90642000</v>
      </c>
      <c r="E78" s="4">
        <f t="shared" ca="1" si="1"/>
        <v>7.1302486705942053E-2</v>
      </c>
    </row>
    <row r="79" spans="1:5" x14ac:dyDescent="0.2">
      <c r="A79" t="s">
        <v>491</v>
      </c>
      <c r="B79" t="s">
        <v>437</v>
      </c>
      <c r="C79" s="3">
        <v>-16194000</v>
      </c>
      <c r="D79" s="3">
        <v>-17384000</v>
      </c>
      <c r="E79" s="4">
        <f t="shared" ca="1" si="1"/>
        <v>-6.8453750575241598E-2</v>
      </c>
    </row>
    <row r="80" spans="1:5" x14ac:dyDescent="0.2">
      <c r="A80" t="s">
        <v>492</v>
      </c>
      <c r="B80" t="s">
        <v>439</v>
      </c>
      <c r="C80" s="3">
        <v>-1190000</v>
      </c>
      <c r="D80" s="3">
        <v>0</v>
      </c>
      <c r="E80" s="4" t="e">
        <f t="shared" ca="1" si="1"/>
        <v>#DIV/0!</v>
      </c>
    </row>
    <row r="81" spans="1:5" x14ac:dyDescent="0.2">
      <c r="A81" t="s">
        <v>493</v>
      </c>
      <c r="B81" t="s">
        <v>494</v>
      </c>
      <c r="C81" s="3">
        <v>-636000</v>
      </c>
      <c r="D81" s="3">
        <v>-479000</v>
      </c>
      <c r="E81" s="4">
        <f t="shared" ca="1" si="1"/>
        <v>0.3277661795407098</v>
      </c>
    </row>
    <row r="82" spans="1:5" x14ac:dyDescent="0.2">
      <c r="A82" t="s">
        <v>495</v>
      </c>
      <c r="B82" t="s">
        <v>496</v>
      </c>
      <c r="C82" s="3">
        <v>10182000</v>
      </c>
      <c r="D82" s="3">
        <v>-2050000</v>
      </c>
      <c r="E82" s="4">
        <f t="shared" ca="1" si="1"/>
        <v>-5.9668292682926829</v>
      </c>
    </row>
    <row r="83" spans="1:5" x14ac:dyDescent="0.2">
      <c r="A83" t="s">
        <v>497</v>
      </c>
      <c r="B83" t="s">
        <v>441</v>
      </c>
      <c r="C83" s="3">
        <v>-17691000</v>
      </c>
      <c r="D83" s="3">
        <v>5323000</v>
      </c>
      <c r="E83" s="4">
        <f t="shared" ca="1" si="1"/>
        <v>-4.3235017847078714</v>
      </c>
    </row>
    <row r="84" spans="1:5" x14ac:dyDescent="0.2">
      <c r="A84" t="s">
        <v>498</v>
      </c>
      <c r="B84" t="s">
        <v>443</v>
      </c>
      <c r="C84" s="3">
        <v>74494000</v>
      </c>
      <c r="D84" s="3">
        <v>69108000</v>
      </c>
      <c r="E84" s="4">
        <f t="shared" ca="1" si="1"/>
        <v>7.7935984256526022E-2</v>
      </c>
    </row>
    <row r="85" spans="1:5" x14ac:dyDescent="0.2">
      <c r="A85" t="s">
        <v>499</v>
      </c>
      <c r="B85" t="s">
        <v>445</v>
      </c>
      <c r="C85" s="3">
        <v>56803000</v>
      </c>
      <c r="D85" s="3">
        <v>74431000</v>
      </c>
      <c r="E85" s="4">
        <f t="shared" ca="1" si="1"/>
        <v>-0.23683680187018849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500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232</v>
      </c>
      <c r="E2" s="2" t="s">
        <v>5</v>
      </c>
    </row>
    <row r="3" spans="1:5" x14ac:dyDescent="0.2">
      <c r="A3" t="s">
        <v>501</v>
      </c>
      <c r="B3" t="s">
        <v>502</v>
      </c>
      <c r="C3" s="3">
        <v>302933000</v>
      </c>
      <c r="D3" s="3">
        <v>256887000</v>
      </c>
      <c r="E3" s="4">
        <f t="shared" ref="E3:E37" ca="1" si="0">(INDIRECT("RC[-2]",0)-INDIRECT("RC[-1]",0))/INDIRECT("RC[-1]",0)</f>
        <v>0.17924612767481421</v>
      </c>
    </row>
    <row r="4" spans="1:5" x14ac:dyDescent="0.2">
      <c r="A4" t="s">
        <v>503</v>
      </c>
      <c r="B4" t="s">
        <v>504</v>
      </c>
      <c r="C4" s="3">
        <v>274973000</v>
      </c>
      <c r="D4" s="3">
        <v>222066000</v>
      </c>
      <c r="E4" s="4">
        <f t="shared" ca="1" si="0"/>
        <v>0.23824898903929462</v>
      </c>
    </row>
    <row r="5" spans="1:5" x14ac:dyDescent="0.2">
      <c r="A5" t="s">
        <v>505</v>
      </c>
      <c r="B5" t="s">
        <v>506</v>
      </c>
      <c r="C5" s="3">
        <v>7500000</v>
      </c>
      <c r="D5" s="3">
        <v>12208000</v>
      </c>
      <c r="E5" s="4">
        <f t="shared" ca="1" si="0"/>
        <v>-0.38564875491480999</v>
      </c>
    </row>
    <row r="6" spans="1:5" x14ac:dyDescent="0.2">
      <c r="A6" t="s">
        <v>507</v>
      </c>
      <c r="B6" t="s">
        <v>508</v>
      </c>
      <c r="C6" s="3">
        <v>23797000</v>
      </c>
      <c r="D6" s="3">
        <v>23259000</v>
      </c>
      <c r="E6" s="4">
        <f t="shared" ca="1" si="0"/>
        <v>2.3130831076142569E-2</v>
      </c>
    </row>
    <row r="7" spans="1:5" x14ac:dyDescent="0.2">
      <c r="A7" t="s">
        <v>509</v>
      </c>
      <c r="B7" t="s">
        <v>510</v>
      </c>
      <c r="C7" s="3">
        <v>-3337000</v>
      </c>
      <c r="D7" s="3">
        <v>-646000</v>
      </c>
      <c r="E7" s="4">
        <f t="shared" ca="1" si="0"/>
        <v>4.1656346749226003</v>
      </c>
    </row>
    <row r="8" spans="1:5" x14ac:dyDescent="0.2">
      <c r="A8" t="s">
        <v>511</v>
      </c>
      <c r="B8" t="s">
        <v>512</v>
      </c>
      <c r="C8" s="3">
        <v>-94034000</v>
      </c>
      <c r="D8" s="3">
        <v>-89388000</v>
      </c>
      <c r="E8" s="4">
        <f t="shared" ca="1" si="0"/>
        <v>5.1975656687698574E-2</v>
      </c>
    </row>
    <row r="9" spans="1:5" x14ac:dyDescent="0.2">
      <c r="A9" t="s">
        <v>513</v>
      </c>
      <c r="B9" t="s">
        <v>514</v>
      </c>
      <c r="C9" s="3">
        <v>-38345000</v>
      </c>
      <c r="D9" s="3">
        <v>-31323000</v>
      </c>
      <c r="E9" s="4">
        <f t="shared" ca="1" si="0"/>
        <v>0.22418031478466302</v>
      </c>
    </row>
    <row r="10" spans="1:5" x14ac:dyDescent="0.2">
      <c r="A10" t="s">
        <v>515</v>
      </c>
      <c r="B10" t="s">
        <v>516</v>
      </c>
      <c r="C10" s="3">
        <v>-36328000</v>
      </c>
      <c r="D10" s="3">
        <v>-43352000</v>
      </c>
      <c r="E10" s="4">
        <f t="shared" ca="1" si="0"/>
        <v>-0.16202251337885218</v>
      </c>
    </row>
    <row r="11" spans="1:5" x14ac:dyDescent="0.2">
      <c r="A11" t="s">
        <v>517</v>
      </c>
      <c r="B11" t="s">
        <v>518</v>
      </c>
      <c r="C11" s="3">
        <v>-115000</v>
      </c>
      <c r="D11" s="3">
        <v>-129000</v>
      </c>
      <c r="E11" s="4">
        <f t="shared" ca="1" si="0"/>
        <v>-0.10852713178294573</v>
      </c>
    </row>
    <row r="12" spans="1:5" x14ac:dyDescent="0.2">
      <c r="A12" t="s">
        <v>519</v>
      </c>
      <c r="B12" t="s">
        <v>31</v>
      </c>
      <c r="C12" s="3">
        <v>-19246000</v>
      </c>
      <c r="D12" s="3">
        <v>-14584000</v>
      </c>
      <c r="E12" s="4">
        <f t="shared" ca="1" si="0"/>
        <v>0.3196653867251783</v>
      </c>
    </row>
    <row r="13" spans="1:5" x14ac:dyDescent="0.2">
      <c r="A13" t="s">
        <v>520</v>
      </c>
      <c r="B13" t="s">
        <v>521</v>
      </c>
      <c r="C13" s="3">
        <v>-19246000</v>
      </c>
      <c r="D13" s="3">
        <v>-14584000</v>
      </c>
      <c r="E13" s="4">
        <f t="shared" ca="1" si="0"/>
        <v>0.3196653867251783</v>
      </c>
    </row>
    <row r="14" spans="1:5" x14ac:dyDescent="0.2">
      <c r="A14" t="s">
        <v>522</v>
      </c>
      <c r="B14" t="s">
        <v>523</v>
      </c>
      <c r="C14" s="3">
        <v>208899000</v>
      </c>
      <c r="D14" s="3">
        <v>167499000</v>
      </c>
      <c r="E14" s="4">
        <f t="shared" ca="1" si="0"/>
        <v>0.2471656547203267</v>
      </c>
    </row>
    <row r="15" spans="1:5" x14ac:dyDescent="0.2">
      <c r="A15" t="s">
        <v>524</v>
      </c>
      <c r="B15" t="s">
        <v>525</v>
      </c>
      <c r="C15" s="3">
        <v>-24950000</v>
      </c>
      <c r="D15" s="3">
        <v>-24455000</v>
      </c>
      <c r="E15" s="4">
        <f t="shared" ca="1" si="0"/>
        <v>2.0241259456143936E-2</v>
      </c>
    </row>
    <row r="16" spans="1:5" x14ac:dyDescent="0.2">
      <c r="A16" t="s">
        <v>526</v>
      </c>
      <c r="B16" t="s">
        <v>527</v>
      </c>
      <c r="C16" s="3">
        <v>-24950000</v>
      </c>
      <c r="D16" s="3">
        <v>-24455000</v>
      </c>
      <c r="E16" s="4">
        <f t="shared" ca="1" si="0"/>
        <v>2.0241259456143936E-2</v>
      </c>
    </row>
    <row r="17" spans="1:5" x14ac:dyDescent="0.2">
      <c r="A17" t="s">
        <v>528</v>
      </c>
      <c r="B17" t="s">
        <v>529</v>
      </c>
      <c r="C17" s="3">
        <v>183949000</v>
      </c>
      <c r="D17" s="3">
        <v>143044000</v>
      </c>
      <c r="E17" s="4">
        <f t="shared" ca="1" si="0"/>
        <v>0.2859609630603171</v>
      </c>
    </row>
    <row r="18" spans="1:5" x14ac:dyDescent="0.2">
      <c r="A18" t="s">
        <v>530</v>
      </c>
      <c r="B18" t="s">
        <v>531</v>
      </c>
      <c r="C18" s="3">
        <v>15631000</v>
      </c>
      <c r="D18" s="3">
        <v>8247000</v>
      </c>
      <c r="E18" s="4">
        <f t="shared" ca="1" si="0"/>
        <v>0.89535588698920821</v>
      </c>
    </row>
    <row r="19" spans="1:5" x14ac:dyDescent="0.2">
      <c r="A19" t="s">
        <v>532</v>
      </c>
      <c r="B19" t="s">
        <v>258</v>
      </c>
      <c r="C19" s="3">
        <v>10342000</v>
      </c>
      <c r="D19" s="3">
        <v>5396000</v>
      </c>
      <c r="E19" s="4">
        <f t="shared" ca="1" si="0"/>
        <v>0.91660489251297261</v>
      </c>
    </row>
    <row r="20" spans="1:5" x14ac:dyDescent="0.2">
      <c r="A20" t="s">
        <v>533</v>
      </c>
      <c r="B20" t="s">
        <v>264</v>
      </c>
      <c r="C20" s="3">
        <v>4576000</v>
      </c>
      <c r="D20" s="3">
        <v>2166000</v>
      </c>
      <c r="E20" s="4">
        <f t="shared" ca="1" si="0"/>
        <v>1.1126500461680517</v>
      </c>
    </row>
    <row r="21" spans="1:5" x14ac:dyDescent="0.2">
      <c r="A21" t="s">
        <v>534</v>
      </c>
      <c r="B21" t="s">
        <v>31</v>
      </c>
      <c r="C21" s="3">
        <v>713000</v>
      </c>
      <c r="D21" s="3">
        <v>685000</v>
      </c>
      <c r="E21" s="4">
        <f t="shared" ca="1" si="0"/>
        <v>4.0875912408759124E-2</v>
      </c>
    </row>
    <row r="22" spans="1:5" x14ac:dyDescent="0.2">
      <c r="A22" t="s">
        <v>535</v>
      </c>
      <c r="B22" t="s">
        <v>536</v>
      </c>
      <c r="C22" s="3">
        <v>199580000</v>
      </c>
      <c r="D22" s="3">
        <v>151291000</v>
      </c>
      <c r="E22" s="4">
        <f t="shared" ca="1" si="0"/>
        <v>0.31917959429179527</v>
      </c>
    </row>
    <row r="23" spans="1:5" x14ac:dyDescent="0.2">
      <c r="A23" t="s">
        <v>537</v>
      </c>
      <c r="B23" t="s">
        <v>538</v>
      </c>
      <c r="C23" s="3">
        <v>199580000</v>
      </c>
      <c r="D23" s="3">
        <v>151291000</v>
      </c>
      <c r="E23" s="4">
        <f t="shared" ca="1" si="0"/>
        <v>0.31917959429179527</v>
      </c>
    </row>
    <row r="24" spans="1:5" x14ac:dyDescent="0.2">
      <c r="A24" t="s">
        <v>539</v>
      </c>
      <c r="B24" t="s">
        <v>540</v>
      </c>
      <c r="C24" s="3">
        <v>19767000</v>
      </c>
      <c r="D24" s="3">
        <v>17614000</v>
      </c>
      <c r="E24" s="4">
        <f t="shared" ca="1" si="0"/>
        <v>0.12223231520381515</v>
      </c>
    </row>
    <row r="25" spans="1:5" x14ac:dyDescent="0.2">
      <c r="A25" t="s">
        <v>541</v>
      </c>
      <c r="B25" t="s">
        <v>542</v>
      </c>
      <c r="C25" s="3">
        <v>11074000</v>
      </c>
      <c r="D25" s="3">
        <v>10026000</v>
      </c>
      <c r="E25" s="4">
        <f t="shared" ca="1" si="0"/>
        <v>0.10452822661081189</v>
      </c>
    </row>
    <row r="26" spans="1:5" x14ac:dyDescent="0.2">
      <c r="A26" t="s">
        <v>543</v>
      </c>
      <c r="B26" t="s">
        <v>544</v>
      </c>
      <c r="C26" s="3">
        <v>7926000</v>
      </c>
      <c r="D26" s="3">
        <v>6793000</v>
      </c>
      <c r="E26" s="4">
        <f t="shared" ca="1" si="0"/>
        <v>0.16678934196967465</v>
      </c>
    </row>
    <row r="27" spans="1:5" x14ac:dyDescent="0.2">
      <c r="A27" t="s">
        <v>545</v>
      </c>
      <c r="B27" t="s">
        <v>546</v>
      </c>
      <c r="C27" s="3">
        <v>767000</v>
      </c>
      <c r="D27" s="3">
        <v>795000</v>
      </c>
      <c r="E27" s="4">
        <f t="shared" ca="1" si="0"/>
        <v>-3.5220125786163521E-2</v>
      </c>
    </row>
    <row r="28" spans="1:5" x14ac:dyDescent="0.2">
      <c r="A28" t="s">
        <v>547</v>
      </c>
      <c r="B28" t="s">
        <v>411</v>
      </c>
      <c r="C28" s="3">
        <v>95820000</v>
      </c>
      <c r="D28" s="3">
        <v>70284000</v>
      </c>
      <c r="E28" s="4">
        <f t="shared" ca="1" si="0"/>
        <v>0.36332593477889702</v>
      </c>
    </row>
    <row r="29" spans="1:5" x14ac:dyDescent="0.2">
      <c r="A29" t="s">
        <v>548</v>
      </c>
      <c r="B29" t="s">
        <v>549</v>
      </c>
      <c r="C29" s="3">
        <v>73259000</v>
      </c>
      <c r="D29" s="3">
        <v>49810000</v>
      </c>
      <c r="E29" s="4">
        <f t="shared" ca="1" si="0"/>
        <v>0.47076892190323227</v>
      </c>
    </row>
    <row r="30" spans="1:5" x14ac:dyDescent="0.2">
      <c r="A30" t="s">
        <v>550</v>
      </c>
      <c r="B30" t="s">
        <v>551</v>
      </c>
      <c r="C30" s="3">
        <v>22382000</v>
      </c>
      <c r="D30" s="3">
        <v>20309000</v>
      </c>
      <c r="E30" s="4">
        <f t="shared" ca="1" si="0"/>
        <v>0.10207297257373578</v>
      </c>
    </row>
    <row r="31" spans="1:5" x14ac:dyDescent="0.2">
      <c r="A31" t="s">
        <v>552</v>
      </c>
      <c r="B31" t="s">
        <v>553</v>
      </c>
      <c r="C31" s="3">
        <v>179000</v>
      </c>
      <c r="D31" s="3">
        <v>165000</v>
      </c>
      <c r="E31" s="4">
        <f t="shared" ca="1" si="0"/>
        <v>8.4848484848484854E-2</v>
      </c>
    </row>
    <row r="32" spans="1:5" x14ac:dyDescent="0.2">
      <c r="A32" t="s">
        <v>554</v>
      </c>
      <c r="B32" t="s">
        <v>555</v>
      </c>
      <c r="C32" s="3">
        <v>60316000</v>
      </c>
      <c r="D32" s="3">
        <v>58362000</v>
      </c>
      <c r="E32" s="4">
        <f t="shared" ca="1" si="0"/>
        <v>3.3480689489736475E-2</v>
      </c>
    </row>
    <row r="33" spans="1:5" x14ac:dyDescent="0.2">
      <c r="A33" t="s">
        <v>556</v>
      </c>
      <c r="B33" t="s">
        <v>557</v>
      </c>
      <c r="C33" s="3">
        <v>20590000</v>
      </c>
      <c r="D33" s="3">
        <v>21600000</v>
      </c>
      <c r="E33" s="4">
        <f t="shared" ca="1" si="0"/>
        <v>-4.6759259259259257E-2</v>
      </c>
    </row>
    <row r="34" spans="1:5" x14ac:dyDescent="0.2">
      <c r="A34" t="s">
        <v>558</v>
      </c>
      <c r="B34" t="s">
        <v>559</v>
      </c>
      <c r="C34" s="3">
        <v>39726000</v>
      </c>
      <c r="D34" s="3">
        <v>36762000</v>
      </c>
      <c r="E34" s="4">
        <f t="shared" ca="1" si="0"/>
        <v>8.0626734127631799E-2</v>
      </c>
    </row>
    <row r="35" spans="1:5" x14ac:dyDescent="0.2">
      <c r="A35" t="s">
        <v>560</v>
      </c>
      <c r="B35" t="s">
        <v>561</v>
      </c>
      <c r="C35" s="3">
        <v>23677000</v>
      </c>
      <c r="D35" s="3">
        <v>5031000</v>
      </c>
      <c r="E35" s="4">
        <f t="shared" ca="1" si="0"/>
        <v>3.7062214271516596</v>
      </c>
    </row>
    <row r="36" spans="1:5" x14ac:dyDescent="0.2">
      <c r="A36" t="s">
        <v>562</v>
      </c>
      <c r="B36" t="s">
        <v>563</v>
      </c>
      <c r="C36" s="3">
        <v>1304000</v>
      </c>
      <c r="D36" s="3">
        <v>0</v>
      </c>
      <c r="E36" s="4" t="e">
        <f t="shared" ca="1" si="0"/>
        <v>#DIV/0!</v>
      </c>
    </row>
    <row r="37" spans="1:5" x14ac:dyDescent="0.2">
      <c r="A37" t="s">
        <v>564</v>
      </c>
      <c r="B37" t="s">
        <v>565</v>
      </c>
      <c r="C37" s="3">
        <v>22373000</v>
      </c>
      <c r="D37" s="3">
        <v>5031000</v>
      </c>
      <c r="E37" s="4">
        <f t="shared" ca="1" si="0"/>
        <v>3.4470284237726099</v>
      </c>
    </row>
    <row r="38" spans="1:5" ht="26" x14ac:dyDescent="0.3">
      <c r="A38" s="1" t="s">
        <v>566</v>
      </c>
    </row>
    <row r="39" spans="1:5" ht="20" x14ac:dyDescent="0.25">
      <c r="A39" s="2" t="s">
        <v>1</v>
      </c>
      <c r="B39" s="2" t="s">
        <v>2</v>
      </c>
      <c r="C39" s="2" t="s">
        <v>3</v>
      </c>
      <c r="D39" s="2" t="s">
        <v>232</v>
      </c>
      <c r="E39" s="2" t="s">
        <v>5</v>
      </c>
    </row>
    <row r="40" spans="1:5" x14ac:dyDescent="0.2">
      <c r="A40" t="s">
        <v>567</v>
      </c>
      <c r="B40" t="s">
        <v>502</v>
      </c>
      <c r="C40" s="3">
        <v>359034000</v>
      </c>
      <c r="D40" s="3">
        <v>301555000</v>
      </c>
      <c r="E40" s="4">
        <f t="shared" ref="E40:E76" ca="1" si="1">(INDIRECT("RC[-2]",0)-INDIRECT("RC[-1]",0))/INDIRECT("RC[-1]",0)</f>
        <v>0.19060867835054965</v>
      </c>
    </row>
    <row r="41" spans="1:5" x14ac:dyDescent="0.2">
      <c r="A41" t="s">
        <v>568</v>
      </c>
      <c r="B41" t="s">
        <v>504</v>
      </c>
      <c r="C41" s="3">
        <v>325979000</v>
      </c>
      <c r="D41" s="3">
        <v>263760000</v>
      </c>
      <c r="E41" s="4">
        <f t="shared" ca="1" si="1"/>
        <v>0.23589247801031241</v>
      </c>
    </row>
    <row r="42" spans="1:5" x14ac:dyDescent="0.2">
      <c r="A42" t="s">
        <v>569</v>
      </c>
      <c r="B42" t="s">
        <v>506</v>
      </c>
      <c r="C42" s="3">
        <v>9386000</v>
      </c>
      <c r="D42" s="3">
        <v>14463000</v>
      </c>
      <c r="E42" s="4">
        <f t="shared" ca="1" si="1"/>
        <v>-0.35103367212888059</v>
      </c>
    </row>
    <row r="43" spans="1:5" x14ac:dyDescent="0.2">
      <c r="A43" t="s">
        <v>570</v>
      </c>
      <c r="B43" t="s">
        <v>508</v>
      </c>
      <c r="C43" s="3">
        <v>27114000</v>
      </c>
      <c r="D43" s="3">
        <v>25365000</v>
      </c>
      <c r="E43" s="4">
        <f t="shared" ca="1" si="1"/>
        <v>6.8953282081608516E-2</v>
      </c>
    </row>
    <row r="44" spans="1:5" x14ac:dyDescent="0.2">
      <c r="A44" t="s">
        <v>571</v>
      </c>
      <c r="B44" t="s">
        <v>510</v>
      </c>
      <c r="C44" s="3">
        <v>-3445000</v>
      </c>
      <c r="D44" s="3">
        <v>-2033000</v>
      </c>
      <c r="E44" s="4">
        <f t="shared" ca="1" si="1"/>
        <v>0.69454008853910476</v>
      </c>
    </row>
    <row r="45" spans="1:5" x14ac:dyDescent="0.2">
      <c r="A45" t="s">
        <v>572</v>
      </c>
      <c r="B45" t="s">
        <v>512</v>
      </c>
      <c r="C45" s="3">
        <v>-121648000</v>
      </c>
      <c r="D45" s="3">
        <v>-107475000</v>
      </c>
      <c r="E45" s="4">
        <f t="shared" ca="1" si="1"/>
        <v>0.13187252849499884</v>
      </c>
    </row>
    <row r="46" spans="1:5" x14ac:dyDescent="0.2">
      <c r="A46" t="s">
        <v>573</v>
      </c>
      <c r="B46" t="s">
        <v>514</v>
      </c>
      <c r="C46" s="3">
        <v>-60288000</v>
      </c>
      <c r="D46" s="3">
        <v>-45338000</v>
      </c>
      <c r="E46" s="4">
        <f t="shared" ca="1" si="1"/>
        <v>0.32974546737835814</v>
      </c>
    </row>
    <row r="47" spans="1:5" x14ac:dyDescent="0.2">
      <c r="A47" t="s">
        <v>574</v>
      </c>
      <c r="B47" t="s">
        <v>516</v>
      </c>
      <c r="C47" s="3">
        <v>-39136000</v>
      </c>
      <c r="D47" s="3">
        <v>-45762000</v>
      </c>
      <c r="E47" s="4">
        <f t="shared" ca="1" si="1"/>
        <v>-0.14479262270005683</v>
      </c>
    </row>
    <row r="48" spans="1:5" x14ac:dyDescent="0.2">
      <c r="A48" t="s">
        <v>575</v>
      </c>
      <c r="B48" t="s">
        <v>518</v>
      </c>
      <c r="C48" s="3">
        <v>-1382000</v>
      </c>
      <c r="D48" s="3">
        <v>-351000</v>
      </c>
      <c r="E48" s="4">
        <f t="shared" ca="1" si="1"/>
        <v>2.9373219373219372</v>
      </c>
    </row>
    <row r="49" spans="1:5" x14ac:dyDescent="0.2">
      <c r="A49" t="s">
        <v>576</v>
      </c>
      <c r="B49" t="s">
        <v>31</v>
      </c>
      <c r="C49" s="3">
        <v>-20842000</v>
      </c>
      <c r="D49" s="3">
        <v>-16024000</v>
      </c>
      <c r="E49" s="4">
        <f t="shared" ca="1" si="1"/>
        <v>0.3006739890164753</v>
      </c>
    </row>
    <row r="50" spans="1:5" x14ac:dyDescent="0.2">
      <c r="A50" t="s">
        <v>577</v>
      </c>
      <c r="B50" t="s">
        <v>521</v>
      </c>
      <c r="C50" s="3">
        <v>-20710000</v>
      </c>
      <c r="D50" s="3">
        <v>-15808000</v>
      </c>
      <c r="E50" s="4">
        <f t="shared" ca="1" si="1"/>
        <v>0.31009615384615385</v>
      </c>
    </row>
    <row r="51" spans="1:5" x14ac:dyDescent="0.2">
      <c r="A51" t="s">
        <v>578</v>
      </c>
      <c r="B51" t="s">
        <v>579</v>
      </c>
      <c r="C51" s="3">
        <v>-132000</v>
      </c>
      <c r="D51" s="3">
        <v>-216000</v>
      </c>
      <c r="E51" s="4">
        <f t="shared" ca="1" si="1"/>
        <v>-0.3888888888888889</v>
      </c>
    </row>
    <row r="52" spans="1:5" x14ac:dyDescent="0.2">
      <c r="A52" t="s">
        <v>580</v>
      </c>
      <c r="B52" t="s">
        <v>523</v>
      </c>
      <c r="C52" s="3">
        <v>237386000</v>
      </c>
      <c r="D52" s="3">
        <v>194080000</v>
      </c>
      <c r="E52" s="4">
        <f t="shared" ca="1" si="1"/>
        <v>0.22313478977741139</v>
      </c>
    </row>
    <row r="53" spans="1:5" x14ac:dyDescent="0.2">
      <c r="A53" t="s">
        <v>581</v>
      </c>
      <c r="B53" t="s">
        <v>525</v>
      </c>
      <c r="C53" s="3">
        <v>-32720000</v>
      </c>
      <c r="D53" s="3">
        <v>-32033000</v>
      </c>
      <c r="E53" s="4">
        <f t="shared" ca="1" si="1"/>
        <v>2.144663315955421E-2</v>
      </c>
    </row>
    <row r="54" spans="1:5" x14ac:dyDescent="0.2">
      <c r="A54" t="s">
        <v>582</v>
      </c>
      <c r="B54" t="s">
        <v>527</v>
      </c>
      <c r="C54" s="3">
        <v>-32720000</v>
      </c>
      <c r="D54" s="3">
        <v>-32033000</v>
      </c>
      <c r="E54" s="4">
        <f t="shared" ca="1" si="1"/>
        <v>2.144663315955421E-2</v>
      </c>
    </row>
    <row r="55" spans="1:5" x14ac:dyDescent="0.2">
      <c r="A55" t="s">
        <v>583</v>
      </c>
      <c r="B55" t="s">
        <v>529</v>
      </c>
      <c r="C55" s="3">
        <v>204666000</v>
      </c>
      <c r="D55" s="3">
        <v>162047000</v>
      </c>
      <c r="E55" s="4">
        <f t="shared" ca="1" si="1"/>
        <v>0.2630039433004005</v>
      </c>
    </row>
    <row r="56" spans="1:5" x14ac:dyDescent="0.2">
      <c r="A56" t="s">
        <v>584</v>
      </c>
      <c r="B56" t="s">
        <v>531</v>
      </c>
      <c r="C56" s="3">
        <v>10105000</v>
      </c>
      <c r="D56" s="3">
        <v>4745000</v>
      </c>
      <c r="E56" s="4">
        <f t="shared" ca="1" si="1"/>
        <v>1.1296101159114857</v>
      </c>
    </row>
    <row r="57" spans="1:5" x14ac:dyDescent="0.2">
      <c r="A57" t="s">
        <v>585</v>
      </c>
      <c r="B57" t="s">
        <v>258</v>
      </c>
      <c r="C57" s="3">
        <v>1796000</v>
      </c>
      <c r="D57" s="3">
        <v>1665000</v>
      </c>
      <c r="E57" s="4">
        <f t="shared" ca="1" si="1"/>
        <v>7.8678678678678685E-2</v>
      </c>
    </row>
    <row r="58" spans="1:5" x14ac:dyDescent="0.2">
      <c r="A58" t="s">
        <v>586</v>
      </c>
      <c r="B58" t="s">
        <v>264</v>
      </c>
      <c r="C58" s="3">
        <v>7951000</v>
      </c>
      <c r="D58" s="3">
        <v>2725000</v>
      </c>
      <c r="E58" s="4">
        <f t="shared" ca="1" si="1"/>
        <v>1.9177981651376146</v>
      </c>
    </row>
    <row r="59" spans="1:5" x14ac:dyDescent="0.2">
      <c r="A59" t="s">
        <v>587</v>
      </c>
      <c r="B59" t="s">
        <v>31</v>
      </c>
      <c r="C59" s="3">
        <v>358000</v>
      </c>
      <c r="D59" s="3">
        <v>355000</v>
      </c>
      <c r="E59" s="4">
        <f t="shared" ca="1" si="1"/>
        <v>8.4507042253521118E-3</v>
      </c>
    </row>
    <row r="60" spans="1:5" x14ac:dyDescent="0.2">
      <c r="A60" t="s">
        <v>588</v>
      </c>
      <c r="B60" t="s">
        <v>536</v>
      </c>
      <c r="C60" s="3">
        <v>214771000</v>
      </c>
      <c r="D60" s="3">
        <v>166792000</v>
      </c>
      <c r="E60" s="4">
        <f t="shared" ca="1" si="1"/>
        <v>0.28765768142356946</v>
      </c>
    </row>
    <row r="61" spans="1:5" x14ac:dyDescent="0.2">
      <c r="A61" t="s">
        <v>589</v>
      </c>
      <c r="B61" t="s">
        <v>538</v>
      </c>
      <c r="C61" s="3">
        <v>214771000</v>
      </c>
      <c r="D61" s="3">
        <v>166792000</v>
      </c>
      <c r="E61" s="4">
        <f t="shared" ca="1" si="1"/>
        <v>0.28765768142356946</v>
      </c>
    </row>
    <row r="62" spans="1:5" x14ac:dyDescent="0.2">
      <c r="A62" t="s">
        <v>590</v>
      </c>
      <c r="B62" t="s">
        <v>540</v>
      </c>
      <c r="C62" s="3">
        <v>23851000</v>
      </c>
      <c r="D62" s="3">
        <v>21632000</v>
      </c>
      <c r="E62" s="4">
        <f t="shared" ca="1" si="1"/>
        <v>0.10257951183431953</v>
      </c>
    </row>
    <row r="63" spans="1:5" x14ac:dyDescent="0.2">
      <c r="A63" t="s">
        <v>591</v>
      </c>
      <c r="B63" t="s">
        <v>542</v>
      </c>
      <c r="C63" s="3">
        <v>14128000</v>
      </c>
      <c r="D63" s="3">
        <v>13049000</v>
      </c>
      <c r="E63" s="4">
        <f t="shared" ca="1" si="1"/>
        <v>8.2688328607556136E-2</v>
      </c>
    </row>
    <row r="64" spans="1:5" x14ac:dyDescent="0.2">
      <c r="A64" t="s">
        <v>592</v>
      </c>
      <c r="B64" t="s">
        <v>544</v>
      </c>
      <c r="C64" s="3">
        <v>8838000</v>
      </c>
      <c r="D64" s="3">
        <v>7665000</v>
      </c>
      <c r="E64" s="4">
        <f t="shared" ca="1" si="1"/>
        <v>0.15303326810176127</v>
      </c>
    </row>
    <row r="65" spans="1:5" x14ac:dyDescent="0.2">
      <c r="A65" t="s">
        <v>593</v>
      </c>
      <c r="B65" t="s">
        <v>546</v>
      </c>
      <c r="C65" s="3">
        <v>885000</v>
      </c>
      <c r="D65" s="3">
        <v>918000</v>
      </c>
      <c r="E65" s="4">
        <f t="shared" ca="1" si="1"/>
        <v>-3.5947712418300651E-2</v>
      </c>
    </row>
    <row r="66" spans="1:5" x14ac:dyDescent="0.2">
      <c r="A66" t="s">
        <v>594</v>
      </c>
      <c r="B66" t="s">
        <v>411</v>
      </c>
      <c r="C66" s="3">
        <v>117384000</v>
      </c>
      <c r="D66" s="3">
        <v>88283000</v>
      </c>
      <c r="E66" s="4">
        <f t="shared" ca="1" si="1"/>
        <v>0.32963311169760884</v>
      </c>
    </row>
    <row r="67" spans="1:5" x14ac:dyDescent="0.2">
      <c r="A67" t="s">
        <v>595</v>
      </c>
      <c r="B67" t="s">
        <v>549</v>
      </c>
      <c r="C67" s="3">
        <v>79259000</v>
      </c>
      <c r="D67" s="3">
        <v>53917000</v>
      </c>
      <c r="E67" s="4">
        <f t="shared" ca="1" si="1"/>
        <v>0.47001873249624421</v>
      </c>
    </row>
    <row r="68" spans="1:5" x14ac:dyDescent="0.2">
      <c r="A68" t="s">
        <v>596</v>
      </c>
      <c r="B68" t="s">
        <v>551</v>
      </c>
      <c r="C68" s="3">
        <v>37624000</v>
      </c>
      <c r="D68" s="3">
        <v>33892000</v>
      </c>
      <c r="E68" s="4">
        <f t="shared" ca="1" si="1"/>
        <v>0.1101144812935206</v>
      </c>
    </row>
    <row r="69" spans="1:5" x14ac:dyDescent="0.2">
      <c r="A69" t="s">
        <v>597</v>
      </c>
      <c r="B69" t="s">
        <v>553</v>
      </c>
      <c r="C69" s="3">
        <v>501000</v>
      </c>
      <c r="D69" s="3">
        <v>474000</v>
      </c>
      <c r="E69" s="4">
        <f t="shared" ca="1" si="1"/>
        <v>5.6962025316455694E-2</v>
      </c>
    </row>
    <row r="70" spans="1:5" x14ac:dyDescent="0.2">
      <c r="A70" t="s">
        <v>598</v>
      </c>
      <c r="B70" t="s">
        <v>555</v>
      </c>
      <c r="C70" s="3">
        <v>49816000</v>
      </c>
      <c r="D70" s="3">
        <v>51128000</v>
      </c>
      <c r="E70" s="4">
        <f t="shared" ca="1" si="1"/>
        <v>-2.5661085902049758E-2</v>
      </c>
    </row>
    <row r="71" spans="1:5" x14ac:dyDescent="0.2">
      <c r="A71" t="s">
        <v>599</v>
      </c>
      <c r="B71" t="s">
        <v>557</v>
      </c>
      <c r="C71" s="3">
        <v>28632000</v>
      </c>
      <c r="D71" s="3">
        <v>31386000</v>
      </c>
      <c r="E71" s="4">
        <f t="shared" ca="1" si="1"/>
        <v>-8.7746128847256744E-2</v>
      </c>
    </row>
    <row r="72" spans="1:5" x14ac:dyDescent="0.2">
      <c r="A72" t="s">
        <v>600</v>
      </c>
      <c r="B72" t="s">
        <v>559</v>
      </c>
      <c r="C72" s="3">
        <v>21184000</v>
      </c>
      <c r="D72" s="3">
        <v>19742000</v>
      </c>
      <c r="E72" s="4">
        <f t="shared" ca="1" si="1"/>
        <v>7.3042244959983793E-2</v>
      </c>
    </row>
    <row r="73" spans="1:5" x14ac:dyDescent="0.2">
      <c r="A73" t="s">
        <v>601</v>
      </c>
      <c r="B73" t="s">
        <v>561</v>
      </c>
      <c r="C73" s="3">
        <v>23720000</v>
      </c>
      <c r="D73" s="3">
        <v>5749000</v>
      </c>
      <c r="E73" s="4">
        <f t="shared" ca="1" si="1"/>
        <v>3.1259349452078622</v>
      </c>
    </row>
    <row r="74" spans="1:5" x14ac:dyDescent="0.2">
      <c r="A74" t="s">
        <v>602</v>
      </c>
      <c r="B74" t="s">
        <v>563</v>
      </c>
      <c r="C74" s="3">
        <v>1304000</v>
      </c>
      <c r="D74" s="3">
        <v>0</v>
      </c>
      <c r="E74" s="4" t="e">
        <f t="shared" ca="1" si="1"/>
        <v>#DIV/0!</v>
      </c>
    </row>
    <row r="75" spans="1:5" x14ac:dyDescent="0.2">
      <c r="A75" t="s">
        <v>603</v>
      </c>
      <c r="B75" t="s">
        <v>565</v>
      </c>
      <c r="C75" s="3">
        <v>22373000</v>
      </c>
      <c r="D75" s="3">
        <v>5031000</v>
      </c>
      <c r="E75" s="4">
        <f t="shared" ca="1" si="1"/>
        <v>3.4470284237726099</v>
      </c>
    </row>
    <row r="76" spans="1:5" x14ac:dyDescent="0.2">
      <c r="A76" t="s">
        <v>604</v>
      </c>
      <c r="B76" t="s">
        <v>605</v>
      </c>
      <c r="C76" s="3">
        <v>43000</v>
      </c>
      <c r="D76" s="3">
        <v>718000</v>
      </c>
      <c r="E76" s="4">
        <f t="shared" ca="1" si="1"/>
        <v>-0.94011142061281339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abSelected="1" topLeftCell="A33" workbookViewId="0">
      <selection activeCell="A38" sqref="A38"/>
    </sheetView>
  </sheetViews>
  <sheetFormatPr baseColWidth="10" defaultColWidth="8.83203125" defaultRowHeight="15" x14ac:dyDescent="0.2"/>
  <cols>
    <col min="1" max="1" width="45.6640625" customWidth="1"/>
    <col min="2" max="101" width="20.6640625" customWidth="1"/>
  </cols>
  <sheetData>
    <row r="1" spans="1:5" ht="26" x14ac:dyDescent="0.3">
      <c r="A1" s="1" t="s">
        <v>606</v>
      </c>
    </row>
    <row r="2" spans="1:5" ht="20" x14ac:dyDescent="0.25">
      <c r="A2" s="2" t="s">
        <v>607</v>
      </c>
      <c r="B2" s="3">
        <f>VLOOKUP("3.99.99.22",'Income (DRE)'!A1:C10000,3,0)*VLOOKUP("3.99.99.30",'Income (DRE)'!A1:C10000,3,0)</f>
        <v>274064881.97000003</v>
      </c>
    </row>
    <row r="5" spans="1:5" ht="20" x14ac:dyDescent="0.25">
      <c r="A5" s="2" t="s">
        <v>608</v>
      </c>
      <c r="B5" s="2" t="s">
        <v>3</v>
      </c>
      <c r="C5" s="2" t="s">
        <v>230</v>
      </c>
      <c r="D5" s="2" t="s">
        <v>609</v>
      </c>
      <c r="E5" s="2" t="s">
        <v>610</v>
      </c>
    </row>
    <row r="6" spans="1:5" x14ac:dyDescent="0.2">
      <c r="A6" t="s">
        <v>611</v>
      </c>
      <c r="B6" s="4">
        <f>VLOOKUP("3.03",'Income (DRE)'!A1:C10000,3,0)/VLOOKUP("3.01",'Income (DRE)'!A1:F10000,3,0)</f>
        <v>0.3489974107304149</v>
      </c>
      <c r="C6" s="4">
        <f>VLOOKUP("3.03",'Income (DRE)'!A1:F10000,4,0)/VLOOKUP("3.01",'Income (DRE)'!A1:F10000,4,0)</f>
        <v>0.36305133554700125</v>
      </c>
      <c r="D6" s="4">
        <f>VLOOKUP("3.03",'Income (DRE)'!A1:F10000,5,0)/VLOOKUP("3.01",'Income (DRE)'!A1:F10000,5,0)</f>
        <v>0.28195988721604509</v>
      </c>
      <c r="E6" s="4">
        <f>VLOOKUP("3.03",'Income (DRE)'!A1:F10000,6,0)/VLOOKUP("3.01",'Income (DRE)'!A1:F10000,6,0)</f>
        <v>0.30997890931003313</v>
      </c>
    </row>
    <row r="7" spans="1:5" x14ac:dyDescent="0.2">
      <c r="A7" t="s">
        <v>612</v>
      </c>
      <c r="B7" s="4">
        <f>VLOOKUP("3.05",'Income (DRE)'!A1:C10000,3,0)/VLOOKUP("3.01",'Income (DRE)'!A1:C10000,3,0)</f>
        <v>0.19667610043957368</v>
      </c>
      <c r="C7" s="4">
        <f>VLOOKUP("3.05",'Income (DRE)'!A1:F10000,4,0)/VLOOKUP("3.01",'Income (DRE)'!A1:F10000,4,0)</f>
        <v>0.22762579216988432</v>
      </c>
      <c r="D7" s="4">
        <f>VLOOKUP("3.05",'Income (DRE)'!A1:F10000,5,0)/VLOOKUP("3.01",'Income (DRE)'!A1:F10000,5,0)</f>
        <v>8.902129772481425E-2</v>
      </c>
      <c r="E7" s="4">
        <f>VLOOKUP("3.05",'Income (DRE)'!A1:F10000,6,0)/VLOOKUP("3.01",'Income (DRE)'!A1:F10000,6,0)</f>
        <v>0.17598674299487799</v>
      </c>
    </row>
    <row r="8" spans="1:5" x14ac:dyDescent="0.2">
      <c r="A8" t="s">
        <v>613</v>
      </c>
      <c r="B8" s="4">
        <f>VLOOKUP("3.11",'Income (DRE)'!A1:C10000,3,0)/VLOOKUP("3.01",'Income (DRE)'!A1:C10000,3,0)</f>
        <v>8.0014451737219244E-2</v>
      </c>
      <c r="C8" s="4">
        <f>VLOOKUP("3.11",'Income (DRE)'!A1:F10000,4,0)/VLOOKUP("3.01",'Income (DRE)'!A1:F10000,4,0)</f>
        <v>0.11595799907927086</v>
      </c>
      <c r="D8" s="4">
        <f>VLOOKUP("3.11",'Income (DRE)'!A1:F10000,5,0)/VLOOKUP("3.01",'Income (DRE)'!A1:F10000,5,0)</f>
        <v>4.7170647798407545E-3</v>
      </c>
      <c r="E8" s="4">
        <f>VLOOKUP("3.11",'Income (DRE)'!A1:F10000,6,0)/VLOOKUP("3.01",'Income (DRE)'!A1:F10000,6,0)</f>
        <v>3.0316360349502861E-2</v>
      </c>
    </row>
    <row r="9" spans="1:5" x14ac:dyDescent="0.2">
      <c r="A9" t="s">
        <v>614</v>
      </c>
      <c r="B9" s="4">
        <f>VLOOKUP("3.11",'Income (DRE)'!A1:D10000,4,0)/B2</f>
        <v>8.6391951532818992E-2</v>
      </c>
    </row>
    <row r="10" spans="1:5" x14ac:dyDescent="0.2">
      <c r="A10" t="s">
        <v>615</v>
      </c>
      <c r="B10" s="4">
        <f>4*VLOOKUP("3.11",'Income (DRE)'!A1:C10000,3,0)/VLOOKUP("2.03",Passive!A1:C10000,3,0)</f>
        <v>9.1526182563325467E-2</v>
      </c>
    </row>
    <row r="11" spans="1:5" x14ac:dyDescent="0.2">
      <c r="A11" t="s">
        <v>616</v>
      </c>
      <c r="B11" s="4">
        <f>4*VLOOKUP("3.05",'Income (DRE)'!A1:C10000,3,0)/VLOOKUP("1",Active!A1:C10000,3,0)</f>
        <v>8.016070427149892E-2</v>
      </c>
    </row>
    <row r="12" spans="1:5" x14ac:dyDescent="0.2">
      <c r="A12" t="s">
        <v>617</v>
      </c>
      <c r="B12" s="4">
        <f>4*VLOOKUP("3.01",'Income (DRE)'!A1:C10000,3,0)/VLOOKUP("1",Active!A1:C10000,3,0)</f>
        <v>0.40757725057766903</v>
      </c>
    </row>
    <row r="14" spans="1:5" ht="20" x14ac:dyDescent="0.25">
      <c r="A14" s="2" t="s">
        <v>618</v>
      </c>
    </row>
    <row r="15" spans="1:5" x14ac:dyDescent="0.2">
      <c r="A15" t="s">
        <v>619</v>
      </c>
      <c r="B15" s="5">
        <f>(VLOOKUP("3.99.99.22",'Income (DRE)'!A1:C10000,3,0)*VLOOKUP("3.99.99.30",'Income (DRE)'!A1:C10000,3,0))/(4*VLOOKUP("3.11",'Income (DRE)'!A1:C10000,3,0))</f>
        <v>10.312495558774836</v>
      </c>
    </row>
    <row r="16" spans="1:5" x14ac:dyDescent="0.2">
      <c r="A16" t="s">
        <v>620</v>
      </c>
      <c r="B16" s="5">
        <f>(VLOOKUP("3.99.99.22",'Income (DRE)'!A1:C10000,3,0)*VLOOKUP("3.99.99.30",'Income (DRE)'!A1:C10000,3,0))/VLOOKUP("2.03",Passive!A1:C10000,3,0)</f>
        <v>0.9438633511959087</v>
      </c>
    </row>
    <row r="17" spans="1:5" x14ac:dyDescent="0.2">
      <c r="A17" t="s">
        <v>621</v>
      </c>
      <c r="B17" s="5">
        <f>(VLOOKUP("3.99.99.22",'Income (DRE)'!A1:C10000,3,0)*VLOOKUP("3.99.99.30",'Income (DRE)'!A1:C10000,3,0))/(4*VLOOKUP("3.05",'Income (DRE)'!A1:C10000,3,0))</f>
        <v>4.1954699952544248</v>
      </c>
    </row>
    <row r="19" spans="1:5" ht="20" x14ac:dyDescent="0.25">
      <c r="A19" s="2" t="s">
        <v>622</v>
      </c>
      <c r="B19" s="2" t="s">
        <v>3</v>
      </c>
      <c r="C19" s="2" t="s">
        <v>4</v>
      </c>
    </row>
    <row r="20" spans="1:5" x14ac:dyDescent="0.2">
      <c r="A20" t="s">
        <v>623</v>
      </c>
      <c r="B20" s="4">
        <f>(IFERROR(VLOOKUP("2.01.04",Passive!A1:C10000,3,0), 0)+IFERROR(VLOOKUP("2.02.01",Passive!A1:C10000,3,0), 0))/VLOOKUP("2.03",Passive!A1:C10000,3,0)</f>
        <v>1.1015239440015154</v>
      </c>
      <c r="C20" s="4">
        <f>(IFERROR(VLOOKUP("2.01.04",Passive!A1:D10000,4,0), 0)+IFERROR(VLOOKUP("2.02.01",Passive!A1:D10000,4,0), 0))/VLOOKUP("2.03",Passive!A1:D10000,4,0)</f>
        <v>1.0359906812887096</v>
      </c>
    </row>
    <row r="21" spans="1:5" x14ac:dyDescent="0.2">
      <c r="A21" t="s">
        <v>624</v>
      </c>
      <c r="B21" s="4">
        <f>(VLOOKUP("2.01",Passive!A1:C10000,3,0)+VLOOKUP("2.02",Passive!A1:C10000,3,0))/VLOOKUP("2.03",Passive!A1:C10000,3,0)</f>
        <v>1.8065124928968712</v>
      </c>
      <c r="C21" s="4">
        <f>(VLOOKUP("2.01",Passive!A1:D10000,4,0)+VLOOKUP("2.02",Passive!A1:D10000,4,0))/VLOOKUP("2.03",Passive!A1:D10000,4,0)</f>
        <v>1.7420307972043867</v>
      </c>
    </row>
    <row r="22" spans="1:5" x14ac:dyDescent="0.2">
      <c r="A22" t="s">
        <v>625</v>
      </c>
      <c r="B22" s="4">
        <f>VLOOKUP("2.02",Passive!A1:C10000,3,0)/VLOOKUP("2.03",Passive!A1:C10000,3,0)</f>
        <v>1.1019544366573106</v>
      </c>
      <c r="C22" s="4">
        <f>VLOOKUP("2.02",Passive!A1:D10000,4,0)/VLOOKUP("2.03",Passive!A1:D10000,4,0)</f>
        <v>1.2407939845066955</v>
      </c>
    </row>
    <row r="23" spans="1:5" x14ac:dyDescent="0.2">
      <c r="A23" t="s">
        <v>626</v>
      </c>
      <c r="B23" s="4">
        <f>IFERROR(VLOOKUP("2.01",Passive!A1:C10000,3,0), 0)/(IFERROR(VLOOKUP("2.01",Passive!A1:C10000,3,0), 0)+IFERROR(VLOOKUP("2.02",Passive!A1:C10000,3,0), 0))</f>
        <v>0.39001006580903941</v>
      </c>
      <c r="C23" s="4">
        <f>IFERROR(VLOOKUP("2.01",Passive!A1:D10000,4,0), 0)/(IFERROR(VLOOKUP("2.01",Passive!A1:D10000,4,0), 0)+IFERROR(VLOOKUP("2.02",Passive!A1:D10000,4,0), 0))</f>
        <v>0.28773131537173546</v>
      </c>
    </row>
    <row r="24" spans="1:5" x14ac:dyDescent="0.2">
      <c r="A24" t="s">
        <v>627</v>
      </c>
      <c r="B24" s="4">
        <f>IFERROR(VLOOKUP("2.02",Passive!A1:C10000,3,0), 0)/(IFERROR(VLOOKUP("2.01",Passive!A1:C10000,3,0), 0)+IFERROR(VLOOKUP("2.02",Passive!A1:C10000,3,0), 0))</f>
        <v>0.60998993419096059</v>
      </c>
      <c r="C24" s="4">
        <f>IFERROR(VLOOKUP("2.02",Passive!A1:D10000,4,0), 0)/(IFERROR(VLOOKUP("2.01",Passive!A1:D10000,4,0), 0)+IFERROR(VLOOKUP("2.02",Passive!A1:D10000,4,0), 0))</f>
        <v>0.71226868462826454</v>
      </c>
    </row>
    <row r="25" spans="1:5" x14ac:dyDescent="0.2">
      <c r="A25" t="s">
        <v>628</v>
      </c>
      <c r="B25" s="5">
        <f>(IFERROR(VLOOKUP("1.01.01",Active!A1:C10000,3,0), 0)+IFERROR(VLOOKUP("1.01.02",Active!A1:C10000,3,0), 0)+IFERROR(VLOOKUP("1.01.03",Active!A1:C10000,3,0), 0))/VLOOKUP("2.01",Passive!A1:C10000,3,0)</f>
        <v>0.23173932808352762</v>
      </c>
      <c r="C25" s="5">
        <f>(IFERROR(VLOOKUP("1.01.01",Active!A1:D10000,4,0), 0)+IFERROR(VLOOKUP("1.01.02",Active!A1:D10000,4,0), 0)+IFERROR(VLOOKUP("1.01.03",Active!A1:D10000,4,0), 0))/VLOOKUP("2.01",Passive!A1:D10000,4,0)</f>
        <v>0.29530906370211385</v>
      </c>
    </row>
    <row r="27" spans="1:5" ht="26" x14ac:dyDescent="0.3">
      <c r="A27" s="1" t="s">
        <v>629</v>
      </c>
    </row>
    <row r="28" spans="1:5" ht="20" x14ac:dyDescent="0.25">
      <c r="A28" s="2" t="s">
        <v>607</v>
      </c>
      <c r="B28" s="3">
        <f>VLOOKUP("3.99.99.22",'Income (DRE)'!A1:C10000,3,0)*VLOOKUP("3.99.99.30",'Income (DRE)'!A1:C10000,3,0)</f>
        <v>274064881.97000003</v>
      </c>
    </row>
    <row r="31" spans="1:5" ht="20" x14ac:dyDescent="0.25">
      <c r="A31" s="2" t="s">
        <v>608</v>
      </c>
      <c r="B31" s="2" t="s">
        <v>3</v>
      </c>
      <c r="C31" s="2" t="s">
        <v>230</v>
      </c>
      <c r="D31" s="2" t="s">
        <v>609</v>
      </c>
      <c r="E31" s="2" t="s">
        <v>610</v>
      </c>
    </row>
    <row r="32" spans="1:5" x14ac:dyDescent="0.2">
      <c r="A32" t="s">
        <v>611</v>
      </c>
      <c r="B32" s="4">
        <f>VLOOKUP("3.03c",'Income (DRE)'!A1:C10000,3,0)/VLOOKUP("3.01c",'Income (DRE)'!A1:F10000,3,0)</f>
        <v>0.35257480154691634</v>
      </c>
      <c r="C32" s="4">
        <f>VLOOKUP("3.03c",'Income (DRE)'!A1:F10000,4,0)/VLOOKUP("3.01c",'Income (DRE)'!A1:F10000,4,0)</f>
        <v>0.36186001649061122</v>
      </c>
      <c r="D32" s="4">
        <f>VLOOKUP("3.03c",'Income (DRE)'!A1:F10000,5,0)/VLOOKUP("3.01c",'Income (DRE)'!A1:F10000,5,0)</f>
        <v>0.29568934309821504</v>
      </c>
      <c r="E32" s="4">
        <f>VLOOKUP("3.03c",'Income (DRE)'!A1:F10000,6,0)/VLOOKUP("3.01c",'Income (DRE)'!A1:F10000,6,0)</f>
        <v>0.32045100225404594</v>
      </c>
    </row>
    <row r="33" spans="1:5" x14ac:dyDescent="0.2">
      <c r="A33" t="s">
        <v>612</v>
      </c>
      <c r="B33" s="4">
        <f>VLOOKUP("3.05c",'Income (DRE)'!A1:C10000,3,0)/VLOOKUP("3.01c",'Income (DRE)'!A1:C10000,3,0)</f>
        <v>0.18312639934866681</v>
      </c>
      <c r="C33" s="4">
        <f>VLOOKUP("3.05c",'Income (DRE)'!A1:F10000,4,0)/VLOOKUP("3.01c",'Income (DRE)'!A1:F10000,4,0)</f>
        <v>0.20728387187106209</v>
      </c>
      <c r="D33" s="4">
        <f>VLOOKUP("3.05c",'Income (DRE)'!A1:F10000,5,0)/VLOOKUP("3.01c",'Income (DRE)'!A1:F10000,5,0)</f>
        <v>0.11439391829801454</v>
      </c>
      <c r="E33" s="4">
        <f>VLOOKUP("3.05c",'Income (DRE)'!A1:F10000,6,0)/VLOOKUP("3.01c",'Income (DRE)'!A1:F10000,6,0)</f>
        <v>0.18680586727675533</v>
      </c>
    </row>
    <row r="34" spans="1:5" x14ac:dyDescent="0.2">
      <c r="A34" t="s">
        <v>613</v>
      </c>
      <c r="B34" s="4">
        <f>VLOOKUP("3.11c",'Income (DRE)'!A1:C10000,3,0)/VLOOKUP("3.01c",'Income (DRE)'!A1:C10000,3,0)</f>
        <v>7.0262568695298191E-2</v>
      </c>
      <c r="C34" s="4">
        <f>VLOOKUP("3.11c",'Income (DRE)'!A1:F10000,4,0)/VLOOKUP("3.01c",'Income (DRE)'!A1:F10000,4,0)</f>
        <v>9.2254079870564262E-2</v>
      </c>
      <c r="D34" s="4">
        <f>VLOOKUP("3.11c",'Income (DRE)'!A1:F10000,5,0)/VLOOKUP("3.01c",'Income (DRE)'!A1:F10000,5,0)</f>
        <v>9.0501517640834278E-3</v>
      </c>
      <c r="E34" s="4">
        <f>VLOOKUP("3.11c",'Income (DRE)'!A1:F10000,6,0)/VLOOKUP("3.01c",'Income (DRE)'!A1:F10000,6,0)</f>
        <v>2.7748415651863329E-2</v>
      </c>
    </row>
    <row r="35" spans="1:5" x14ac:dyDescent="0.2">
      <c r="A35" t="s">
        <v>614</v>
      </c>
      <c r="B35" s="4">
        <f>VLOOKUP("3.11c",'Income (DRE)'!A1:D10000,4,0)/B2</f>
        <v>8.6548848686846577E-2</v>
      </c>
    </row>
    <row r="36" spans="1:5" x14ac:dyDescent="0.2">
      <c r="A36" t="s">
        <v>615</v>
      </c>
      <c r="B36" s="4">
        <f>4*VLOOKUP("3.11c",'Income (DRE)'!A1:C10000,3,0)/VLOOKUP("2.03c",Passive!A1:C10000,3,0)</f>
        <v>9.3242171013758757E-2</v>
      </c>
    </row>
    <row r="37" spans="1:5" x14ac:dyDescent="0.2">
      <c r="A37" t="s">
        <v>616</v>
      </c>
      <c r="B37" s="4">
        <f>4*VLOOKUP("3.05c",'Income (DRE)'!A1:C10000,3,0)/VLOOKUP("1c",Active!A1:C10000,3,0)</f>
        <v>8.3040671192354018E-2</v>
      </c>
    </row>
    <row r="38" spans="1:5" x14ac:dyDescent="0.2">
      <c r="A38" t="s">
        <v>617</v>
      </c>
      <c r="B38" s="4">
        <f>4*VLOOKUP("3.01c",'Income (DRE)'!A1:C10000,3,0)/VLOOKUP("1c",Active!A1:C10000,3,0)</f>
        <v>0.45346095094813305</v>
      </c>
    </row>
    <row r="40" spans="1:5" ht="20" x14ac:dyDescent="0.25">
      <c r="A40" s="2" t="s">
        <v>618</v>
      </c>
    </row>
    <row r="41" spans="1:5" x14ac:dyDescent="0.2">
      <c r="A41" t="s">
        <v>619</v>
      </c>
      <c r="B41" s="5">
        <f>(VLOOKUP("3.99.99.22",'Income (DRE)'!A1:C10000,3,0)*VLOOKUP("3.99.99.30",'Income (DRE)'!A1:C10000,3,0))/(4*VLOOKUP("3.11c",'Income (DRE)'!A1:C10000,3,0))</f>
        <v>9.9241339067931644</v>
      </c>
    </row>
    <row r="42" spans="1:5" x14ac:dyDescent="0.2">
      <c r="A42" t="s">
        <v>620</v>
      </c>
      <c r="B42" s="5">
        <f>(VLOOKUP("3.99.99.22",'Income (DRE)'!A1:C10000,3,0)*VLOOKUP("3.99.99.30",'Income (DRE)'!A1:C10000,3,0))/VLOOKUP("2.03c",Passive!A1:C10000,3,0)</f>
        <v>0.92534779090065</v>
      </c>
    </row>
    <row r="43" spans="1:5" x14ac:dyDescent="0.2">
      <c r="A43" t="s">
        <v>621</v>
      </c>
      <c r="B43" s="5">
        <f>(VLOOKUP("3.99.99.22",'Income (DRE)'!A1:C10000,3,0)*VLOOKUP("3.99.99.30",'Income (DRE)'!A1:C10000,3,0))/(4*VLOOKUP("3.05c",'Income (DRE)'!A1:C10000,3,0))</f>
        <v>3.807725936006447</v>
      </c>
    </row>
    <row r="45" spans="1:5" ht="20" x14ac:dyDescent="0.25">
      <c r="A45" s="2" t="s">
        <v>622</v>
      </c>
      <c r="B45" s="2" t="s">
        <v>3</v>
      </c>
      <c r="C45" s="2" t="s">
        <v>4</v>
      </c>
    </row>
    <row r="46" spans="1:5" x14ac:dyDescent="0.2">
      <c r="A46" t="s">
        <v>623</v>
      </c>
      <c r="B46" s="4">
        <f>(IFERROR(VLOOKUP("2.01.04c",Passive!A1:C10000,3,0), 0)+IFERROR(VLOOKUP("2.02.01c",Passive!A1:C10000,3,0), 0))/VLOOKUP("2.03c",Passive!A1:C10000,3,0)</f>
        <v>1.1911910188233308</v>
      </c>
      <c r="C46" s="4">
        <f>(IFERROR(VLOOKUP("2.01.04c",Passive!A1:D10000,4,0), 0)+IFERROR(VLOOKUP("2.02.01c",Passive!A1:D10000,4,0), 0))/VLOOKUP("2.03c",Passive!A1:D10000,4,0)</f>
        <v>1.3407675559792143</v>
      </c>
    </row>
    <row r="47" spans="1:5" x14ac:dyDescent="0.2">
      <c r="A47" t="s">
        <v>624</v>
      </c>
      <c r="B47" s="4">
        <f>(VLOOKUP("2.01c",Passive!A1:C10000,3,0)+VLOOKUP("2.02c",Passive!A1:C10000,3,0))/VLOOKUP("2.03c",Passive!A1:C10000,3,0)</f>
        <v>1.9264995357474466</v>
      </c>
      <c r="C47" s="4">
        <f>(VLOOKUP("2.01c",Passive!A1:D10000,4,0)+VLOOKUP("2.02c",Passive!A1:D10000,4,0))/VLOOKUP("2.03c",Passive!A1:D10000,4,0)</f>
        <v>2.0841514934590464</v>
      </c>
    </row>
    <row r="48" spans="1:5" x14ac:dyDescent="0.2">
      <c r="A48" t="s">
        <v>625</v>
      </c>
      <c r="B48" s="4">
        <f>VLOOKUP("2.02c",Passive!A1:C10000,3,0)/VLOOKUP("2.03c",Passive!A1:C10000,3,0)</f>
        <v>1.6088765088207986</v>
      </c>
      <c r="C48" s="4">
        <f>VLOOKUP("2.02c",Passive!A1:D10000,4,0)/VLOOKUP("2.03c",Passive!A1:D10000,4,0)</f>
        <v>1.7780229888468115</v>
      </c>
    </row>
    <row r="49" spans="1:3" x14ac:dyDescent="0.2">
      <c r="A49" t="s">
        <v>626</v>
      </c>
      <c r="B49" s="4">
        <f>IFERROR(VLOOKUP("2.01c",Passive!A1:C10000,3,0), 0)/(IFERROR(VLOOKUP("2.01c",Passive!A1:C10000,3,0), 0)+IFERROR(VLOOKUP("2.02c",Passive!A1:C10000,3,0), 0))</f>
        <v>0.16487054423473618</v>
      </c>
      <c r="C49" s="4">
        <f>IFERROR(VLOOKUP("2.01c",Passive!A1:D10000,4,0), 0)/(IFERROR(VLOOKUP("2.01c",Passive!A1:D10000,4,0), 0)+IFERROR(VLOOKUP("2.02c",Passive!A1:D10000,4,0), 0))</f>
        <v>0.14688399839118998</v>
      </c>
    </row>
    <row r="50" spans="1:3" x14ac:dyDescent="0.2">
      <c r="A50" t="s">
        <v>627</v>
      </c>
      <c r="B50" s="4">
        <f>IFERROR(VLOOKUP("2.02c",Passive!A1:C10000,3,0), 0)/(IFERROR(VLOOKUP("2.01c",Passive!A1:C10000,3,0), 0)+IFERROR(VLOOKUP("2.02c",Passive!A1:C10000,3,0), 0))</f>
        <v>0.83512945576526387</v>
      </c>
      <c r="C50" s="4">
        <f>IFERROR(VLOOKUP("2.02c",Passive!A1:D10000,4,0), 0)/(IFERROR(VLOOKUP("2.01c",Passive!A1:D10000,4,0), 0)+IFERROR(VLOOKUP("2.02c",Passive!A1:D10000,4,0), 0))</f>
        <v>0.85311600160880996</v>
      </c>
    </row>
    <row r="51" spans="1:3" x14ac:dyDescent="0.2">
      <c r="A51" t="s">
        <v>628</v>
      </c>
      <c r="B51" s="5">
        <f>(IFERROR(VLOOKUP("1.01.01c",Active!A1:C10000,3,0), 0)+IFERROR(VLOOKUP("1.01.02c",Active!A1:C10000,3,0), 0)+IFERROR(VLOOKUP("1.01.03c",Active!A1:C10000,3,0), 0))/VLOOKUP("2.01c",Passive!A1:C10000,3,0)</f>
        <v>0.92085849136831366</v>
      </c>
      <c r="C51" s="5">
        <f>(IFERROR(VLOOKUP("1.01.01c",Active!A1:D10000,4,0), 0)+IFERROR(VLOOKUP("1.01.02c",Active!A1:D10000,4,0), 0)+IFERROR(VLOOKUP("1.01.03c",Active!A1:D10000,4,0), 0))/VLOOKUP("2.01c",Passive!A1:D10000,4,0)</f>
        <v>1.1774035257769431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Passive</vt:lpstr>
      <vt:lpstr>Income (DRE)</vt:lpstr>
      <vt:lpstr>Comprehensive (DRA)</vt:lpstr>
      <vt:lpstr>Cash-flow</vt:lpstr>
      <vt:lpstr>Added value (DVA)</vt:lpstr>
      <vt:lpstr>Basic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2018-11-27T17:07:39Z</dcterms:created>
  <dcterms:modified xsi:type="dcterms:W3CDTF">2018-11-27T17:23:31Z</dcterms:modified>
</cp:coreProperties>
</file>