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accounts/xalperte/documents/MasterUOC/Classes/Project/code/django-davinci-api/"/>
    </mc:Choice>
  </mc:AlternateContent>
  <xr:revisionPtr revIDLastSave="0" documentId="13_ncr:1_{172190ED-A64A-254E-B33C-16DBBCA1D1BE}" xr6:coauthVersionLast="36" xr6:coauthVersionMax="36" xr10:uidLastSave="{00000000-0000-0000-0000-000000000000}"/>
  <bookViews>
    <workbookView xWindow="240" yWindow="460" windowWidth="16100" windowHeight="9660" activeTab="2" xr2:uid="{00000000-000D-0000-FFFF-FFFF00000000}"/>
  </bookViews>
  <sheets>
    <sheet name="Active" sheetId="1" r:id="rId1"/>
    <sheet name="Passive" sheetId="2" r:id="rId2"/>
    <sheet name="Income (DRE)" sheetId="3" r:id="rId3"/>
    <sheet name="Comprehensive (DRA)" sheetId="4" r:id="rId4"/>
    <sheet name="Cash-flow" sheetId="5" r:id="rId5"/>
    <sheet name="Added value (DVA)" sheetId="6" r:id="rId6"/>
    <sheet name="Basic Indicators" sheetId="7" r:id="rId7"/>
  </sheets>
  <calcPr calcId="162913"/>
</workbook>
</file>

<file path=xl/calcChain.xml><?xml version="1.0" encoding="utf-8"?>
<calcChain xmlns="http://schemas.openxmlformats.org/spreadsheetml/2006/main">
  <c r="C51" i="7" l="1"/>
  <c r="B51" i="7"/>
  <c r="C50" i="7"/>
  <c r="B50" i="7"/>
  <c r="C49" i="7"/>
  <c r="B49" i="7"/>
  <c r="C48" i="7"/>
  <c r="B48" i="7"/>
  <c r="C47" i="7"/>
  <c r="B47" i="7"/>
  <c r="C46" i="7"/>
  <c r="B46" i="7"/>
  <c r="B43" i="7"/>
  <c r="B42" i="7"/>
  <c r="B41" i="7"/>
  <c r="B38" i="7"/>
  <c r="B37" i="7"/>
  <c r="B36" i="7"/>
  <c r="E34" i="7"/>
  <c r="D34" i="7"/>
  <c r="C34" i="7"/>
  <c r="B34" i="7"/>
  <c r="E33" i="7"/>
  <c r="D33" i="7"/>
  <c r="C33" i="7"/>
  <c r="B33" i="7"/>
  <c r="E32" i="7"/>
  <c r="D32" i="7"/>
  <c r="C32" i="7"/>
  <c r="B32" i="7"/>
  <c r="B28" i="7"/>
  <c r="C25" i="7"/>
  <c r="B25" i="7"/>
  <c r="C24" i="7"/>
  <c r="B24" i="7"/>
  <c r="C23" i="7"/>
  <c r="B23" i="7"/>
  <c r="C22" i="7"/>
  <c r="B22" i="7"/>
  <c r="C21" i="7"/>
  <c r="B21" i="7"/>
  <c r="C20" i="7"/>
  <c r="B20" i="7"/>
  <c r="B17" i="7"/>
  <c r="B16" i="7"/>
  <c r="B15" i="7"/>
  <c r="B12" i="7"/>
  <c r="B11" i="7"/>
  <c r="B10" i="7"/>
  <c r="E8" i="7"/>
  <c r="D8" i="7"/>
  <c r="C8" i="7"/>
  <c r="B8" i="7"/>
  <c r="E7" i="7"/>
  <c r="D7" i="7"/>
  <c r="C7" i="7"/>
  <c r="B7" i="7"/>
  <c r="E6" i="7"/>
  <c r="D6" i="7"/>
  <c r="C6" i="7"/>
  <c r="B6" i="7"/>
  <c r="B2" i="7"/>
  <c r="B35" i="7" s="1"/>
  <c r="E54" i="6"/>
  <c r="E84" i="5"/>
  <c r="E18" i="5"/>
  <c r="H49" i="3"/>
  <c r="H8" i="3"/>
  <c r="E55" i="2"/>
  <c r="E79" i="1"/>
  <c r="E83" i="5"/>
  <c r="E102" i="2"/>
  <c r="E26" i="6"/>
  <c r="E58" i="5"/>
  <c r="H9" i="4"/>
  <c r="H27" i="3"/>
  <c r="E93" i="2"/>
  <c r="E27" i="2"/>
  <c r="E53" i="1"/>
  <c r="E51" i="6"/>
  <c r="E81" i="5"/>
  <c r="E15" i="5"/>
  <c r="G48" i="3"/>
  <c r="G3" i="3"/>
  <c r="E18" i="2"/>
  <c r="E69" i="6"/>
  <c r="G14" i="4"/>
  <c r="G19" i="3"/>
  <c r="E18" i="1"/>
  <c r="E4" i="5"/>
  <c r="E65" i="2"/>
  <c r="E91" i="5"/>
  <c r="E50" i="6"/>
  <c r="E80" i="5"/>
  <c r="E14" i="5"/>
  <c r="H47" i="3"/>
  <c r="H6" i="3"/>
  <c r="E49" i="2"/>
  <c r="E75" i="1"/>
  <c r="E9" i="1"/>
  <c r="H9" i="3"/>
  <c r="E21" i="6"/>
  <c r="G58" i="3"/>
  <c r="E64" i="2"/>
  <c r="E22" i="1"/>
  <c r="E49" i="6"/>
  <c r="E79" i="5"/>
  <c r="E13" i="5"/>
  <c r="G47" i="3"/>
  <c r="G6" i="3"/>
  <c r="E48" i="2"/>
  <c r="E74" i="1"/>
  <c r="E64" i="6"/>
  <c r="E12" i="5"/>
  <c r="E73" i="2"/>
  <c r="E47" i="6"/>
  <c r="E35" i="5"/>
  <c r="G17" i="3"/>
  <c r="E14" i="2"/>
  <c r="E5" i="1"/>
  <c r="E44" i="2"/>
  <c r="E4" i="2"/>
  <c r="E62" i="1"/>
  <c r="E3" i="5"/>
  <c r="E64" i="1"/>
  <c r="E28" i="2"/>
  <c r="H6" i="4"/>
  <c r="E91" i="2"/>
  <c r="E51" i="1"/>
  <c r="E61" i="5"/>
  <c r="E21" i="1"/>
  <c r="G6" i="4"/>
  <c r="E48" i="1"/>
  <c r="E7" i="2"/>
  <c r="E88" i="2"/>
  <c r="E33" i="5"/>
  <c r="E17" i="6"/>
  <c r="G23" i="3"/>
  <c r="E52" i="1"/>
  <c r="G8" i="3"/>
  <c r="E86" i="5"/>
  <c r="E65" i="1"/>
  <c r="E46" i="5"/>
  <c r="H22" i="3"/>
  <c r="E41" i="1"/>
  <c r="E43" i="5"/>
  <c r="G49" i="3"/>
  <c r="G63" i="3"/>
  <c r="E82" i="2"/>
  <c r="E73" i="1"/>
  <c r="E30" i="1"/>
  <c r="E86" i="1"/>
  <c r="H20" i="3"/>
  <c r="E61" i="6"/>
  <c r="E82" i="5"/>
  <c r="H48" i="3"/>
  <c r="E77" i="1"/>
  <c r="E11" i="1"/>
  <c r="E39" i="5"/>
  <c r="E42" i="1"/>
  <c r="E84" i="1"/>
  <c r="E62" i="2"/>
  <c r="H59" i="3"/>
  <c r="E33" i="1"/>
  <c r="G5" i="3"/>
  <c r="G59" i="3"/>
  <c r="E78" i="5"/>
  <c r="E39" i="1"/>
  <c r="G45" i="3"/>
  <c r="E4" i="6"/>
  <c r="H57" i="3"/>
  <c r="E71" i="2"/>
  <c r="G37" i="3"/>
  <c r="H3" i="3"/>
  <c r="E69" i="1"/>
  <c r="G56" i="3"/>
  <c r="E49" i="5"/>
  <c r="E31" i="1"/>
  <c r="H55" i="3"/>
  <c r="E25" i="1"/>
  <c r="E96" i="2"/>
  <c r="G55" i="3"/>
  <c r="E24" i="1"/>
  <c r="E46" i="6"/>
  <c r="E76" i="5"/>
  <c r="E10" i="5"/>
  <c r="H45" i="3"/>
  <c r="H4" i="3"/>
  <c r="E45" i="2"/>
  <c r="E71" i="1"/>
  <c r="E59" i="5"/>
  <c r="E70" i="2"/>
  <c r="E18" i="6"/>
  <c r="E48" i="5"/>
  <c r="H3" i="4"/>
  <c r="H23" i="3"/>
  <c r="E85" i="2"/>
  <c r="E19" i="2"/>
  <c r="E43" i="1"/>
  <c r="E43" i="6"/>
  <c r="E73" i="5"/>
  <c r="E7" i="5"/>
  <c r="G44" i="3"/>
  <c r="E100" i="2"/>
  <c r="E92" i="1"/>
  <c r="E53" i="6"/>
  <c r="G61" i="3"/>
  <c r="E76" i="2"/>
  <c r="E56" i="6"/>
  <c r="H5" i="4"/>
  <c r="E39" i="2"/>
  <c r="E17" i="5"/>
  <c r="E42" i="6"/>
  <c r="E72" i="5"/>
  <c r="E6" i="5"/>
  <c r="H43" i="3"/>
  <c r="E107" i="2"/>
  <c r="E41" i="2"/>
  <c r="E67" i="1"/>
  <c r="E8" i="1"/>
  <c r="E81" i="2"/>
  <c r="E5" i="6"/>
  <c r="G50" i="3"/>
  <c r="E46" i="2"/>
  <c r="E6" i="1"/>
  <c r="E41" i="6"/>
  <c r="E71" i="5"/>
  <c r="E5" i="5"/>
  <c r="G43" i="3"/>
  <c r="E106" i="2"/>
  <c r="E40" i="2"/>
  <c r="E66" i="1"/>
  <c r="E48" i="6"/>
  <c r="H11" i="4"/>
  <c r="E57" i="2"/>
  <c r="E39" i="6"/>
  <c r="E19" i="5"/>
  <c r="G9" i="3"/>
  <c r="E88" i="1"/>
  <c r="E45" i="6"/>
  <c r="G25" i="3"/>
  <c r="E28" i="1"/>
  <c r="E85" i="5"/>
  <c r="E30" i="2"/>
  <c r="E31" i="6"/>
  <c r="G12" i="4"/>
  <c r="G39" i="3"/>
  <c r="E32" i="2"/>
  <c r="E58" i="1"/>
  <c r="H58" i="3"/>
  <c r="E31" i="2"/>
  <c r="E104" i="2"/>
  <c r="E12" i="2"/>
  <c r="E56" i="5"/>
  <c r="E25" i="2"/>
  <c r="E62" i="5"/>
  <c r="G21" i="3"/>
  <c r="E23" i="6"/>
  <c r="G26" i="3"/>
  <c r="E24" i="2"/>
  <c r="H46" i="3"/>
  <c r="G5" i="4"/>
  <c r="E36" i="1"/>
  <c r="E19" i="1"/>
  <c r="G3" i="4"/>
  <c r="E68" i="2"/>
  <c r="E3" i="6"/>
  <c r="E10" i="2"/>
  <c r="H21" i="3"/>
  <c r="G4" i="3"/>
  <c r="H63" i="3"/>
  <c r="E17" i="2"/>
  <c r="E20" i="5"/>
  <c r="G13" i="3"/>
  <c r="E15" i="6"/>
  <c r="G22" i="3"/>
  <c r="E94" i="5"/>
  <c r="G62" i="3"/>
  <c r="G10" i="4"/>
  <c r="H61" i="3"/>
  <c r="G53" i="3"/>
  <c r="E52" i="6"/>
  <c r="E16" i="5"/>
  <c r="E51" i="2"/>
  <c r="E9" i="6"/>
  <c r="G60" i="3"/>
  <c r="E67" i="5"/>
  <c r="E70" i="5"/>
  <c r="E47" i="1"/>
  <c r="E38" i="5"/>
  <c r="E9" i="2"/>
  <c r="E27" i="5"/>
  <c r="E37" i="5"/>
  <c r="E8" i="2"/>
  <c r="H17" i="3"/>
  <c r="E14" i="1"/>
  <c r="E78" i="1"/>
  <c r="E70" i="6"/>
  <c r="E34" i="5"/>
  <c r="H16" i="3"/>
  <c r="E27" i="6"/>
  <c r="H44" i="3"/>
  <c r="E3" i="1"/>
  <c r="G11" i="3"/>
  <c r="E52" i="2"/>
  <c r="E66" i="6"/>
  <c r="H14" i="3"/>
  <c r="H50" i="3"/>
  <c r="E56" i="1"/>
  <c r="G14" i="3"/>
  <c r="E38" i="6"/>
  <c r="E68" i="5"/>
  <c r="H14" i="4"/>
  <c r="H41" i="3"/>
  <c r="E103" i="2"/>
  <c r="E37" i="2"/>
  <c r="E63" i="1"/>
  <c r="E41" i="5"/>
  <c r="E36" i="2"/>
  <c r="E10" i="6"/>
  <c r="E40" i="5"/>
  <c r="H60" i="3"/>
  <c r="H19" i="3"/>
  <c r="E77" i="2"/>
  <c r="E11" i="2"/>
  <c r="E35" i="1"/>
  <c r="E33" i="6"/>
  <c r="E65" i="5"/>
  <c r="G13" i="4"/>
  <c r="G40" i="3"/>
  <c r="E92" i="2"/>
  <c r="E76" i="1"/>
  <c r="E35" i="6"/>
  <c r="G41" i="3"/>
  <c r="E42" i="2"/>
  <c r="E30" i="6"/>
  <c r="H54" i="3"/>
  <c r="E23" i="2"/>
  <c r="G57" i="3"/>
  <c r="E32" i="6"/>
  <c r="E64" i="5"/>
  <c r="H12" i="4"/>
  <c r="H39" i="3"/>
  <c r="E99" i="2"/>
  <c r="E33" i="2"/>
  <c r="E59" i="1"/>
  <c r="E22" i="6"/>
  <c r="E47" i="2"/>
  <c r="G42" i="3"/>
  <c r="E55" i="1"/>
  <c r="E63" i="5"/>
  <c r="E98" i="2"/>
  <c r="E40" i="6"/>
  <c r="E29" i="6"/>
  <c r="E75" i="5"/>
  <c r="H26" i="3"/>
  <c r="E15" i="2"/>
  <c r="E6" i="2"/>
  <c r="E55" i="5"/>
  <c r="E90" i="2"/>
  <c r="E14" i="6"/>
  <c r="E13" i="6"/>
  <c r="E46" i="1"/>
  <c r="E44" i="1"/>
  <c r="E47" i="5"/>
  <c r="E16" i="6"/>
  <c r="E83" i="2"/>
  <c r="E81" i="1"/>
  <c r="E80" i="1"/>
  <c r="E45" i="5"/>
  <c r="E16" i="2"/>
  <c r="E93" i="5"/>
  <c r="E20" i="1"/>
  <c r="E79" i="2"/>
  <c r="E94" i="2"/>
  <c r="E8" i="6"/>
  <c r="H62" i="3"/>
  <c r="E78" i="2"/>
  <c r="E74" i="2"/>
  <c r="E77" i="5"/>
  <c r="E12" i="1"/>
  <c r="E5" i="2"/>
  <c r="E8" i="5"/>
  <c r="E97" i="5"/>
  <c r="E50" i="2"/>
  <c r="E60" i="1"/>
  <c r="E105" i="2"/>
  <c r="E30" i="5"/>
  <c r="E91" i="1"/>
  <c r="E23" i="1"/>
  <c r="E65" i="6"/>
  <c r="E66" i="2"/>
  <c r="E28" i="6"/>
  <c r="E60" i="5"/>
  <c r="H10" i="4"/>
  <c r="H37" i="3"/>
  <c r="E95" i="2"/>
  <c r="E29" i="2"/>
  <c r="E37" i="1"/>
  <c r="E9" i="5"/>
  <c r="E68" i="6"/>
  <c r="E98" i="5"/>
  <c r="E32" i="5"/>
  <c r="H56" i="3"/>
  <c r="H15" i="3"/>
  <c r="E69" i="2"/>
  <c r="E3" i="2"/>
  <c r="E27" i="1"/>
  <c r="E25" i="6"/>
  <c r="E57" i="5"/>
  <c r="G9" i="4"/>
  <c r="G27" i="3"/>
  <c r="E84" i="2"/>
  <c r="E68" i="1"/>
  <c r="E19" i="6"/>
  <c r="G24" i="3"/>
  <c r="E26" i="2"/>
  <c r="E6" i="6"/>
  <c r="H42" i="3"/>
  <c r="E89" i="1"/>
  <c r="G20" i="3"/>
  <c r="E24" i="6"/>
  <c r="E40" i="1"/>
  <c r="E72" i="2"/>
  <c r="E42" i="5"/>
  <c r="E31" i="5"/>
  <c r="E44" i="5"/>
  <c r="E96" i="5"/>
  <c r="E67" i="2"/>
  <c r="E11" i="5"/>
  <c r="E29" i="5"/>
  <c r="E90" i="1"/>
  <c r="E20" i="6"/>
  <c r="E50" i="5"/>
  <c r="H4" i="4"/>
  <c r="H24" i="3"/>
  <c r="E87" i="2"/>
  <c r="E21" i="2"/>
  <c r="E13" i="1"/>
  <c r="G4" i="4"/>
  <c r="E60" i="6"/>
  <c r="E90" i="5"/>
  <c r="E24" i="5"/>
  <c r="H52" i="3"/>
  <c r="H11" i="3"/>
  <c r="E61" i="2"/>
  <c r="E85" i="1"/>
  <c r="H25" i="3"/>
  <c r="G15" i="3"/>
  <c r="H18" i="3"/>
  <c r="E57" i="1"/>
  <c r="E7" i="6"/>
  <c r="E32" i="1"/>
  <c r="E56" i="2"/>
  <c r="E74" i="5"/>
  <c r="E12" i="6"/>
  <c r="E13" i="2"/>
  <c r="H7" i="3"/>
  <c r="E60" i="2"/>
  <c r="H13" i="3"/>
  <c r="E75" i="2"/>
  <c r="E72" i="1"/>
  <c r="G18" i="3"/>
  <c r="G54" i="3"/>
  <c r="E44" i="6"/>
  <c r="E43" i="2"/>
  <c r="E26" i="1"/>
  <c r="E92" i="5"/>
  <c r="E34" i="6"/>
  <c r="E89" i="5"/>
  <c r="E34" i="1"/>
  <c r="H10" i="3"/>
  <c r="E38" i="1"/>
  <c r="E82" i="1"/>
  <c r="E69" i="5"/>
  <c r="G16" i="3"/>
  <c r="E86" i="2"/>
  <c r="H13" i="4"/>
  <c r="E89" i="2"/>
  <c r="E95" i="5"/>
  <c r="G46" i="3"/>
  <c r="H12" i="3"/>
  <c r="G7" i="3"/>
  <c r="E17" i="1"/>
  <c r="E36" i="5"/>
  <c r="E20" i="2"/>
  <c r="E63" i="2"/>
  <c r="E34" i="2"/>
  <c r="E21" i="5"/>
  <c r="E38" i="2"/>
  <c r="E35" i="2"/>
  <c r="E88" i="5"/>
  <c r="G51" i="3"/>
  <c r="E22" i="2"/>
  <c r="E61" i="1"/>
  <c r="G11" i="4"/>
  <c r="E62" i="6"/>
  <c r="H51" i="3"/>
  <c r="E26" i="5"/>
  <c r="E66" i="5"/>
  <c r="E23" i="5"/>
  <c r="E28" i="5"/>
  <c r="E59" i="2"/>
  <c r="E57" i="6"/>
  <c r="E16" i="1"/>
  <c r="E51" i="5"/>
  <c r="H53" i="3"/>
  <c r="G52" i="3"/>
  <c r="E83" i="1"/>
  <c r="E54" i="5"/>
  <c r="E54" i="1"/>
  <c r="H40" i="3"/>
  <c r="E7" i="1"/>
  <c r="E87" i="5"/>
  <c r="G38" i="3"/>
  <c r="E101" i="2"/>
  <c r="E58" i="6"/>
  <c r="H5" i="3"/>
  <c r="E70" i="1"/>
  <c r="E10" i="1"/>
  <c r="E55" i="6"/>
  <c r="E97" i="2"/>
  <c r="E25" i="5"/>
  <c r="G10" i="3"/>
  <c r="E59" i="6"/>
  <c r="E80" i="2"/>
  <c r="E29" i="1"/>
  <c r="E4" i="1"/>
  <c r="H38" i="3"/>
  <c r="E22" i="5"/>
  <c r="E15" i="1"/>
  <c r="E67" i="6"/>
  <c r="E63" i="6"/>
  <c r="E87" i="1"/>
  <c r="E11" i="6"/>
  <c r="E45" i="1"/>
  <c r="G12" i="3"/>
  <c r="E58" i="2"/>
  <c r="B9" i="7" l="1"/>
</calcChain>
</file>

<file path=xl/sharedStrings.xml><?xml version="1.0" encoding="utf-8"?>
<sst xmlns="http://schemas.openxmlformats.org/spreadsheetml/2006/main" count="992" uniqueCount="667">
  <si>
    <t>Individual details: Balance sheet assets (BPA)</t>
  </si>
  <si>
    <t>Account</t>
  </si>
  <si>
    <t>Description</t>
  </si>
  <si>
    <t>Current Quarter</t>
  </si>
  <si>
    <t>End Prev. Exercise</t>
  </si>
  <si>
    <t>Evolution</t>
  </si>
  <si>
    <t>1</t>
  </si>
  <si>
    <t>Ativo Total</t>
  </si>
  <si>
    <t>1.01</t>
  </si>
  <si>
    <t>Ativo Circulante</t>
  </si>
  <si>
    <t>1.01.01</t>
  </si>
  <si>
    <t>Caixa e Equivalentes de Caixa</t>
  </si>
  <si>
    <t>1.01.03</t>
  </si>
  <si>
    <t>Contas a Receber</t>
  </si>
  <si>
    <t>1.01.03.01</t>
  </si>
  <si>
    <t>Clientes</t>
  </si>
  <si>
    <t>1.01.04</t>
  </si>
  <si>
    <t>Estoques</t>
  </si>
  <si>
    <t>1.01.06</t>
  </si>
  <si>
    <t>Tributos a Recuperar</t>
  </si>
  <si>
    <t>1.01.06.01</t>
  </si>
  <si>
    <t>Tributos Correntes a Recuperar</t>
  </si>
  <si>
    <t>1.01.08</t>
  </si>
  <si>
    <t>Outros Ativos Circulantes</t>
  </si>
  <si>
    <t>1.01.08.03</t>
  </si>
  <si>
    <t>Outros</t>
  </si>
  <si>
    <t>1.01.08.03.01</t>
  </si>
  <si>
    <t>Dividendos a Receber</t>
  </si>
  <si>
    <t>1.01.08.03.02</t>
  </si>
  <si>
    <t>Créditos com Controlada</t>
  </si>
  <si>
    <t>1.01.08.03.03</t>
  </si>
  <si>
    <t>Adiantamento a Fornecedores</t>
  </si>
  <si>
    <t>1.01.08.03.04</t>
  </si>
  <si>
    <t>1.01.08.03.05</t>
  </si>
  <si>
    <t>1.02</t>
  </si>
  <si>
    <t>Ativo Não Circulante</t>
  </si>
  <si>
    <t>1.02.01</t>
  </si>
  <si>
    <t>Ativo Realizável a Longo Prazo</t>
  </si>
  <si>
    <t>1.02.01.08</t>
  </si>
  <si>
    <t>Créditos com Partes Relacionadas</t>
  </si>
  <si>
    <t>1.02.01.09</t>
  </si>
  <si>
    <t>Outros Ativos Não Circulantes</t>
  </si>
  <si>
    <t>1.02.01.09.02</t>
  </si>
  <si>
    <t>Ativos de Operações Descontinuadas</t>
  </si>
  <si>
    <t>1.02.01.09.03</t>
  </si>
  <si>
    <t>Depósitos Judiciais</t>
  </si>
  <si>
    <t>1.02.01.09.04</t>
  </si>
  <si>
    <t>Recebíveis da Eletrobrás</t>
  </si>
  <si>
    <t>1.02.01.10</t>
  </si>
  <si>
    <t>1.02.01.10.03</t>
  </si>
  <si>
    <t>1.02.01.10.04</t>
  </si>
  <si>
    <t>Recebíveis Eletrobrás</t>
  </si>
  <si>
    <t>1.02.01.10.05</t>
  </si>
  <si>
    <t>1.02.01.10.06</t>
  </si>
  <si>
    <t>Ativo Tributário</t>
  </si>
  <si>
    <t>1.02.01.10.07</t>
  </si>
  <si>
    <t>Ativo Atuarial</t>
  </si>
  <si>
    <t>1.02.01.10.08</t>
  </si>
  <si>
    <t>Aplicações financeiras</t>
  </si>
  <si>
    <t>1.02.01.10.10</t>
  </si>
  <si>
    <t>1.02.02</t>
  </si>
  <si>
    <t>Investimentos</t>
  </si>
  <si>
    <t>1.02.02.01</t>
  </si>
  <si>
    <t>Participações Societárias</t>
  </si>
  <si>
    <t>1.02.02.01.02</t>
  </si>
  <si>
    <t>Participações em Controladas</t>
  </si>
  <si>
    <t>1.02.02.01.04</t>
  </si>
  <si>
    <t>Outras Participações Societárias</t>
  </si>
  <si>
    <t>1.02.03</t>
  </si>
  <si>
    <t>Imobilizado</t>
  </si>
  <si>
    <t>1.02.03.01</t>
  </si>
  <si>
    <t>Imobilizado em Operação</t>
  </si>
  <si>
    <t>1.02.04</t>
  </si>
  <si>
    <t>Intangível</t>
  </si>
  <si>
    <t>1.01.06.01.01</t>
  </si>
  <si>
    <t>Imposto de Renda e Contribuição Social a Recuperar</t>
  </si>
  <si>
    <t>1.01.06.01.02</t>
  </si>
  <si>
    <t>Demais Tributos Correntes a Recuperar</t>
  </si>
  <si>
    <t>1.02.01.08.02</t>
  </si>
  <si>
    <t>Créditos com Controladas</t>
  </si>
  <si>
    <t>1.02.01.08.04</t>
  </si>
  <si>
    <t>Créditos com Outras Partes Relacionadas</t>
  </si>
  <si>
    <t>1.02.01.09.05</t>
  </si>
  <si>
    <t>1.02.01.09.06</t>
  </si>
  <si>
    <t>1.02.01.09.07</t>
  </si>
  <si>
    <t>1.02.01.09.08</t>
  </si>
  <si>
    <t>1.02.01.09.10</t>
  </si>
  <si>
    <t>Consolidated details: Balance sheet assets (BPA)</t>
  </si>
  <si>
    <t>1c</t>
  </si>
  <si>
    <t>1.01c</t>
  </si>
  <si>
    <t>1.01.01c</t>
  </si>
  <si>
    <t>1.01.03c</t>
  </si>
  <si>
    <t>1.01.03.01c</t>
  </si>
  <si>
    <t>1.01.04c</t>
  </si>
  <si>
    <t>1.01.06c</t>
  </si>
  <si>
    <t>1.01.06.01c</t>
  </si>
  <si>
    <t>1.01.08c</t>
  </si>
  <si>
    <t>1.01.08.03c</t>
  </si>
  <si>
    <t>1.01.08.03.01c</t>
  </si>
  <si>
    <t>1.01.08.03.03c</t>
  </si>
  <si>
    <t>1.01.08.03.04c</t>
  </si>
  <si>
    <t>1.01.08.03.05c</t>
  </si>
  <si>
    <t>1.02c</t>
  </si>
  <si>
    <t>1.02.01c</t>
  </si>
  <si>
    <t>1.02.01.08c</t>
  </si>
  <si>
    <t>1.02.01.09c</t>
  </si>
  <si>
    <t>1.02.01.09.03c</t>
  </si>
  <si>
    <t>1.02.01.09.04c</t>
  </si>
  <si>
    <t>1.02.01.10c</t>
  </si>
  <si>
    <t>1.02.01.10.03c</t>
  </si>
  <si>
    <t>1.02.01.10.04c</t>
  </si>
  <si>
    <t>1.02.01.10.05c</t>
  </si>
  <si>
    <t>1.02.01.10.06c</t>
  </si>
  <si>
    <t>1.02.01.10.07c</t>
  </si>
  <si>
    <t>1.02.01.10.08c</t>
  </si>
  <si>
    <t>Aplicações Financeiras</t>
  </si>
  <si>
    <t>1.02.01.10.09c</t>
  </si>
  <si>
    <t>1.02.02c</t>
  </si>
  <si>
    <t>1.02.02.01c</t>
  </si>
  <si>
    <t>1.02.02.01.04c</t>
  </si>
  <si>
    <t>1.02.02.01.05c</t>
  </si>
  <si>
    <t>Outros Investimentos</t>
  </si>
  <si>
    <t>1.02.03c</t>
  </si>
  <si>
    <t>1.02.04c</t>
  </si>
  <si>
    <t>1.01.06.01.01c</t>
  </si>
  <si>
    <t>1.01.06.01.02c</t>
  </si>
  <si>
    <t>1.02.01.08.04c</t>
  </si>
  <si>
    <t>1.02.01.09.05c</t>
  </si>
  <si>
    <t>1.02.01.09.06c</t>
  </si>
  <si>
    <t>1.02.01.09.07c</t>
  </si>
  <si>
    <t>1.02.01.09.08c</t>
  </si>
  <si>
    <t>1.02.01.09.09c</t>
  </si>
  <si>
    <t>Individual details: Balance sheet liabilities (BPP)</t>
  </si>
  <si>
    <t>2</t>
  </si>
  <si>
    <t>Passivo Total</t>
  </si>
  <si>
    <t>2.01</t>
  </si>
  <si>
    <t>Passivo Circulante</t>
  </si>
  <si>
    <t>2.01.01</t>
  </si>
  <si>
    <t>Obrigações Sociais e Trabalhistas</t>
  </si>
  <si>
    <t>2.01.02</t>
  </si>
  <si>
    <t>Fornecedores</t>
  </si>
  <si>
    <t>2.01.03</t>
  </si>
  <si>
    <t>Obrigações Fiscais</t>
  </si>
  <si>
    <t>2.01.03.01</t>
  </si>
  <si>
    <t>Obrigações Fiscais Federais</t>
  </si>
  <si>
    <t>2.01.03.01.02</t>
  </si>
  <si>
    <t>Parcelamento de Obrigações Tributárias</t>
  </si>
  <si>
    <t>2.01.03.01.03</t>
  </si>
  <si>
    <t>Impostos, Taxas e Contribuições</t>
  </si>
  <si>
    <t>2.01.04</t>
  </si>
  <si>
    <t>Empréstimos e Financiamentos</t>
  </si>
  <si>
    <t>2.01.04.01</t>
  </si>
  <si>
    <t>2.01.04.02</t>
  </si>
  <si>
    <t>Debêntures</t>
  </si>
  <si>
    <t>2.01.05</t>
  </si>
  <si>
    <t>Outras Obrigações</t>
  </si>
  <si>
    <t>2.01.05.02</t>
  </si>
  <si>
    <t>2.01.05.02.04</t>
  </si>
  <si>
    <t>Cessão de Crédito Fornecedores</t>
  </si>
  <si>
    <t>2.01.05.02.05</t>
  </si>
  <si>
    <t>Adiantamento de Clientes</t>
  </si>
  <si>
    <t>2.01.05.02.06</t>
  </si>
  <si>
    <t>Dividendos a Pagar</t>
  </si>
  <si>
    <t>2.01.05.02.07</t>
  </si>
  <si>
    <t>Contas a pagar de investimentos</t>
  </si>
  <si>
    <t>2.01.05.02.08</t>
  </si>
  <si>
    <t>2.01.06</t>
  </si>
  <si>
    <t>Provisões</t>
  </si>
  <si>
    <t>2.01.06.02</t>
  </si>
  <si>
    <t>Outras Provisões</t>
  </si>
  <si>
    <t>2.01.06.02.06</t>
  </si>
  <si>
    <t>Provisão para Participação nos Lucros</t>
  </si>
  <si>
    <t>2.02</t>
  </si>
  <si>
    <t>Passivo Não Circulante</t>
  </si>
  <si>
    <t>2.02.01</t>
  </si>
  <si>
    <t>2.02.01.01</t>
  </si>
  <si>
    <t>2.02.01.02</t>
  </si>
  <si>
    <t>2.02.02</t>
  </si>
  <si>
    <t>2.02.02.01</t>
  </si>
  <si>
    <t>Passivos com Partes Relacionadas</t>
  </si>
  <si>
    <t>2.02.02.02</t>
  </si>
  <si>
    <t>2.02.02.02.03</t>
  </si>
  <si>
    <t>2.02.02.02.06</t>
  </si>
  <si>
    <t>2.02.03</t>
  </si>
  <si>
    <t>Tributos Diferidos</t>
  </si>
  <si>
    <t>2.02.03.01</t>
  </si>
  <si>
    <t>Imposto de Renda e Contribuição Social Diferidos</t>
  </si>
  <si>
    <t>2.02.04</t>
  </si>
  <si>
    <t>2.02.04.01</t>
  </si>
  <si>
    <t>Provisões Fiscais Previdenciárias Trabalhistas e Cíveis</t>
  </si>
  <si>
    <t>2.02.04.01.05</t>
  </si>
  <si>
    <t>Provisão para perdas em investimentos</t>
  </si>
  <si>
    <t>2.02.04.01.06</t>
  </si>
  <si>
    <t>Provisão para contingências</t>
  </si>
  <si>
    <t>2.02.04.01.07</t>
  </si>
  <si>
    <t>Provisão para Incentivo de longo prazo</t>
  </si>
  <si>
    <t>2.02.04.02</t>
  </si>
  <si>
    <t>2.03</t>
  </si>
  <si>
    <t>Patrimônio Líquido</t>
  </si>
  <si>
    <t>2.03.01</t>
  </si>
  <si>
    <t>Capital Social Realizado</t>
  </si>
  <si>
    <t>2.03.04</t>
  </si>
  <si>
    <t>Reservas de Lucros</t>
  </si>
  <si>
    <t>2.03.04.01</t>
  </si>
  <si>
    <t>Reserva Legal</t>
  </si>
  <si>
    <t>2.03.04.04</t>
  </si>
  <si>
    <t>Reserva de Lucros a Realizar</t>
  </si>
  <si>
    <t>2.03.04.05</t>
  </si>
  <si>
    <t>Reserva de Retenção de Lucros</t>
  </si>
  <si>
    <t>2.03.04.10</t>
  </si>
  <si>
    <t>Reserva de Lucros a Destinar</t>
  </si>
  <si>
    <t>2.03.05</t>
  </si>
  <si>
    <t>Lucros/Prejuízos Acumulados</t>
  </si>
  <si>
    <t>2.03.06</t>
  </si>
  <si>
    <t>Ajustes de Avaliação Patrimonial</t>
  </si>
  <si>
    <t>2.02.04.02.04</t>
  </si>
  <si>
    <t>Provisão para Perda em Investimentos</t>
  </si>
  <si>
    <t>2.02.04.02.05</t>
  </si>
  <si>
    <t>Provisões para Contigências</t>
  </si>
  <si>
    <t>2.02.04.02.06</t>
  </si>
  <si>
    <t>Provisão para Incentivo de Longo Prazo</t>
  </si>
  <si>
    <t>Consolidated details: Balance sheet liabilities (BPP)</t>
  </si>
  <si>
    <t>2c</t>
  </si>
  <si>
    <t>2.01c</t>
  </si>
  <si>
    <t>2.01.01c</t>
  </si>
  <si>
    <t>2.01.02c</t>
  </si>
  <si>
    <t>2.01.03c</t>
  </si>
  <si>
    <t>2.01.03.01c</t>
  </si>
  <si>
    <t>2.01.03.01.01c</t>
  </si>
  <si>
    <t>Imposto de Renda e Contribuição Social a Pagar</t>
  </si>
  <si>
    <t>2.01.03.01.02c</t>
  </si>
  <si>
    <t>2.01.03.01.03c</t>
  </si>
  <si>
    <t>2.01.04c</t>
  </si>
  <si>
    <t>2.01.04.01c</t>
  </si>
  <si>
    <t>2.01.04.02c</t>
  </si>
  <si>
    <t>2.01.05c</t>
  </si>
  <si>
    <t>2.01.05.02c</t>
  </si>
  <si>
    <t>2.01.05.02.04c</t>
  </si>
  <si>
    <t>2.01.05.02.05c</t>
  </si>
  <si>
    <t>2.01.05.02.06c</t>
  </si>
  <si>
    <t>2.01.05.02.08c</t>
  </si>
  <si>
    <t>2.01.05.02.09c</t>
  </si>
  <si>
    <t>2.01.06c</t>
  </si>
  <si>
    <t>2.01.06.01c</t>
  </si>
  <si>
    <t>2.01.06.01.05c</t>
  </si>
  <si>
    <t>Provisão para participação nos lucros</t>
  </si>
  <si>
    <t>2.01.06.02c</t>
  </si>
  <si>
    <t>2.02c</t>
  </si>
  <si>
    <t>2.02.01c</t>
  </si>
  <si>
    <t>2.02.01.01c</t>
  </si>
  <si>
    <t>2.02.01.01.01c</t>
  </si>
  <si>
    <t>Em Moeda Nacional</t>
  </si>
  <si>
    <t>2.02.01.02c</t>
  </si>
  <si>
    <t>2.02.02c</t>
  </si>
  <si>
    <t>2.02.02.01c</t>
  </si>
  <si>
    <t>2.02.02.02c</t>
  </si>
  <si>
    <t>2.02.02.02.03c</t>
  </si>
  <si>
    <t>2.02.02.02.04c</t>
  </si>
  <si>
    <t>Divida com Pessoas Ligadas</t>
  </si>
  <si>
    <t>2.02.02.02.05c</t>
  </si>
  <si>
    <t>Plano de Previdência Privada</t>
  </si>
  <si>
    <t>2.02.03c</t>
  </si>
  <si>
    <t>2.02.03.01c</t>
  </si>
  <si>
    <t>2.02.04c</t>
  </si>
  <si>
    <t>2.02.04.02c</t>
  </si>
  <si>
    <t>2.02.04.02.04c</t>
  </si>
  <si>
    <t>2.02.04.02.05c</t>
  </si>
  <si>
    <t>Provisões para Contingências</t>
  </si>
  <si>
    <t>2.03c</t>
  </si>
  <si>
    <t>Patrimônio Líquido Consolidado</t>
  </si>
  <si>
    <t>2.03.01c</t>
  </si>
  <si>
    <t>2.03.04c</t>
  </si>
  <si>
    <t>2.03.04.01c</t>
  </si>
  <si>
    <t>2.03.04.04c</t>
  </si>
  <si>
    <t>2.03.04.05c</t>
  </si>
  <si>
    <t>2.03.04.10c</t>
  </si>
  <si>
    <t>2.03.05c</t>
  </si>
  <si>
    <t>2.03.06c</t>
  </si>
  <si>
    <t>2.03.09c</t>
  </si>
  <si>
    <t>Participação dos Acionistas Não Controladores</t>
  </si>
  <si>
    <t>2.01.06.02.06c</t>
  </si>
  <si>
    <t>Provisões para Participação nos Lucros</t>
  </si>
  <si>
    <t>2.02.02.02.06c</t>
  </si>
  <si>
    <t>2.02.04.02.06c</t>
  </si>
  <si>
    <t>Individual details: Income statement (DRE)</t>
  </si>
  <si>
    <t>Accum. Year</t>
  </si>
  <si>
    <t>Quarter Prev. Exercise</t>
  </si>
  <si>
    <t>Accum. Prev. Exercise</t>
  </si>
  <si>
    <t>Quarter Evolution</t>
  </si>
  <si>
    <t>Accum. Evolution</t>
  </si>
  <si>
    <t>3.01</t>
  </si>
  <si>
    <t>Receita de Venda de Bens e/ou Serviços</t>
  </si>
  <si>
    <t>3.02</t>
  </si>
  <si>
    <t>Custo dos Bens e/ou Serviços Vendidos</t>
  </si>
  <si>
    <t>3.03</t>
  </si>
  <si>
    <t>Resultado Bruto</t>
  </si>
  <si>
    <t>3.04</t>
  </si>
  <si>
    <t>Despesas/Receitas Operacionais</t>
  </si>
  <si>
    <t>3.04.01</t>
  </si>
  <si>
    <t>Despesas com Vendas</t>
  </si>
  <si>
    <t>3.04.02</t>
  </si>
  <si>
    <t>Despesas Gerais e Administrativas</t>
  </si>
  <si>
    <t>3.04.04</t>
  </si>
  <si>
    <t>Outras Receitas Operacionais</t>
  </si>
  <si>
    <t>3.04.04.01</t>
  </si>
  <si>
    <t>3.04.05</t>
  </si>
  <si>
    <t>Outras Despesas Operacionais</t>
  </si>
  <si>
    <t>3.04.05.01</t>
  </si>
  <si>
    <t>3.04.06</t>
  </si>
  <si>
    <t>Resultado de Equivalência Patrimonial</t>
  </si>
  <si>
    <t>3.05</t>
  </si>
  <si>
    <t>Resultado Antes do Resultado Financeiro e dos Tributos</t>
  </si>
  <si>
    <t>3.06</t>
  </si>
  <si>
    <t>Resultado Financeiro</t>
  </si>
  <si>
    <t>3.06.01</t>
  </si>
  <si>
    <t>Receitas Financeiras</t>
  </si>
  <si>
    <t>3.06.01.01</t>
  </si>
  <si>
    <t>3.06.01.02</t>
  </si>
  <si>
    <t>Variação Cambial, Líquida</t>
  </si>
  <si>
    <t>3.06.02</t>
  </si>
  <si>
    <t>Despesas Financeiras</t>
  </si>
  <si>
    <t>3.06.02.01</t>
  </si>
  <si>
    <t>3.07</t>
  </si>
  <si>
    <t>Resultado Antes dos Tributos sobre o Lucro</t>
  </si>
  <si>
    <t>3.08</t>
  </si>
  <si>
    <t>Imposto de Renda e Contribuição Social sobre o Lucro</t>
  </si>
  <si>
    <t>3.08.01</t>
  </si>
  <si>
    <t>Corrente</t>
  </si>
  <si>
    <t>3.08.02</t>
  </si>
  <si>
    <t>Diferido</t>
  </si>
  <si>
    <t>3.09</t>
  </si>
  <si>
    <t>Resultado Líquido das Operações Continuadas</t>
  </si>
  <si>
    <t>3.11</t>
  </si>
  <si>
    <t>Lucro/Prejuízo do Período</t>
  </si>
  <si>
    <t>3.99.01.01</t>
  </si>
  <si>
    <t>ON</t>
  </si>
  <si>
    <t>3.99.99.10</t>
  </si>
  <si>
    <t>Ordinary shares in treasury</t>
  </si>
  <si>
    <t>3.99.99.11</t>
  </si>
  <si>
    <t>Preferred shares in treasury</t>
  </si>
  <si>
    <t>3.99.99.12</t>
  </si>
  <si>
    <t>Total shares in treasury</t>
  </si>
  <si>
    <t>3.99.99.20</t>
  </si>
  <si>
    <t>Ordinary shares</t>
  </si>
  <si>
    <t>3.99.99.21</t>
  </si>
  <si>
    <t>Preferred shares</t>
  </si>
  <si>
    <t>3.99.99.22</t>
  </si>
  <si>
    <t>Total shares</t>
  </si>
  <si>
    <t>3.99.99.30</t>
  </si>
  <si>
    <t>Stock price</t>
  </si>
  <si>
    <t>Consolidated details: Income statement (DRE)</t>
  </si>
  <si>
    <t>3.01c</t>
  </si>
  <si>
    <t>3.02c</t>
  </si>
  <si>
    <t>3.03c</t>
  </si>
  <si>
    <t>3.04c</t>
  </si>
  <si>
    <t>3.04.01c</t>
  </si>
  <si>
    <t>3.04.02c</t>
  </si>
  <si>
    <t>3.04.04c</t>
  </si>
  <si>
    <t>3.04.04.01c</t>
  </si>
  <si>
    <t>3.04.05c</t>
  </si>
  <si>
    <t>3.04.05.01c</t>
  </si>
  <si>
    <t>3.05c</t>
  </si>
  <si>
    <t>3.06c</t>
  </si>
  <si>
    <t>3.06.01c</t>
  </si>
  <si>
    <t>3.06.01.01c</t>
  </si>
  <si>
    <t>3.06.01.02c</t>
  </si>
  <si>
    <t>3.06.02c</t>
  </si>
  <si>
    <t>3.06.02.01c</t>
  </si>
  <si>
    <t>3.07c</t>
  </si>
  <si>
    <t>3.08c</t>
  </si>
  <si>
    <t>3.08.01c</t>
  </si>
  <si>
    <t>3.08.02c</t>
  </si>
  <si>
    <t>3.09c</t>
  </si>
  <si>
    <t>3.11c</t>
  </si>
  <si>
    <t>Lucro/Prejuízo Consolidado do Período</t>
  </si>
  <si>
    <t>3.11.01c</t>
  </si>
  <si>
    <t>Atribuído a Sócios da Empresa Controladora</t>
  </si>
  <si>
    <t>3.11.02c</t>
  </si>
  <si>
    <t>Atribuído a Sócios Não Controladores</t>
  </si>
  <si>
    <t>3.99.01.01c</t>
  </si>
  <si>
    <t>3.99.02.01c</t>
  </si>
  <si>
    <t>Individual details: Comprehensive Income (DRA)</t>
  </si>
  <si>
    <t>4.01</t>
  </si>
  <si>
    <t>Lucro Líquido do Período</t>
  </si>
  <si>
    <t>4.02</t>
  </si>
  <si>
    <t>Outros Resultados Abrangentes</t>
  </si>
  <si>
    <t>4.02.02</t>
  </si>
  <si>
    <t>Variação Cambial de Controlada Localizada no Exterior</t>
  </si>
  <si>
    <t>4.03</t>
  </si>
  <si>
    <t>Resultado Abrangente do Período</t>
  </si>
  <si>
    <t>Consolidated details: Comprehensive Income (DRA)</t>
  </si>
  <si>
    <t>4.01c</t>
  </si>
  <si>
    <t>Lucro Líquido Consolidado do Período</t>
  </si>
  <si>
    <t>4.02c</t>
  </si>
  <si>
    <t>4.02.02c</t>
  </si>
  <si>
    <t>4.03c</t>
  </si>
  <si>
    <t>Resultado Abrangente Consolidado do Período</t>
  </si>
  <si>
    <t>4.03.01c</t>
  </si>
  <si>
    <t>4.03.02c</t>
  </si>
  <si>
    <t>Individual details: Cash-flow</t>
  </si>
  <si>
    <t>6.01</t>
  </si>
  <si>
    <t>Caixa Líquido Atividades Operacionais</t>
  </si>
  <si>
    <t>6.01.01</t>
  </si>
  <si>
    <t>Caixa Gerado nas Operações</t>
  </si>
  <si>
    <t>6.01.01.01</t>
  </si>
  <si>
    <t>Lucro/Prejuízo do Exercício Antes dos Tributos</t>
  </si>
  <si>
    <t>6.01.01.02</t>
  </si>
  <si>
    <t>Depreciação e Amortização</t>
  </si>
  <si>
    <t>6.01.01.03</t>
  </si>
  <si>
    <t>Equivalência Patrimonial</t>
  </si>
  <si>
    <t>6.01.01.04</t>
  </si>
  <si>
    <t>Variação Cambial Não Realizada</t>
  </si>
  <si>
    <t>6.01.01.05</t>
  </si>
  <si>
    <t>Provisão de Estoque a Valor de Mercado</t>
  </si>
  <si>
    <t>6.01.01.06</t>
  </si>
  <si>
    <t>Provisão para Devedores Duvidosos</t>
  </si>
  <si>
    <t>6.01.01.07</t>
  </si>
  <si>
    <t>Provisão para Contingências</t>
  </si>
  <si>
    <t>6.01.01.08</t>
  </si>
  <si>
    <t>Provisão de Obrigações Trabalhistas</t>
  </si>
  <si>
    <t>6.01.01.09</t>
  </si>
  <si>
    <t>Provisão para Participação nos Lucros e Incentivo de Longo Prazo</t>
  </si>
  <si>
    <t>6.01.01.10</t>
  </si>
  <si>
    <t>6.01.01.13</t>
  </si>
  <si>
    <t>Atualizações de Ativos Tributários</t>
  </si>
  <si>
    <t>6.01.01.14</t>
  </si>
  <si>
    <t>Atualizações de Créditos com Outras Pessoas Ligadas</t>
  </si>
  <si>
    <t>6.01.01.15</t>
  </si>
  <si>
    <t>Encargos Financeiros com Tributos Parcelados</t>
  </si>
  <si>
    <t>6.01.01.18</t>
  </si>
  <si>
    <t>Juros Provisionados de Empréstimos</t>
  </si>
  <si>
    <t>6.01.01.20</t>
  </si>
  <si>
    <t>6.01.02</t>
  </si>
  <si>
    <t>Variações nos Ativos e Passivos</t>
  </si>
  <si>
    <t>6.01.02.01</t>
  </si>
  <si>
    <t>(Aumento)/Redução do Contas a Receber</t>
  </si>
  <si>
    <t>6.01.02.02</t>
  </si>
  <si>
    <t>Aumento/(Redução) de Adiantamento de Clientes</t>
  </si>
  <si>
    <t>6.01.02.04</t>
  </si>
  <si>
    <t>(Aumento)/Redução do Estoque</t>
  </si>
  <si>
    <t>6.01.02.05</t>
  </si>
  <si>
    <t>(Aumento)/Redução de Tributos a Recuperar</t>
  </si>
  <si>
    <t>6.01.02.06</t>
  </si>
  <si>
    <t>(Aumento)/Redução de Depósitos Judiciais</t>
  </si>
  <si>
    <t>6.01.02.07</t>
  </si>
  <si>
    <t>(Aumento)/Redução de Aplicação Financeira Vinculadas</t>
  </si>
  <si>
    <t>6.01.02.08</t>
  </si>
  <si>
    <t>(Aumento)/Redução de Outros Ativos</t>
  </si>
  <si>
    <t>6.01.02.09</t>
  </si>
  <si>
    <t>Aumento/(Redução) do Contas a Pagar</t>
  </si>
  <si>
    <t>6.01.02.10</t>
  </si>
  <si>
    <t>(Aumento)/Redução de Adiantamento a Fornecedores</t>
  </si>
  <si>
    <t>6.01.02.11</t>
  </si>
  <si>
    <t>(Aumento)/Redução de Provisões para Contingência</t>
  </si>
  <si>
    <t>6.01.02.12</t>
  </si>
  <si>
    <t>Aumento/(Redução) de Parcelamentos</t>
  </si>
  <si>
    <t>6.01.02.13</t>
  </si>
  <si>
    <t>Aumento/(Redução) de Obrigações Fiscais e Trabalhistas</t>
  </si>
  <si>
    <t>6.01.02.14</t>
  </si>
  <si>
    <t>Aumento/(Redução) de Outras Contas a Pagar</t>
  </si>
  <si>
    <t>6.01.02.15</t>
  </si>
  <si>
    <t>Aumento/(Redução) de contas a pagar de investimento</t>
  </si>
  <si>
    <t>6.01.03</t>
  </si>
  <si>
    <t>6.01.03.01</t>
  </si>
  <si>
    <t>Juros Pagos</t>
  </si>
  <si>
    <t>6.01.03.02</t>
  </si>
  <si>
    <t>Imposto de Renda e Contribuição Social Pagos</t>
  </si>
  <si>
    <t>6.02</t>
  </si>
  <si>
    <t>Caixa Líquido Atividades de Investimento</t>
  </si>
  <si>
    <t>6.02.01</t>
  </si>
  <si>
    <t>Aquisição do Ativo Imobilizado</t>
  </si>
  <si>
    <t>6.02.02</t>
  </si>
  <si>
    <t>Aquisição do Ativo Intangível</t>
  </si>
  <si>
    <t>6.02.03</t>
  </si>
  <si>
    <t>Dividendos Recebidos</t>
  </si>
  <si>
    <t>6.02.04</t>
  </si>
  <si>
    <t>Integralização de Capital em Controladas</t>
  </si>
  <si>
    <t>6.02.06</t>
  </si>
  <si>
    <t>(Concessão)/Recebimento de Créditos com Partes Relacionadas</t>
  </si>
  <si>
    <t>6.02.07</t>
  </si>
  <si>
    <t>Outros investimentos</t>
  </si>
  <si>
    <t>6.03</t>
  </si>
  <si>
    <t>Caixa Líquido Atividades de Financiamento</t>
  </si>
  <si>
    <t>6.03.01</t>
  </si>
  <si>
    <t>Captação de Empréstimos e Financiamentos</t>
  </si>
  <si>
    <t>6.03.02</t>
  </si>
  <si>
    <t>Pagamento de Empréstimos e Financiamentos</t>
  </si>
  <si>
    <t>6.03.03</t>
  </si>
  <si>
    <t>Dividendos Pagos</t>
  </si>
  <si>
    <t>6.05</t>
  </si>
  <si>
    <t>Aumento (Redução) de Caixa e Equivalentes</t>
  </si>
  <si>
    <t>6.05.01</t>
  </si>
  <si>
    <t>Saldo Inicial de Caixa e Equivalentes</t>
  </si>
  <si>
    <t>6.05.02</t>
  </si>
  <si>
    <t>Saldo Final de Caixa e Equivalentes</t>
  </si>
  <si>
    <t>Consolidated details: Cash-flow</t>
  </si>
  <si>
    <t>6.01c</t>
  </si>
  <si>
    <t>6.01.01c</t>
  </si>
  <si>
    <t>6.01.01.01c</t>
  </si>
  <si>
    <t>6.01.01.02c</t>
  </si>
  <si>
    <t>6.01.01.04c</t>
  </si>
  <si>
    <t>6.01.01.05c</t>
  </si>
  <si>
    <t>6.01.01.06c</t>
  </si>
  <si>
    <t>6.01.01.07c</t>
  </si>
  <si>
    <t>6.01.01.08c</t>
  </si>
  <si>
    <t>6.01.01.09c</t>
  </si>
  <si>
    <t>6.01.01.10c</t>
  </si>
  <si>
    <t>6.01.01.13c</t>
  </si>
  <si>
    <t>6.01.01.14c</t>
  </si>
  <si>
    <t>6.01.01.15c</t>
  </si>
  <si>
    <t>6.01.01.18c</t>
  </si>
  <si>
    <t>6.01.01.20c</t>
  </si>
  <si>
    <t>6.01.02c</t>
  </si>
  <si>
    <t>6.01.02.01c</t>
  </si>
  <si>
    <t>6.01.02.02c</t>
  </si>
  <si>
    <t>6.01.02.04c</t>
  </si>
  <si>
    <t>6.01.02.06c</t>
  </si>
  <si>
    <t>6.01.02.07c</t>
  </si>
  <si>
    <t>6.01.02.08c</t>
  </si>
  <si>
    <t>6.01.02.09c</t>
  </si>
  <si>
    <t>6.01.02.10c</t>
  </si>
  <si>
    <t>6.01.02.11c</t>
  </si>
  <si>
    <t>6.01.02.12c</t>
  </si>
  <si>
    <t>(Aumento)/Redução de Provisão para Contingência</t>
  </si>
  <si>
    <t>6.01.02.13c</t>
  </si>
  <si>
    <t>6.01.02.14c</t>
  </si>
  <si>
    <t>6.01.02.15c</t>
  </si>
  <si>
    <t>6.01.02.16c</t>
  </si>
  <si>
    <t>Aumento/(Redução) decontas a pagar de investimento</t>
  </si>
  <si>
    <t>6.01.03c</t>
  </si>
  <si>
    <t>6.01.03.01c</t>
  </si>
  <si>
    <t>6.01.03.02c</t>
  </si>
  <si>
    <t>6.02c</t>
  </si>
  <si>
    <t>6.02.01c</t>
  </si>
  <si>
    <t>6.02.02c</t>
  </si>
  <si>
    <t>6.02.04c</t>
  </si>
  <si>
    <t>Recebimento na Venda de Ativo Permanente</t>
  </si>
  <si>
    <t>6.03c</t>
  </si>
  <si>
    <t>6.03.01c</t>
  </si>
  <si>
    <t>6.03.02c</t>
  </si>
  <si>
    <t>6.03.03c</t>
  </si>
  <si>
    <t>6.05c</t>
  </si>
  <si>
    <t>6.05.01c</t>
  </si>
  <si>
    <t>6.05.02c</t>
  </si>
  <si>
    <t>Individual details: Added value</t>
  </si>
  <si>
    <t>7.01</t>
  </si>
  <si>
    <t>Receitas</t>
  </si>
  <si>
    <t>7.01.01</t>
  </si>
  <si>
    <t>Vendas de Mercadorias, Produtos e Serviços</t>
  </si>
  <si>
    <t>7.01.02</t>
  </si>
  <si>
    <t>Outras Receitas</t>
  </si>
  <si>
    <t>7.01.03</t>
  </si>
  <si>
    <t>Receitas refs. à Construção de Ativos Próprios</t>
  </si>
  <si>
    <t>7.01.04</t>
  </si>
  <si>
    <t>Provisão/Reversão de Créds. Liquidação Duvidosa</t>
  </si>
  <si>
    <t>7.02</t>
  </si>
  <si>
    <t>Insumos Adquiridos de Terceiros</t>
  </si>
  <si>
    <t>7.02.01</t>
  </si>
  <si>
    <t>Custos Prods., Mercs. e Servs. Vendidos</t>
  </si>
  <si>
    <t>7.02.02</t>
  </si>
  <si>
    <t>Materiais, Energia, Servs. de Terceiros e Outros</t>
  </si>
  <si>
    <t>7.02.03</t>
  </si>
  <si>
    <t>Perda/Recuperação de Valores Ativos</t>
  </si>
  <si>
    <t>7.03</t>
  </si>
  <si>
    <t>Valor Adicionado Bruto</t>
  </si>
  <si>
    <t>7.04</t>
  </si>
  <si>
    <t>Retenções</t>
  </si>
  <si>
    <t>7.04.01</t>
  </si>
  <si>
    <t>Depreciação, Amortização e Exaustão</t>
  </si>
  <si>
    <t>7.05</t>
  </si>
  <si>
    <t>Valor Adicionado Líquido Produzido</t>
  </si>
  <si>
    <t>7.06</t>
  </si>
  <si>
    <t>Vlr Adicionado Recebido em Transferência</t>
  </si>
  <si>
    <t>7.06.01</t>
  </si>
  <si>
    <t>7.06.02</t>
  </si>
  <si>
    <t>7.07</t>
  </si>
  <si>
    <t>Valor Adicionado Total a Distribuir</t>
  </si>
  <si>
    <t>7.08</t>
  </si>
  <si>
    <t>Distribuição do Valor Adicionado</t>
  </si>
  <si>
    <t>7.08.01</t>
  </si>
  <si>
    <t>Pessoal</t>
  </si>
  <si>
    <t>7.08.01.01</t>
  </si>
  <si>
    <t>Remuneração Direta</t>
  </si>
  <si>
    <t>7.08.01.02</t>
  </si>
  <si>
    <t>Benefícios</t>
  </si>
  <si>
    <t>7.08.01.03</t>
  </si>
  <si>
    <t>F.G.T.S.</t>
  </si>
  <si>
    <t>7.08.02</t>
  </si>
  <si>
    <t>7.08.02.01</t>
  </si>
  <si>
    <t>Federais</t>
  </si>
  <si>
    <t>7.08.02.02</t>
  </si>
  <si>
    <t>Estaduais</t>
  </si>
  <si>
    <t>7.08.02.03</t>
  </si>
  <si>
    <t>Municipais</t>
  </si>
  <si>
    <t>7.08.03</t>
  </si>
  <si>
    <t>Remuneração de Capitais de Terceiros</t>
  </si>
  <si>
    <t>7.08.03.01</t>
  </si>
  <si>
    <t>Juros</t>
  </si>
  <si>
    <t>7.08.03.02</t>
  </si>
  <si>
    <t>Aluguéis</t>
  </si>
  <si>
    <t>7.08.04</t>
  </si>
  <si>
    <t>Remuneração de Capitais Próprios</t>
  </si>
  <si>
    <t>7.08.04.01</t>
  </si>
  <si>
    <t>Juros sobre o Capital Próprio</t>
  </si>
  <si>
    <t>7.08.04.02</t>
  </si>
  <si>
    <t>Dividendos</t>
  </si>
  <si>
    <t>7.08.04.03</t>
  </si>
  <si>
    <t>Lucros Retidos / Prejuízo do Período</t>
  </si>
  <si>
    <t>Consolidated details: Added value</t>
  </si>
  <si>
    <t>7.01c</t>
  </si>
  <si>
    <t>7.01.01c</t>
  </si>
  <si>
    <t>7.01.02c</t>
  </si>
  <si>
    <t>7.01.03c</t>
  </si>
  <si>
    <t>7.01.04c</t>
  </si>
  <si>
    <t>7.02c</t>
  </si>
  <si>
    <t>7.02.01c</t>
  </si>
  <si>
    <t>7.02.02c</t>
  </si>
  <si>
    <t>7.02.03c</t>
  </si>
  <si>
    <t>7.03c</t>
  </si>
  <si>
    <t>7.04c</t>
  </si>
  <si>
    <t>7.04.01c</t>
  </si>
  <si>
    <t>7.05c</t>
  </si>
  <si>
    <t>7.06c</t>
  </si>
  <si>
    <t>7.06.02c</t>
  </si>
  <si>
    <t>7.07c</t>
  </si>
  <si>
    <t>7.08c</t>
  </si>
  <si>
    <t>7.08.01c</t>
  </si>
  <si>
    <t>7.08.01.01c</t>
  </si>
  <si>
    <t>7.08.01.02c</t>
  </si>
  <si>
    <t>7.08.01.03c</t>
  </si>
  <si>
    <t>7.08.02c</t>
  </si>
  <si>
    <t>7.08.02.01c</t>
  </si>
  <si>
    <t>7.08.02.02c</t>
  </si>
  <si>
    <t>7.08.02.03c</t>
  </si>
  <si>
    <t>7.08.03c</t>
  </si>
  <si>
    <t>7.08.03.01c</t>
  </si>
  <si>
    <t>7.08.03.02c</t>
  </si>
  <si>
    <t>7.08.04c</t>
  </si>
  <si>
    <t>7.08.04.01c</t>
  </si>
  <si>
    <t>7.08.04.02c</t>
  </si>
  <si>
    <t>7.08.04.03c</t>
  </si>
  <si>
    <t>7.08.04.04c</t>
  </si>
  <si>
    <t>Part. Não Controladores nos Lucros Retidos</t>
  </si>
  <si>
    <t>Individual Indicators</t>
  </si>
  <si>
    <t>Market Cap</t>
  </si>
  <si>
    <t>Operational efficiency</t>
  </si>
  <si>
    <t>Quarter Prev. Year</t>
  </si>
  <si>
    <t>Accum. Prev. Year</t>
  </si>
  <si>
    <t>Gross Margin</t>
  </si>
  <si>
    <t>EBIT Margin</t>
  </si>
  <si>
    <t>Net Margin</t>
  </si>
  <si>
    <t>ROE</t>
  </si>
  <si>
    <t>Annualized ROE</t>
  </si>
  <si>
    <t>Annualized EBIT/Assets</t>
  </si>
  <si>
    <t>Annualized RL/Assets</t>
  </si>
  <si>
    <t>Price indicators</t>
  </si>
  <si>
    <t>Price Earnings Ratio (PER)</t>
  </si>
  <si>
    <t>Price per Book Value (P/BV)</t>
  </si>
  <si>
    <t>Enterprise Value per EBIT (EV/EBIT)</t>
  </si>
  <si>
    <t>Debt indicators</t>
  </si>
  <si>
    <t>Loans / Equity (L/E ratio)</t>
  </si>
  <si>
    <t>Total Debt / Equity (D/E)</t>
  </si>
  <si>
    <t>Long Term Debt / Equity (LTD/E)</t>
  </si>
  <si>
    <t>Current Liabilities / Total Debt (Financial Indebtedness)</t>
  </si>
  <si>
    <t>Long Term Debt / Total Debt</t>
  </si>
  <si>
    <t>Quick Ratio</t>
  </si>
  <si>
    <t>Consolidated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</si>
</sst>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0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t="s">
        <v>6</v>
      </c>
      <c r="B3" t="s">
        <v>7</v>
      </c>
      <c r="C3" s="3">
        <v>1666160</v>
      </c>
      <c r="D3" s="3">
        <v>1306897</v>
      </c>
      <c r="E3" s="4">
        <f t="shared" ref="E3:E48" ca="1" si="0">(INDIRECT("RC[-2]",0)-INDIRECT("RC[-1]",0))/INDIRECT("RC[-1]",0)</f>
        <v>0.27489771573429278</v>
      </c>
    </row>
    <row r="4" spans="1:5" x14ac:dyDescent="0.2">
      <c r="A4" t="s">
        <v>8</v>
      </c>
      <c r="B4" t="s">
        <v>9</v>
      </c>
      <c r="C4" s="3">
        <v>589420</v>
      </c>
      <c r="D4" s="3">
        <v>520623</v>
      </c>
      <c r="E4" s="4">
        <f t="shared" ca="1" si="0"/>
        <v>0.13214360487339208</v>
      </c>
    </row>
    <row r="5" spans="1:5" x14ac:dyDescent="0.2">
      <c r="A5" t="s">
        <v>10</v>
      </c>
      <c r="B5" t="s">
        <v>11</v>
      </c>
      <c r="C5" s="3">
        <v>114482</v>
      </c>
      <c r="D5" s="3">
        <v>78756</v>
      </c>
      <c r="E5" s="4">
        <f t="shared" ca="1" si="0"/>
        <v>0.4536289298593123</v>
      </c>
    </row>
    <row r="6" spans="1:5" x14ac:dyDescent="0.2">
      <c r="A6" t="s">
        <v>12</v>
      </c>
      <c r="B6" t="s">
        <v>13</v>
      </c>
      <c r="C6" s="3">
        <v>239043</v>
      </c>
      <c r="D6" s="3">
        <v>203703</v>
      </c>
      <c r="E6" s="4">
        <f t="shared" ca="1" si="0"/>
        <v>0.17348787204901253</v>
      </c>
    </row>
    <row r="7" spans="1:5" x14ac:dyDescent="0.2">
      <c r="A7" t="s">
        <v>14</v>
      </c>
      <c r="B7" t="s">
        <v>15</v>
      </c>
      <c r="C7" s="3">
        <v>239043</v>
      </c>
      <c r="D7" s="3">
        <v>203703</v>
      </c>
      <c r="E7" s="4">
        <f t="shared" ca="1" si="0"/>
        <v>0.17348787204901253</v>
      </c>
    </row>
    <row r="8" spans="1:5" x14ac:dyDescent="0.2">
      <c r="A8" t="s">
        <v>16</v>
      </c>
      <c r="B8" t="s">
        <v>17</v>
      </c>
      <c r="C8" s="3">
        <v>203780</v>
      </c>
      <c r="D8" s="3">
        <v>179166</v>
      </c>
      <c r="E8" s="4">
        <f t="shared" ca="1" si="0"/>
        <v>0.13738097630130716</v>
      </c>
    </row>
    <row r="9" spans="1:5" x14ac:dyDescent="0.2">
      <c r="A9" t="s">
        <v>18</v>
      </c>
      <c r="B9" t="s">
        <v>19</v>
      </c>
      <c r="C9" s="3">
        <v>8626</v>
      </c>
      <c r="D9" s="3">
        <v>14496</v>
      </c>
      <c r="E9" s="4">
        <f t="shared" ca="1" si="0"/>
        <v>-0.404939293598234</v>
      </c>
    </row>
    <row r="10" spans="1:5" x14ac:dyDescent="0.2">
      <c r="A10" t="s">
        <v>20</v>
      </c>
      <c r="B10" t="s">
        <v>21</v>
      </c>
      <c r="C10" s="3">
        <v>8626</v>
      </c>
      <c r="D10" s="3">
        <v>14496</v>
      </c>
      <c r="E10" s="4">
        <f t="shared" ca="1" si="0"/>
        <v>-0.404939293598234</v>
      </c>
    </row>
    <row r="11" spans="1:5" x14ac:dyDescent="0.2">
      <c r="A11" t="s">
        <v>22</v>
      </c>
      <c r="B11" t="s">
        <v>23</v>
      </c>
      <c r="C11" s="3">
        <v>23489</v>
      </c>
      <c r="D11" s="3">
        <v>44502</v>
      </c>
      <c r="E11" s="4">
        <f t="shared" ca="1" si="0"/>
        <v>-0.47218102557188441</v>
      </c>
    </row>
    <row r="12" spans="1:5" x14ac:dyDescent="0.2">
      <c r="A12" t="s">
        <v>24</v>
      </c>
      <c r="B12" t="s">
        <v>25</v>
      </c>
      <c r="C12" s="3">
        <v>23489</v>
      </c>
      <c r="D12" s="3">
        <v>44502</v>
      </c>
      <c r="E12" s="4">
        <f t="shared" ca="1" si="0"/>
        <v>-0.47218102557188441</v>
      </c>
    </row>
    <row r="13" spans="1:5" x14ac:dyDescent="0.2">
      <c r="A13" t="s">
        <v>26</v>
      </c>
      <c r="B13" t="s">
        <v>27</v>
      </c>
      <c r="C13" s="3">
        <v>4091</v>
      </c>
      <c r="D13" s="3">
        <v>32529</v>
      </c>
      <c r="E13" s="4">
        <f t="shared" ca="1" si="0"/>
        <v>-0.8742352977343294</v>
      </c>
    </row>
    <row r="14" spans="1:5" x14ac:dyDescent="0.2">
      <c r="A14" t="s">
        <v>28</v>
      </c>
      <c r="B14" t="s">
        <v>29</v>
      </c>
      <c r="C14" s="3">
        <v>11079</v>
      </c>
      <c r="D14" s="3">
        <v>0</v>
      </c>
      <c r="E14" s="4" t="e">
        <f t="shared" ca="1" si="0"/>
        <v>#DIV/0!</v>
      </c>
    </row>
    <row r="15" spans="1:5" x14ac:dyDescent="0.2">
      <c r="A15" t="s">
        <v>30</v>
      </c>
      <c r="B15" t="s">
        <v>31</v>
      </c>
      <c r="C15" s="3">
        <v>0</v>
      </c>
      <c r="D15" s="3">
        <v>4594</v>
      </c>
      <c r="E15" s="4">
        <f t="shared" ca="1" si="0"/>
        <v>-1</v>
      </c>
    </row>
    <row r="16" spans="1:5" x14ac:dyDescent="0.2">
      <c r="A16" t="s">
        <v>32</v>
      </c>
      <c r="B16" t="s">
        <v>25</v>
      </c>
      <c r="C16" s="3">
        <v>2783</v>
      </c>
      <c r="D16" s="3">
        <v>7379</v>
      </c>
      <c r="E16" s="4">
        <f t="shared" ca="1" si="0"/>
        <v>-0.62284862447486111</v>
      </c>
    </row>
    <row r="17" spans="1:5" x14ac:dyDescent="0.2">
      <c r="A17" t="s">
        <v>33</v>
      </c>
      <c r="B17" t="s">
        <v>25</v>
      </c>
      <c r="C17" s="3">
        <v>5536</v>
      </c>
      <c r="D17" s="3">
        <v>0</v>
      </c>
      <c r="E17" s="4" t="e">
        <f t="shared" ca="1" si="0"/>
        <v>#DIV/0!</v>
      </c>
    </row>
    <row r="18" spans="1:5" x14ac:dyDescent="0.2">
      <c r="A18" t="s">
        <v>34</v>
      </c>
      <c r="B18" t="s">
        <v>35</v>
      </c>
      <c r="C18" s="3">
        <v>1076740</v>
      </c>
      <c r="D18" s="3">
        <v>786274</v>
      </c>
      <c r="E18" s="4">
        <f t="shared" ca="1" si="0"/>
        <v>0.36942083802847353</v>
      </c>
    </row>
    <row r="19" spans="1:5" x14ac:dyDescent="0.2">
      <c r="A19" t="s">
        <v>36</v>
      </c>
      <c r="B19" t="s">
        <v>37</v>
      </c>
      <c r="C19" s="3">
        <v>587405</v>
      </c>
      <c r="D19" s="3">
        <v>336233</v>
      </c>
      <c r="E19" s="4">
        <f t="shared" ca="1" si="0"/>
        <v>0.74701769308782895</v>
      </c>
    </row>
    <row r="20" spans="1:5" x14ac:dyDescent="0.2">
      <c r="A20" t="s">
        <v>38</v>
      </c>
      <c r="B20" t="s">
        <v>39</v>
      </c>
      <c r="C20" s="3">
        <v>0</v>
      </c>
      <c r="D20" s="3">
        <v>162512</v>
      </c>
      <c r="E20" s="4">
        <f t="shared" ca="1" si="0"/>
        <v>-1</v>
      </c>
    </row>
    <row r="21" spans="1:5" x14ac:dyDescent="0.2">
      <c r="A21" t="s">
        <v>40</v>
      </c>
      <c r="B21" t="s">
        <v>41</v>
      </c>
      <c r="C21" s="3">
        <v>182615</v>
      </c>
      <c r="D21" s="3">
        <v>173721</v>
      </c>
      <c r="E21" s="4">
        <f t="shared" ca="1" si="0"/>
        <v>5.1197034325153552E-2</v>
      </c>
    </row>
    <row r="22" spans="1:5" x14ac:dyDescent="0.2">
      <c r="A22" t="s">
        <v>42</v>
      </c>
      <c r="B22" t="s">
        <v>43</v>
      </c>
      <c r="C22" s="3">
        <v>85486</v>
      </c>
      <c r="D22" s="3">
        <v>0</v>
      </c>
      <c r="E22" s="4" t="e">
        <f t="shared" ca="1" si="0"/>
        <v>#DIV/0!</v>
      </c>
    </row>
    <row r="23" spans="1:5" x14ac:dyDescent="0.2">
      <c r="A23" t="s">
        <v>44</v>
      </c>
      <c r="B23" t="s">
        <v>45</v>
      </c>
      <c r="C23" s="3">
        <v>0</v>
      </c>
      <c r="D23" s="3">
        <v>93470</v>
      </c>
      <c r="E23" s="4">
        <f t="shared" ca="1" si="0"/>
        <v>-1</v>
      </c>
    </row>
    <row r="24" spans="1:5" x14ac:dyDescent="0.2">
      <c r="A24" t="s">
        <v>46</v>
      </c>
      <c r="B24" t="s">
        <v>47</v>
      </c>
      <c r="C24" s="3">
        <v>97129</v>
      </c>
      <c r="D24" s="3">
        <v>12821</v>
      </c>
      <c r="E24" s="4">
        <f t="shared" ca="1" si="0"/>
        <v>6.5757741205834179</v>
      </c>
    </row>
    <row r="25" spans="1:5" x14ac:dyDescent="0.2">
      <c r="A25" t="s">
        <v>48</v>
      </c>
      <c r="B25" t="s">
        <v>41</v>
      </c>
      <c r="C25" s="3">
        <v>404790</v>
      </c>
      <c r="D25" s="3">
        <v>0</v>
      </c>
      <c r="E25" s="4" t="e">
        <f t="shared" ca="1" si="0"/>
        <v>#DIV/0!</v>
      </c>
    </row>
    <row r="26" spans="1:5" x14ac:dyDescent="0.2">
      <c r="A26" t="s">
        <v>49</v>
      </c>
      <c r="B26" t="s">
        <v>45</v>
      </c>
      <c r="C26" s="3">
        <v>103161</v>
      </c>
      <c r="D26" s="3">
        <v>0</v>
      </c>
      <c r="E26" s="4" t="e">
        <f t="shared" ca="1" si="0"/>
        <v>#DIV/0!</v>
      </c>
    </row>
    <row r="27" spans="1:5" x14ac:dyDescent="0.2">
      <c r="A27" t="s">
        <v>50</v>
      </c>
      <c r="B27" t="s">
        <v>51</v>
      </c>
      <c r="C27" s="3">
        <v>12821</v>
      </c>
      <c r="D27" s="3">
        <v>0</v>
      </c>
      <c r="E27" s="4" t="e">
        <f t="shared" ca="1" si="0"/>
        <v>#DIV/0!</v>
      </c>
    </row>
    <row r="28" spans="1:5" x14ac:dyDescent="0.2">
      <c r="A28" t="s">
        <v>52</v>
      </c>
      <c r="B28" t="s">
        <v>19</v>
      </c>
      <c r="C28" s="3">
        <v>4750</v>
      </c>
      <c r="D28" s="3">
        <v>0</v>
      </c>
      <c r="E28" s="4" t="e">
        <f t="shared" ca="1" si="0"/>
        <v>#DIV/0!</v>
      </c>
    </row>
    <row r="29" spans="1:5" x14ac:dyDescent="0.2">
      <c r="A29" t="s">
        <v>53</v>
      </c>
      <c r="B29" t="s">
        <v>54</v>
      </c>
      <c r="C29" s="3">
        <v>267170</v>
      </c>
      <c r="D29" s="3">
        <v>0</v>
      </c>
      <c r="E29" s="4" t="e">
        <f t="shared" ca="1" si="0"/>
        <v>#DIV/0!</v>
      </c>
    </row>
    <row r="30" spans="1:5" x14ac:dyDescent="0.2">
      <c r="A30" t="s">
        <v>55</v>
      </c>
      <c r="B30" t="s">
        <v>56</v>
      </c>
      <c r="C30" s="3">
        <v>5758</v>
      </c>
      <c r="D30" s="3">
        <v>0</v>
      </c>
      <c r="E30" s="4" t="e">
        <f t="shared" ca="1" si="0"/>
        <v>#DIV/0!</v>
      </c>
    </row>
    <row r="31" spans="1:5" x14ac:dyDescent="0.2">
      <c r="A31" t="s">
        <v>57</v>
      </c>
      <c r="B31" t="s">
        <v>58</v>
      </c>
      <c r="C31" s="3">
        <v>7186</v>
      </c>
      <c r="D31" s="3">
        <v>0</v>
      </c>
      <c r="E31" s="4" t="e">
        <f t="shared" ca="1" si="0"/>
        <v>#DIV/0!</v>
      </c>
    </row>
    <row r="32" spans="1:5" x14ac:dyDescent="0.2">
      <c r="A32" t="s">
        <v>59</v>
      </c>
      <c r="B32" t="s">
        <v>25</v>
      </c>
      <c r="C32" s="3">
        <v>3944</v>
      </c>
      <c r="D32" s="3">
        <v>0</v>
      </c>
      <c r="E32" s="4" t="e">
        <f t="shared" ca="1" si="0"/>
        <v>#DIV/0!</v>
      </c>
    </row>
    <row r="33" spans="1:5" x14ac:dyDescent="0.2">
      <c r="A33" t="s">
        <v>60</v>
      </c>
      <c r="B33" t="s">
        <v>61</v>
      </c>
      <c r="C33" s="3">
        <v>41539</v>
      </c>
      <c r="D33" s="3">
        <v>9429</v>
      </c>
      <c r="E33" s="4">
        <f t="shared" ca="1" si="0"/>
        <v>3.4054512673666348</v>
      </c>
    </row>
    <row r="34" spans="1:5" x14ac:dyDescent="0.2">
      <c r="A34" t="s">
        <v>62</v>
      </c>
      <c r="B34" t="s">
        <v>63</v>
      </c>
      <c r="C34" s="3">
        <v>41539</v>
      </c>
      <c r="D34" s="3">
        <v>9429</v>
      </c>
      <c r="E34" s="4">
        <f t="shared" ca="1" si="0"/>
        <v>3.4054512673666348</v>
      </c>
    </row>
    <row r="35" spans="1:5" x14ac:dyDescent="0.2">
      <c r="A35" t="s">
        <v>64</v>
      </c>
      <c r="B35" t="s">
        <v>65</v>
      </c>
      <c r="C35" s="3">
        <v>41240</v>
      </c>
      <c r="D35" s="3">
        <v>9131</v>
      </c>
      <c r="E35" s="4">
        <f t="shared" ca="1" si="0"/>
        <v>3.5164823129996714</v>
      </c>
    </row>
    <row r="36" spans="1:5" x14ac:dyDescent="0.2">
      <c r="A36" t="s">
        <v>66</v>
      </c>
      <c r="B36" t="s">
        <v>67</v>
      </c>
      <c r="C36" s="3">
        <v>299</v>
      </c>
      <c r="D36" s="3">
        <v>298</v>
      </c>
      <c r="E36" s="4">
        <f t="shared" ca="1" si="0"/>
        <v>3.3557046979865771E-3</v>
      </c>
    </row>
    <row r="37" spans="1:5" x14ac:dyDescent="0.2">
      <c r="A37" t="s">
        <v>68</v>
      </c>
      <c r="B37" t="s">
        <v>69</v>
      </c>
      <c r="C37" s="3">
        <v>439424</v>
      </c>
      <c r="D37" s="3">
        <v>431122</v>
      </c>
      <c r="E37" s="4">
        <f t="shared" ca="1" si="0"/>
        <v>1.925673011351775E-2</v>
      </c>
    </row>
    <row r="38" spans="1:5" x14ac:dyDescent="0.2">
      <c r="A38" t="s">
        <v>70</v>
      </c>
      <c r="B38" t="s">
        <v>71</v>
      </c>
      <c r="C38" s="3">
        <v>439424</v>
      </c>
      <c r="D38" s="3">
        <v>0</v>
      </c>
      <c r="E38" s="4" t="e">
        <f t="shared" ca="1" si="0"/>
        <v>#DIV/0!</v>
      </c>
    </row>
    <row r="39" spans="1:5" x14ac:dyDescent="0.2">
      <c r="A39" t="s">
        <v>72</v>
      </c>
      <c r="B39" t="s">
        <v>73</v>
      </c>
      <c r="C39" s="3">
        <v>8372</v>
      </c>
      <c r="D39" s="3">
        <v>9490</v>
      </c>
      <c r="E39" s="4">
        <f t="shared" ca="1" si="0"/>
        <v>-0.11780821917808219</v>
      </c>
    </row>
    <row r="40" spans="1:5" x14ac:dyDescent="0.2">
      <c r="A40" t="s">
        <v>74</v>
      </c>
      <c r="B40" t="s">
        <v>75</v>
      </c>
      <c r="C40" s="3">
        <v>0</v>
      </c>
      <c r="D40" s="3">
        <v>4034</v>
      </c>
      <c r="E40" s="4">
        <f t="shared" ca="1" si="0"/>
        <v>-1</v>
      </c>
    </row>
    <row r="41" spans="1:5" x14ac:dyDescent="0.2">
      <c r="A41" t="s">
        <v>76</v>
      </c>
      <c r="B41" t="s">
        <v>77</v>
      </c>
      <c r="C41" s="3">
        <v>0</v>
      </c>
      <c r="D41" s="3">
        <v>10462</v>
      </c>
      <c r="E41" s="4">
        <f t="shared" ca="1" si="0"/>
        <v>-1</v>
      </c>
    </row>
    <row r="42" spans="1:5" x14ac:dyDescent="0.2">
      <c r="A42" t="s">
        <v>78</v>
      </c>
      <c r="B42" t="s">
        <v>79</v>
      </c>
      <c r="C42" s="3">
        <v>0</v>
      </c>
      <c r="D42" s="3">
        <v>67861</v>
      </c>
      <c r="E42" s="4">
        <f t="shared" ca="1" si="0"/>
        <v>-1</v>
      </c>
    </row>
    <row r="43" spans="1:5" x14ac:dyDescent="0.2">
      <c r="A43" t="s">
        <v>80</v>
      </c>
      <c r="B43" t="s">
        <v>81</v>
      </c>
      <c r="C43" s="3">
        <v>0</v>
      </c>
      <c r="D43" s="3">
        <v>94651</v>
      </c>
      <c r="E43" s="4">
        <f t="shared" ca="1" si="0"/>
        <v>-1</v>
      </c>
    </row>
    <row r="44" spans="1:5" x14ac:dyDescent="0.2">
      <c r="A44" t="s">
        <v>82</v>
      </c>
      <c r="B44" t="s">
        <v>19</v>
      </c>
      <c r="C44" s="3">
        <v>0</v>
      </c>
      <c r="D44" s="3">
        <v>6407</v>
      </c>
      <c r="E44" s="4">
        <f t="shared" ca="1" si="0"/>
        <v>-1</v>
      </c>
    </row>
    <row r="45" spans="1:5" x14ac:dyDescent="0.2">
      <c r="A45" t="s">
        <v>83</v>
      </c>
      <c r="B45" t="s">
        <v>54</v>
      </c>
      <c r="C45" s="3">
        <v>0</v>
      </c>
      <c r="D45" s="3">
        <v>45969</v>
      </c>
      <c r="E45" s="4">
        <f t="shared" ca="1" si="0"/>
        <v>-1</v>
      </c>
    </row>
    <row r="46" spans="1:5" x14ac:dyDescent="0.2">
      <c r="A46" t="s">
        <v>84</v>
      </c>
      <c r="B46" t="s">
        <v>56</v>
      </c>
      <c r="C46" s="3">
        <v>0</v>
      </c>
      <c r="D46" s="3">
        <v>5758</v>
      </c>
      <c r="E46" s="4">
        <f t="shared" ca="1" si="0"/>
        <v>-1</v>
      </c>
    </row>
    <row r="47" spans="1:5" x14ac:dyDescent="0.2">
      <c r="A47" t="s">
        <v>85</v>
      </c>
      <c r="B47" t="s">
        <v>58</v>
      </c>
      <c r="C47" s="3">
        <v>0</v>
      </c>
      <c r="D47" s="3">
        <v>6938</v>
      </c>
      <c r="E47" s="4">
        <f t="shared" ca="1" si="0"/>
        <v>-1</v>
      </c>
    </row>
    <row r="48" spans="1:5" x14ac:dyDescent="0.2">
      <c r="A48" t="s">
        <v>86</v>
      </c>
      <c r="B48" t="s">
        <v>25</v>
      </c>
      <c r="C48" s="3">
        <v>0</v>
      </c>
      <c r="D48" s="3">
        <v>2358</v>
      </c>
      <c r="E48" s="4">
        <f t="shared" ca="1" si="0"/>
        <v>-1</v>
      </c>
    </row>
    <row r="49" spans="1:5" ht="26" x14ac:dyDescent="0.3">
      <c r="A49" s="1" t="s">
        <v>87</v>
      </c>
    </row>
    <row r="50" spans="1:5" ht="20" x14ac:dyDescent="0.25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</row>
    <row r="51" spans="1:5" x14ac:dyDescent="0.2">
      <c r="A51" t="s">
        <v>88</v>
      </c>
      <c r="B51" t="s">
        <v>7</v>
      </c>
      <c r="C51" s="3">
        <v>1604126</v>
      </c>
      <c r="D51" s="3">
        <v>1252008</v>
      </c>
      <c r="E51" s="4">
        <f t="shared" ref="E51:E92" ca="1" si="1">(INDIRECT("RC[-2]",0)-INDIRECT("RC[-1]",0))/INDIRECT("RC[-1]",0)</f>
        <v>0.28124261186829475</v>
      </c>
    </row>
    <row r="52" spans="1:5" x14ac:dyDescent="0.2">
      <c r="A52" t="s">
        <v>89</v>
      </c>
      <c r="B52" t="s">
        <v>9</v>
      </c>
      <c r="C52" s="3">
        <v>623427</v>
      </c>
      <c r="D52" s="3">
        <v>522623</v>
      </c>
      <c r="E52" s="4">
        <f t="shared" ca="1" si="1"/>
        <v>0.19288091033115648</v>
      </c>
    </row>
    <row r="53" spans="1:5" x14ac:dyDescent="0.2">
      <c r="A53" t="s">
        <v>90</v>
      </c>
      <c r="B53" t="s">
        <v>11</v>
      </c>
      <c r="C53" s="3">
        <v>132199</v>
      </c>
      <c r="D53" s="3">
        <v>94379</v>
      </c>
      <c r="E53" s="4">
        <f t="shared" ca="1" si="1"/>
        <v>0.40072473749456977</v>
      </c>
    </row>
    <row r="54" spans="1:5" x14ac:dyDescent="0.2">
      <c r="A54" t="s">
        <v>91</v>
      </c>
      <c r="B54" t="s">
        <v>13</v>
      </c>
      <c r="C54" s="3">
        <v>257615</v>
      </c>
      <c r="D54" s="3">
        <v>218412</v>
      </c>
      <c r="E54" s="4">
        <f t="shared" ca="1" si="1"/>
        <v>0.17949105360511328</v>
      </c>
    </row>
    <row r="55" spans="1:5" x14ac:dyDescent="0.2">
      <c r="A55" t="s">
        <v>92</v>
      </c>
      <c r="B55" t="s">
        <v>15</v>
      </c>
      <c r="C55" s="3">
        <v>257615</v>
      </c>
      <c r="D55" s="3">
        <v>218412</v>
      </c>
      <c r="E55" s="4">
        <f t="shared" ca="1" si="1"/>
        <v>0.17949105360511328</v>
      </c>
    </row>
    <row r="56" spans="1:5" x14ac:dyDescent="0.2">
      <c r="A56" t="s">
        <v>93</v>
      </c>
      <c r="B56" t="s">
        <v>17</v>
      </c>
      <c r="C56" s="3">
        <v>206212</v>
      </c>
      <c r="D56" s="3">
        <v>179323</v>
      </c>
      <c r="E56" s="4">
        <f t="shared" ca="1" si="1"/>
        <v>0.14994730179620017</v>
      </c>
    </row>
    <row r="57" spans="1:5" x14ac:dyDescent="0.2">
      <c r="A57" t="s">
        <v>94</v>
      </c>
      <c r="B57" t="s">
        <v>19</v>
      </c>
      <c r="C57" s="3">
        <v>9833</v>
      </c>
      <c r="D57" s="3">
        <v>15922</v>
      </c>
      <c r="E57" s="4">
        <f t="shared" ca="1" si="1"/>
        <v>-0.38242683080015072</v>
      </c>
    </row>
    <row r="58" spans="1:5" x14ac:dyDescent="0.2">
      <c r="A58" t="s">
        <v>95</v>
      </c>
      <c r="B58" t="s">
        <v>21</v>
      </c>
      <c r="C58" s="3">
        <v>9833</v>
      </c>
      <c r="D58" s="3">
        <v>15922</v>
      </c>
      <c r="E58" s="4">
        <f t="shared" ca="1" si="1"/>
        <v>-0.38242683080015072</v>
      </c>
    </row>
    <row r="59" spans="1:5" x14ac:dyDescent="0.2">
      <c r="A59" t="s">
        <v>96</v>
      </c>
      <c r="B59" t="s">
        <v>23</v>
      </c>
      <c r="C59" s="3">
        <v>17568</v>
      </c>
      <c r="D59" s="3">
        <v>14587</v>
      </c>
      <c r="E59" s="4">
        <f t="shared" ca="1" si="1"/>
        <v>0.20436004661685062</v>
      </c>
    </row>
    <row r="60" spans="1:5" x14ac:dyDescent="0.2">
      <c r="A60" t="s">
        <v>97</v>
      </c>
      <c r="B60" t="s">
        <v>25</v>
      </c>
      <c r="C60" s="3">
        <v>17568</v>
      </c>
      <c r="D60" s="3">
        <v>14587</v>
      </c>
      <c r="E60" s="4">
        <f t="shared" ca="1" si="1"/>
        <v>0.20436004661685062</v>
      </c>
    </row>
    <row r="61" spans="1:5" x14ac:dyDescent="0.2">
      <c r="A61" t="s">
        <v>98</v>
      </c>
      <c r="B61" t="s">
        <v>27</v>
      </c>
      <c r="C61" s="3">
        <v>4170</v>
      </c>
      <c r="D61" s="3">
        <v>0</v>
      </c>
      <c r="E61" s="4" t="e">
        <f t="shared" ca="1" si="1"/>
        <v>#DIV/0!</v>
      </c>
    </row>
    <row r="62" spans="1:5" x14ac:dyDescent="0.2">
      <c r="A62" t="s">
        <v>99</v>
      </c>
      <c r="B62" t="s">
        <v>31</v>
      </c>
      <c r="C62" s="3">
        <v>0</v>
      </c>
      <c r="D62" s="3">
        <v>5136</v>
      </c>
      <c r="E62" s="4">
        <f t="shared" ca="1" si="1"/>
        <v>-1</v>
      </c>
    </row>
    <row r="63" spans="1:5" x14ac:dyDescent="0.2">
      <c r="A63" t="s">
        <v>100</v>
      </c>
      <c r="B63" t="s">
        <v>25</v>
      </c>
      <c r="C63" s="3">
        <v>4406</v>
      </c>
      <c r="D63" s="3">
        <v>9451</v>
      </c>
      <c r="E63" s="4">
        <f t="shared" ca="1" si="1"/>
        <v>-0.53380594646069202</v>
      </c>
    </row>
    <row r="64" spans="1:5" x14ac:dyDescent="0.2">
      <c r="A64" t="s">
        <v>101</v>
      </c>
      <c r="B64" t="s">
        <v>25</v>
      </c>
      <c r="C64" s="3">
        <v>8992</v>
      </c>
      <c r="D64" s="3">
        <v>0</v>
      </c>
      <c r="E64" s="4" t="e">
        <f t="shared" ca="1" si="1"/>
        <v>#DIV/0!</v>
      </c>
    </row>
    <row r="65" spans="1:5" x14ac:dyDescent="0.2">
      <c r="A65" t="s">
        <v>102</v>
      </c>
      <c r="B65" t="s">
        <v>35</v>
      </c>
      <c r="C65" s="3">
        <v>980699</v>
      </c>
      <c r="D65" s="3">
        <v>729385</v>
      </c>
      <c r="E65" s="4">
        <f t="shared" ca="1" si="1"/>
        <v>0.34455603008013602</v>
      </c>
    </row>
    <row r="66" spans="1:5" x14ac:dyDescent="0.2">
      <c r="A66" t="s">
        <v>103</v>
      </c>
      <c r="B66" t="s">
        <v>37</v>
      </c>
      <c r="C66" s="3">
        <v>506777</v>
      </c>
      <c r="D66" s="3">
        <v>268926</v>
      </c>
      <c r="E66" s="4">
        <f t="shared" ca="1" si="1"/>
        <v>0.88444776630002309</v>
      </c>
    </row>
    <row r="67" spans="1:5" x14ac:dyDescent="0.2">
      <c r="A67" t="s">
        <v>104</v>
      </c>
      <c r="B67" t="s">
        <v>39</v>
      </c>
      <c r="C67" s="3">
        <v>0</v>
      </c>
      <c r="D67" s="3">
        <v>94651</v>
      </c>
      <c r="E67" s="4">
        <f t="shared" ca="1" si="1"/>
        <v>-1</v>
      </c>
    </row>
    <row r="68" spans="1:5" x14ac:dyDescent="0.2">
      <c r="A68" t="s">
        <v>105</v>
      </c>
      <c r="B68" t="s">
        <v>41</v>
      </c>
      <c r="C68" s="3">
        <v>97129</v>
      </c>
      <c r="D68" s="3">
        <v>174275</v>
      </c>
      <c r="E68" s="4">
        <f t="shared" ca="1" si="1"/>
        <v>-0.442668196815378</v>
      </c>
    </row>
    <row r="69" spans="1:5" x14ac:dyDescent="0.2">
      <c r="A69" t="s">
        <v>106</v>
      </c>
      <c r="B69" t="s">
        <v>45</v>
      </c>
      <c r="C69" s="3">
        <v>0</v>
      </c>
      <c r="D69" s="3">
        <v>93501</v>
      </c>
      <c r="E69" s="4">
        <f t="shared" ca="1" si="1"/>
        <v>-1</v>
      </c>
    </row>
    <row r="70" spans="1:5" x14ac:dyDescent="0.2">
      <c r="A70" t="s">
        <v>107</v>
      </c>
      <c r="B70" t="s">
        <v>47</v>
      </c>
      <c r="C70" s="3">
        <v>97129</v>
      </c>
      <c r="D70" s="3">
        <v>12821</v>
      </c>
      <c r="E70" s="4">
        <f t="shared" ca="1" si="1"/>
        <v>6.5757741205834179</v>
      </c>
    </row>
    <row r="71" spans="1:5" x14ac:dyDescent="0.2">
      <c r="A71" t="s">
        <v>108</v>
      </c>
      <c r="B71" t="s">
        <v>41</v>
      </c>
      <c r="C71" s="3">
        <v>409648</v>
      </c>
      <c r="D71" s="3">
        <v>0</v>
      </c>
      <c r="E71" s="4" t="e">
        <f t="shared" ca="1" si="1"/>
        <v>#DIV/0!</v>
      </c>
    </row>
    <row r="72" spans="1:5" x14ac:dyDescent="0.2">
      <c r="A72" t="s">
        <v>109</v>
      </c>
      <c r="B72" t="s">
        <v>45</v>
      </c>
      <c r="C72" s="3">
        <v>103192</v>
      </c>
      <c r="D72" s="3">
        <v>0</v>
      </c>
      <c r="E72" s="4" t="e">
        <f t="shared" ca="1" si="1"/>
        <v>#DIV/0!</v>
      </c>
    </row>
    <row r="73" spans="1:5" x14ac:dyDescent="0.2">
      <c r="A73" t="s">
        <v>110</v>
      </c>
      <c r="B73" t="s">
        <v>51</v>
      </c>
      <c r="C73" s="3">
        <v>12821</v>
      </c>
      <c r="D73" s="3">
        <v>0</v>
      </c>
      <c r="E73" s="4" t="e">
        <f t="shared" ca="1" si="1"/>
        <v>#DIV/0!</v>
      </c>
    </row>
    <row r="74" spans="1:5" x14ac:dyDescent="0.2">
      <c r="A74" t="s">
        <v>111</v>
      </c>
      <c r="B74" t="s">
        <v>19</v>
      </c>
      <c r="C74" s="3">
        <v>5032</v>
      </c>
      <c r="D74" s="3">
        <v>0</v>
      </c>
      <c r="E74" s="4" t="e">
        <f t="shared" ca="1" si="1"/>
        <v>#DIV/0!</v>
      </c>
    </row>
    <row r="75" spans="1:5" x14ac:dyDescent="0.2">
      <c r="A75" t="s">
        <v>112</v>
      </c>
      <c r="B75" t="s">
        <v>54</v>
      </c>
      <c r="C75" s="3">
        <v>267170</v>
      </c>
      <c r="D75" s="3">
        <v>0</v>
      </c>
      <c r="E75" s="4" t="e">
        <f t="shared" ca="1" si="1"/>
        <v>#DIV/0!</v>
      </c>
    </row>
    <row r="76" spans="1:5" x14ac:dyDescent="0.2">
      <c r="A76" t="s">
        <v>113</v>
      </c>
      <c r="B76" t="s">
        <v>56</v>
      </c>
      <c r="C76" s="3">
        <v>5758</v>
      </c>
      <c r="D76" s="3">
        <v>0</v>
      </c>
      <c r="E76" s="4" t="e">
        <f t="shared" ca="1" si="1"/>
        <v>#DIV/0!</v>
      </c>
    </row>
    <row r="77" spans="1:5" x14ac:dyDescent="0.2">
      <c r="A77" t="s">
        <v>114</v>
      </c>
      <c r="B77" t="s">
        <v>115</v>
      </c>
      <c r="C77" s="3">
        <v>7186</v>
      </c>
      <c r="D77" s="3">
        <v>0</v>
      </c>
      <c r="E77" s="4" t="e">
        <f t="shared" ca="1" si="1"/>
        <v>#DIV/0!</v>
      </c>
    </row>
    <row r="78" spans="1:5" x14ac:dyDescent="0.2">
      <c r="A78" t="s">
        <v>116</v>
      </c>
      <c r="B78" t="s">
        <v>25</v>
      </c>
      <c r="C78" s="3">
        <v>8489</v>
      </c>
      <c r="D78" s="3">
        <v>0</v>
      </c>
      <c r="E78" s="4" t="e">
        <f t="shared" ca="1" si="1"/>
        <v>#DIV/0!</v>
      </c>
    </row>
    <row r="79" spans="1:5" x14ac:dyDescent="0.2">
      <c r="A79" t="s">
        <v>117</v>
      </c>
      <c r="B79" t="s">
        <v>61</v>
      </c>
      <c r="C79" s="3">
        <v>298</v>
      </c>
      <c r="D79" s="3">
        <v>298</v>
      </c>
      <c r="E79" s="4">
        <f t="shared" ca="1" si="1"/>
        <v>0</v>
      </c>
    </row>
    <row r="80" spans="1:5" x14ac:dyDescent="0.2">
      <c r="A80" t="s">
        <v>118</v>
      </c>
      <c r="B80" t="s">
        <v>63</v>
      </c>
      <c r="C80" s="3">
        <v>298</v>
      </c>
      <c r="D80" s="3">
        <v>298</v>
      </c>
      <c r="E80" s="4">
        <f t="shared" ca="1" si="1"/>
        <v>0</v>
      </c>
    </row>
    <row r="81" spans="1:5" x14ac:dyDescent="0.2">
      <c r="A81" t="s">
        <v>119</v>
      </c>
      <c r="B81" t="s">
        <v>67</v>
      </c>
      <c r="C81" s="3">
        <v>0</v>
      </c>
      <c r="D81" s="3">
        <v>298</v>
      </c>
      <c r="E81" s="4">
        <f t="shared" ca="1" si="1"/>
        <v>-1</v>
      </c>
    </row>
    <row r="82" spans="1:5" x14ac:dyDescent="0.2">
      <c r="A82" t="s">
        <v>120</v>
      </c>
      <c r="B82" t="s">
        <v>121</v>
      </c>
      <c r="C82" s="3">
        <v>298</v>
      </c>
      <c r="D82" s="3">
        <v>0</v>
      </c>
      <c r="E82" s="4" t="e">
        <f t="shared" ca="1" si="1"/>
        <v>#DIV/0!</v>
      </c>
    </row>
    <row r="83" spans="1:5" x14ac:dyDescent="0.2">
      <c r="A83" t="s">
        <v>122</v>
      </c>
      <c r="B83" t="s">
        <v>69</v>
      </c>
      <c r="C83" s="3">
        <v>453296</v>
      </c>
      <c r="D83" s="3">
        <v>440595</v>
      </c>
      <c r="E83" s="4">
        <f t="shared" ca="1" si="1"/>
        <v>2.8826927223413793E-2</v>
      </c>
    </row>
    <row r="84" spans="1:5" x14ac:dyDescent="0.2">
      <c r="A84" t="s">
        <v>123</v>
      </c>
      <c r="B84" t="s">
        <v>73</v>
      </c>
      <c r="C84" s="3">
        <v>20328</v>
      </c>
      <c r="D84" s="3">
        <v>19566</v>
      </c>
      <c r="E84" s="4">
        <f t="shared" ca="1" si="1"/>
        <v>3.8945108862312172E-2</v>
      </c>
    </row>
    <row r="85" spans="1:5" x14ac:dyDescent="0.2">
      <c r="A85" t="s">
        <v>124</v>
      </c>
      <c r="B85" t="s">
        <v>75</v>
      </c>
      <c r="C85" s="3">
        <v>0</v>
      </c>
      <c r="D85" s="3">
        <v>4050</v>
      </c>
      <c r="E85" s="4">
        <f t="shared" ca="1" si="1"/>
        <v>-1</v>
      </c>
    </row>
    <row r="86" spans="1:5" x14ac:dyDescent="0.2">
      <c r="A86" t="s">
        <v>125</v>
      </c>
      <c r="B86" t="s">
        <v>77</v>
      </c>
      <c r="C86" s="3">
        <v>0</v>
      </c>
      <c r="D86" s="3">
        <v>11872</v>
      </c>
      <c r="E86" s="4">
        <f t="shared" ca="1" si="1"/>
        <v>-1</v>
      </c>
    </row>
    <row r="87" spans="1:5" x14ac:dyDescent="0.2">
      <c r="A87" t="s">
        <v>126</v>
      </c>
      <c r="B87" t="s">
        <v>81</v>
      </c>
      <c r="C87" s="3">
        <v>0</v>
      </c>
      <c r="D87" s="3">
        <v>94651</v>
      </c>
      <c r="E87" s="4">
        <f t="shared" ca="1" si="1"/>
        <v>-1</v>
      </c>
    </row>
    <row r="88" spans="1:5" x14ac:dyDescent="0.2">
      <c r="A88" t="s">
        <v>127</v>
      </c>
      <c r="B88" t="s">
        <v>19</v>
      </c>
      <c r="C88" s="3">
        <v>0</v>
      </c>
      <c r="D88" s="3">
        <v>6407</v>
      </c>
      <c r="E88" s="4">
        <f t="shared" ca="1" si="1"/>
        <v>-1</v>
      </c>
    </row>
    <row r="89" spans="1:5" x14ac:dyDescent="0.2">
      <c r="A89" t="s">
        <v>128</v>
      </c>
      <c r="B89" t="s">
        <v>54</v>
      </c>
      <c r="C89" s="3">
        <v>0</v>
      </c>
      <c r="D89" s="3">
        <v>45969</v>
      </c>
      <c r="E89" s="4">
        <f t="shared" ca="1" si="1"/>
        <v>-1</v>
      </c>
    </row>
    <row r="90" spans="1:5" x14ac:dyDescent="0.2">
      <c r="A90" t="s">
        <v>129</v>
      </c>
      <c r="B90" t="s">
        <v>56</v>
      </c>
      <c r="C90" s="3">
        <v>0</v>
      </c>
      <c r="D90" s="3">
        <v>5758</v>
      </c>
      <c r="E90" s="4">
        <f t="shared" ca="1" si="1"/>
        <v>-1</v>
      </c>
    </row>
    <row r="91" spans="1:5" x14ac:dyDescent="0.2">
      <c r="A91" t="s">
        <v>130</v>
      </c>
      <c r="B91" t="s">
        <v>115</v>
      </c>
      <c r="C91" s="3">
        <v>0</v>
      </c>
      <c r="D91" s="3">
        <v>6938</v>
      </c>
      <c r="E91" s="4">
        <f t="shared" ca="1" si="1"/>
        <v>-1</v>
      </c>
    </row>
    <row r="92" spans="1:5" x14ac:dyDescent="0.2">
      <c r="A92" t="s">
        <v>131</v>
      </c>
      <c r="B92" t="s">
        <v>25</v>
      </c>
      <c r="C92" s="3">
        <v>0</v>
      </c>
      <c r="D92" s="3">
        <v>2881</v>
      </c>
      <c r="E92" s="4">
        <f t="shared" ca="1" si="1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7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132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">
      <c r="A3" t="s">
        <v>133</v>
      </c>
      <c r="B3" t="s">
        <v>134</v>
      </c>
      <c r="C3" s="3">
        <v>1666160</v>
      </c>
      <c r="D3" s="3">
        <v>1306897</v>
      </c>
      <c r="E3" s="4">
        <f t="shared" ref="E3:E34" ca="1" si="0">(INDIRECT("RC[-2]",0)-INDIRECT("RC[-1]",0))/INDIRECT("RC[-1]",0)</f>
        <v>0.27489771573429278</v>
      </c>
    </row>
    <row r="4" spans="1:5" x14ac:dyDescent="0.2">
      <c r="A4" t="s">
        <v>135</v>
      </c>
      <c r="B4" t="s">
        <v>136</v>
      </c>
      <c r="C4" s="3">
        <v>378752</v>
      </c>
      <c r="D4" s="3">
        <v>403124</v>
      </c>
      <c r="E4" s="4">
        <f t="shared" ca="1" si="0"/>
        <v>-6.0457824391502366E-2</v>
      </c>
    </row>
    <row r="5" spans="1:5" x14ac:dyDescent="0.2">
      <c r="A5" t="s">
        <v>137</v>
      </c>
      <c r="B5" t="s">
        <v>138</v>
      </c>
      <c r="C5" s="3">
        <v>43111</v>
      </c>
      <c r="D5" s="3">
        <v>27879</v>
      </c>
      <c r="E5" s="4">
        <f t="shared" ca="1" si="0"/>
        <v>0.5463610602962804</v>
      </c>
    </row>
    <row r="6" spans="1:5" x14ac:dyDescent="0.2">
      <c r="A6" t="s">
        <v>139</v>
      </c>
      <c r="B6" t="s">
        <v>140</v>
      </c>
      <c r="C6" s="3">
        <v>117124</v>
      </c>
      <c r="D6" s="3">
        <v>112413</v>
      </c>
      <c r="E6" s="4">
        <f t="shared" ca="1" si="0"/>
        <v>4.1907964381343796E-2</v>
      </c>
    </row>
    <row r="7" spans="1:5" x14ac:dyDescent="0.2">
      <c r="A7" t="s">
        <v>141</v>
      </c>
      <c r="B7" t="s">
        <v>142</v>
      </c>
      <c r="C7" s="3">
        <v>22089</v>
      </c>
      <c r="D7" s="3">
        <v>28463</v>
      </c>
      <c r="E7" s="4">
        <f t="shared" ca="1" si="0"/>
        <v>-0.22393985173734321</v>
      </c>
    </row>
    <row r="8" spans="1:5" x14ac:dyDescent="0.2">
      <c r="A8" t="s">
        <v>143</v>
      </c>
      <c r="B8" t="s">
        <v>144</v>
      </c>
      <c r="C8" s="3">
        <v>22089</v>
      </c>
      <c r="D8" s="3">
        <v>28463</v>
      </c>
      <c r="E8" s="4">
        <f t="shared" ca="1" si="0"/>
        <v>-0.22393985173734321</v>
      </c>
    </row>
    <row r="9" spans="1:5" x14ac:dyDescent="0.2">
      <c r="A9" t="s">
        <v>145</v>
      </c>
      <c r="B9" t="s">
        <v>146</v>
      </c>
      <c r="C9" s="3">
        <v>10756</v>
      </c>
      <c r="D9" s="3">
        <v>14033</v>
      </c>
      <c r="E9" s="4">
        <f t="shared" ca="1" si="0"/>
        <v>-0.2335209862467042</v>
      </c>
    </row>
    <row r="10" spans="1:5" x14ac:dyDescent="0.2">
      <c r="A10" t="s">
        <v>147</v>
      </c>
      <c r="B10" t="s">
        <v>148</v>
      </c>
      <c r="C10" s="3">
        <v>11333</v>
      </c>
      <c r="D10" s="3">
        <v>14430</v>
      </c>
      <c r="E10" s="4">
        <f t="shared" ca="1" si="0"/>
        <v>-0.21462231462231462</v>
      </c>
    </row>
    <row r="11" spans="1:5" x14ac:dyDescent="0.2">
      <c r="A11" t="s">
        <v>149</v>
      </c>
      <c r="B11" t="s">
        <v>150</v>
      </c>
      <c r="C11" s="3">
        <v>102565</v>
      </c>
      <c r="D11" s="3">
        <v>146402</v>
      </c>
      <c r="E11" s="4">
        <f t="shared" ca="1" si="0"/>
        <v>-0.2994289695495963</v>
      </c>
    </row>
    <row r="12" spans="1:5" x14ac:dyDescent="0.2">
      <c r="A12" t="s">
        <v>151</v>
      </c>
      <c r="B12" t="s">
        <v>150</v>
      </c>
      <c r="C12" s="3">
        <v>97300</v>
      </c>
      <c r="D12" s="3">
        <v>98678</v>
      </c>
      <c r="E12" s="4">
        <f t="shared" ca="1" si="0"/>
        <v>-1.3964612172926083E-2</v>
      </c>
    </row>
    <row r="13" spans="1:5" x14ac:dyDescent="0.2">
      <c r="A13" t="s">
        <v>152</v>
      </c>
      <c r="B13" t="s">
        <v>153</v>
      </c>
      <c r="C13" s="3">
        <v>5265</v>
      </c>
      <c r="D13" s="3">
        <v>47724</v>
      </c>
      <c r="E13" s="4">
        <f t="shared" ca="1" si="0"/>
        <v>-0.88967814935881318</v>
      </c>
    </row>
    <row r="14" spans="1:5" x14ac:dyDescent="0.2">
      <c r="A14" t="s">
        <v>154</v>
      </c>
      <c r="B14" t="s">
        <v>155</v>
      </c>
      <c r="C14" s="3">
        <v>90004</v>
      </c>
      <c r="D14" s="3">
        <v>83678</v>
      </c>
      <c r="E14" s="4">
        <f t="shared" ca="1" si="0"/>
        <v>7.5599321207485845E-2</v>
      </c>
    </row>
    <row r="15" spans="1:5" x14ac:dyDescent="0.2">
      <c r="A15" t="s">
        <v>156</v>
      </c>
      <c r="B15" t="s">
        <v>25</v>
      </c>
      <c r="C15" s="3">
        <v>90004</v>
      </c>
      <c r="D15" s="3">
        <v>83678</v>
      </c>
      <c r="E15" s="4">
        <f t="shared" ca="1" si="0"/>
        <v>7.5599321207485845E-2</v>
      </c>
    </row>
    <row r="16" spans="1:5" x14ac:dyDescent="0.2">
      <c r="A16" t="s">
        <v>157</v>
      </c>
      <c r="B16" t="s">
        <v>158</v>
      </c>
      <c r="C16" s="3">
        <v>38707</v>
      </c>
      <c r="D16" s="3">
        <v>35127</v>
      </c>
      <c r="E16" s="4">
        <f t="shared" ca="1" si="0"/>
        <v>0.10191590514419108</v>
      </c>
    </row>
    <row r="17" spans="1:5" x14ac:dyDescent="0.2">
      <c r="A17" t="s">
        <v>159</v>
      </c>
      <c r="B17" t="s">
        <v>160</v>
      </c>
      <c r="C17" s="3">
        <v>21887</v>
      </c>
      <c r="D17" s="3">
        <v>10959</v>
      </c>
      <c r="E17" s="4">
        <f t="shared" ca="1" si="0"/>
        <v>0.99717127475134593</v>
      </c>
    </row>
    <row r="18" spans="1:5" x14ac:dyDescent="0.2">
      <c r="A18" t="s">
        <v>161</v>
      </c>
      <c r="B18" t="s">
        <v>162</v>
      </c>
      <c r="C18" s="3">
        <v>459</v>
      </c>
      <c r="D18" s="3">
        <v>6002</v>
      </c>
      <c r="E18" s="4">
        <f t="shared" ca="1" si="0"/>
        <v>-0.92352549150283236</v>
      </c>
    </row>
    <row r="19" spans="1:5" x14ac:dyDescent="0.2">
      <c r="A19" t="s">
        <v>163</v>
      </c>
      <c r="B19" t="s">
        <v>164</v>
      </c>
      <c r="C19" s="3">
        <v>15167</v>
      </c>
      <c r="D19" s="3">
        <v>19049</v>
      </c>
      <c r="E19" s="4">
        <f t="shared" ca="1" si="0"/>
        <v>-0.20379022520867238</v>
      </c>
    </row>
    <row r="20" spans="1:5" x14ac:dyDescent="0.2">
      <c r="A20" t="s">
        <v>165</v>
      </c>
      <c r="B20" t="s">
        <v>25</v>
      </c>
      <c r="C20" s="3">
        <v>13784</v>
      </c>
      <c r="D20" s="3">
        <v>12541</v>
      </c>
      <c r="E20" s="4">
        <f t="shared" ca="1" si="0"/>
        <v>9.9114903117773698E-2</v>
      </c>
    </row>
    <row r="21" spans="1:5" x14ac:dyDescent="0.2">
      <c r="A21" t="s">
        <v>166</v>
      </c>
      <c r="B21" t="s">
        <v>167</v>
      </c>
      <c r="C21" s="3">
        <v>3859</v>
      </c>
      <c r="D21" s="3">
        <v>4289</v>
      </c>
      <c r="E21" s="4">
        <f t="shared" ca="1" si="0"/>
        <v>-0.10025647003963628</v>
      </c>
    </row>
    <row r="22" spans="1:5" x14ac:dyDescent="0.2">
      <c r="A22" t="s">
        <v>168</v>
      </c>
      <c r="B22" t="s">
        <v>169</v>
      </c>
      <c r="C22" s="3">
        <v>3859</v>
      </c>
      <c r="D22" s="3">
        <v>4289</v>
      </c>
      <c r="E22" s="4">
        <f t="shared" ca="1" si="0"/>
        <v>-0.10025647003963628</v>
      </c>
    </row>
    <row r="23" spans="1:5" x14ac:dyDescent="0.2">
      <c r="A23" t="s">
        <v>170</v>
      </c>
      <c r="B23" t="s">
        <v>171</v>
      </c>
      <c r="C23" s="3">
        <v>3859</v>
      </c>
      <c r="D23" s="3">
        <v>0</v>
      </c>
      <c r="E23" s="4" t="e">
        <f t="shared" ca="1" si="0"/>
        <v>#DIV/0!</v>
      </c>
    </row>
    <row r="24" spans="1:5" x14ac:dyDescent="0.2">
      <c r="A24" t="s">
        <v>172</v>
      </c>
      <c r="B24" t="s">
        <v>173</v>
      </c>
      <c r="C24" s="3">
        <v>935623</v>
      </c>
      <c r="D24" s="3">
        <v>618725</v>
      </c>
      <c r="E24" s="4">
        <f t="shared" ca="1" si="0"/>
        <v>0.51217907794254314</v>
      </c>
    </row>
    <row r="25" spans="1:5" x14ac:dyDescent="0.2">
      <c r="A25" t="s">
        <v>174</v>
      </c>
      <c r="B25" t="s">
        <v>150</v>
      </c>
      <c r="C25" s="3">
        <v>523855</v>
      </c>
      <c r="D25" s="3">
        <v>365982</v>
      </c>
      <c r="E25" s="4">
        <f t="shared" ca="1" si="0"/>
        <v>0.43136820936548792</v>
      </c>
    </row>
    <row r="26" spans="1:5" x14ac:dyDescent="0.2">
      <c r="A26" t="s">
        <v>175</v>
      </c>
      <c r="B26" t="s">
        <v>150</v>
      </c>
      <c r="C26" s="3">
        <v>227399</v>
      </c>
      <c r="D26" s="3">
        <v>238003</v>
      </c>
      <c r="E26" s="4">
        <f t="shared" ca="1" si="0"/>
        <v>-4.4554060242938114E-2</v>
      </c>
    </row>
    <row r="27" spans="1:5" x14ac:dyDescent="0.2">
      <c r="A27" t="s">
        <v>176</v>
      </c>
      <c r="B27" t="s">
        <v>153</v>
      </c>
      <c r="C27" s="3">
        <v>296456</v>
      </c>
      <c r="D27" s="3">
        <v>127979</v>
      </c>
      <c r="E27" s="4">
        <f t="shared" ca="1" si="0"/>
        <v>1.3164425413544409</v>
      </c>
    </row>
    <row r="28" spans="1:5" x14ac:dyDescent="0.2">
      <c r="A28" t="s">
        <v>177</v>
      </c>
      <c r="B28" t="s">
        <v>155</v>
      </c>
      <c r="C28" s="3">
        <v>205246</v>
      </c>
      <c r="D28" s="3">
        <v>140722</v>
      </c>
      <c r="E28" s="4">
        <f t="shared" ca="1" si="0"/>
        <v>0.45852105569846935</v>
      </c>
    </row>
    <row r="29" spans="1:5" x14ac:dyDescent="0.2">
      <c r="A29" t="s">
        <v>178</v>
      </c>
      <c r="B29" t="s">
        <v>179</v>
      </c>
      <c r="C29" s="3">
        <v>62008</v>
      </c>
      <c r="D29" s="3">
        <v>0</v>
      </c>
      <c r="E29" s="4" t="e">
        <f t="shared" ca="1" si="0"/>
        <v>#DIV/0!</v>
      </c>
    </row>
    <row r="30" spans="1:5" x14ac:dyDescent="0.2">
      <c r="A30" t="s">
        <v>180</v>
      </c>
      <c r="B30" t="s">
        <v>25</v>
      </c>
      <c r="C30" s="3">
        <v>143238</v>
      </c>
      <c r="D30" s="3">
        <v>140722</v>
      </c>
      <c r="E30" s="4">
        <f t="shared" ca="1" si="0"/>
        <v>1.7879222864939384E-2</v>
      </c>
    </row>
    <row r="31" spans="1:5" x14ac:dyDescent="0.2">
      <c r="A31" t="s">
        <v>181</v>
      </c>
      <c r="B31" t="s">
        <v>140</v>
      </c>
      <c r="C31" s="3">
        <v>87596</v>
      </c>
      <c r="D31" s="3">
        <v>78496</v>
      </c>
      <c r="E31" s="4">
        <f t="shared" ca="1" si="0"/>
        <v>0.11592947411333061</v>
      </c>
    </row>
    <row r="32" spans="1:5" x14ac:dyDescent="0.2">
      <c r="A32" t="s">
        <v>182</v>
      </c>
      <c r="B32" t="s">
        <v>146</v>
      </c>
      <c r="C32" s="3">
        <v>55642</v>
      </c>
      <c r="D32" s="3">
        <v>62226</v>
      </c>
      <c r="E32" s="4">
        <f t="shared" ca="1" si="0"/>
        <v>-0.10580786166554174</v>
      </c>
    </row>
    <row r="33" spans="1:5" x14ac:dyDescent="0.2">
      <c r="A33" t="s">
        <v>183</v>
      </c>
      <c r="B33" t="s">
        <v>184</v>
      </c>
      <c r="C33" s="3">
        <v>2140</v>
      </c>
      <c r="D33" s="3">
        <v>14186</v>
      </c>
      <c r="E33" s="4">
        <f t="shared" ca="1" si="0"/>
        <v>-0.8491470463837586</v>
      </c>
    </row>
    <row r="34" spans="1:5" x14ac:dyDescent="0.2">
      <c r="A34" t="s">
        <v>185</v>
      </c>
      <c r="B34" t="s">
        <v>186</v>
      </c>
      <c r="C34" s="3">
        <v>2140</v>
      </c>
      <c r="D34" s="3">
        <v>14186</v>
      </c>
      <c r="E34" s="4">
        <f t="shared" ca="1" si="0"/>
        <v>-0.8491470463837586</v>
      </c>
    </row>
    <row r="35" spans="1:5" x14ac:dyDescent="0.2">
      <c r="A35" t="s">
        <v>187</v>
      </c>
      <c r="B35" t="s">
        <v>167</v>
      </c>
      <c r="C35" s="3">
        <v>204382</v>
      </c>
      <c r="D35" s="3">
        <v>97835</v>
      </c>
      <c r="E35" s="4">
        <f t="shared" ref="E35:E52" ca="1" si="1">(INDIRECT("RC[-2]",0)-INDIRECT("RC[-1]",0))/INDIRECT("RC[-1]",0)</f>
        <v>1.0890478867480964</v>
      </c>
    </row>
    <row r="36" spans="1:5" x14ac:dyDescent="0.2">
      <c r="A36" t="s">
        <v>188</v>
      </c>
      <c r="B36" t="s">
        <v>189</v>
      </c>
      <c r="C36" s="3">
        <v>204382</v>
      </c>
      <c r="D36" s="3">
        <v>0</v>
      </c>
      <c r="E36" s="4" t="e">
        <f t="shared" ca="1" si="1"/>
        <v>#DIV/0!</v>
      </c>
    </row>
    <row r="37" spans="1:5" x14ac:dyDescent="0.2">
      <c r="A37" t="s">
        <v>190</v>
      </c>
      <c r="B37" t="s">
        <v>191</v>
      </c>
      <c r="C37" s="3">
        <v>77151</v>
      </c>
      <c r="D37" s="3">
        <v>0</v>
      </c>
      <c r="E37" s="4" t="e">
        <f t="shared" ca="1" si="1"/>
        <v>#DIV/0!</v>
      </c>
    </row>
    <row r="38" spans="1:5" x14ac:dyDescent="0.2">
      <c r="A38" t="s">
        <v>192</v>
      </c>
      <c r="B38" t="s">
        <v>193</v>
      </c>
      <c r="C38" s="3">
        <v>124410</v>
      </c>
      <c r="D38" s="3">
        <v>0</v>
      </c>
      <c r="E38" s="4" t="e">
        <f t="shared" ca="1" si="1"/>
        <v>#DIV/0!</v>
      </c>
    </row>
    <row r="39" spans="1:5" x14ac:dyDescent="0.2">
      <c r="A39" t="s">
        <v>194</v>
      </c>
      <c r="B39" t="s">
        <v>195</v>
      </c>
      <c r="C39" s="3">
        <v>2821</v>
      </c>
      <c r="D39" s="3">
        <v>0</v>
      </c>
      <c r="E39" s="4" t="e">
        <f t="shared" ca="1" si="1"/>
        <v>#DIV/0!</v>
      </c>
    </row>
    <row r="40" spans="1:5" x14ac:dyDescent="0.2">
      <c r="A40" t="s">
        <v>196</v>
      </c>
      <c r="B40" t="s">
        <v>169</v>
      </c>
      <c r="C40" s="3">
        <v>0</v>
      </c>
      <c r="D40" s="3">
        <v>97835</v>
      </c>
      <c r="E40" s="4">
        <f t="shared" ca="1" si="1"/>
        <v>-1</v>
      </c>
    </row>
    <row r="41" spans="1:5" x14ac:dyDescent="0.2">
      <c r="A41" t="s">
        <v>197</v>
      </c>
      <c r="B41" t="s">
        <v>198</v>
      </c>
      <c r="C41" s="3">
        <v>351785</v>
      </c>
      <c r="D41" s="3">
        <v>285048</v>
      </c>
      <c r="E41" s="4">
        <f t="shared" ca="1" si="1"/>
        <v>0.23412548062080774</v>
      </c>
    </row>
    <row r="42" spans="1:5" x14ac:dyDescent="0.2">
      <c r="A42" t="s">
        <v>199</v>
      </c>
      <c r="B42" t="s">
        <v>200</v>
      </c>
      <c r="C42" s="3">
        <v>140000</v>
      </c>
      <c r="D42" s="3">
        <v>130000</v>
      </c>
      <c r="E42" s="4">
        <f t="shared" ca="1" si="1"/>
        <v>7.6923076923076927E-2</v>
      </c>
    </row>
    <row r="43" spans="1:5" x14ac:dyDescent="0.2">
      <c r="A43" t="s">
        <v>201</v>
      </c>
      <c r="B43" t="s">
        <v>202</v>
      </c>
      <c r="C43" s="3">
        <v>230326</v>
      </c>
      <c r="D43" s="3">
        <v>143988</v>
      </c>
      <c r="E43" s="4">
        <f t="shared" ca="1" si="1"/>
        <v>0.59961941272883856</v>
      </c>
    </row>
    <row r="44" spans="1:5" x14ac:dyDescent="0.2">
      <c r="A44" t="s">
        <v>203</v>
      </c>
      <c r="B44" t="s">
        <v>204</v>
      </c>
      <c r="C44" s="3">
        <v>18426</v>
      </c>
      <c r="D44" s="3">
        <v>18426</v>
      </c>
      <c r="E44" s="4">
        <f t="shared" ca="1" si="1"/>
        <v>0</v>
      </c>
    </row>
    <row r="45" spans="1:5" x14ac:dyDescent="0.2">
      <c r="A45" t="s">
        <v>205</v>
      </c>
      <c r="B45" t="s">
        <v>206</v>
      </c>
      <c r="C45" s="3">
        <v>96978</v>
      </c>
      <c r="D45" s="3">
        <v>0</v>
      </c>
      <c r="E45" s="4" t="e">
        <f t="shared" ca="1" si="1"/>
        <v>#DIV/0!</v>
      </c>
    </row>
    <row r="46" spans="1:5" x14ac:dyDescent="0.2">
      <c r="A46" t="s">
        <v>207</v>
      </c>
      <c r="B46" t="s">
        <v>208</v>
      </c>
      <c r="C46" s="3">
        <v>0</v>
      </c>
      <c r="D46" s="3">
        <v>95400</v>
      </c>
      <c r="E46" s="4">
        <f t="shared" ca="1" si="1"/>
        <v>-1</v>
      </c>
    </row>
    <row r="47" spans="1:5" x14ac:dyDescent="0.2">
      <c r="A47" t="s">
        <v>209</v>
      </c>
      <c r="B47" t="s">
        <v>210</v>
      </c>
      <c r="C47" s="3">
        <v>114922</v>
      </c>
      <c r="D47" s="3">
        <v>30162</v>
      </c>
      <c r="E47" s="4">
        <f t="shared" ca="1" si="1"/>
        <v>2.810158477554539</v>
      </c>
    </row>
    <row r="48" spans="1:5" x14ac:dyDescent="0.2">
      <c r="A48" t="s">
        <v>211</v>
      </c>
      <c r="B48" t="s">
        <v>212</v>
      </c>
      <c r="C48" s="3">
        <v>0</v>
      </c>
      <c r="D48" s="3">
        <v>15232</v>
      </c>
      <c r="E48" s="4">
        <f t="shared" ca="1" si="1"/>
        <v>-1</v>
      </c>
    </row>
    <row r="49" spans="1:5" x14ac:dyDescent="0.2">
      <c r="A49" t="s">
        <v>213</v>
      </c>
      <c r="B49" t="s">
        <v>214</v>
      </c>
      <c r="C49" s="3">
        <v>-18541</v>
      </c>
      <c r="D49" s="3">
        <v>-4172</v>
      </c>
      <c r="E49" s="4">
        <f t="shared" ca="1" si="1"/>
        <v>3.4441514860977946</v>
      </c>
    </row>
    <row r="50" spans="1:5" x14ac:dyDescent="0.2">
      <c r="A50" t="s">
        <v>215</v>
      </c>
      <c r="B50" t="s">
        <v>216</v>
      </c>
      <c r="C50" s="3">
        <v>0</v>
      </c>
      <c r="D50" s="3">
        <v>67717</v>
      </c>
      <c r="E50" s="4">
        <f t="shared" ca="1" si="1"/>
        <v>-1</v>
      </c>
    </row>
    <row r="51" spans="1:5" x14ac:dyDescent="0.2">
      <c r="A51" t="s">
        <v>217</v>
      </c>
      <c r="B51" t="s">
        <v>218</v>
      </c>
      <c r="C51" s="3">
        <v>0</v>
      </c>
      <c r="D51" s="3">
        <v>28183</v>
      </c>
      <c r="E51" s="4">
        <f t="shared" ca="1" si="1"/>
        <v>-1</v>
      </c>
    </row>
    <row r="52" spans="1:5" x14ac:dyDescent="0.2">
      <c r="A52" t="s">
        <v>219</v>
      </c>
      <c r="B52" t="s">
        <v>220</v>
      </c>
      <c r="C52" s="3">
        <v>0</v>
      </c>
      <c r="D52" s="3">
        <v>1935</v>
      </c>
      <c r="E52" s="4">
        <f t="shared" ca="1" si="1"/>
        <v>-1</v>
      </c>
    </row>
    <row r="53" spans="1:5" ht="26" x14ac:dyDescent="0.3">
      <c r="A53" s="1" t="s">
        <v>221</v>
      </c>
    </row>
    <row r="54" spans="1:5" ht="20" x14ac:dyDescent="0.25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</row>
    <row r="55" spans="1:5" x14ac:dyDescent="0.2">
      <c r="A55" t="s">
        <v>222</v>
      </c>
      <c r="B55" t="s">
        <v>134</v>
      </c>
      <c r="C55" s="3">
        <v>1604126</v>
      </c>
      <c r="D55" s="3">
        <v>1252008</v>
      </c>
      <c r="E55" s="4">
        <f t="shared" ref="E55:E86" ca="1" si="2">(INDIRECT("RC[-2]",0)-INDIRECT("RC[-1]",0))/INDIRECT("RC[-1]",0)</f>
        <v>0.28124261186829475</v>
      </c>
    </row>
    <row r="56" spans="1:5" x14ac:dyDescent="0.2">
      <c r="A56" t="s">
        <v>223</v>
      </c>
      <c r="B56" t="s">
        <v>136</v>
      </c>
      <c r="C56" s="3">
        <v>391747</v>
      </c>
      <c r="D56" s="3">
        <v>414310</v>
      </c>
      <c r="E56" s="4">
        <f t="shared" ca="1" si="2"/>
        <v>-5.4459221355989476E-2</v>
      </c>
    </row>
    <row r="57" spans="1:5" x14ac:dyDescent="0.2">
      <c r="A57" t="s">
        <v>224</v>
      </c>
      <c r="B57" t="s">
        <v>138</v>
      </c>
      <c r="C57" s="3">
        <v>48700</v>
      </c>
      <c r="D57" s="3">
        <v>31330</v>
      </c>
      <c r="E57" s="4">
        <f t="shared" ca="1" si="2"/>
        <v>0.55442068305138847</v>
      </c>
    </row>
    <row r="58" spans="1:5" x14ac:dyDescent="0.2">
      <c r="A58" t="s">
        <v>225</v>
      </c>
      <c r="B58" t="s">
        <v>140</v>
      </c>
      <c r="C58" s="3">
        <v>121664</v>
      </c>
      <c r="D58" s="3">
        <v>114569</v>
      </c>
      <c r="E58" s="4">
        <f t="shared" ca="1" si="2"/>
        <v>6.1927746598119914E-2</v>
      </c>
    </row>
    <row r="59" spans="1:5" x14ac:dyDescent="0.2">
      <c r="A59" t="s">
        <v>226</v>
      </c>
      <c r="B59" t="s">
        <v>142</v>
      </c>
      <c r="C59" s="3">
        <v>25256</v>
      </c>
      <c r="D59" s="3">
        <v>31157</v>
      </c>
      <c r="E59" s="4">
        <f t="shared" ca="1" si="2"/>
        <v>-0.1893956414288924</v>
      </c>
    </row>
    <row r="60" spans="1:5" x14ac:dyDescent="0.2">
      <c r="A60" t="s">
        <v>227</v>
      </c>
      <c r="B60" t="s">
        <v>144</v>
      </c>
      <c r="C60" s="3">
        <v>25256</v>
      </c>
      <c r="D60" s="3">
        <v>31157</v>
      </c>
      <c r="E60" s="4">
        <f t="shared" ca="1" si="2"/>
        <v>-0.1893956414288924</v>
      </c>
    </row>
    <row r="61" spans="1:5" x14ac:dyDescent="0.2">
      <c r="A61" t="s">
        <v>228</v>
      </c>
      <c r="B61" t="s">
        <v>229</v>
      </c>
      <c r="C61" s="3">
        <v>2218</v>
      </c>
      <c r="D61" s="3">
        <v>1758</v>
      </c>
      <c r="E61" s="4">
        <f t="shared" ca="1" si="2"/>
        <v>0.2616609783845279</v>
      </c>
    </row>
    <row r="62" spans="1:5" x14ac:dyDescent="0.2">
      <c r="A62" t="s">
        <v>230</v>
      </c>
      <c r="B62" t="s">
        <v>146</v>
      </c>
      <c r="C62" s="3">
        <v>10830</v>
      </c>
      <c r="D62" s="3">
        <v>14126</v>
      </c>
      <c r="E62" s="4">
        <f t="shared" ca="1" si="2"/>
        <v>-0.23332861390344045</v>
      </c>
    </row>
    <row r="63" spans="1:5" x14ac:dyDescent="0.2">
      <c r="A63" t="s">
        <v>231</v>
      </c>
      <c r="B63" t="s">
        <v>148</v>
      </c>
      <c r="C63" s="3">
        <v>12208</v>
      </c>
      <c r="D63" s="3">
        <v>15273</v>
      </c>
      <c r="E63" s="4">
        <f t="shared" ca="1" si="2"/>
        <v>-0.20068094022130556</v>
      </c>
    </row>
    <row r="64" spans="1:5" x14ac:dyDescent="0.2">
      <c r="A64" t="s">
        <v>232</v>
      </c>
      <c r="B64" t="s">
        <v>150</v>
      </c>
      <c r="C64" s="3">
        <v>102565</v>
      </c>
      <c r="D64" s="3">
        <v>146402</v>
      </c>
      <c r="E64" s="4">
        <f t="shared" ca="1" si="2"/>
        <v>-0.2994289695495963</v>
      </c>
    </row>
    <row r="65" spans="1:5" x14ac:dyDescent="0.2">
      <c r="A65" t="s">
        <v>233</v>
      </c>
      <c r="B65" t="s">
        <v>150</v>
      </c>
      <c r="C65" s="3">
        <v>97300</v>
      </c>
      <c r="D65" s="3">
        <v>98678</v>
      </c>
      <c r="E65" s="4">
        <f t="shared" ca="1" si="2"/>
        <v>-1.3964612172926083E-2</v>
      </c>
    </row>
    <row r="66" spans="1:5" x14ac:dyDescent="0.2">
      <c r="A66" t="s">
        <v>234</v>
      </c>
      <c r="B66" t="s">
        <v>153</v>
      </c>
      <c r="C66" s="3">
        <v>5265</v>
      </c>
      <c r="D66" s="3">
        <v>47724</v>
      </c>
      <c r="E66" s="4">
        <f t="shared" ca="1" si="2"/>
        <v>-0.88967814935881318</v>
      </c>
    </row>
    <row r="67" spans="1:5" x14ac:dyDescent="0.2">
      <c r="A67" t="s">
        <v>235</v>
      </c>
      <c r="B67" t="s">
        <v>155</v>
      </c>
      <c r="C67" s="3">
        <v>89703</v>
      </c>
      <c r="D67" s="3">
        <v>86563</v>
      </c>
      <c r="E67" s="4">
        <f t="shared" ca="1" si="2"/>
        <v>3.6274158705220473E-2</v>
      </c>
    </row>
    <row r="68" spans="1:5" x14ac:dyDescent="0.2">
      <c r="A68" t="s">
        <v>236</v>
      </c>
      <c r="B68" t="s">
        <v>25</v>
      </c>
      <c r="C68" s="3">
        <v>89703</v>
      </c>
      <c r="D68" s="3">
        <v>86563</v>
      </c>
      <c r="E68" s="4">
        <f t="shared" ca="1" si="2"/>
        <v>3.6274158705220473E-2</v>
      </c>
    </row>
    <row r="69" spans="1:5" x14ac:dyDescent="0.2">
      <c r="A69" t="s">
        <v>237</v>
      </c>
      <c r="B69" t="s">
        <v>158</v>
      </c>
      <c r="C69" s="3">
        <v>38707</v>
      </c>
      <c r="D69" s="3">
        <v>35127</v>
      </c>
      <c r="E69" s="4">
        <f t="shared" ca="1" si="2"/>
        <v>0.10191590514419108</v>
      </c>
    </row>
    <row r="70" spans="1:5" x14ac:dyDescent="0.2">
      <c r="A70" t="s">
        <v>238</v>
      </c>
      <c r="B70" t="s">
        <v>160</v>
      </c>
      <c r="C70" s="3">
        <v>20068</v>
      </c>
      <c r="D70" s="3">
        <v>12615</v>
      </c>
      <c r="E70" s="4">
        <f t="shared" ca="1" si="2"/>
        <v>0.59080459770114946</v>
      </c>
    </row>
    <row r="71" spans="1:5" x14ac:dyDescent="0.2">
      <c r="A71" t="s">
        <v>239</v>
      </c>
      <c r="B71" t="s">
        <v>162</v>
      </c>
      <c r="C71" s="3">
        <v>492</v>
      </c>
      <c r="D71" s="3">
        <v>6035</v>
      </c>
      <c r="E71" s="4">
        <f t="shared" ca="1" si="2"/>
        <v>-0.91847555923777957</v>
      </c>
    </row>
    <row r="72" spans="1:5" x14ac:dyDescent="0.2">
      <c r="A72" t="s">
        <v>240</v>
      </c>
      <c r="B72" t="s">
        <v>25</v>
      </c>
      <c r="C72" s="3">
        <v>15676</v>
      </c>
      <c r="D72" s="3">
        <v>32786</v>
      </c>
      <c r="E72" s="4">
        <f t="shared" ca="1" si="2"/>
        <v>-0.52186909046544261</v>
      </c>
    </row>
    <row r="73" spans="1:5" x14ac:dyDescent="0.2">
      <c r="A73" t="s">
        <v>241</v>
      </c>
      <c r="B73" t="s">
        <v>25</v>
      </c>
      <c r="C73" s="3">
        <v>14760</v>
      </c>
      <c r="D73" s="3">
        <v>0</v>
      </c>
      <c r="E73" s="4" t="e">
        <f t="shared" ca="1" si="2"/>
        <v>#DIV/0!</v>
      </c>
    </row>
    <row r="74" spans="1:5" x14ac:dyDescent="0.2">
      <c r="A74" t="s">
        <v>242</v>
      </c>
      <c r="B74" t="s">
        <v>167</v>
      </c>
      <c r="C74" s="3">
        <v>3859</v>
      </c>
      <c r="D74" s="3">
        <v>4289</v>
      </c>
      <c r="E74" s="4">
        <f t="shared" ca="1" si="2"/>
        <v>-0.10025647003963628</v>
      </c>
    </row>
    <row r="75" spans="1:5" x14ac:dyDescent="0.2">
      <c r="A75" t="s">
        <v>243</v>
      </c>
      <c r="B75" t="s">
        <v>189</v>
      </c>
      <c r="C75" s="3">
        <v>3859</v>
      </c>
      <c r="D75" s="3">
        <v>0</v>
      </c>
      <c r="E75" s="4" t="e">
        <f t="shared" ca="1" si="2"/>
        <v>#DIV/0!</v>
      </c>
    </row>
    <row r="76" spans="1:5" x14ac:dyDescent="0.2">
      <c r="A76" t="s">
        <v>244</v>
      </c>
      <c r="B76" t="s">
        <v>245</v>
      </c>
      <c r="C76" s="3">
        <v>3859</v>
      </c>
      <c r="D76" s="3">
        <v>0</v>
      </c>
      <c r="E76" s="4" t="e">
        <f t="shared" ca="1" si="2"/>
        <v>#DIV/0!</v>
      </c>
    </row>
    <row r="77" spans="1:5" x14ac:dyDescent="0.2">
      <c r="A77" t="s">
        <v>246</v>
      </c>
      <c r="B77" t="s">
        <v>169</v>
      </c>
      <c r="C77" s="3">
        <v>0</v>
      </c>
      <c r="D77" s="3">
        <v>4289</v>
      </c>
      <c r="E77" s="4">
        <f t="shared" ca="1" si="2"/>
        <v>-1</v>
      </c>
    </row>
    <row r="78" spans="1:5" x14ac:dyDescent="0.2">
      <c r="A78" t="s">
        <v>247</v>
      </c>
      <c r="B78" t="s">
        <v>173</v>
      </c>
      <c r="C78" s="3">
        <v>860560</v>
      </c>
      <c r="D78" s="3">
        <v>552638</v>
      </c>
      <c r="E78" s="4">
        <f t="shared" ca="1" si="2"/>
        <v>0.55718571650881765</v>
      </c>
    </row>
    <row r="79" spans="1:5" x14ac:dyDescent="0.2">
      <c r="A79" t="s">
        <v>248</v>
      </c>
      <c r="B79" t="s">
        <v>150</v>
      </c>
      <c r="C79" s="3">
        <v>525098</v>
      </c>
      <c r="D79" s="3">
        <v>367159</v>
      </c>
      <c r="E79" s="4">
        <f t="shared" ca="1" si="2"/>
        <v>0.43016513281711738</v>
      </c>
    </row>
    <row r="80" spans="1:5" x14ac:dyDescent="0.2">
      <c r="A80" t="s">
        <v>249</v>
      </c>
      <c r="B80" t="s">
        <v>150</v>
      </c>
      <c r="C80" s="3">
        <v>228642</v>
      </c>
      <c r="D80" s="3">
        <v>239180</v>
      </c>
      <c r="E80" s="4">
        <f t="shared" ca="1" si="2"/>
        <v>-4.4058867798310898E-2</v>
      </c>
    </row>
    <row r="81" spans="1:5" x14ac:dyDescent="0.2">
      <c r="A81" t="s">
        <v>250</v>
      </c>
      <c r="B81" t="s">
        <v>251</v>
      </c>
      <c r="C81" s="3">
        <v>228642</v>
      </c>
      <c r="D81" s="3">
        <v>0</v>
      </c>
      <c r="E81" s="4" t="e">
        <f t="shared" ca="1" si="2"/>
        <v>#DIV/0!</v>
      </c>
    </row>
    <row r="82" spans="1:5" x14ac:dyDescent="0.2">
      <c r="A82" t="s">
        <v>252</v>
      </c>
      <c r="B82" t="s">
        <v>153</v>
      </c>
      <c r="C82" s="3">
        <v>296456</v>
      </c>
      <c r="D82" s="3">
        <v>127979</v>
      </c>
      <c r="E82" s="4">
        <f t="shared" ca="1" si="2"/>
        <v>1.3164425413544409</v>
      </c>
    </row>
    <row r="83" spans="1:5" x14ac:dyDescent="0.2">
      <c r="A83" t="s">
        <v>253</v>
      </c>
      <c r="B83" t="s">
        <v>155</v>
      </c>
      <c r="C83" s="3">
        <v>206060</v>
      </c>
      <c r="D83" s="3">
        <v>141144</v>
      </c>
      <c r="E83" s="4">
        <f t="shared" ca="1" si="2"/>
        <v>0.45992744998016211</v>
      </c>
    </row>
    <row r="84" spans="1:5" x14ac:dyDescent="0.2">
      <c r="A84" t="s">
        <v>254</v>
      </c>
      <c r="B84" t="s">
        <v>179</v>
      </c>
      <c r="C84" s="3">
        <v>62008</v>
      </c>
      <c r="D84" s="3">
        <v>0</v>
      </c>
      <c r="E84" s="4" t="e">
        <f t="shared" ca="1" si="2"/>
        <v>#DIV/0!</v>
      </c>
    </row>
    <row r="85" spans="1:5" x14ac:dyDescent="0.2">
      <c r="A85" t="s">
        <v>255</v>
      </c>
      <c r="B85" t="s">
        <v>25</v>
      </c>
      <c r="C85" s="3">
        <v>144052</v>
      </c>
      <c r="D85" s="3">
        <v>141144</v>
      </c>
      <c r="E85" s="4">
        <f t="shared" ca="1" si="2"/>
        <v>2.0603072039902512E-2</v>
      </c>
    </row>
    <row r="86" spans="1:5" x14ac:dyDescent="0.2">
      <c r="A86" t="s">
        <v>256</v>
      </c>
      <c r="B86" t="s">
        <v>140</v>
      </c>
      <c r="C86" s="3">
        <v>87596</v>
      </c>
      <c r="D86" s="3">
        <v>78496</v>
      </c>
      <c r="E86" s="4">
        <f t="shared" ca="1" si="2"/>
        <v>0.11592947411333061</v>
      </c>
    </row>
    <row r="87" spans="1:5" x14ac:dyDescent="0.2">
      <c r="A87" t="s">
        <v>257</v>
      </c>
      <c r="B87" t="s">
        <v>258</v>
      </c>
      <c r="C87" s="3">
        <v>56020</v>
      </c>
      <c r="D87" s="3">
        <v>0</v>
      </c>
      <c r="E87" s="4" t="e">
        <f t="shared" ref="E87:E107" ca="1" si="3">(INDIRECT("RC[-2]",0)-INDIRECT("RC[-1]",0))/INDIRECT("RC[-1]",0)</f>
        <v>#DIV/0!</v>
      </c>
    </row>
    <row r="88" spans="1:5" x14ac:dyDescent="0.2">
      <c r="A88" t="s">
        <v>259</v>
      </c>
      <c r="B88" t="s">
        <v>260</v>
      </c>
      <c r="C88" s="3">
        <v>436</v>
      </c>
      <c r="D88" s="3">
        <v>0</v>
      </c>
      <c r="E88" s="4" t="e">
        <f t="shared" ca="1" si="3"/>
        <v>#DIV/0!</v>
      </c>
    </row>
    <row r="89" spans="1:5" x14ac:dyDescent="0.2">
      <c r="A89" t="s">
        <v>261</v>
      </c>
      <c r="B89" t="s">
        <v>184</v>
      </c>
      <c r="C89" s="3">
        <v>2140</v>
      </c>
      <c r="D89" s="3">
        <v>14186</v>
      </c>
      <c r="E89" s="4">
        <f t="shared" ca="1" si="3"/>
        <v>-0.8491470463837586</v>
      </c>
    </row>
    <row r="90" spans="1:5" x14ac:dyDescent="0.2">
      <c r="A90" t="s">
        <v>262</v>
      </c>
      <c r="B90" t="s">
        <v>186</v>
      </c>
      <c r="C90" s="3">
        <v>2140</v>
      </c>
      <c r="D90" s="3">
        <v>14186</v>
      </c>
      <c r="E90" s="4">
        <f t="shared" ca="1" si="3"/>
        <v>-0.8491470463837586</v>
      </c>
    </row>
    <row r="91" spans="1:5" x14ac:dyDescent="0.2">
      <c r="A91" t="s">
        <v>263</v>
      </c>
      <c r="B91" t="s">
        <v>167</v>
      </c>
      <c r="C91" s="3">
        <v>127262</v>
      </c>
      <c r="D91" s="3">
        <v>30149</v>
      </c>
      <c r="E91" s="4">
        <f t="shared" ca="1" si="3"/>
        <v>3.221101860758234</v>
      </c>
    </row>
    <row r="92" spans="1:5" x14ac:dyDescent="0.2">
      <c r="A92" t="s">
        <v>264</v>
      </c>
      <c r="B92" t="s">
        <v>169</v>
      </c>
      <c r="C92" s="3">
        <v>127262</v>
      </c>
      <c r="D92" s="3">
        <v>30149</v>
      </c>
      <c r="E92" s="4">
        <f t="shared" ca="1" si="3"/>
        <v>3.221101860758234</v>
      </c>
    </row>
    <row r="93" spans="1:5" x14ac:dyDescent="0.2">
      <c r="A93" t="s">
        <v>265</v>
      </c>
      <c r="B93" t="s">
        <v>216</v>
      </c>
      <c r="C93" s="3">
        <v>124441</v>
      </c>
      <c r="D93" s="3">
        <v>0</v>
      </c>
      <c r="E93" s="4" t="e">
        <f t="shared" ca="1" si="3"/>
        <v>#DIV/0!</v>
      </c>
    </row>
    <row r="94" spans="1:5" x14ac:dyDescent="0.2">
      <c r="A94" t="s">
        <v>266</v>
      </c>
      <c r="B94" t="s">
        <v>267</v>
      </c>
      <c r="C94" s="3">
        <v>2821</v>
      </c>
      <c r="D94" s="3">
        <v>0</v>
      </c>
      <c r="E94" s="4" t="e">
        <f t="shared" ca="1" si="3"/>
        <v>#DIV/0!</v>
      </c>
    </row>
    <row r="95" spans="1:5" x14ac:dyDescent="0.2">
      <c r="A95" t="s">
        <v>268</v>
      </c>
      <c r="B95" t="s">
        <v>269</v>
      </c>
      <c r="C95" s="3">
        <v>351819</v>
      </c>
      <c r="D95" s="3">
        <v>285060</v>
      </c>
      <c r="E95" s="4">
        <f t="shared" ca="1" si="3"/>
        <v>0.23419280151547042</v>
      </c>
    </row>
    <row r="96" spans="1:5" x14ac:dyDescent="0.2">
      <c r="A96" t="s">
        <v>270</v>
      </c>
      <c r="B96" t="s">
        <v>200</v>
      </c>
      <c r="C96" s="3">
        <v>140000</v>
      </c>
      <c r="D96" s="3">
        <v>130000</v>
      </c>
      <c r="E96" s="4">
        <f t="shared" ca="1" si="3"/>
        <v>7.6923076923076927E-2</v>
      </c>
    </row>
    <row r="97" spans="1:5" x14ac:dyDescent="0.2">
      <c r="A97" t="s">
        <v>271</v>
      </c>
      <c r="B97" t="s">
        <v>202</v>
      </c>
      <c r="C97" s="3">
        <v>230326</v>
      </c>
      <c r="D97" s="3">
        <v>143988</v>
      </c>
      <c r="E97" s="4">
        <f t="shared" ca="1" si="3"/>
        <v>0.59961941272883856</v>
      </c>
    </row>
    <row r="98" spans="1:5" x14ac:dyDescent="0.2">
      <c r="A98" t="s">
        <v>272</v>
      </c>
      <c r="B98" t="s">
        <v>204</v>
      </c>
      <c r="C98" s="3">
        <v>18426</v>
      </c>
      <c r="D98" s="3">
        <v>18426</v>
      </c>
      <c r="E98" s="4">
        <f t="shared" ca="1" si="3"/>
        <v>0</v>
      </c>
    </row>
    <row r="99" spans="1:5" x14ac:dyDescent="0.2">
      <c r="A99" t="s">
        <v>273</v>
      </c>
      <c r="B99" t="s">
        <v>206</v>
      </c>
      <c r="C99" s="3">
        <v>96978</v>
      </c>
      <c r="D99" s="3">
        <v>0</v>
      </c>
      <c r="E99" s="4" t="e">
        <f t="shared" ca="1" si="3"/>
        <v>#DIV/0!</v>
      </c>
    </row>
    <row r="100" spans="1:5" x14ac:dyDescent="0.2">
      <c r="A100" t="s">
        <v>274</v>
      </c>
      <c r="B100" t="s">
        <v>208</v>
      </c>
      <c r="C100" s="3">
        <v>0</v>
      </c>
      <c r="D100" s="3">
        <v>95400</v>
      </c>
      <c r="E100" s="4">
        <f t="shared" ca="1" si="3"/>
        <v>-1</v>
      </c>
    </row>
    <row r="101" spans="1:5" x14ac:dyDescent="0.2">
      <c r="A101" t="s">
        <v>275</v>
      </c>
      <c r="B101" t="s">
        <v>210</v>
      </c>
      <c r="C101" s="3">
        <v>114922</v>
      </c>
      <c r="D101" s="3">
        <v>30162</v>
      </c>
      <c r="E101" s="4">
        <f t="shared" ca="1" si="3"/>
        <v>2.810158477554539</v>
      </c>
    </row>
    <row r="102" spans="1:5" x14ac:dyDescent="0.2">
      <c r="A102" t="s">
        <v>276</v>
      </c>
      <c r="B102" t="s">
        <v>212</v>
      </c>
      <c r="C102" s="3">
        <v>0</v>
      </c>
      <c r="D102" s="3">
        <v>15232</v>
      </c>
      <c r="E102" s="4">
        <f t="shared" ca="1" si="3"/>
        <v>-1</v>
      </c>
    </row>
    <row r="103" spans="1:5" x14ac:dyDescent="0.2">
      <c r="A103" t="s">
        <v>277</v>
      </c>
      <c r="B103" t="s">
        <v>214</v>
      </c>
      <c r="C103" s="3">
        <v>-18541</v>
      </c>
      <c r="D103" s="3">
        <v>-4172</v>
      </c>
      <c r="E103" s="4">
        <f t="shared" ca="1" si="3"/>
        <v>3.4441514860977946</v>
      </c>
    </row>
    <row r="104" spans="1:5" x14ac:dyDescent="0.2">
      <c r="A104" t="s">
        <v>278</v>
      </c>
      <c r="B104" t="s">
        <v>279</v>
      </c>
      <c r="C104" s="3">
        <v>34</v>
      </c>
      <c r="D104" s="3">
        <v>12</v>
      </c>
      <c r="E104" s="4">
        <f t="shared" ca="1" si="3"/>
        <v>1.8333333333333333</v>
      </c>
    </row>
    <row r="105" spans="1:5" x14ac:dyDescent="0.2">
      <c r="A105" t="s">
        <v>280</v>
      </c>
      <c r="B105" t="s">
        <v>281</v>
      </c>
      <c r="C105" s="3">
        <v>0</v>
      </c>
      <c r="D105" s="3">
        <v>4289</v>
      </c>
      <c r="E105" s="4">
        <f t="shared" ca="1" si="3"/>
        <v>-1</v>
      </c>
    </row>
    <row r="106" spans="1:5" x14ac:dyDescent="0.2">
      <c r="A106" t="s">
        <v>282</v>
      </c>
      <c r="B106" t="s">
        <v>146</v>
      </c>
      <c r="C106" s="3">
        <v>0</v>
      </c>
      <c r="D106" s="3">
        <v>62648</v>
      </c>
      <c r="E106" s="4">
        <f t="shared" ca="1" si="3"/>
        <v>-1</v>
      </c>
    </row>
    <row r="107" spans="1:5" x14ac:dyDescent="0.2">
      <c r="A107" t="s">
        <v>283</v>
      </c>
      <c r="B107" t="s">
        <v>220</v>
      </c>
      <c r="C107" s="3">
        <v>0</v>
      </c>
      <c r="D107" s="3">
        <v>30149</v>
      </c>
      <c r="E107" s="4">
        <f t="shared" ca="1" si="3"/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0"/>
  <sheetViews>
    <sheetView tabSelected="1" topLeftCell="A64" workbookViewId="0">
      <selection activeCell="C70" sqref="C70"/>
    </sheetView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8" ht="26" x14ac:dyDescent="0.3">
      <c r="A1" s="1" t="s">
        <v>284</v>
      </c>
    </row>
    <row r="2" spans="1:8" ht="20" x14ac:dyDescent="0.25">
      <c r="A2" s="2" t="s">
        <v>1</v>
      </c>
      <c r="B2" s="2" t="s">
        <v>2</v>
      </c>
      <c r="C2" s="2" t="s">
        <v>3</v>
      </c>
      <c r="D2" s="2" t="s">
        <v>285</v>
      </c>
      <c r="E2" s="2" t="s">
        <v>286</v>
      </c>
      <c r="F2" s="2" t="s">
        <v>287</v>
      </c>
      <c r="G2" s="2" t="s">
        <v>288</v>
      </c>
      <c r="H2" s="2" t="s">
        <v>289</v>
      </c>
    </row>
    <row r="3" spans="1:8" x14ac:dyDescent="0.2">
      <c r="A3" t="s">
        <v>290</v>
      </c>
      <c r="B3" t="s">
        <v>291</v>
      </c>
      <c r="C3" s="3">
        <v>250837</v>
      </c>
      <c r="D3" s="3">
        <v>474147</v>
      </c>
      <c r="E3" s="3">
        <v>250482</v>
      </c>
      <c r="F3" s="3">
        <v>699566</v>
      </c>
      <c r="G3" s="4">
        <f t="shared" ref="G3:H27" ca="1" si="0">(INDIRECT("RC[-4]",0)-INDIRECT("RC[-2]",0))/INDIRECT("RC[-2]",0)</f>
        <v>1.4172675082441053E-3</v>
      </c>
      <c r="H3" s="4">
        <f t="shared" ca="1" si="0"/>
        <v>-0.32222692354974369</v>
      </c>
    </row>
    <row r="4" spans="1:8" x14ac:dyDescent="0.2">
      <c r="A4" t="s">
        <v>292</v>
      </c>
      <c r="B4" t="s">
        <v>293</v>
      </c>
      <c r="C4" s="3">
        <v>-170209</v>
      </c>
      <c r="D4" s="3">
        <v>-317560</v>
      </c>
      <c r="E4" s="3">
        <v>-162482</v>
      </c>
      <c r="F4" s="3">
        <v>-450453</v>
      </c>
      <c r="G4" s="4">
        <f t="shared" ca="1" si="0"/>
        <v>4.7556036976403537E-2</v>
      </c>
      <c r="H4" s="4">
        <f t="shared" ca="1" si="0"/>
        <v>-0.29502079018232757</v>
      </c>
    </row>
    <row r="5" spans="1:8" x14ac:dyDescent="0.2">
      <c r="A5" t="s">
        <v>294</v>
      </c>
      <c r="B5" t="s">
        <v>295</v>
      </c>
      <c r="C5" s="3">
        <v>80628</v>
      </c>
      <c r="D5" s="3">
        <v>156587</v>
      </c>
      <c r="E5" s="3">
        <v>88000</v>
      </c>
      <c r="F5" s="3">
        <v>249113</v>
      </c>
      <c r="G5" s="4">
        <f t="shared" ca="1" si="0"/>
        <v>-8.3772727272727276E-2</v>
      </c>
      <c r="H5" s="4">
        <f t="shared" ca="1" si="0"/>
        <v>-0.37142180456258805</v>
      </c>
    </row>
    <row r="6" spans="1:8" x14ac:dyDescent="0.2">
      <c r="A6" t="s">
        <v>296</v>
      </c>
      <c r="B6" t="s">
        <v>297</v>
      </c>
      <c r="C6" s="3">
        <v>-70176</v>
      </c>
      <c r="D6" s="3">
        <v>-121267</v>
      </c>
      <c r="E6" s="3">
        <v>-56456</v>
      </c>
      <c r="F6" s="3">
        <v>-139410</v>
      </c>
      <c r="G6" s="4">
        <f t="shared" ca="1" si="0"/>
        <v>0.2430211137877285</v>
      </c>
      <c r="H6" s="4">
        <f t="shared" ca="1" si="0"/>
        <v>-0.13014130980560937</v>
      </c>
    </row>
    <row r="7" spans="1:8" x14ac:dyDescent="0.2">
      <c r="A7" t="s">
        <v>298</v>
      </c>
      <c r="B7" t="s">
        <v>299</v>
      </c>
      <c r="C7" s="3">
        <v>-62459</v>
      </c>
      <c r="D7" s="3">
        <v>-114898</v>
      </c>
      <c r="E7" s="3">
        <v>-53479</v>
      </c>
      <c r="F7" s="3">
        <v>-152640</v>
      </c>
      <c r="G7" s="4">
        <f t="shared" ca="1" si="0"/>
        <v>0.16791637839151816</v>
      </c>
      <c r="H7" s="4">
        <f t="shared" ca="1" si="0"/>
        <v>-0.24726153039832285</v>
      </c>
    </row>
    <row r="8" spans="1:8" x14ac:dyDescent="0.2">
      <c r="A8" t="s">
        <v>300</v>
      </c>
      <c r="B8" t="s">
        <v>301</v>
      </c>
      <c r="C8" s="3">
        <v>-9566</v>
      </c>
      <c r="D8" s="3">
        <v>-18332</v>
      </c>
      <c r="E8" s="3">
        <v>-7536</v>
      </c>
      <c r="F8" s="3">
        <v>-24375</v>
      </c>
      <c r="G8" s="4">
        <f t="shared" ca="1" si="0"/>
        <v>0.26937367303609344</v>
      </c>
      <c r="H8" s="4">
        <f t="shared" ca="1" si="0"/>
        <v>-0.24791794871794873</v>
      </c>
    </row>
    <row r="9" spans="1:8" x14ac:dyDescent="0.2">
      <c r="A9" t="s">
        <v>302</v>
      </c>
      <c r="B9" t="s">
        <v>303</v>
      </c>
      <c r="C9" s="3">
        <v>-928</v>
      </c>
      <c r="D9" s="3">
        <v>-808</v>
      </c>
      <c r="E9" s="3">
        <v>559</v>
      </c>
      <c r="F9" s="3">
        <v>29968</v>
      </c>
      <c r="G9" s="4">
        <f t="shared" ca="1" si="0"/>
        <v>-2.6601073345259394</v>
      </c>
      <c r="H9" s="4">
        <f t="shared" ca="1" si="0"/>
        <v>-1.0269620928990923</v>
      </c>
    </row>
    <row r="10" spans="1:8" x14ac:dyDescent="0.2">
      <c r="A10" t="s">
        <v>304</v>
      </c>
      <c r="B10" t="s">
        <v>303</v>
      </c>
      <c r="C10" s="3">
        <v>-928</v>
      </c>
      <c r="D10" s="3">
        <v>-808</v>
      </c>
      <c r="E10" s="3">
        <v>559</v>
      </c>
      <c r="F10" s="3">
        <v>21078</v>
      </c>
      <c r="G10" s="4">
        <f t="shared" ca="1" si="0"/>
        <v>-2.6601073345259394</v>
      </c>
      <c r="H10" s="4">
        <f t="shared" ca="1" si="0"/>
        <v>-1.0383338077616473</v>
      </c>
    </row>
    <row r="11" spans="1:8" x14ac:dyDescent="0.2">
      <c r="A11" t="s">
        <v>305</v>
      </c>
      <c r="B11" t="s">
        <v>306</v>
      </c>
      <c r="C11" s="3">
        <v>-4713</v>
      </c>
      <c r="D11" s="3">
        <v>-6493</v>
      </c>
      <c r="E11" s="3">
        <v>-6582</v>
      </c>
      <c r="F11" s="3">
        <v>-21575</v>
      </c>
      <c r="G11" s="4">
        <f t="shared" ca="1" si="0"/>
        <v>-0.28395624430264355</v>
      </c>
      <c r="H11" s="4">
        <f t="shared" ca="1" si="0"/>
        <v>-0.69904982618771727</v>
      </c>
    </row>
    <row r="12" spans="1:8" x14ac:dyDescent="0.2">
      <c r="A12" t="s">
        <v>307</v>
      </c>
      <c r="B12" t="s">
        <v>306</v>
      </c>
      <c r="C12" s="3">
        <v>-4713</v>
      </c>
      <c r="D12" s="3">
        <v>-6493</v>
      </c>
      <c r="E12" s="3">
        <v>-6582</v>
      </c>
      <c r="F12" s="3">
        <v>-14967</v>
      </c>
      <c r="G12" s="4">
        <f t="shared" ca="1" si="0"/>
        <v>-0.28395624430264355</v>
      </c>
      <c r="H12" s="4">
        <f t="shared" ca="1" si="0"/>
        <v>-0.56617892697267325</v>
      </c>
    </row>
    <row r="13" spans="1:8" x14ac:dyDescent="0.2">
      <c r="A13" t="s">
        <v>308</v>
      </c>
      <c r="B13" t="s">
        <v>309</v>
      </c>
      <c r="C13" s="3">
        <v>7490</v>
      </c>
      <c r="D13" s="3">
        <v>19264</v>
      </c>
      <c r="E13" s="3">
        <v>10582</v>
      </c>
      <c r="F13" s="3">
        <v>29212</v>
      </c>
      <c r="G13" s="4">
        <f t="shared" ca="1" si="0"/>
        <v>-0.29219429219429222</v>
      </c>
      <c r="H13" s="4">
        <f t="shared" ca="1" si="0"/>
        <v>-0.34054498151444612</v>
      </c>
    </row>
    <row r="14" spans="1:8" x14ac:dyDescent="0.2">
      <c r="A14" t="s">
        <v>310</v>
      </c>
      <c r="B14" t="s">
        <v>311</v>
      </c>
      <c r="C14" s="3">
        <v>10452</v>
      </c>
      <c r="D14" s="3">
        <v>35320</v>
      </c>
      <c r="E14" s="3">
        <v>31544</v>
      </c>
      <c r="F14" s="3">
        <v>109703</v>
      </c>
      <c r="G14" s="4">
        <f t="shared" ca="1" si="0"/>
        <v>-0.66865330966269343</v>
      </c>
      <c r="H14" s="4">
        <f t="shared" ca="1" si="0"/>
        <v>-0.67803979836467554</v>
      </c>
    </row>
    <row r="15" spans="1:8" x14ac:dyDescent="0.2">
      <c r="A15" t="s">
        <v>312</v>
      </c>
      <c r="B15" t="s">
        <v>313</v>
      </c>
      <c r="C15" s="3">
        <v>-10406</v>
      </c>
      <c r="D15" s="3">
        <v>-25453</v>
      </c>
      <c r="E15" s="3">
        <v>-15856</v>
      </c>
      <c r="F15" s="3">
        <v>-41322</v>
      </c>
      <c r="G15" s="4">
        <f t="shared" ca="1" si="0"/>
        <v>-0.34371846619576185</v>
      </c>
      <c r="H15" s="4">
        <f t="shared" ca="1" si="0"/>
        <v>-0.38403271864866173</v>
      </c>
    </row>
    <row r="16" spans="1:8" x14ac:dyDescent="0.2">
      <c r="A16" t="s">
        <v>314</v>
      </c>
      <c r="B16" t="s">
        <v>315</v>
      </c>
      <c r="C16" s="3">
        <v>5102</v>
      </c>
      <c r="D16" s="3">
        <v>7286</v>
      </c>
      <c r="E16" s="3">
        <v>1686</v>
      </c>
      <c r="F16" s="3">
        <v>16738</v>
      </c>
      <c r="G16" s="4">
        <f t="shared" ca="1" si="0"/>
        <v>2.0260972716488732</v>
      </c>
      <c r="H16" s="4">
        <f t="shared" ca="1" si="0"/>
        <v>-0.56470307085673321</v>
      </c>
    </row>
    <row r="17" spans="1:8" x14ac:dyDescent="0.2">
      <c r="A17" t="s">
        <v>316</v>
      </c>
      <c r="B17" t="s">
        <v>315</v>
      </c>
      <c r="C17" s="3">
        <v>3304</v>
      </c>
      <c r="D17" s="3">
        <v>5488</v>
      </c>
      <c r="E17" s="3">
        <v>4288</v>
      </c>
      <c r="F17" s="3">
        <v>17781</v>
      </c>
      <c r="G17" s="4">
        <f t="shared" ca="1" si="0"/>
        <v>-0.2294776119402985</v>
      </c>
      <c r="H17" s="4">
        <f t="shared" ca="1" si="0"/>
        <v>-0.69135594173556048</v>
      </c>
    </row>
    <row r="18" spans="1:8" x14ac:dyDescent="0.2">
      <c r="A18" t="s">
        <v>317</v>
      </c>
      <c r="B18" t="s">
        <v>318</v>
      </c>
      <c r="C18" s="3">
        <v>1798</v>
      </c>
      <c r="D18" s="3">
        <v>1798</v>
      </c>
      <c r="E18" s="3">
        <v>-2602</v>
      </c>
      <c r="F18" s="3">
        <v>-1043</v>
      </c>
      <c r="G18" s="4">
        <f t="shared" ca="1" si="0"/>
        <v>-1.6910069177555727</v>
      </c>
      <c r="H18" s="4">
        <f t="shared" ca="1" si="0"/>
        <v>-2.7238734419942472</v>
      </c>
    </row>
    <row r="19" spans="1:8" x14ac:dyDescent="0.2">
      <c r="A19" t="s">
        <v>319</v>
      </c>
      <c r="B19" t="s">
        <v>320</v>
      </c>
      <c r="C19" s="3">
        <v>-15508</v>
      </c>
      <c r="D19" s="3">
        <v>-32739</v>
      </c>
      <c r="E19" s="3">
        <v>-17542</v>
      </c>
      <c r="F19" s="3">
        <v>-58060</v>
      </c>
      <c r="G19" s="4">
        <f t="shared" ca="1" si="0"/>
        <v>-0.11595029073081747</v>
      </c>
      <c r="H19" s="4">
        <f t="shared" ca="1" si="0"/>
        <v>-0.43611780916293491</v>
      </c>
    </row>
    <row r="20" spans="1:8" x14ac:dyDescent="0.2">
      <c r="A20" t="s">
        <v>321</v>
      </c>
      <c r="B20" t="s">
        <v>320</v>
      </c>
      <c r="C20" s="3">
        <v>-15508</v>
      </c>
      <c r="D20" s="3">
        <v>-32376</v>
      </c>
      <c r="E20" s="3">
        <v>-17542</v>
      </c>
      <c r="F20" s="3">
        <v>-57538</v>
      </c>
      <c r="G20" s="4">
        <f t="shared" ca="1" si="0"/>
        <v>-0.11595029073081747</v>
      </c>
      <c r="H20" s="4">
        <f t="shared" ca="1" si="0"/>
        <v>-0.4373109944732177</v>
      </c>
    </row>
    <row r="21" spans="1:8" x14ac:dyDescent="0.2">
      <c r="A21" t="s">
        <v>322</v>
      </c>
      <c r="B21" t="s">
        <v>323</v>
      </c>
      <c r="C21" s="3">
        <v>46</v>
      </c>
      <c r="D21" s="3">
        <v>9867</v>
      </c>
      <c r="E21" s="3">
        <v>15688</v>
      </c>
      <c r="F21" s="3">
        <v>68381</v>
      </c>
      <c r="G21" s="4">
        <f t="shared" ca="1" si="0"/>
        <v>-0.99706782253952064</v>
      </c>
      <c r="H21" s="4">
        <f t="shared" ca="1" si="0"/>
        <v>-0.85570553223848733</v>
      </c>
    </row>
    <row r="22" spans="1:8" x14ac:dyDescent="0.2">
      <c r="A22" t="s">
        <v>324</v>
      </c>
      <c r="B22" t="s">
        <v>325</v>
      </c>
      <c r="C22" s="3">
        <v>2530</v>
      </c>
      <c r="D22" s="3">
        <v>-302</v>
      </c>
      <c r="E22" s="3">
        <v>1895</v>
      </c>
      <c r="F22" s="3">
        <v>-9066</v>
      </c>
      <c r="G22" s="4">
        <f t="shared" ca="1" si="0"/>
        <v>0.33509234828496043</v>
      </c>
      <c r="H22" s="4">
        <f t="shared" ca="1" si="0"/>
        <v>-0.9666887271122877</v>
      </c>
    </row>
    <row r="23" spans="1:8" x14ac:dyDescent="0.2">
      <c r="A23" t="s">
        <v>326</v>
      </c>
      <c r="B23" t="s">
        <v>327</v>
      </c>
      <c r="C23" s="3">
        <v>583</v>
      </c>
      <c r="D23" s="3">
        <v>-1063</v>
      </c>
      <c r="E23" s="3">
        <v>0</v>
      </c>
      <c r="F23" s="3">
        <v>0</v>
      </c>
      <c r="G23" s="4" t="e">
        <f t="shared" ca="1" si="0"/>
        <v>#DIV/0!</v>
      </c>
      <c r="H23" s="4" t="e">
        <f t="shared" ca="1" si="0"/>
        <v>#DIV/0!</v>
      </c>
    </row>
    <row r="24" spans="1:8" x14ac:dyDescent="0.2">
      <c r="A24" t="s">
        <v>328</v>
      </c>
      <c r="B24" t="s">
        <v>329</v>
      </c>
      <c r="C24" s="3">
        <v>1947</v>
      </c>
      <c r="D24" s="3">
        <v>761</v>
      </c>
      <c r="E24" s="3">
        <v>1895</v>
      </c>
      <c r="F24" s="3">
        <v>-9066</v>
      </c>
      <c r="G24" s="4">
        <f t="shared" ca="1" si="0"/>
        <v>2.7440633245382585E-2</v>
      </c>
      <c r="H24" s="4">
        <f t="shared" ca="1" si="0"/>
        <v>-1.0839399955879108</v>
      </c>
    </row>
    <row r="25" spans="1:8" x14ac:dyDescent="0.2">
      <c r="A25" t="s">
        <v>330</v>
      </c>
      <c r="B25" t="s">
        <v>331</v>
      </c>
      <c r="C25" s="3">
        <v>2576</v>
      </c>
      <c r="D25" s="3">
        <v>9565</v>
      </c>
      <c r="E25" s="3">
        <v>17583</v>
      </c>
      <c r="F25" s="3">
        <v>59315</v>
      </c>
      <c r="G25" s="4">
        <f t="shared" ca="1" si="0"/>
        <v>-0.85349485298299499</v>
      </c>
      <c r="H25" s="4">
        <f t="shared" ca="1" si="0"/>
        <v>-0.83874230801652194</v>
      </c>
    </row>
    <row r="26" spans="1:8" x14ac:dyDescent="0.2">
      <c r="A26" t="s">
        <v>332</v>
      </c>
      <c r="B26" t="s">
        <v>333</v>
      </c>
      <c r="C26" s="3">
        <v>2576</v>
      </c>
      <c r="D26" s="3">
        <v>9565</v>
      </c>
      <c r="E26" s="3">
        <v>17583</v>
      </c>
      <c r="F26" s="3">
        <v>59315</v>
      </c>
      <c r="G26" s="4">
        <f t="shared" ca="1" si="0"/>
        <v>-0.85349485298299499</v>
      </c>
      <c r="H26" s="4">
        <f t="shared" ca="1" si="0"/>
        <v>-0.83874230801652194</v>
      </c>
    </row>
    <row r="27" spans="1:8" x14ac:dyDescent="0.2">
      <c r="A27" t="s">
        <v>334</v>
      </c>
      <c r="B27" t="s">
        <v>335</v>
      </c>
      <c r="C27" s="3">
        <v>1.6250000000000001E-2</v>
      </c>
      <c r="D27" s="3">
        <v>1.6250000000000001E-2</v>
      </c>
      <c r="E27" s="3">
        <v>0.11094</v>
      </c>
      <c r="F27" s="3">
        <v>0.37425000000000003</v>
      </c>
      <c r="G27" s="4">
        <f t="shared" ca="1" si="0"/>
        <v>-0.85352442761853253</v>
      </c>
      <c r="H27" s="4">
        <f t="shared" ca="1" si="0"/>
        <v>-0.95657982631930527</v>
      </c>
    </row>
    <row r="28" spans="1:8" x14ac:dyDescent="0.2">
      <c r="A28" t="s">
        <v>336</v>
      </c>
      <c r="B28" t="s">
        <v>337</v>
      </c>
      <c r="C28" s="3">
        <v>0</v>
      </c>
    </row>
    <row r="29" spans="1:8" x14ac:dyDescent="0.2">
      <c r="A29" t="s">
        <v>338</v>
      </c>
      <c r="B29" t="s">
        <v>339</v>
      </c>
      <c r="C29" s="3">
        <v>0</v>
      </c>
    </row>
    <row r="30" spans="1:8" x14ac:dyDescent="0.2">
      <c r="A30" t="s">
        <v>340</v>
      </c>
      <c r="B30" t="s">
        <v>341</v>
      </c>
      <c r="C30" s="3">
        <v>0</v>
      </c>
    </row>
    <row r="31" spans="1:8" x14ac:dyDescent="0.2">
      <c r="A31" t="s">
        <v>342</v>
      </c>
      <c r="B31" t="s">
        <v>343</v>
      </c>
      <c r="C31" s="3">
        <v>158489</v>
      </c>
    </row>
    <row r="32" spans="1:8" x14ac:dyDescent="0.2">
      <c r="A32" t="s">
        <v>344</v>
      </c>
      <c r="B32" t="s">
        <v>345</v>
      </c>
      <c r="C32" s="3">
        <v>0</v>
      </c>
    </row>
    <row r="33" spans="1:8" x14ac:dyDescent="0.2">
      <c r="A33" t="s">
        <v>346</v>
      </c>
      <c r="B33" t="s">
        <v>347</v>
      </c>
      <c r="C33" s="3">
        <v>158489</v>
      </c>
    </row>
    <row r="34" spans="1:8" x14ac:dyDescent="0.2">
      <c r="A34" t="s">
        <v>348</v>
      </c>
      <c r="B34" t="s">
        <v>349</v>
      </c>
      <c r="C34" s="5">
        <v>3.97</v>
      </c>
    </row>
    <row r="35" spans="1:8" ht="26" x14ac:dyDescent="0.3">
      <c r="A35" s="1" t="s">
        <v>350</v>
      </c>
    </row>
    <row r="36" spans="1:8" ht="20" x14ac:dyDescent="0.25">
      <c r="A36" s="2" t="s">
        <v>1</v>
      </c>
      <c r="B36" s="2" t="s">
        <v>2</v>
      </c>
      <c r="C36" s="2" t="s">
        <v>3</v>
      </c>
      <c r="D36" s="2" t="s">
        <v>285</v>
      </c>
      <c r="E36" s="2" t="s">
        <v>286</v>
      </c>
      <c r="F36" s="2" t="s">
        <v>287</v>
      </c>
      <c r="G36" s="2" t="s">
        <v>288</v>
      </c>
      <c r="H36" s="2" t="s">
        <v>289</v>
      </c>
    </row>
    <row r="37" spans="1:8" x14ac:dyDescent="0.2">
      <c r="A37" t="s">
        <v>351</v>
      </c>
      <c r="B37" t="s">
        <v>291</v>
      </c>
      <c r="C37" s="3">
        <v>277114</v>
      </c>
      <c r="D37" s="3">
        <v>523015</v>
      </c>
      <c r="E37" s="3">
        <v>275612</v>
      </c>
      <c r="F37" s="3">
        <v>769774</v>
      </c>
      <c r="G37" s="4">
        <f t="shared" ref="G37:H63" ca="1" si="1">(INDIRECT("RC[-4]",0)-INDIRECT("RC[-2]",0))/INDIRECT("RC[-2]",0)</f>
        <v>5.4496901441156405E-3</v>
      </c>
      <c r="H37" s="4">
        <f t="shared" ca="1" si="1"/>
        <v>-0.32056032030180287</v>
      </c>
    </row>
    <row r="38" spans="1:8" x14ac:dyDescent="0.2">
      <c r="A38" t="s">
        <v>352</v>
      </c>
      <c r="B38" t="s">
        <v>293</v>
      </c>
      <c r="C38" s="3">
        <v>-170097</v>
      </c>
      <c r="D38" s="3">
        <v>-317727</v>
      </c>
      <c r="E38" s="3">
        <v>-163139</v>
      </c>
      <c r="F38" s="3">
        <v>-452727</v>
      </c>
      <c r="G38" s="4">
        <f t="shared" ca="1" si="1"/>
        <v>4.2650745683129113E-2</v>
      </c>
      <c r="H38" s="4">
        <f t="shared" ca="1" si="1"/>
        <v>-0.29819295071864499</v>
      </c>
    </row>
    <row r="39" spans="1:8" x14ac:dyDescent="0.2">
      <c r="A39" t="s">
        <v>353</v>
      </c>
      <c r="B39" t="s">
        <v>295</v>
      </c>
      <c r="C39" s="3">
        <v>107017</v>
      </c>
      <c r="D39" s="3">
        <v>205288</v>
      </c>
      <c r="E39" s="3">
        <v>112473</v>
      </c>
      <c r="F39" s="3">
        <v>317047</v>
      </c>
      <c r="G39" s="4">
        <f t="shared" ca="1" si="1"/>
        <v>-4.8509420038587041E-2</v>
      </c>
      <c r="H39" s="4">
        <f t="shared" ca="1" si="1"/>
        <v>-0.35249978709781199</v>
      </c>
    </row>
    <row r="40" spans="1:8" x14ac:dyDescent="0.2">
      <c r="A40" t="s">
        <v>354</v>
      </c>
      <c r="B40" t="s">
        <v>297</v>
      </c>
      <c r="C40" s="3">
        <v>-93452</v>
      </c>
      <c r="D40" s="3">
        <v>-168114</v>
      </c>
      <c r="E40" s="3">
        <v>-78017</v>
      </c>
      <c r="F40" s="3">
        <v>-199453</v>
      </c>
      <c r="G40" s="4">
        <f t="shared" ca="1" si="1"/>
        <v>0.19784149608418677</v>
      </c>
      <c r="H40" s="4">
        <f t="shared" ca="1" si="1"/>
        <v>-0.15712473615337949</v>
      </c>
    </row>
    <row r="41" spans="1:8" x14ac:dyDescent="0.2">
      <c r="A41" t="s">
        <v>355</v>
      </c>
      <c r="B41" t="s">
        <v>299</v>
      </c>
      <c r="C41" s="3">
        <v>-76690</v>
      </c>
      <c r="D41" s="3">
        <v>-140515</v>
      </c>
      <c r="E41" s="3">
        <v>-64394</v>
      </c>
      <c r="F41" s="3">
        <v>-183487</v>
      </c>
      <c r="G41" s="4">
        <f t="shared" ca="1" si="1"/>
        <v>0.19094946734167781</v>
      </c>
      <c r="H41" s="4">
        <f t="shared" ca="1" si="1"/>
        <v>-0.23419642808482344</v>
      </c>
    </row>
    <row r="42" spans="1:8" x14ac:dyDescent="0.2">
      <c r="A42" t="s">
        <v>356</v>
      </c>
      <c r="B42" t="s">
        <v>301</v>
      </c>
      <c r="C42" s="3">
        <v>-11356</v>
      </c>
      <c r="D42" s="3">
        <v>-20616</v>
      </c>
      <c r="E42" s="3">
        <v>-7735</v>
      </c>
      <c r="F42" s="3">
        <v>-24854</v>
      </c>
      <c r="G42" s="4">
        <f t="shared" ca="1" si="1"/>
        <v>0.46813186813186813</v>
      </c>
      <c r="H42" s="4">
        <f t="shared" ca="1" si="1"/>
        <v>-0.1705158123440895</v>
      </c>
    </row>
    <row r="43" spans="1:8" x14ac:dyDescent="0.2">
      <c r="A43" t="s">
        <v>357</v>
      </c>
      <c r="B43" t="s">
        <v>303</v>
      </c>
      <c r="C43" s="3">
        <v>-812</v>
      </c>
      <c r="D43" s="3">
        <v>-670</v>
      </c>
      <c r="E43" s="3">
        <v>1014</v>
      </c>
      <c r="F43" s="3">
        <v>30921</v>
      </c>
      <c r="G43" s="4">
        <f t="shared" ca="1" si="1"/>
        <v>-1.8007889546351086</v>
      </c>
      <c r="H43" s="4">
        <f t="shared" ca="1" si="1"/>
        <v>-1.0216681219882928</v>
      </c>
    </row>
    <row r="44" spans="1:8" x14ac:dyDescent="0.2">
      <c r="A44" t="s">
        <v>358</v>
      </c>
      <c r="B44" t="s">
        <v>303</v>
      </c>
      <c r="C44" s="3">
        <v>0</v>
      </c>
      <c r="D44" s="3">
        <v>142</v>
      </c>
      <c r="E44" s="3">
        <v>1014</v>
      </c>
      <c r="F44" s="3">
        <v>21561</v>
      </c>
      <c r="G44" s="4">
        <f t="shared" ca="1" si="1"/>
        <v>-1</v>
      </c>
      <c r="H44" s="4">
        <f t="shared" ca="1" si="1"/>
        <v>-0.99341403459950839</v>
      </c>
    </row>
    <row r="45" spans="1:8" x14ac:dyDescent="0.2">
      <c r="A45" t="s">
        <v>359</v>
      </c>
      <c r="B45" t="s">
        <v>306</v>
      </c>
      <c r="C45" s="3">
        <v>-4594</v>
      </c>
      <c r="D45" s="3">
        <v>-6313</v>
      </c>
      <c r="E45" s="3">
        <v>-6902</v>
      </c>
      <c r="F45" s="3">
        <v>-22033</v>
      </c>
      <c r="G45" s="4">
        <f t="shared" ca="1" si="1"/>
        <v>-0.3343958272964358</v>
      </c>
      <c r="H45" s="4">
        <f t="shared" ca="1" si="1"/>
        <v>-0.71347524168293019</v>
      </c>
    </row>
    <row r="46" spans="1:8" x14ac:dyDescent="0.2">
      <c r="A46" t="s">
        <v>360</v>
      </c>
      <c r="B46" t="s">
        <v>306</v>
      </c>
      <c r="C46" s="3">
        <v>-4594</v>
      </c>
      <c r="D46" s="3">
        <v>-6313</v>
      </c>
      <c r="E46" s="3">
        <v>-6902</v>
      </c>
      <c r="F46" s="3">
        <v>-15488</v>
      </c>
      <c r="G46" s="4">
        <f t="shared" ca="1" si="1"/>
        <v>-0.3343958272964358</v>
      </c>
      <c r="H46" s="4">
        <f t="shared" ca="1" si="1"/>
        <v>-0.59239411157024791</v>
      </c>
    </row>
    <row r="47" spans="1:8" x14ac:dyDescent="0.2">
      <c r="A47" t="s">
        <v>361</v>
      </c>
      <c r="B47" t="s">
        <v>311</v>
      </c>
      <c r="C47" s="3">
        <v>13565</v>
      </c>
      <c r="D47" s="3">
        <v>37174</v>
      </c>
      <c r="E47" s="3">
        <v>34456</v>
      </c>
      <c r="F47" s="3">
        <v>117594</v>
      </c>
      <c r="G47" s="4">
        <f t="shared" ca="1" si="1"/>
        <v>-0.60630949616902718</v>
      </c>
      <c r="H47" s="4">
        <f t="shared" ca="1" si="1"/>
        <v>-0.68387842917155639</v>
      </c>
    </row>
    <row r="48" spans="1:8" x14ac:dyDescent="0.2">
      <c r="A48" t="s">
        <v>362</v>
      </c>
      <c r="B48" t="s">
        <v>313</v>
      </c>
      <c r="C48" s="3">
        <v>-10545</v>
      </c>
      <c r="D48" s="3">
        <v>-25748</v>
      </c>
      <c r="E48" s="3">
        <v>-15911</v>
      </c>
      <c r="F48" s="3">
        <v>-41451</v>
      </c>
      <c r="G48" s="4">
        <f t="shared" ca="1" si="1"/>
        <v>-0.33725095845641379</v>
      </c>
      <c r="H48" s="4">
        <f t="shared" ca="1" si="1"/>
        <v>-0.37883283877349161</v>
      </c>
    </row>
    <row r="49" spans="1:8" x14ac:dyDescent="0.2">
      <c r="A49" t="s">
        <v>363</v>
      </c>
      <c r="B49" t="s">
        <v>315</v>
      </c>
      <c r="C49" s="3">
        <v>5250</v>
      </c>
      <c r="D49" s="3">
        <v>7654</v>
      </c>
      <c r="E49" s="3">
        <v>1825</v>
      </c>
      <c r="F49" s="3">
        <v>17275</v>
      </c>
      <c r="G49" s="4">
        <f t="shared" ca="1" si="1"/>
        <v>1.8767123287671232</v>
      </c>
      <c r="H49" s="4">
        <f t="shared" ca="1" si="1"/>
        <v>-0.55693198263386401</v>
      </c>
    </row>
    <row r="50" spans="1:8" x14ac:dyDescent="0.2">
      <c r="A50" t="s">
        <v>364</v>
      </c>
      <c r="B50" t="s">
        <v>315</v>
      </c>
      <c r="C50" s="3">
        <v>3456</v>
      </c>
      <c r="D50" s="3">
        <v>5860</v>
      </c>
      <c r="E50" s="3">
        <v>4428</v>
      </c>
      <c r="F50" s="3">
        <v>18314</v>
      </c>
      <c r="G50" s="4">
        <f t="shared" ca="1" si="1"/>
        <v>-0.21951219512195122</v>
      </c>
      <c r="H50" s="4">
        <f t="shared" ca="1" si="1"/>
        <v>-0.68002620945724579</v>
      </c>
    </row>
    <row r="51" spans="1:8" x14ac:dyDescent="0.2">
      <c r="A51" t="s">
        <v>365</v>
      </c>
      <c r="B51" t="s">
        <v>318</v>
      </c>
      <c r="C51" s="3">
        <v>1794</v>
      </c>
      <c r="D51" s="3">
        <v>1794</v>
      </c>
      <c r="E51" s="3">
        <v>-2603</v>
      </c>
      <c r="F51" s="3">
        <v>-1039</v>
      </c>
      <c r="G51" s="4">
        <f t="shared" ca="1" si="1"/>
        <v>-1.689204763734153</v>
      </c>
      <c r="H51" s="4">
        <f t="shared" ca="1" si="1"/>
        <v>-2.7266602502406161</v>
      </c>
    </row>
    <row r="52" spans="1:8" x14ac:dyDescent="0.2">
      <c r="A52" t="s">
        <v>366</v>
      </c>
      <c r="B52" t="s">
        <v>320</v>
      </c>
      <c r="C52" s="3">
        <v>-15795</v>
      </c>
      <c r="D52" s="3">
        <v>-33402</v>
      </c>
      <c r="E52" s="3">
        <v>-17736</v>
      </c>
      <c r="F52" s="3">
        <v>-58726</v>
      </c>
      <c r="G52" s="4">
        <f t="shared" ca="1" si="1"/>
        <v>-0.10943843031123139</v>
      </c>
      <c r="H52" s="4">
        <f t="shared" ca="1" si="1"/>
        <v>-0.43122296768041413</v>
      </c>
    </row>
    <row r="53" spans="1:8" x14ac:dyDescent="0.2">
      <c r="A53" t="s">
        <v>367</v>
      </c>
      <c r="B53" t="s">
        <v>320</v>
      </c>
      <c r="C53" s="3">
        <v>-15795</v>
      </c>
      <c r="D53" s="3">
        <v>-33039</v>
      </c>
      <c r="E53" s="3">
        <v>-17736</v>
      </c>
      <c r="F53" s="3">
        <v>-58210</v>
      </c>
      <c r="G53" s="4">
        <f t="shared" ca="1" si="1"/>
        <v>-0.10943843031123139</v>
      </c>
      <c r="H53" s="4">
        <f t="shared" ca="1" si="1"/>
        <v>-0.43241711046211989</v>
      </c>
    </row>
    <row r="54" spans="1:8" x14ac:dyDescent="0.2">
      <c r="A54" t="s">
        <v>368</v>
      </c>
      <c r="B54" t="s">
        <v>323</v>
      </c>
      <c r="C54" s="3">
        <v>3020</v>
      </c>
      <c r="D54" s="3">
        <v>11426</v>
      </c>
      <c r="E54" s="3">
        <v>18545</v>
      </c>
      <c r="F54" s="3">
        <v>76143</v>
      </c>
      <c r="G54" s="4">
        <f t="shared" ca="1" si="1"/>
        <v>-0.83715287139390671</v>
      </c>
      <c r="H54" s="4">
        <f t="shared" ca="1" si="1"/>
        <v>-0.84994024401455159</v>
      </c>
    </row>
    <row r="55" spans="1:8" x14ac:dyDescent="0.2">
      <c r="A55" t="s">
        <v>369</v>
      </c>
      <c r="B55" t="s">
        <v>325</v>
      </c>
      <c r="C55" s="3">
        <v>-436</v>
      </c>
      <c r="D55" s="3">
        <v>-1846</v>
      </c>
      <c r="E55" s="3">
        <v>-952</v>
      </c>
      <c r="F55" s="3">
        <v>-16802</v>
      </c>
      <c r="G55" s="4">
        <f t="shared" ca="1" si="1"/>
        <v>-0.54201680672268904</v>
      </c>
      <c r="H55" s="4">
        <f t="shared" ca="1" si="1"/>
        <v>-0.89013212712772294</v>
      </c>
    </row>
    <row r="56" spans="1:8" x14ac:dyDescent="0.2">
      <c r="A56" t="s">
        <v>370</v>
      </c>
      <c r="B56" t="s">
        <v>327</v>
      </c>
      <c r="C56" s="3">
        <v>-2382</v>
      </c>
      <c r="D56" s="3">
        <v>-6437</v>
      </c>
      <c r="E56" s="3">
        <v>-2847</v>
      </c>
      <c r="F56" s="3">
        <v>-7736</v>
      </c>
      <c r="G56" s="4">
        <f t="shared" ca="1" si="1"/>
        <v>-0.16332982086406744</v>
      </c>
      <c r="H56" s="4">
        <f t="shared" ca="1" si="1"/>
        <v>-0.16791623578076526</v>
      </c>
    </row>
    <row r="57" spans="1:8" x14ac:dyDescent="0.2">
      <c r="A57" t="s">
        <v>371</v>
      </c>
      <c r="B57" t="s">
        <v>329</v>
      </c>
      <c r="C57" s="3">
        <v>1946</v>
      </c>
      <c r="D57" s="3">
        <v>4591</v>
      </c>
      <c r="E57" s="3">
        <v>1895</v>
      </c>
      <c r="F57" s="3">
        <v>-9066</v>
      </c>
      <c r="G57" s="4">
        <f t="shared" ca="1" si="1"/>
        <v>2.6912928759894459E-2</v>
      </c>
      <c r="H57" s="4">
        <f t="shared" ca="1" si="1"/>
        <v>-1.5063975292300904</v>
      </c>
    </row>
    <row r="58" spans="1:8" x14ac:dyDescent="0.2">
      <c r="A58" t="s">
        <v>372</v>
      </c>
      <c r="B58" t="s">
        <v>331</v>
      </c>
      <c r="C58" s="3">
        <v>2584</v>
      </c>
      <c r="D58" s="3">
        <v>9580</v>
      </c>
      <c r="E58" s="3">
        <v>17593</v>
      </c>
      <c r="F58" s="3">
        <v>59341</v>
      </c>
      <c r="G58" s="4">
        <f t="shared" ca="1" si="1"/>
        <v>-0.85312340135281073</v>
      </c>
      <c r="H58" s="4">
        <f t="shared" ca="1" si="1"/>
        <v>-0.83856018604337645</v>
      </c>
    </row>
    <row r="59" spans="1:8" x14ac:dyDescent="0.2">
      <c r="A59" t="s">
        <v>373</v>
      </c>
      <c r="B59" t="s">
        <v>374</v>
      </c>
      <c r="C59" s="3">
        <v>2584</v>
      </c>
      <c r="D59" s="3">
        <v>9580</v>
      </c>
      <c r="E59" s="3">
        <v>17593</v>
      </c>
      <c r="F59" s="3">
        <v>59341</v>
      </c>
      <c r="G59" s="4">
        <f t="shared" ca="1" si="1"/>
        <v>-0.85312340135281073</v>
      </c>
      <c r="H59" s="4">
        <f t="shared" ca="1" si="1"/>
        <v>-0.83856018604337645</v>
      </c>
    </row>
    <row r="60" spans="1:8" x14ac:dyDescent="0.2">
      <c r="A60" t="s">
        <v>375</v>
      </c>
      <c r="B60" t="s">
        <v>376</v>
      </c>
      <c r="C60" s="3">
        <v>2576</v>
      </c>
      <c r="D60" s="3">
        <v>9565</v>
      </c>
      <c r="E60" s="3">
        <v>17583</v>
      </c>
      <c r="F60" s="3">
        <v>59315</v>
      </c>
      <c r="G60" s="4">
        <f t="shared" ca="1" si="1"/>
        <v>-0.85349485298299499</v>
      </c>
      <c r="H60" s="4">
        <f t="shared" ca="1" si="1"/>
        <v>-0.83874230801652194</v>
      </c>
    </row>
    <row r="61" spans="1:8" x14ac:dyDescent="0.2">
      <c r="A61" t="s">
        <v>377</v>
      </c>
      <c r="B61" t="s">
        <v>378</v>
      </c>
      <c r="C61" s="3">
        <v>8</v>
      </c>
      <c r="D61" s="3">
        <v>15</v>
      </c>
      <c r="E61" s="3">
        <v>10</v>
      </c>
      <c r="F61" s="3">
        <v>26</v>
      </c>
      <c r="G61" s="4">
        <f t="shared" ca="1" si="1"/>
        <v>-0.2</v>
      </c>
      <c r="H61" s="4">
        <f t="shared" ca="1" si="1"/>
        <v>-0.42307692307692307</v>
      </c>
    </row>
    <row r="62" spans="1:8" x14ac:dyDescent="0.2">
      <c r="A62" t="s">
        <v>379</v>
      </c>
      <c r="B62" t="s">
        <v>335</v>
      </c>
      <c r="C62" s="3">
        <v>1.6253E-2</v>
      </c>
      <c r="D62" s="3">
        <v>6.0352999999999997E-2</v>
      </c>
      <c r="E62" s="3">
        <v>0.11094</v>
      </c>
      <c r="F62" s="3">
        <v>0.37425000000000003</v>
      </c>
      <c r="G62" s="4">
        <f t="shared" ca="1" si="1"/>
        <v>-0.8534973859744005</v>
      </c>
      <c r="H62" s="4">
        <f t="shared" ca="1" si="1"/>
        <v>-0.83873613894455579</v>
      </c>
    </row>
    <row r="63" spans="1:8" x14ac:dyDescent="0.2">
      <c r="A63" t="s">
        <v>380</v>
      </c>
      <c r="B63" t="s">
        <v>335</v>
      </c>
      <c r="C63" s="3">
        <v>0.25640000000000002</v>
      </c>
      <c r="D63" s="3">
        <v>0.25640000000000002</v>
      </c>
      <c r="E63" s="3">
        <v>0.11094</v>
      </c>
      <c r="F63" s="3">
        <v>0.37425000000000003</v>
      </c>
      <c r="G63" s="4">
        <f t="shared" ca="1" si="1"/>
        <v>1.3111591851451239</v>
      </c>
      <c r="H63" s="4">
        <f t="shared" ca="1" si="1"/>
        <v>-0.31489645958583834</v>
      </c>
    </row>
    <row r="64" spans="1:8" x14ac:dyDescent="0.2">
      <c r="A64" t="s">
        <v>336</v>
      </c>
      <c r="B64" t="s">
        <v>337</v>
      </c>
      <c r="C64" s="3">
        <v>0</v>
      </c>
    </row>
    <row r="65" spans="1:3" x14ac:dyDescent="0.2">
      <c r="A65" t="s">
        <v>338</v>
      </c>
      <c r="B65" t="s">
        <v>339</v>
      </c>
      <c r="C65" s="3">
        <v>0</v>
      </c>
    </row>
    <row r="66" spans="1:3" x14ac:dyDescent="0.2">
      <c r="A66" t="s">
        <v>340</v>
      </c>
      <c r="B66" t="s">
        <v>341</v>
      </c>
      <c r="C66" s="3">
        <v>0</v>
      </c>
    </row>
    <row r="67" spans="1:3" x14ac:dyDescent="0.2">
      <c r="A67" t="s">
        <v>342</v>
      </c>
      <c r="B67" t="s">
        <v>343</v>
      </c>
      <c r="C67" s="3">
        <v>158489</v>
      </c>
    </row>
    <row r="68" spans="1:3" x14ac:dyDescent="0.2">
      <c r="A68" t="s">
        <v>344</v>
      </c>
      <c r="B68" t="s">
        <v>345</v>
      </c>
      <c r="C68" s="3">
        <v>0</v>
      </c>
    </row>
    <row r="69" spans="1:3" x14ac:dyDescent="0.2">
      <c r="A69" t="s">
        <v>346</v>
      </c>
      <c r="B69" t="s">
        <v>347</v>
      </c>
      <c r="C69" s="3">
        <v>158489</v>
      </c>
    </row>
    <row r="70" spans="1:3" x14ac:dyDescent="0.2">
      <c r="A70" t="s">
        <v>348</v>
      </c>
      <c r="B70" t="s">
        <v>349</v>
      </c>
      <c r="C70" s="5">
        <v>3.97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4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8" ht="26" x14ac:dyDescent="0.3">
      <c r="A1" s="1" t="s">
        <v>381</v>
      </c>
    </row>
    <row r="2" spans="1:8" ht="20" x14ac:dyDescent="0.25">
      <c r="A2" s="2" t="s">
        <v>1</v>
      </c>
      <c r="B2" s="2" t="s">
        <v>2</v>
      </c>
      <c r="C2" s="2" t="s">
        <v>3</v>
      </c>
      <c r="D2" s="2" t="s">
        <v>285</v>
      </c>
      <c r="E2" s="2" t="s">
        <v>286</v>
      </c>
      <c r="F2" s="2" t="s">
        <v>287</v>
      </c>
      <c r="G2" s="2" t="s">
        <v>288</v>
      </c>
      <c r="H2" s="2" t="s">
        <v>289</v>
      </c>
    </row>
    <row r="3" spans="1:8" x14ac:dyDescent="0.2">
      <c r="A3" t="s">
        <v>382</v>
      </c>
      <c r="B3" t="s">
        <v>383</v>
      </c>
      <c r="C3" s="3">
        <v>2576</v>
      </c>
      <c r="D3" s="3">
        <v>9565</v>
      </c>
      <c r="E3" s="3">
        <v>17583</v>
      </c>
      <c r="F3" s="3">
        <v>59315</v>
      </c>
      <c r="G3" s="4">
        <f t="shared" ref="G3:H6" ca="1" si="0">(INDIRECT("RC[-4]",0)-INDIRECT("RC[-2]",0))/INDIRECT("RC[-2]",0)</f>
        <v>-0.85349485298299499</v>
      </c>
      <c r="H3" s="4">
        <f t="shared" ca="1" si="0"/>
        <v>-0.83874230801652194</v>
      </c>
    </row>
    <row r="4" spans="1:8" x14ac:dyDescent="0.2">
      <c r="A4" t="s">
        <v>384</v>
      </c>
      <c r="B4" t="s">
        <v>385</v>
      </c>
      <c r="C4" s="3">
        <v>-10368</v>
      </c>
      <c r="D4" s="3">
        <v>-10639</v>
      </c>
      <c r="E4" s="3">
        <v>2868</v>
      </c>
      <c r="F4" s="3">
        <v>1862</v>
      </c>
      <c r="G4" s="4">
        <f t="shared" ca="1" si="0"/>
        <v>-4.6150627615062758</v>
      </c>
      <c r="H4" s="4">
        <f t="shared" ca="1" si="0"/>
        <v>-6.7137486573576801</v>
      </c>
    </row>
    <row r="5" spans="1:8" x14ac:dyDescent="0.2">
      <c r="A5" t="s">
        <v>386</v>
      </c>
      <c r="B5" t="s">
        <v>387</v>
      </c>
      <c r="C5" s="3">
        <v>-10368</v>
      </c>
      <c r="D5" s="3">
        <v>-10639</v>
      </c>
      <c r="E5" s="3">
        <v>2868</v>
      </c>
      <c r="F5" s="3">
        <v>4722</v>
      </c>
      <c r="G5" s="4">
        <f t="shared" ca="1" si="0"/>
        <v>-4.6150627615062758</v>
      </c>
      <c r="H5" s="4">
        <f t="shared" ca="1" si="0"/>
        <v>-3.2530707327403641</v>
      </c>
    </row>
    <row r="6" spans="1:8" x14ac:dyDescent="0.2">
      <c r="A6" t="s">
        <v>388</v>
      </c>
      <c r="B6" t="s">
        <v>389</v>
      </c>
      <c r="C6" s="3">
        <v>-7792</v>
      </c>
      <c r="D6" s="3">
        <v>-1074</v>
      </c>
      <c r="E6" s="3">
        <v>20451</v>
      </c>
      <c r="F6" s="3">
        <v>61177</v>
      </c>
      <c r="G6" s="4">
        <f t="shared" ca="1" si="0"/>
        <v>-1.3810082636545891</v>
      </c>
      <c r="H6" s="4">
        <f t="shared" ca="1" si="0"/>
        <v>-1.0175556173071578</v>
      </c>
    </row>
    <row r="7" spans="1:8" ht="26" x14ac:dyDescent="0.3">
      <c r="A7" s="1" t="s">
        <v>390</v>
      </c>
    </row>
    <row r="8" spans="1:8" ht="20" x14ac:dyDescent="0.25">
      <c r="A8" s="2" t="s">
        <v>1</v>
      </c>
      <c r="B8" s="2" t="s">
        <v>2</v>
      </c>
      <c r="C8" s="2" t="s">
        <v>3</v>
      </c>
      <c r="D8" s="2" t="s">
        <v>285</v>
      </c>
      <c r="E8" s="2" t="s">
        <v>286</v>
      </c>
      <c r="F8" s="2" t="s">
        <v>287</v>
      </c>
      <c r="G8" s="2" t="s">
        <v>288</v>
      </c>
      <c r="H8" s="2" t="s">
        <v>289</v>
      </c>
    </row>
    <row r="9" spans="1:8" x14ac:dyDescent="0.2">
      <c r="A9" t="s">
        <v>391</v>
      </c>
      <c r="B9" t="s">
        <v>392</v>
      </c>
      <c r="C9" s="3">
        <v>2576</v>
      </c>
      <c r="D9" s="3">
        <v>9572</v>
      </c>
      <c r="E9" s="3">
        <v>17593</v>
      </c>
      <c r="F9" s="3">
        <v>59341</v>
      </c>
      <c r="G9" s="4">
        <f t="shared" ref="G9:H14" ca="1" si="1">(INDIRECT("RC[-4]",0)-INDIRECT("RC[-2]",0))/INDIRECT("RC[-2]",0)</f>
        <v>-0.85357812766441199</v>
      </c>
      <c r="H9" s="4">
        <f t="shared" ca="1" si="1"/>
        <v>-0.83869500008425879</v>
      </c>
    </row>
    <row r="10" spans="1:8" x14ac:dyDescent="0.2">
      <c r="A10" t="s">
        <v>393</v>
      </c>
      <c r="B10" t="s">
        <v>385</v>
      </c>
      <c r="C10" s="3">
        <v>-2840</v>
      </c>
      <c r="D10" s="3">
        <v>-3111</v>
      </c>
      <c r="E10" s="3">
        <v>2868</v>
      </c>
      <c r="F10" s="3">
        <v>1862</v>
      </c>
      <c r="G10" s="4">
        <f t="shared" ca="1" si="1"/>
        <v>-1.9902370990237099</v>
      </c>
      <c r="H10" s="4">
        <f t="shared" ca="1" si="1"/>
        <v>-2.6707841031149302</v>
      </c>
    </row>
    <row r="11" spans="1:8" x14ac:dyDescent="0.2">
      <c r="A11" t="s">
        <v>394</v>
      </c>
      <c r="B11" t="s">
        <v>387</v>
      </c>
      <c r="C11" s="3">
        <v>-2840</v>
      </c>
      <c r="D11" s="3">
        <v>-3111</v>
      </c>
      <c r="E11" s="3">
        <v>2868</v>
      </c>
      <c r="F11" s="3">
        <v>4722</v>
      </c>
      <c r="G11" s="4">
        <f t="shared" ca="1" si="1"/>
        <v>-1.9902370990237099</v>
      </c>
      <c r="H11" s="4">
        <f t="shared" ca="1" si="1"/>
        <v>-1.658831003811944</v>
      </c>
    </row>
    <row r="12" spans="1:8" x14ac:dyDescent="0.2">
      <c r="A12" t="s">
        <v>395</v>
      </c>
      <c r="B12" t="s">
        <v>396</v>
      </c>
      <c r="C12" s="3">
        <v>-264</v>
      </c>
      <c r="D12" s="3">
        <v>6461</v>
      </c>
      <c r="E12" s="3">
        <v>20461</v>
      </c>
      <c r="F12" s="3">
        <v>61203</v>
      </c>
      <c r="G12" s="4">
        <f t="shared" ca="1" si="1"/>
        <v>-1.0129025951810762</v>
      </c>
      <c r="H12" s="4">
        <f t="shared" ca="1" si="1"/>
        <v>-0.89443327941440776</v>
      </c>
    </row>
    <row r="13" spans="1:8" x14ac:dyDescent="0.2">
      <c r="A13" t="s">
        <v>397</v>
      </c>
      <c r="B13" t="s">
        <v>376</v>
      </c>
      <c r="C13" s="3">
        <v>-272</v>
      </c>
      <c r="D13" s="3">
        <v>6446</v>
      </c>
      <c r="E13" s="3">
        <v>20451</v>
      </c>
      <c r="F13" s="3">
        <v>61177</v>
      </c>
      <c r="G13" s="4">
        <f t="shared" ca="1" si="1"/>
        <v>-1.0133000831255194</v>
      </c>
      <c r="H13" s="4">
        <f t="shared" ca="1" si="1"/>
        <v>-0.89463360413227189</v>
      </c>
    </row>
    <row r="14" spans="1:8" x14ac:dyDescent="0.2">
      <c r="A14" t="s">
        <v>398</v>
      </c>
      <c r="B14" t="s">
        <v>378</v>
      </c>
      <c r="C14" s="3">
        <v>8</v>
      </c>
      <c r="D14" s="3">
        <v>15</v>
      </c>
      <c r="E14" s="3">
        <v>10</v>
      </c>
      <c r="F14" s="3">
        <v>26</v>
      </c>
      <c r="G14" s="4">
        <f t="shared" ca="1" si="1"/>
        <v>-0.2</v>
      </c>
      <c r="H14" s="4">
        <f t="shared" ca="1" si="1"/>
        <v>-0.42307692307692307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8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399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287</v>
      </c>
      <c r="E2" s="2" t="s">
        <v>5</v>
      </c>
    </row>
    <row r="3" spans="1:5" x14ac:dyDescent="0.2">
      <c r="A3" t="s">
        <v>400</v>
      </c>
      <c r="B3" t="s">
        <v>401</v>
      </c>
      <c r="C3" s="3">
        <v>-6074</v>
      </c>
      <c r="D3" s="3">
        <v>57970</v>
      </c>
      <c r="E3" s="4">
        <f t="shared" ref="E3:E34" ca="1" si="0">(INDIRECT("RC[-2]",0)-INDIRECT("RC[-1]",0))/INDIRECT("RC[-1]",0)</f>
        <v>-1.1047783336208383</v>
      </c>
    </row>
    <row r="4" spans="1:5" x14ac:dyDescent="0.2">
      <c r="A4" t="s">
        <v>402</v>
      </c>
      <c r="B4" t="s">
        <v>403</v>
      </c>
      <c r="C4" s="3">
        <v>51297</v>
      </c>
      <c r="D4" s="3">
        <v>73318</v>
      </c>
      <c r="E4" s="4">
        <f t="shared" ca="1" si="0"/>
        <v>-0.30034916391609157</v>
      </c>
    </row>
    <row r="5" spans="1:5" x14ac:dyDescent="0.2">
      <c r="A5" t="s">
        <v>404</v>
      </c>
      <c r="B5" t="s">
        <v>405</v>
      </c>
      <c r="C5" s="3">
        <v>151933</v>
      </c>
      <c r="D5" s="3">
        <v>68381</v>
      </c>
      <c r="E5" s="4">
        <f t="shared" ca="1" si="0"/>
        <v>1.2218598733566342</v>
      </c>
    </row>
    <row r="6" spans="1:5" x14ac:dyDescent="0.2">
      <c r="A6" t="s">
        <v>406</v>
      </c>
      <c r="B6" t="s">
        <v>407</v>
      </c>
      <c r="C6" s="3">
        <v>29338</v>
      </c>
      <c r="D6" s="3">
        <v>27332</v>
      </c>
      <c r="E6" s="4">
        <f t="shared" ca="1" si="0"/>
        <v>7.3393824088979945E-2</v>
      </c>
    </row>
    <row r="7" spans="1:5" x14ac:dyDescent="0.2">
      <c r="A7" t="s">
        <v>408</v>
      </c>
      <c r="B7" t="s">
        <v>409</v>
      </c>
      <c r="C7" s="3">
        <v>-26387</v>
      </c>
      <c r="D7" s="3">
        <v>-29212</v>
      </c>
      <c r="E7" s="4">
        <f t="shared" ca="1" si="0"/>
        <v>-9.6706832808434895E-2</v>
      </c>
    </row>
    <row r="8" spans="1:5" x14ac:dyDescent="0.2">
      <c r="A8" t="s">
        <v>410</v>
      </c>
      <c r="B8" t="s">
        <v>411</v>
      </c>
      <c r="C8" s="3">
        <v>-10451</v>
      </c>
      <c r="D8" s="3">
        <v>-331</v>
      </c>
      <c r="E8" s="4">
        <f t="shared" ca="1" si="0"/>
        <v>30.574018126888216</v>
      </c>
    </row>
    <row r="9" spans="1:5" x14ac:dyDescent="0.2">
      <c r="A9" t="s">
        <v>412</v>
      </c>
      <c r="B9" t="s">
        <v>413</v>
      </c>
      <c r="C9" s="3">
        <v>2864</v>
      </c>
      <c r="D9" s="3">
        <v>-455</v>
      </c>
      <c r="E9" s="4">
        <f t="shared" ca="1" si="0"/>
        <v>-7.2945054945054943</v>
      </c>
    </row>
    <row r="10" spans="1:5" x14ac:dyDescent="0.2">
      <c r="A10" t="s">
        <v>414</v>
      </c>
      <c r="B10" t="s">
        <v>415</v>
      </c>
      <c r="C10" s="3">
        <v>-1086</v>
      </c>
      <c r="D10" s="3">
        <v>-124</v>
      </c>
      <c r="E10" s="4">
        <f t="shared" ca="1" si="0"/>
        <v>7.758064516129032</v>
      </c>
    </row>
    <row r="11" spans="1:5" x14ac:dyDescent="0.2">
      <c r="A11" t="s">
        <v>416</v>
      </c>
      <c r="B11" t="s">
        <v>417</v>
      </c>
      <c r="C11" s="3">
        <v>44080</v>
      </c>
      <c r="D11" s="3">
        <v>-19679</v>
      </c>
      <c r="E11" s="4">
        <f t="shared" ca="1" si="0"/>
        <v>-3.239951217033386</v>
      </c>
    </row>
    <row r="12" spans="1:5" x14ac:dyDescent="0.2">
      <c r="A12" t="s">
        <v>418</v>
      </c>
      <c r="B12" t="s">
        <v>419</v>
      </c>
      <c r="C12" s="3">
        <v>-14419</v>
      </c>
      <c r="D12" s="3">
        <v>-13713</v>
      </c>
      <c r="E12" s="4">
        <f t="shared" ca="1" si="0"/>
        <v>5.14839932910377E-2</v>
      </c>
    </row>
    <row r="13" spans="1:5" x14ac:dyDescent="0.2">
      <c r="A13" t="s">
        <v>420</v>
      </c>
      <c r="B13" t="s">
        <v>421</v>
      </c>
      <c r="C13" s="3">
        <v>456</v>
      </c>
      <c r="D13" s="3">
        <v>4845</v>
      </c>
      <c r="E13" s="4">
        <f t="shared" ca="1" si="0"/>
        <v>-0.90588235294117647</v>
      </c>
    </row>
    <row r="14" spans="1:5" x14ac:dyDescent="0.2">
      <c r="A14" t="s">
        <v>422</v>
      </c>
      <c r="B14" t="s">
        <v>169</v>
      </c>
      <c r="C14" s="3">
        <v>395</v>
      </c>
      <c r="D14" s="3">
        <v>4742</v>
      </c>
      <c r="E14" s="4">
        <f t="shared" ca="1" si="0"/>
        <v>-0.91670181358076763</v>
      </c>
    </row>
    <row r="15" spans="1:5" x14ac:dyDescent="0.2">
      <c r="A15" t="s">
        <v>423</v>
      </c>
      <c r="B15" t="s">
        <v>424</v>
      </c>
      <c r="C15" s="3">
        <v>-159193</v>
      </c>
      <c r="D15" s="3">
        <v>-11026</v>
      </c>
      <c r="E15" s="4">
        <f t="shared" ca="1" si="0"/>
        <v>13.437964810448031</v>
      </c>
    </row>
    <row r="16" spans="1:5" x14ac:dyDescent="0.2">
      <c r="A16" t="s">
        <v>425</v>
      </c>
      <c r="B16" t="s">
        <v>426</v>
      </c>
      <c r="C16" s="3">
        <v>-2478</v>
      </c>
      <c r="D16" s="3">
        <v>-4272</v>
      </c>
      <c r="E16" s="4">
        <f t="shared" ca="1" si="0"/>
        <v>-0.4199438202247191</v>
      </c>
    </row>
    <row r="17" spans="1:5" x14ac:dyDescent="0.2">
      <c r="A17" t="s">
        <v>427</v>
      </c>
      <c r="B17" t="s">
        <v>428</v>
      </c>
      <c r="C17" s="3">
        <v>1895</v>
      </c>
      <c r="D17" s="3">
        <v>2598</v>
      </c>
      <c r="E17" s="4">
        <f t="shared" ca="1" si="0"/>
        <v>-0.27059276366435719</v>
      </c>
    </row>
    <row r="18" spans="1:5" x14ac:dyDescent="0.2">
      <c r="A18" t="s">
        <v>429</v>
      </c>
      <c r="B18" t="s">
        <v>430</v>
      </c>
      <c r="C18" s="3">
        <v>30857</v>
      </c>
      <c r="D18" s="3">
        <v>39993</v>
      </c>
      <c r="E18" s="4">
        <f t="shared" ca="1" si="0"/>
        <v>-0.22843997699597429</v>
      </c>
    </row>
    <row r="19" spans="1:5" x14ac:dyDescent="0.2">
      <c r="A19" t="s">
        <v>431</v>
      </c>
      <c r="B19" t="s">
        <v>25</v>
      </c>
      <c r="C19" s="3">
        <v>3493</v>
      </c>
      <c r="D19" s="3">
        <v>4239</v>
      </c>
      <c r="E19" s="4">
        <f t="shared" ca="1" si="0"/>
        <v>-0.17598490209955178</v>
      </c>
    </row>
    <row r="20" spans="1:5" x14ac:dyDescent="0.2">
      <c r="A20" t="s">
        <v>432</v>
      </c>
      <c r="B20" t="s">
        <v>433</v>
      </c>
      <c r="C20" s="3">
        <v>-31220</v>
      </c>
      <c r="D20" s="3">
        <v>16978</v>
      </c>
      <c r="E20" s="4">
        <f t="shared" ca="1" si="0"/>
        <v>-2.8388502768288375</v>
      </c>
    </row>
    <row r="21" spans="1:5" x14ac:dyDescent="0.2">
      <c r="A21" t="s">
        <v>434</v>
      </c>
      <c r="B21" t="s">
        <v>435</v>
      </c>
      <c r="C21" s="3">
        <v>-34254</v>
      </c>
      <c r="D21" s="3">
        <v>-12925</v>
      </c>
      <c r="E21" s="4">
        <f t="shared" ca="1" si="0"/>
        <v>1.6502127659574468</v>
      </c>
    </row>
    <row r="22" spans="1:5" x14ac:dyDescent="0.2">
      <c r="A22" t="s">
        <v>436</v>
      </c>
      <c r="B22" t="s">
        <v>437</v>
      </c>
      <c r="C22" s="3">
        <v>10928</v>
      </c>
      <c r="D22" s="3">
        <v>-575</v>
      </c>
      <c r="E22" s="4">
        <f t="shared" ca="1" si="0"/>
        <v>-20.005217391304349</v>
      </c>
    </row>
    <row r="23" spans="1:5" x14ac:dyDescent="0.2">
      <c r="A23" t="s">
        <v>438</v>
      </c>
      <c r="B23" t="s">
        <v>439</v>
      </c>
      <c r="C23" s="3">
        <v>-27478</v>
      </c>
      <c r="D23" s="3">
        <v>10303</v>
      </c>
      <c r="E23" s="4">
        <f t="shared" ca="1" si="0"/>
        <v>-3.6669901970299912</v>
      </c>
    </row>
    <row r="24" spans="1:5" x14ac:dyDescent="0.2">
      <c r="A24" t="s">
        <v>440</v>
      </c>
      <c r="B24" t="s">
        <v>441</v>
      </c>
      <c r="C24" s="3">
        <v>5409</v>
      </c>
      <c r="D24" s="3">
        <v>2501</v>
      </c>
      <c r="E24" s="4">
        <f t="shared" ca="1" si="0"/>
        <v>1.1627349060375849</v>
      </c>
    </row>
    <row r="25" spans="1:5" x14ac:dyDescent="0.2">
      <c r="A25" t="s">
        <v>442</v>
      </c>
      <c r="B25" t="s">
        <v>443</v>
      </c>
      <c r="C25" s="3">
        <v>-9691</v>
      </c>
      <c r="D25" s="3">
        <v>-8620</v>
      </c>
      <c r="E25" s="4">
        <f t="shared" ca="1" si="0"/>
        <v>0.12424593967517401</v>
      </c>
    </row>
    <row r="26" spans="1:5" x14ac:dyDescent="0.2">
      <c r="A26" t="s">
        <v>444</v>
      </c>
      <c r="B26" t="s">
        <v>445</v>
      </c>
      <c r="C26" s="3">
        <v>-248</v>
      </c>
      <c r="D26" s="3">
        <v>-422</v>
      </c>
      <c r="E26" s="4">
        <f t="shared" ca="1" si="0"/>
        <v>-0.41232227488151657</v>
      </c>
    </row>
    <row r="27" spans="1:5" x14ac:dyDescent="0.2">
      <c r="A27" t="s">
        <v>446</v>
      </c>
      <c r="B27" t="s">
        <v>447</v>
      </c>
      <c r="C27" s="3">
        <v>-3834</v>
      </c>
      <c r="D27" s="3">
        <v>-7324</v>
      </c>
      <c r="E27" s="4">
        <f t="shared" ca="1" si="0"/>
        <v>-0.47651556526488259</v>
      </c>
    </row>
    <row r="28" spans="1:5" x14ac:dyDescent="0.2">
      <c r="A28" t="s">
        <v>448</v>
      </c>
      <c r="B28" t="s">
        <v>449</v>
      </c>
      <c r="C28" s="3">
        <v>17391</v>
      </c>
      <c r="D28" s="3">
        <v>21639</v>
      </c>
      <c r="E28" s="4">
        <f t="shared" ca="1" si="0"/>
        <v>-0.19631221405795093</v>
      </c>
    </row>
    <row r="29" spans="1:5" x14ac:dyDescent="0.2">
      <c r="A29" t="s">
        <v>450</v>
      </c>
      <c r="B29" t="s">
        <v>451</v>
      </c>
      <c r="C29" s="3">
        <v>1811</v>
      </c>
      <c r="D29" s="3">
        <v>-2218</v>
      </c>
      <c r="E29" s="4">
        <f t="shared" ca="1" si="0"/>
        <v>-1.8165013525698828</v>
      </c>
    </row>
    <row r="30" spans="1:5" x14ac:dyDescent="0.2">
      <c r="A30" t="s">
        <v>452</v>
      </c>
      <c r="B30" t="s">
        <v>453</v>
      </c>
      <c r="C30" s="3">
        <v>-1659</v>
      </c>
      <c r="D30" s="3">
        <v>-3092</v>
      </c>
      <c r="E30" s="4">
        <f t="shared" ca="1" si="0"/>
        <v>-0.46345407503234154</v>
      </c>
    </row>
    <row r="31" spans="1:5" x14ac:dyDescent="0.2">
      <c r="A31" t="s">
        <v>454</v>
      </c>
      <c r="B31" t="s">
        <v>455</v>
      </c>
      <c r="C31" s="3">
        <v>-11756</v>
      </c>
      <c r="D31" s="3">
        <v>-2446</v>
      </c>
      <c r="E31" s="4">
        <f t="shared" ca="1" si="0"/>
        <v>3.8062142273098938</v>
      </c>
    </row>
    <row r="32" spans="1:5" x14ac:dyDescent="0.2">
      <c r="A32" t="s">
        <v>456</v>
      </c>
      <c r="B32" t="s">
        <v>457</v>
      </c>
      <c r="C32" s="3">
        <v>25195</v>
      </c>
      <c r="D32" s="3">
        <v>28021</v>
      </c>
      <c r="E32" s="4">
        <f t="shared" ca="1" si="0"/>
        <v>-0.1008529317297741</v>
      </c>
    </row>
    <row r="33" spans="1:5" x14ac:dyDescent="0.2">
      <c r="A33" t="s">
        <v>458</v>
      </c>
      <c r="B33" t="s">
        <v>459</v>
      </c>
      <c r="C33" s="3">
        <v>848</v>
      </c>
      <c r="D33" s="3">
        <v>-7864</v>
      </c>
      <c r="E33" s="4">
        <f t="shared" ca="1" si="0"/>
        <v>-1.1078331637843337</v>
      </c>
    </row>
    <row r="34" spans="1:5" x14ac:dyDescent="0.2">
      <c r="A34" t="s">
        <v>460</v>
      </c>
      <c r="B34" t="s">
        <v>461</v>
      </c>
      <c r="C34" s="3">
        <v>-3882</v>
      </c>
      <c r="D34" s="3">
        <v>0</v>
      </c>
      <c r="E34" s="4" t="e">
        <f t="shared" ca="1" si="0"/>
        <v>#DIV/0!</v>
      </c>
    </row>
    <row r="35" spans="1:5" x14ac:dyDescent="0.2">
      <c r="A35" t="s">
        <v>462</v>
      </c>
      <c r="B35" t="s">
        <v>25</v>
      </c>
      <c r="C35" s="3">
        <v>-26151</v>
      </c>
      <c r="D35" s="3">
        <v>-32326</v>
      </c>
      <c r="E35" s="4">
        <f t="shared" ref="E35:E51" ca="1" si="1">(INDIRECT("RC[-2]",0)-INDIRECT("RC[-1]",0))/INDIRECT("RC[-1]",0)</f>
        <v>-0.19102270618078326</v>
      </c>
    </row>
    <row r="36" spans="1:5" x14ac:dyDescent="0.2">
      <c r="A36" t="s">
        <v>463</v>
      </c>
      <c r="B36" t="s">
        <v>464</v>
      </c>
      <c r="C36" s="3">
        <v>-25746</v>
      </c>
      <c r="D36" s="3">
        <v>-32326</v>
      </c>
      <c r="E36" s="4">
        <f t="shared" ca="1" si="1"/>
        <v>-0.20355132091814637</v>
      </c>
    </row>
    <row r="37" spans="1:5" x14ac:dyDescent="0.2">
      <c r="A37" t="s">
        <v>465</v>
      </c>
      <c r="B37" t="s">
        <v>466</v>
      </c>
      <c r="C37" s="3">
        <v>-405</v>
      </c>
      <c r="D37" s="3">
        <v>0</v>
      </c>
      <c r="E37" s="4" t="e">
        <f t="shared" ca="1" si="1"/>
        <v>#DIV/0!</v>
      </c>
    </row>
    <row r="38" spans="1:5" x14ac:dyDescent="0.2">
      <c r="A38" t="s">
        <v>467</v>
      </c>
      <c r="B38" t="s">
        <v>468</v>
      </c>
      <c r="C38" s="3">
        <v>-29321</v>
      </c>
      <c r="D38" s="3">
        <v>7070</v>
      </c>
      <c r="E38" s="4">
        <f t="shared" ca="1" si="1"/>
        <v>-5.1472418670438476</v>
      </c>
    </row>
    <row r="39" spans="1:5" x14ac:dyDescent="0.2">
      <c r="A39" t="s">
        <v>469</v>
      </c>
      <c r="B39" t="s">
        <v>470</v>
      </c>
      <c r="C39" s="3">
        <v>-36825</v>
      </c>
      <c r="D39" s="3">
        <v>-9798</v>
      </c>
      <c r="E39" s="4">
        <f t="shared" ca="1" si="1"/>
        <v>2.7584200857317822</v>
      </c>
    </row>
    <row r="40" spans="1:5" x14ac:dyDescent="0.2">
      <c r="A40" t="s">
        <v>471</v>
      </c>
      <c r="B40" t="s">
        <v>472</v>
      </c>
      <c r="C40" s="3">
        <v>-2591</v>
      </c>
      <c r="D40" s="3">
        <v>-1014</v>
      </c>
      <c r="E40" s="4">
        <f t="shared" ca="1" si="1"/>
        <v>1.5552268244575937</v>
      </c>
    </row>
    <row r="41" spans="1:5" x14ac:dyDescent="0.2">
      <c r="A41" t="s">
        <v>473</v>
      </c>
      <c r="B41" t="s">
        <v>474</v>
      </c>
      <c r="C41" s="3">
        <v>21450</v>
      </c>
      <c r="D41" s="3">
        <v>15893</v>
      </c>
      <c r="E41" s="4">
        <f t="shared" ca="1" si="1"/>
        <v>0.3496507896558233</v>
      </c>
    </row>
    <row r="42" spans="1:5" x14ac:dyDescent="0.2">
      <c r="A42" t="s">
        <v>475</v>
      </c>
      <c r="B42" t="s">
        <v>476</v>
      </c>
      <c r="C42" s="3">
        <v>-9767</v>
      </c>
      <c r="D42" s="3">
        <v>0</v>
      </c>
      <c r="E42" s="4" t="e">
        <f t="shared" ca="1" si="1"/>
        <v>#DIV/0!</v>
      </c>
    </row>
    <row r="43" spans="1:5" x14ac:dyDescent="0.2">
      <c r="A43" t="s">
        <v>477</v>
      </c>
      <c r="B43" t="s">
        <v>478</v>
      </c>
      <c r="C43" s="3">
        <v>-1588</v>
      </c>
      <c r="D43" s="3">
        <v>2038</v>
      </c>
      <c r="E43" s="4">
        <f t="shared" ca="1" si="1"/>
        <v>-1.7791952894995093</v>
      </c>
    </row>
    <row r="44" spans="1:5" x14ac:dyDescent="0.2">
      <c r="A44" t="s">
        <v>479</v>
      </c>
      <c r="B44" t="s">
        <v>480</v>
      </c>
      <c r="C44" s="3">
        <v>0</v>
      </c>
      <c r="D44" s="3">
        <v>-49</v>
      </c>
      <c r="E44" s="4">
        <f t="shared" ca="1" si="1"/>
        <v>-1</v>
      </c>
    </row>
    <row r="45" spans="1:5" x14ac:dyDescent="0.2">
      <c r="A45" t="s">
        <v>481</v>
      </c>
      <c r="B45" t="s">
        <v>482</v>
      </c>
      <c r="C45" s="3">
        <v>71121</v>
      </c>
      <c r="D45" s="3">
        <v>-87378</v>
      </c>
      <c r="E45" s="4">
        <f t="shared" ca="1" si="1"/>
        <v>-1.8139463022728832</v>
      </c>
    </row>
    <row r="46" spans="1:5" x14ac:dyDescent="0.2">
      <c r="A46" t="s">
        <v>483</v>
      </c>
      <c r="B46" t="s">
        <v>484</v>
      </c>
      <c r="C46" s="3">
        <v>435117</v>
      </c>
      <c r="D46" s="3">
        <v>35787</v>
      </c>
      <c r="E46" s="4">
        <f t="shared" ca="1" si="1"/>
        <v>11.158521250733507</v>
      </c>
    </row>
    <row r="47" spans="1:5" x14ac:dyDescent="0.2">
      <c r="A47" t="s">
        <v>485</v>
      </c>
      <c r="B47" t="s">
        <v>486</v>
      </c>
      <c r="C47" s="3">
        <v>-332696</v>
      </c>
      <c r="D47" s="3">
        <v>-112152</v>
      </c>
      <c r="E47" s="4">
        <f t="shared" ca="1" si="1"/>
        <v>1.9664740709037734</v>
      </c>
    </row>
    <row r="48" spans="1:5" x14ac:dyDescent="0.2">
      <c r="A48" t="s">
        <v>487</v>
      </c>
      <c r="B48" t="s">
        <v>488</v>
      </c>
      <c r="C48" s="3">
        <v>-31300</v>
      </c>
      <c r="D48" s="3">
        <v>-11013</v>
      </c>
      <c r="E48" s="4">
        <f t="shared" ca="1" si="1"/>
        <v>1.8420957050758195</v>
      </c>
    </row>
    <row r="49" spans="1:5" x14ac:dyDescent="0.2">
      <c r="A49" t="s">
        <v>489</v>
      </c>
      <c r="B49" t="s">
        <v>490</v>
      </c>
      <c r="C49" s="3">
        <v>35726</v>
      </c>
      <c r="D49" s="3">
        <v>-22338</v>
      </c>
      <c r="E49" s="4">
        <f t="shared" ca="1" si="1"/>
        <v>-2.5993374518757273</v>
      </c>
    </row>
    <row r="50" spans="1:5" x14ac:dyDescent="0.2">
      <c r="A50" t="s">
        <v>491</v>
      </c>
      <c r="B50" t="s">
        <v>492</v>
      </c>
      <c r="C50" s="3">
        <v>78756</v>
      </c>
      <c r="D50" s="3">
        <v>100085</v>
      </c>
      <c r="E50" s="4">
        <f t="shared" ca="1" si="1"/>
        <v>-0.21310885747114952</v>
      </c>
    </row>
    <row r="51" spans="1:5" x14ac:dyDescent="0.2">
      <c r="A51" t="s">
        <v>493</v>
      </c>
      <c r="B51" t="s">
        <v>494</v>
      </c>
      <c r="C51" s="3">
        <v>114482</v>
      </c>
      <c r="D51" s="3">
        <v>77747</v>
      </c>
      <c r="E51" s="4">
        <f t="shared" ca="1" si="1"/>
        <v>0.47249411552857346</v>
      </c>
    </row>
    <row r="52" spans="1:5" ht="26" x14ac:dyDescent="0.3">
      <c r="A52" s="1" t="s">
        <v>495</v>
      </c>
    </row>
    <row r="53" spans="1:5" ht="20" x14ac:dyDescent="0.25">
      <c r="A53" s="2" t="s">
        <v>1</v>
      </c>
      <c r="B53" s="2" t="s">
        <v>2</v>
      </c>
      <c r="C53" s="2" t="s">
        <v>3</v>
      </c>
      <c r="D53" s="2" t="s">
        <v>287</v>
      </c>
      <c r="E53" s="2" t="s">
        <v>5</v>
      </c>
    </row>
    <row r="54" spans="1:5" x14ac:dyDescent="0.2">
      <c r="A54" t="s">
        <v>496</v>
      </c>
      <c r="B54" t="s">
        <v>401</v>
      </c>
      <c r="C54" s="3">
        <v>15983</v>
      </c>
      <c r="D54" s="3">
        <v>83658</v>
      </c>
      <c r="E54" s="4">
        <f t="shared" ref="E54:E98" ca="1" si="2">(INDIRECT("RC[-2]",0)-INDIRECT("RC[-1]",0))/INDIRECT("RC[-1]",0)</f>
        <v>-0.808948337277965</v>
      </c>
    </row>
    <row r="55" spans="1:5" x14ac:dyDescent="0.2">
      <c r="A55" t="s">
        <v>497</v>
      </c>
      <c r="B55" t="s">
        <v>403</v>
      </c>
      <c r="C55" s="3">
        <v>86995</v>
      </c>
      <c r="D55" s="3">
        <v>110983</v>
      </c>
      <c r="E55" s="4">
        <f t="shared" ca="1" si="2"/>
        <v>-0.21614121081607093</v>
      </c>
    </row>
    <row r="56" spans="1:5" x14ac:dyDescent="0.2">
      <c r="A56" t="s">
        <v>498</v>
      </c>
      <c r="B56" t="s">
        <v>405</v>
      </c>
      <c r="C56" s="3">
        <v>156032</v>
      </c>
      <c r="D56" s="3">
        <v>76143</v>
      </c>
      <c r="E56" s="4">
        <f t="shared" ca="1" si="2"/>
        <v>1.0491969058219404</v>
      </c>
    </row>
    <row r="57" spans="1:5" x14ac:dyDescent="0.2">
      <c r="A57" t="s">
        <v>499</v>
      </c>
      <c r="B57" t="s">
        <v>407</v>
      </c>
      <c r="C57" s="3">
        <v>32706</v>
      </c>
      <c r="D57" s="3">
        <v>29620</v>
      </c>
      <c r="E57" s="4">
        <f t="shared" ca="1" si="2"/>
        <v>0.10418636056718433</v>
      </c>
    </row>
    <row r="58" spans="1:5" x14ac:dyDescent="0.2">
      <c r="A58" t="s">
        <v>500</v>
      </c>
      <c r="B58" t="s">
        <v>411</v>
      </c>
      <c r="C58" s="3">
        <v>-7893</v>
      </c>
      <c r="D58" s="3">
        <v>-335</v>
      </c>
      <c r="E58" s="4">
        <f t="shared" ca="1" si="2"/>
        <v>22.561194029850746</v>
      </c>
    </row>
    <row r="59" spans="1:5" x14ac:dyDescent="0.2">
      <c r="A59" t="s">
        <v>501</v>
      </c>
      <c r="B59" t="s">
        <v>413</v>
      </c>
      <c r="C59" s="3">
        <v>2864</v>
      </c>
      <c r="D59" s="3">
        <v>-455</v>
      </c>
      <c r="E59" s="4">
        <f t="shared" ca="1" si="2"/>
        <v>-7.2945054945054943</v>
      </c>
    </row>
    <row r="60" spans="1:5" x14ac:dyDescent="0.2">
      <c r="A60" t="s">
        <v>502</v>
      </c>
      <c r="B60" t="s">
        <v>415</v>
      </c>
      <c r="C60" s="3">
        <v>-878</v>
      </c>
      <c r="D60" s="3">
        <v>-124</v>
      </c>
      <c r="E60" s="4">
        <f t="shared" ca="1" si="2"/>
        <v>6.080645161290323</v>
      </c>
    </row>
    <row r="61" spans="1:5" x14ac:dyDescent="0.2">
      <c r="A61" t="s">
        <v>503</v>
      </c>
      <c r="B61" t="s">
        <v>417</v>
      </c>
      <c r="C61" s="3">
        <v>44080</v>
      </c>
      <c r="D61" s="3">
        <v>-19844</v>
      </c>
      <c r="E61" s="4">
        <f t="shared" ca="1" si="2"/>
        <v>-3.2213263454948597</v>
      </c>
    </row>
    <row r="62" spans="1:5" x14ac:dyDescent="0.2">
      <c r="A62" t="s">
        <v>504</v>
      </c>
      <c r="B62" t="s">
        <v>419</v>
      </c>
      <c r="C62" s="3">
        <v>-15657</v>
      </c>
      <c r="D62" s="3">
        <v>-14818</v>
      </c>
      <c r="E62" s="4">
        <f t="shared" ca="1" si="2"/>
        <v>5.6620326629774599E-2</v>
      </c>
    </row>
    <row r="63" spans="1:5" x14ac:dyDescent="0.2">
      <c r="A63" t="s">
        <v>505</v>
      </c>
      <c r="B63" t="s">
        <v>421</v>
      </c>
      <c r="C63" s="3">
        <v>456</v>
      </c>
      <c r="D63" s="3">
        <v>4845</v>
      </c>
      <c r="E63" s="4">
        <f t="shared" ca="1" si="2"/>
        <v>-0.90588235294117647</v>
      </c>
    </row>
    <row r="64" spans="1:5" x14ac:dyDescent="0.2">
      <c r="A64" t="s">
        <v>506</v>
      </c>
      <c r="B64" t="s">
        <v>169</v>
      </c>
      <c r="C64" s="3">
        <v>395</v>
      </c>
      <c r="D64" s="3">
        <v>4402</v>
      </c>
      <c r="E64" s="4">
        <f t="shared" ca="1" si="2"/>
        <v>-0.91026805997273963</v>
      </c>
    </row>
    <row r="65" spans="1:5" x14ac:dyDescent="0.2">
      <c r="A65" t="s">
        <v>507</v>
      </c>
      <c r="B65" t="s">
        <v>424</v>
      </c>
      <c r="C65" s="3">
        <v>-159193</v>
      </c>
      <c r="D65" s="3">
        <v>-11026</v>
      </c>
      <c r="E65" s="4">
        <f t="shared" ca="1" si="2"/>
        <v>13.437964810448031</v>
      </c>
    </row>
    <row r="66" spans="1:5" x14ac:dyDescent="0.2">
      <c r="A66" t="s">
        <v>508</v>
      </c>
      <c r="B66" t="s">
        <v>426</v>
      </c>
      <c r="C66" s="3">
        <v>-2478</v>
      </c>
      <c r="D66" s="3">
        <v>-4272</v>
      </c>
      <c r="E66" s="4">
        <f t="shared" ca="1" si="2"/>
        <v>-0.4199438202247191</v>
      </c>
    </row>
    <row r="67" spans="1:5" x14ac:dyDescent="0.2">
      <c r="A67" t="s">
        <v>509</v>
      </c>
      <c r="B67" t="s">
        <v>428</v>
      </c>
      <c r="C67" s="3">
        <v>1920</v>
      </c>
      <c r="D67" s="3">
        <v>2615</v>
      </c>
      <c r="E67" s="4">
        <f t="shared" ca="1" si="2"/>
        <v>-0.26577437858508607</v>
      </c>
    </row>
    <row r="68" spans="1:5" x14ac:dyDescent="0.2">
      <c r="A68" t="s">
        <v>510</v>
      </c>
      <c r="B68" t="s">
        <v>430</v>
      </c>
      <c r="C68" s="3">
        <v>30923</v>
      </c>
      <c r="D68" s="3">
        <v>39993</v>
      </c>
      <c r="E68" s="4">
        <f t="shared" ca="1" si="2"/>
        <v>-0.22678968819543421</v>
      </c>
    </row>
    <row r="69" spans="1:5" x14ac:dyDescent="0.2">
      <c r="A69" t="s">
        <v>511</v>
      </c>
      <c r="B69" t="s">
        <v>25</v>
      </c>
      <c r="C69" s="3">
        <v>3718</v>
      </c>
      <c r="D69" s="3">
        <v>4239</v>
      </c>
      <c r="E69" s="4">
        <f t="shared" ca="1" si="2"/>
        <v>-0.12290634583628214</v>
      </c>
    </row>
    <row r="70" spans="1:5" x14ac:dyDescent="0.2">
      <c r="A70" t="s">
        <v>512</v>
      </c>
      <c r="B70" t="s">
        <v>433</v>
      </c>
      <c r="C70" s="3">
        <v>-41504</v>
      </c>
      <c r="D70" s="3">
        <v>12382</v>
      </c>
      <c r="E70" s="4">
        <f t="shared" ca="1" si="2"/>
        <v>-4.351962526247779</v>
      </c>
    </row>
    <row r="71" spans="1:5" x14ac:dyDescent="0.2">
      <c r="A71" t="s">
        <v>513</v>
      </c>
      <c r="B71" t="s">
        <v>435</v>
      </c>
      <c r="C71" s="3">
        <v>-38325</v>
      </c>
      <c r="D71" s="3">
        <v>-16617</v>
      </c>
      <c r="E71" s="4">
        <f t="shared" ca="1" si="2"/>
        <v>1.3063729915147138</v>
      </c>
    </row>
    <row r="72" spans="1:5" x14ac:dyDescent="0.2">
      <c r="A72" t="s">
        <v>514</v>
      </c>
      <c r="B72" t="s">
        <v>437</v>
      </c>
      <c r="C72" s="3">
        <v>7453</v>
      </c>
      <c r="D72" s="3">
        <v>-2818</v>
      </c>
      <c r="E72" s="4">
        <f t="shared" ca="1" si="2"/>
        <v>-3.6447835344215758</v>
      </c>
    </row>
    <row r="73" spans="1:5" x14ac:dyDescent="0.2">
      <c r="A73" t="s">
        <v>515</v>
      </c>
      <c r="B73" t="s">
        <v>439</v>
      </c>
      <c r="C73" s="3">
        <v>-29753</v>
      </c>
      <c r="D73" s="3">
        <v>10416</v>
      </c>
      <c r="E73" s="4">
        <f t="shared" ca="1" si="2"/>
        <v>-3.8564708141321042</v>
      </c>
    </row>
    <row r="74" spans="1:5" x14ac:dyDescent="0.2">
      <c r="A74" t="s">
        <v>516</v>
      </c>
      <c r="B74" t="s">
        <v>443</v>
      </c>
      <c r="C74" s="3">
        <v>-9691</v>
      </c>
      <c r="D74" s="3">
        <v>-8601</v>
      </c>
      <c r="E74" s="4">
        <f t="shared" ca="1" si="2"/>
        <v>0.12672945006394606</v>
      </c>
    </row>
    <row r="75" spans="1:5" x14ac:dyDescent="0.2">
      <c r="A75" t="s">
        <v>517</v>
      </c>
      <c r="B75" t="s">
        <v>445</v>
      </c>
      <c r="C75" s="3">
        <v>-248</v>
      </c>
      <c r="D75" s="3">
        <v>-422</v>
      </c>
      <c r="E75" s="4">
        <f t="shared" ca="1" si="2"/>
        <v>-0.41232227488151657</v>
      </c>
    </row>
    <row r="76" spans="1:5" x14ac:dyDescent="0.2">
      <c r="A76" t="s">
        <v>518</v>
      </c>
      <c r="B76" t="s">
        <v>441</v>
      </c>
      <c r="C76" s="3">
        <v>5345</v>
      </c>
      <c r="D76" s="3">
        <v>2525</v>
      </c>
      <c r="E76" s="4">
        <f t="shared" ca="1" si="2"/>
        <v>1.1168316831683169</v>
      </c>
    </row>
    <row r="77" spans="1:5" x14ac:dyDescent="0.2">
      <c r="A77" t="s">
        <v>519</v>
      </c>
      <c r="B77" t="s">
        <v>447</v>
      </c>
      <c r="C77" s="3">
        <v>-5488</v>
      </c>
      <c r="D77" s="3">
        <v>-9423</v>
      </c>
      <c r="E77" s="4">
        <f t="shared" ca="1" si="2"/>
        <v>-0.4175952456754749</v>
      </c>
    </row>
    <row r="78" spans="1:5" x14ac:dyDescent="0.2">
      <c r="A78" t="s">
        <v>520</v>
      </c>
      <c r="B78" t="s">
        <v>449</v>
      </c>
      <c r="C78" s="3">
        <v>19775</v>
      </c>
      <c r="D78" s="3">
        <v>23620</v>
      </c>
      <c r="E78" s="4">
        <f t="shared" ca="1" si="2"/>
        <v>-0.16278577476714648</v>
      </c>
    </row>
    <row r="79" spans="1:5" x14ac:dyDescent="0.2">
      <c r="A79" t="s">
        <v>521</v>
      </c>
      <c r="B79" t="s">
        <v>451</v>
      </c>
      <c r="C79" s="3">
        <v>730</v>
      </c>
      <c r="D79" s="3">
        <v>-6583</v>
      </c>
      <c r="E79" s="4">
        <f t="shared" ca="1" si="2"/>
        <v>-1.1108916907185173</v>
      </c>
    </row>
    <row r="80" spans="1:5" x14ac:dyDescent="0.2">
      <c r="A80" t="s">
        <v>522</v>
      </c>
      <c r="B80" t="s">
        <v>523</v>
      </c>
      <c r="C80" s="3">
        <v>-1659</v>
      </c>
      <c r="D80" s="3">
        <v>-3092</v>
      </c>
      <c r="E80" s="4">
        <f t="shared" ca="1" si="2"/>
        <v>-0.46345407503234154</v>
      </c>
    </row>
    <row r="81" spans="1:5" x14ac:dyDescent="0.2">
      <c r="A81" t="s">
        <v>524</v>
      </c>
      <c r="B81" t="s">
        <v>455</v>
      </c>
      <c r="C81" s="3">
        <v>-11844</v>
      </c>
      <c r="D81" s="3">
        <v>-2470</v>
      </c>
      <c r="E81" s="4">
        <f t="shared" ca="1" si="2"/>
        <v>3.7951417004048582</v>
      </c>
    </row>
    <row r="82" spans="1:5" x14ac:dyDescent="0.2">
      <c r="A82" t="s">
        <v>525</v>
      </c>
      <c r="B82" t="s">
        <v>457</v>
      </c>
      <c r="C82" s="3">
        <v>24510</v>
      </c>
      <c r="D82" s="3">
        <v>32903</v>
      </c>
      <c r="E82" s="4">
        <f t="shared" ca="1" si="2"/>
        <v>-0.2550831231194724</v>
      </c>
    </row>
    <row r="83" spans="1:5" x14ac:dyDescent="0.2">
      <c r="A83" t="s">
        <v>526</v>
      </c>
      <c r="B83" t="s">
        <v>459</v>
      </c>
      <c r="C83" s="3">
        <v>1064</v>
      </c>
      <c r="D83" s="3">
        <v>-7056</v>
      </c>
      <c r="E83" s="4">
        <f t="shared" ca="1" si="2"/>
        <v>-1.1507936507936507</v>
      </c>
    </row>
    <row r="84" spans="1:5" x14ac:dyDescent="0.2">
      <c r="A84" t="s">
        <v>527</v>
      </c>
      <c r="B84" t="s">
        <v>528</v>
      </c>
      <c r="C84" s="3">
        <v>-3373</v>
      </c>
      <c r="D84" s="3">
        <v>0</v>
      </c>
      <c r="E84" s="4" t="e">
        <f t="shared" ca="1" si="2"/>
        <v>#DIV/0!</v>
      </c>
    </row>
    <row r="85" spans="1:5" x14ac:dyDescent="0.2">
      <c r="A85" t="s">
        <v>529</v>
      </c>
      <c r="B85" t="s">
        <v>25</v>
      </c>
      <c r="C85" s="3">
        <v>-29508</v>
      </c>
      <c r="D85" s="3">
        <v>-39707</v>
      </c>
      <c r="E85" s="4">
        <f t="shared" ca="1" si="2"/>
        <v>-0.25685647366963005</v>
      </c>
    </row>
    <row r="86" spans="1:5" x14ac:dyDescent="0.2">
      <c r="A86" t="s">
        <v>530</v>
      </c>
      <c r="B86" t="s">
        <v>464</v>
      </c>
      <c r="C86" s="3">
        <v>-25746</v>
      </c>
      <c r="D86" s="3">
        <v>-32326</v>
      </c>
      <c r="E86" s="4">
        <f t="shared" ca="1" si="2"/>
        <v>-0.20355132091814637</v>
      </c>
    </row>
    <row r="87" spans="1:5" x14ac:dyDescent="0.2">
      <c r="A87" t="s">
        <v>531</v>
      </c>
      <c r="B87" t="s">
        <v>466</v>
      </c>
      <c r="C87" s="3">
        <v>-3762</v>
      </c>
      <c r="D87" s="3">
        <v>-7381</v>
      </c>
      <c r="E87" s="4">
        <f t="shared" ca="1" si="2"/>
        <v>-0.49031296572280181</v>
      </c>
    </row>
    <row r="88" spans="1:5" x14ac:dyDescent="0.2">
      <c r="A88" t="s">
        <v>532</v>
      </c>
      <c r="B88" t="s">
        <v>468</v>
      </c>
      <c r="C88" s="3">
        <v>-49284</v>
      </c>
      <c r="D88" s="3">
        <v>-14711</v>
      </c>
      <c r="E88" s="4">
        <f t="shared" ca="1" si="2"/>
        <v>2.3501461491400994</v>
      </c>
    </row>
    <row r="89" spans="1:5" x14ac:dyDescent="0.2">
      <c r="A89" t="s">
        <v>533</v>
      </c>
      <c r="B89" t="s">
        <v>470</v>
      </c>
      <c r="C89" s="3">
        <v>-44040</v>
      </c>
      <c r="D89" s="3">
        <v>-12419</v>
      </c>
      <c r="E89" s="4">
        <f t="shared" ca="1" si="2"/>
        <v>2.5461792414848214</v>
      </c>
    </row>
    <row r="90" spans="1:5" x14ac:dyDescent="0.2">
      <c r="A90" t="s">
        <v>534</v>
      </c>
      <c r="B90" t="s">
        <v>472</v>
      </c>
      <c r="C90" s="3">
        <v>-5244</v>
      </c>
      <c r="D90" s="3">
        <v>-2244</v>
      </c>
      <c r="E90" s="4">
        <f t="shared" ca="1" si="2"/>
        <v>1.3368983957219251</v>
      </c>
    </row>
    <row r="91" spans="1:5" x14ac:dyDescent="0.2">
      <c r="A91" t="s">
        <v>535</v>
      </c>
      <c r="B91" t="s">
        <v>536</v>
      </c>
      <c r="C91" s="3">
        <v>0</v>
      </c>
      <c r="D91" s="3">
        <v>-48</v>
      </c>
      <c r="E91" s="4">
        <f t="shared" ca="1" si="2"/>
        <v>-1</v>
      </c>
    </row>
    <row r="92" spans="1:5" x14ac:dyDescent="0.2">
      <c r="A92" t="s">
        <v>537</v>
      </c>
      <c r="B92" t="s">
        <v>482</v>
      </c>
      <c r="C92" s="3">
        <v>71121</v>
      </c>
      <c r="D92" s="3">
        <v>-87462</v>
      </c>
      <c r="E92" s="4">
        <f t="shared" ca="1" si="2"/>
        <v>-1.8131645743294231</v>
      </c>
    </row>
    <row r="93" spans="1:5" x14ac:dyDescent="0.2">
      <c r="A93" t="s">
        <v>538</v>
      </c>
      <c r="B93" t="s">
        <v>484</v>
      </c>
      <c r="C93" s="3">
        <v>435117</v>
      </c>
      <c r="D93" s="3">
        <v>35787</v>
      </c>
      <c r="E93" s="4">
        <f t="shared" ca="1" si="2"/>
        <v>11.158521250733507</v>
      </c>
    </row>
    <row r="94" spans="1:5" x14ac:dyDescent="0.2">
      <c r="A94" t="s">
        <v>539</v>
      </c>
      <c r="B94" t="s">
        <v>486</v>
      </c>
      <c r="C94" s="3">
        <v>-332696</v>
      </c>
      <c r="D94" s="3">
        <v>-112200</v>
      </c>
      <c r="E94" s="4">
        <f t="shared" ca="1" si="2"/>
        <v>1.9652049910873439</v>
      </c>
    </row>
    <row r="95" spans="1:5" x14ac:dyDescent="0.2">
      <c r="A95" t="s">
        <v>540</v>
      </c>
      <c r="B95" t="s">
        <v>488</v>
      </c>
      <c r="C95" s="3">
        <v>-31300</v>
      </c>
      <c r="D95" s="3">
        <v>-11049</v>
      </c>
      <c r="E95" s="4">
        <f t="shared" ca="1" si="2"/>
        <v>1.8328355507285727</v>
      </c>
    </row>
    <row r="96" spans="1:5" x14ac:dyDescent="0.2">
      <c r="A96" t="s">
        <v>541</v>
      </c>
      <c r="B96" t="s">
        <v>490</v>
      </c>
      <c r="C96" s="3">
        <v>37820</v>
      </c>
      <c r="D96" s="3">
        <v>-18515</v>
      </c>
      <c r="E96" s="4">
        <f t="shared" ca="1" si="2"/>
        <v>-3.0426681069403188</v>
      </c>
    </row>
    <row r="97" spans="1:5" x14ac:dyDescent="0.2">
      <c r="A97" t="s">
        <v>542</v>
      </c>
      <c r="B97" t="s">
        <v>492</v>
      </c>
      <c r="C97" s="3">
        <v>94379</v>
      </c>
      <c r="D97" s="3">
        <v>105745</v>
      </c>
      <c r="E97" s="4">
        <f t="shared" ca="1" si="2"/>
        <v>-0.10748498746985673</v>
      </c>
    </row>
    <row r="98" spans="1:5" x14ac:dyDescent="0.2">
      <c r="A98" t="s">
        <v>543</v>
      </c>
      <c r="B98" t="s">
        <v>494</v>
      </c>
      <c r="C98" s="3">
        <v>132199</v>
      </c>
      <c r="D98" s="3">
        <v>87230</v>
      </c>
      <c r="E98" s="4">
        <f t="shared" ca="1" si="2"/>
        <v>0.51552218273529749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0"/>
  <sheetViews>
    <sheetView workbookViewId="0"/>
  </sheetViews>
  <sheetFormatPr baseColWidth="10" defaultColWidth="8.83203125" defaultRowHeight="15" x14ac:dyDescent="0.2"/>
  <cols>
    <col min="1" max="1" width="15.6640625" customWidth="1"/>
    <col min="2" max="2" width="40.6640625" customWidth="1"/>
    <col min="3" max="101" width="15.6640625" customWidth="1"/>
  </cols>
  <sheetData>
    <row r="1" spans="1:5" ht="26" x14ac:dyDescent="0.3">
      <c r="A1" s="1" t="s">
        <v>544</v>
      </c>
    </row>
    <row r="2" spans="1:5" ht="20" x14ac:dyDescent="0.25">
      <c r="A2" s="2" t="s">
        <v>1</v>
      </c>
      <c r="B2" s="2" t="s">
        <v>2</v>
      </c>
      <c r="C2" s="2" t="s">
        <v>3</v>
      </c>
      <c r="D2" s="2" t="s">
        <v>287</v>
      </c>
      <c r="E2" s="2" t="s">
        <v>5</v>
      </c>
    </row>
    <row r="3" spans="1:5" x14ac:dyDescent="0.2">
      <c r="A3" t="s">
        <v>545</v>
      </c>
      <c r="B3" t="s">
        <v>546</v>
      </c>
      <c r="C3" s="3">
        <v>1028042</v>
      </c>
      <c r="D3" s="3">
        <v>896426</v>
      </c>
      <c r="E3" s="4">
        <f t="shared" ref="E3:E35" ca="1" si="0">(INDIRECT("RC[-2]",0)-INDIRECT("RC[-1]",0))/INDIRECT("RC[-1]",0)</f>
        <v>0.14682305064779469</v>
      </c>
    </row>
    <row r="4" spans="1:5" x14ac:dyDescent="0.2">
      <c r="A4" t="s">
        <v>547</v>
      </c>
      <c r="B4" t="s">
        <v>548</v>
      </c>
      <c r="C4" s="3">
        <v>875695</v>
      </c>
      <c r="D4" s="3">
        <v>863755</v>
      </c>
      <c r="E4" s="4">
        <f t="shared" ca="1" si="0"/>
        <v>1.3823364264172132E-2</v>
      </c>
    </row>
    <row r="5" spans="1:5" x14ac:dyDescent="0.2">
      <c r="A5" t="s">
        <v>549</v>
      </c>
      <c r="B5" t="s">
        <v>550</v>
      </c>
      <c r="C5" s="3">
        <v>151261</v>
      </c>
      <c r="D5" s="3">
        <v>30628</v>
      </c>
      <c r="E5" s="4">
        <f t="shared" ca="1" si="0"/>
        <v>3.938650907666188</v>
      </c>
    </row>
    <row r="6" spans="1:5" x14ac:dyDescent="0.2">
      <c r="A6" t="s">
        <v>551</v>
      </c>
      <c r="B6" t="s">
        <v>552</v>
      </c>
      <c r="C6" s="3">
        <v>0</v>
      </c>
      <c r="D6" s="3">
        <v>1919</v>
      </c>
      <c r="E6" s="4">
        <f t="shared" ca="1" si="0"/>
        <v>-1</v>
      </c>
    </row>
    <row r="7" spans="1:5" x14ac:dyDescent="0.2">
      <c r="A7" t="s">
        <v>553</v>
      </c>
      <c r="B7" t="s">
        <v>554</v>
      </c>
      <c r="C7" s="3">
        <v>1086</v>
      </c>
      <c r="D7" s="3">
        <v>124</v>
      </c>
      <c r="E7" s="4">
        <f t="shared" ca="1" si="0"/>
        <v>7.758064516129032</v>
      </c>
    </row>
    <row r="8" spans="1:5" x14ac:dyDescent="0.2">
      <c r="A8" t="s">
        <v>555</v>
      </c>
      <c r="B8" t="s">
        <v>556</v>
      </c>
      <c r="C8" s="3">
        <v>-477125</v>
      </c>
      <c r="D8" s="3">
        <v>-427527</v>
      </c>
      <c r="E8" s="4">
        <f t="shared" ca="1" si="0"/>
        <v>0.11601138641536091</v>
      </c>
    </row>
    <row r="9" spans="1:5" x14ac:dyDescent="0.2">
      <c r="A9" t="s">
        <v>557</v>
      </c>
      <c r="B9" t="s">
        <v>558</v>
      </c>
      <c r="C9" s="3">
        <v>-306302</v>
      </c>
      <c r="D9" s="3">
        <v>-301135</v>
      </c>
      <c r="E9" s="4">
        <f t="shared" ca="1" si="0"/>
        <v>1.7158417321135037E-2</v>
      </c>
    </row>
    <row r="10" spans="1:5" x14ac:dyDescent="0.2">
      <c r="A10" t="s">
        <v>559</v>
      </c>
      <c r="B10" t="s">
        <v>560</v>
      </c>
      <c r="C10" s="3">
        <v>-172013</v>
      </c>
      <c r="D10" s="3">
        <v>-126499</v>
      </c>
      <c r="E10" s="4">
        <f t="shared" ca="1" si="0"/>
        <v>0.3597973106506771</v>
      </c>
    </row>
    <row r="11" spans="1:5" x14ac:dyDescent="0.2">
      <c r="A11" t="s">
        <v>561</v>
      </c>
      <c r="B11" t="s">
        <v>562</v>
      </c>
      <c r="C11" s="3">
        <v>1190</v>
      </c>
      <c r="D11" s="3">
        <v>107</v>
      </c>
      <c r="E11" s="4">
        <f t="shared" ca="1" si="0"/>
        <v>10.121495327102803</v>
      </c>
    </row>
    <row r="12" spans="1:5" x14ac:dyDescent="0.2">
      <c r="A12" t="s">
        <v>563</v>
      </c>
      <c r="B12" t="s">
        <v>564</v>
      </c>
      <c r="C12" s="3">
        <v>550917</v>
      </c>
      <c r="D12" s="3">
        <v>468899</v>
      </c>
      <c r="E12" s="4">
        <f t="shared" ca="1" si="0"/>
        <v>0.17491613332508707</v>
      </c>
    </row>
    <row r="13" spans="1:5" x14ac:dyDescent="0.2">
      <c r="A13" t="s">
        <v>565</v>
      </c>
      <c r="B13" t="s">
        <v>566</v>
      </c>
      <c r="C13" s="3">
        <v>-29338</v>
      </c>
      <c r="D13" s="3">
        <v>-27339</v>
      </c>
      <c r="E13" s="4">
        <f t="shared" ca="1" si="0"/>
        <v>7.3118987526976112E-2</v>
      </c>
    </row>
    <row r="14" spans="1:5" x14ac:dyDescent="0.2">
      <c r="A14" t="s">
        <v>567</v>
      </c>
      <c r="B14" t="s">
        <v>568</v>
      </c>
      <c r="C14" s="3">
        <v>-29338</v>
      </c>
      <c r="D14" s="3">
        <v>-27339</v>
      </c>
      <c r="E14" s="4">
        <f t="shared" ca="1" si="0"/>
        <v>7.3118987526976112E-2</v>
      </c>
    </row>
    <row r="15" spans="1:5" x14ac:dyDescent="0.2">
      <c r="A15" t="s">
        <v>569</v>
      </c>
      <c r="B15" t="s">
        <v>570</v>
      </c>
      <c r="C15" s="3">
        <v>521579</v>
      </c>
      <c r="D15" s="3">
        <v>441560</v>
      </c>
      <c r="E15" s="4">
        <f t="shared" ca="1" si="0"/>
        <v>0.1812188604040221</v>
      </c>
    </row>
    <row r="16" spans="1:5" x14ac:dyDescent="0.2">
      <c r="A16" t="s">
        <v>571</v>
      </c>
      <c r="B16" t="s">
        <v>572</v>
      </c>
      <c r="C16" s="3">
        <v>76825</v>
      </c>
      <c r="D16" s="3">
        <v>67396</v>
      </c>
      <c r="E16" s="4">
        <f t="shared" ca="1" si="0"/>
        <v>0.1399044453676776</v>
      </c>
    </row>
    <row r="17" spans="1:5" x14ac:dyDescent="0.2">
      <c r="A17" t="s">
        <v>573</v>
      </c>
      <c r="B17" t="s">
        <v>309</v>
      </c>
      <c r="C17" s="3">
        <v>26387</v>
      </c>
      <c r="D17" s="3">
        <v>29212</v>
      </c>
      <c r="E17" s="4">
        <f t="shared" ca="1" si="0"/>
        <v>-9.6706832808434895E-2</v>
      </c>
    </row>
    <row r="18" spans="1:5" x14ac:dyDescent="0.2">
      <c r="A18" t="s">
        <v>574</v>
      </c>
      <c r="B18" t="s">
        <v>315</v>
      </c>
      <c r="C18" s="3">
        <v>50438</v>
      </c>
      <c r="D18" s="3">
        <v>38184</v>
      </c>
      <c r="E18" s="4">
        <f t="shared" ca="1" si="0"/>
        <v>0.32091975696626862</v>
      </c>
    </row>
    <row r="19" spans="1:5" x14ac:dyDescent="0.2">
      <c r="A19" t="s">
        <v>575</v>
      </c>
      <c r="B19" t="s">
        <v>576</v>
      </c>
      <c r="C19" s="3">
        <v>598404</v>
      </c>
      <c r="D19" s="3">
        <v>508956</v>
      </c>
      <c r="E19" s="4">
        <f t="shared" ca="1" si="0"/>
        <v>0.17574800179190342</v>
      </c>
    </row>
    <row r="20" spans="1:5" x14ac:dyDescent="0.2">
      <c r="A20" t="s">
        <v>577</v>
      </c>
      <c r="B20" t="s">
        <v>578</v>
      </c>
      <c r="C20" s="3">
        <v>598404</v>
      </c>
      <c r="D20" s="3">
        <v>508956</v>
      </c>
      <c r="E20" s="4">
        <f t="shared" ca="1" si="0"/>
        <v>0.17574800179190342</v>
      </c>
    </row>
    <row r="21" spans="1:5" x14ac:dyDescent="0.2">
      <c r="A21" t="s">
        <v>579</v>
      </c>
      <c r="B21" t="s">
        <v>580</v>
      </c>
      <c r="C21" s="3">
        <v>164430</v>
      </c>
      <c r="D21" s="3">
        <v>158074</v>
      </c>
      <c r="E21" s="4">
        <f t="shared" ca="1" si="0"/>
        <v>4.020901603046674E-2</v>
      </c>
    </row>
    <row r="22" spans="1:5" x14ac:dyDescent="0.2">
      <c r="A22" t="s">
        <v>581</v>
      </c>
      <c r="B22" t="s">
        <v>582</v>
      </c>
      <c r="C22" s="3">
        <v>138486</v>
      </c>
      <c r="D22" s="3">
        <v>134484</v>
      </c>
      <c r="E22" s="4">
        <f t="shared" ca="1" si="0"/>
        <v>2.9758186847506023E-2</v>
      </c>
    </row>
    <row r="23" spans="1:5" x14ac:dyDescent="0.2">
      <c r="A23" t="s">
        <v>583</v>
      </c>
      <c r="B23" t="s">
        <v>584</v>
      </c>
      <c r="C23" s="3">
        <v>16307</v>
      </c>
      <c r="D23" s="3">
        <v>15006</v>
      </c>
      <c r="E23" s="4">
        <f t="shared" ca="1" si="0"/>
        <v>8.6698653871784617E-2</v>
      </c>
    </row>
    <row r="24" spans="1:5" x14ac:dyDescent="0.2">
      <c r="A24" t="s">
        <v>585</v>
      </c>
      <c r="B24" t="s">
        <v>586</v>
      </c>
      <c r="C24" s="3">
        <v>9637</v>
      </c>
      <c r="D24" s="3">
        <v>8584</v>
      </c>
      <c r="E24" s="4">
        <f t="shared" ca="1" si="0"/>
        <v>0.12267008387698043</v>
      </c>
    </row>
    <row r="25" spans="1:5" x14ac:dyDescent="0.2">
      <c r="A25" t="s">
        <v>587</v>
      </c>
      <c r="B25" t="s">
        <v>148</v>
      </c>
      <c r="C25" s="3">
        <v>237645</v>
      </c>
      <c r="D25" s="3">
        <v>203736</v>
      </c>
      <c r="E25" s="4">
        <f t="shared" ca="1" si="0"/>
        <v>0.16643597596890092</v>
      </c>
    </row>
    <row r="26" spans="1:5" x14ac:dyDescent="0.2">
      <c r="A26" t="s">
        <v>588</v>
      </c>
      <c r="B26" t="s">
        <v>589</v>
      </c>
      <c r="C26" s="3">
        <v>126212</v>
      </c>
      <c r="D26" s="3">
        <v>92209</v>
      </c>
      <c r="E26" s="4">
        <f t="shared" ca="1" si="0"/>
        <v>0.36876009933954385</v>
      </c>
    </row>
    <row r="27" spans="1:5" x14ac:dyDescent="0.2">
      <c r="A27" t="s">
        <v>590</v>
      </c>
      <c r="B27" t="s">
        <v>591</v>
      </c>
      <c r="C27" s="3">
        <v>110687</v>
      </c>
      <c r="D27" s="3">
        <v>110893</v>
      </c>
      <c r="E27" s="4">
        <f t="shared" ca="1" si="0"/>
        <v>-1.8576465601976681E-3</v>
      </c>
    </row>
    <row r="28" spans="1:5" x14ac:dyDescent="0.2">
      <c r="A28" t="s">
        <v>592</v>
      </c>
      <c r="B28" t="s">
        <v>593</v>
      </c>
      <c r="C28" s="3">
        <v>746</v>
      </c>
      <c r="D28" s="3">
        <v>634</v>
      </c>
      <c r="E28" s="4">
        <f t="shared" ca="1" si="0"/>
        <v>0.17665615141955837</v>
      </c>
    </row>
    <row r="29" spans="1:5" x14ac:dyDescent="0.2">
      <c r="A29" t="s">
        <v>594</v>
      </c>
      <c r="B29" t="s">
        <v>595</v>
      </c>
      <c r="C29" s="3">
        <v>90356</v>
      </c>
      <c r="D29" s="3">
        <v>87831</v>
      </c>
      <c r="E29" s="4">
        <f t="shared" ca="1" si="0"/>
        <v>2.8748391797884573E-2</v>
      </c>
    </row>
    <row r="30" spans="1:5" x14ac:dyDescent="0.2">
      <c r="A30" t="s">
        <v>596</v>
      </c>
      <c r="B30" t="s">
        <v>597</v>
      </c>
      <c r="C30" s="3">
        <v>81178</v>
      </c>
      <c r="D30" s="3">
        <v>79506</v>
      </c>
      <c r="E30" s="4">
        <f t="shared" ca="1" si="0"/>
        <v>2.1029859381681885E-2</v>
      </c>
    </row>
    <row r="31" spans="1:5" x14ac:dyDescent="0.2">
      <c r="A31" t="s">
        <v>598</v>
      </c>
      <c r="B31" t="s">
        <v>599</v>
      </c>
      <c r="C31" s="3">
        <v>9178</v>
      </c>
      <c r="D31" s="3">
        <v>8325</v>
      </c>
      <c r="E31" s="4">
        <f t="shared" ca="1" si="0"/>
        <v>0.10246246246246246</v>
      </c>
    </row>
    <row r="32" spans="1:5" x14ac:dyDescent="0.2">
      <c r="A32" t="s">
        <v>600</v>
      </c>
      <c r="B32" t="s">
        <v>601</v>
      </c>
      <c r="C32" s="3">
        <v>105973</v>
      </c>
      <c r="D32" s="3">
        <v>59315</v>
      </c>
      <c r="E32" s="4">
        <f t="shared" ca="1" si="0"/>
        <v>0.78661384135547496</v>
      </c>
    </row>
    <row r="33" spans="1:5" x14ac:dyDescent="0.2">
      <c r="A33" t="s">
        <v>602</v>
      </c>
      <c r="B33" t="s">
        <v>603</v>
      </c>
      <c r="C33" s="3">
        <v>7273</v>
      </c>
      <c r="D33" s="3">
        <v>0</v>
      </c>
      <c r="E33" s="4" t="e">
        <f t="shared" ca="1" si="0"/>
        <v>#DIV/0!</v>
      </c>
    </row>
    <row r="34" spans="1:5" x14ac:dyDescent="0.2">
      <c r="A34" t="s">
        <v>604</v>
      </c>
      <c r="B34" t="s">
        <v>605</v>
      </c>
      <c r="C34" s="3">
        <v>2612</v>
      </c>
      <c r="D34" s="3">
        <v>0</v>
      </c>
      <c r="E34" s="4" t="e">
        <f t="shared" ca="1" si="0"/>
        <v>#DIV/0!</v>
      </c>
    </row>
    <row r="35" spans="1:5" x14ac:dyDescent="0.2">
      <c r="A35" t="s">
        <v>606</v>
      </c>
      <c r="B35" t="s">
        <v>607</v>
      </c>
      <c r="C35" s="3">
        <v>96088</v>
      </c>
      <c r="D35" s="3">
        <v>59315</v>
      </c>
      <c r="E35" s="4">
        <f t="shared" ca="1" si="0"/>
        <v>0.61996122397369979</v>
      </c>
    </row>
    <row r="36" spans="1:5" ht="26" x14ac:dyDescent="0.3">
      <c r="A36" s="1" t="s">
        <v>608</v>
      </c>
    </row>
    <row r="37" spans="1:5" ht="20" x14ac:dyDescent="0.25">
      <c r="A37" s="2" t="s">
        <v>1</v>
      </c>
      <c r="B37" s="2" t="s">
        <v>2</v>
      </c>
      <c r="C37" s="2" t="s">
        <v>3</v>
      </c>
      <c r="D37" s="2" t="s">
        <v>287</v>
      </c>
      <c r="E37" s="2" t="s">
        <v>5</v>
      </c>
    </row>
    <row r="38" spans="1:5" x14ac:dyDescent="0.2">
      <c r="A38" t="s">
        <v>609</v>
      </c>
      <c r="B38" t="s">
        <v>546</v>
      </c>
      <c r="C38" s="3">
        <v>1108285</v>
      </c>
      <c r="D38" s="3">
        <v>973769</v>
      </c>
      <c r="E38" s="4">
        <f t="shared" ref="E38:E70" ca="1" si="1">(INDIRECT("RC[-2]",0)-INDIRECT("RC[-1]",0))/INDIRECT("RC[-1]",0)</f>
        <v>0.13813953822723871</v>
      </c>
    </row>
    <row r="39" spans="1:5" x14ac:dyDescent="0.2">
      <c r="A39" t="s">
        <v>610</v>
      </c>
      <c r="B39" t="s">
        <v>548</v>
      </c>
      <c r="C39" s="3">
        <v>963229</v>
      </c>
      <c r="D39" s="3">
        <v>946869</v>
      </c>
      <c r="E39" s="4">
        <f t="shared" ca="1" si="1"/>
        <v>1.7277997273118035E-2</v>
      </c>
    </row>
    <row r="40" spans="1:5" x14ac:dyDescent="0.2">
      <c r="A40" t="s">
        <v>611</v>
      </c>
      <c r="B40" t="s">
        <v>550</v>
      </c>
      <c r="C40" s="3">
        <v>144178</v>
      </c>
      <c r="D40" s="3">
        <v>24857</v>
      </c>
      <c r="E40" s="4">
        <f t="shared" ca="1" si="1"/>
        <v>4.8002977028603615</v>
      </c>
    </row>
    <row r="41" spans="1:5" x14ac:dyDescent="0.2">
      <c r="A41" t="s">
        <v>612</v>
      </c>
      <c r="B41" t="s">
        <v>552</v>
      </c>
      <c r="C41" s="3">
        <v>0</v>
      </c>
      <c r="D41" s="3">
        <v>1919</v>
      </c>
      <c r="E41" s="4">
        <f t="shared" ca="1" si="1"/>
        <v>-1</v>
      </c>
    </row>
    <row r="42" spans="1:5" x14ac:dyDescent="0.2">
      <c r="A42" t="s">
        <v>613</v>
      </c>
      <c r="B42" t="s">
        <v>554</v>
      </c>
      <c r="C42" s="3">
        <v>878</v>
      </c>
      <c r="D42" s="3">
        <v>124</v>
      </c>
      <c r="E42" s="4">
        <f t="shared" ca="1" si="1"/>
        <v>6.080645161290323</v>
      </c>
    </row>
    <row r="43" spans="1:5" x14ac:dyDescent="0.2">
      <c r="A43" t="s">
        <v>614</v>
      </c>
      <c r="B43" t="s">
        <v>556</v>
      </c>
      <c r="C43" s="3">
        <v>-488240</v>
      </c>
      <c r="D43" s="3">
        <v>-437581</v>
      </c>
      <c r="E43" s="4">
        <f t="shared" ca="1" si="1"/>
        <v>0.11577056590665499</v>
      </c>
    </row>
    <row r="44" spans="1:5" x14ac:dyDescent="0.2">
      <c r="A44" t="s">
        <v>615</v>
      </c>
      <c r="B44" t="s">
        <v>558</v>
      </c>
      <c r="C44" s="3">
        <v>-305389</v>
      </c>
      <c r="D44" s="3">
        <v>-302518</v>
      </c>
      <c r="E44" s="4">
        <f t="shared" ca="1" si="1"/>
        <v>9.4903443762024073E-3</v>
      </c>
    </row>
    <row r="45" spans="1:5" x14ac:dyDescent="0.2">
      <c r="A45" t="s">
        <v>616</v>
      </c>
      <c r="B45" t="s">
        <v>560</v>
      </c>
      <c r="C45" s="3">
        <v>-184013</v>
      </c>
      <c r="D45" s="3">
        <v>-134881</v>
      </c>
      <c r="E45" s="4">
        <f t="shared" ca="1" si="1"/>
        <v>0.3642618307990006</v>
      </c>
    </row>
    <row r="46" spans="1:5" x14ac:dyDescent="0.2">
      <c r="A46" t="s">
        <v>617</v>
      </c>
      <c r="B46" t="s">
        <v>562</v>
      </c>
      <c r="C46" s="3">
        <v>1162</v>
      </c>
      <c r="D46" s="3">
        <v>-182</v>
      </c>
      <c r="E46" s="4">
        <f t="shared" ca="1" si="1"/>
        <v>-7.384615384615385</v>
      </c>
    </row>
    <row r="47" spans="1:5" x14ac:dyDescent="0.2">
      <c r="A47" t="s">
        <v>618</v>
      </c>
      <c r="B47" t="s">
        <v>564</v>
      </c>
      <c r="C47" s="3">
        <v>620045</v>
      </c>
      <c r="D47" s="3">
        <v>536188</v>
      </c>
      <c r="E47" s="4">
        <f t="shared" ca="1" si="1"/>
        <v>0.1563947719829612</v>
      </c>
    </row>
    <row r="48" spans="1:5" x14ac:dyDescent="0.2">
      <c r="A48" t="s">
        <v>619</v>
      </c>
      <c r="B48" t="s">
        <v>566</v>
      </c>
      <c r="C48" s="3">
        <v>-32706</v>
      </c>
      <c r="D48" s="3">
        <v>-29628</v>
      </c>
      <c r="E48" s="4">
        <f t="shared" ca="1" si="1"/>
        <v>0.10388821385176185</v>
      </c>
    </row>
    <row r="49" spans="1:5" x14ac:dyDescent="0.2">
      <c r="A49" t="s">
        <v>620</v>
      </c>
      <c r="B49" t="s">
        <v>568</v>
      </c>
      <c r="C49" s="3">
        <v>-32706</v>
      </c>
      <c r="D49" s="3">
        <v>-29628</v>
      </c>
      <c r="E49" s="4">
        <f t="shared" ca="1" si="1"/>
        <v>0.10388821385176185</v>
      </c>
    </row>
    <row r="50" spans="1:5" x14ac:dyDescent="0.2">
      <c r="A50" t="s">
        <v>621</v>
      </c>
      <c r="B50" t="s">
        <v>570</v>
      </c>
      <c r="C50" s="3">
        <v>587339</v>
      </c>
      <c r="D50" s="3">
        <v>506560</v>
      </c>
      <c r="E50" s="4">
        <f t="shared" ca="1" si="1"/>
        <v>0.15946580859128237</v>
      </c>
    </row>
    <row r="51" spans="1:5" x14ac:dyDescent="0.2">
      <c r="A51" t="s">
        <v>622</v>
      </c>
      <c r="B51" t="s">
        <v>572</v>
      </c>
      <c r="C51" s="3">
        <v>50905</v>
      </c>
      <c r="D51" s="3">
        <v>38727</v>
      </c>
      <c r="E51" s="4">
        <f t="shared" ca="1" si="1"/>
        <v>0.31445761355126917</v>
      </c>
    </row>
    <row r="52" spans="1:5" x14ac:dyDescent="0.2">
      <c r="A52" t="s">
        <v>623</v>
      </c>
      <c r="B52" t="s">
        <v>315</v>
      </c>
      <c r="C52" s="3">
        <v>50905</v>
      </c>
      <c r="D52" s="3">
        <v>38727</v>
      </c>
      <c r="E52" s="4">
        <f t="shared" ca="1" si="1"/>
        <v>0.31445761355126917</v>
      </c>
    </row>
    <row r="53" spans="1:5" x14ac:dyDescent="0.2">
      <c r="A53" t="s">
        <v>624</v>
      </c>
      <c r="B53" t="s">
        <v>576</v>
      </c>
      <c r="C53" s="3">
        <v>638244</v>
      </c>
      <c r="D53" s="3">
        <v>545287</v>
      </c>
      <c r="E53" s="4">
        <f t="shared" ca="1" si="1"/>
        <v>0.17047353045277075</v>
      </c>
    </row>
    <row r="54" spans="1:5" x14ac:dyDescent="0.2">
      <c r="A54" t="s">
        <v>625</v>
      </c>
      <c r="B54" t="s">
        <v>578</v>
      </c>
      <c r="C54" s="3">
        <v>638244</v>
      </c>
      <c r="D54" s="3">
        <v>545287</v>
      </c>
      <c r="E54" s="4">
        <f t="shared" ca="1" si="1"/>
        <v>0.17047353045277075</v>
      </c>
    </row>
    <row r="55" spans="1:5" x14ac:dyDescent="0.2">
      <c r="A55" t="s">
        <v>626</v>
      </c>
      <c r="B55" t="s">
        <v>580</v>
      </c>
      <c r="C55" s="3">
        <v>184846</v>
      </c>
      <c r="D55" s="3">
        <v>174261</v>
      </c>
      <c r="E55" s="4">
        <f t="shared" ca="1" si="1"/>
        <v>6.0742220003328344E-2</v>
      </c>
    </row>
    <row r="56" spans="1:5" x14ac:dyDescent="0.2">
      <c r="A56" t="s">
        <v>627</v>
      </c>
      <c r="B56" t="s">
        <v>582</v>
      </c>
      <c r="C56" s="3">
        <v>156139</v>
      </c>
      <c r="D56" s="3">
        <v>148608</v>
      </c>
      <c r="E56" s="4">
        <f t="shared" ca="1" si="1"/>
        <v>5.0676948751076659E-2</v>
      </c>
    </row>
    <row r="57" spans="1:5" x14ac:dyDescent="0.2">
      <c r="A57" t="s">
        <v>628</v>
      </c>
      <c r="B57" t="s">
        <v>584</v>
      </c>
      <c r="C57" s="3">
        <v>17756</v>
      </c>
      <c r="D57" s="3">
        <v>15997</v>
      </c>
      <c r="E57" s="4">
        <f t="shared" ca="1" si="1"/>
        <v>0.10995811714696506</v>
      </c>
    </row>
    <row r="58" spans="1:5" x14ac:dyDescent="0.2">
      <c r="A58" t="s">
        <v>629</v>
      </c>
      <c r="B58" t="s">
        <v>586</v>
      </c>
      <c r="C58" s="3">
        <v>10951</v>
      </c>
      <c r="D58" s="3">
        <v>9656</v>
      </c>
      <c r="E58" s="4">
        <f t="shared" ca="1" si="1"/>
        <v>0.13411350455675228</v>
      </c>
    </row>
    <row r="59" spans="1:5" x14ac:dyDescent="0.2">
      <c r="A59" t="s">
        <v>630</v>
      </c>
      <c r="B59" t="s">
        <v>148</v>
      </c>
      <c r="C59" s="3">
        <v>252824</v>
      </c>
      <c r="D59" s="3">
        <v>220558</v>
      </c>
      <c r="E59" s="4">
        <f t="shared" ca="1" si="1"/>
        <v>0.14629258517034069</v>
      </c>
    </row>
    <row r="60" spans="1:5" x14ac:dyDescent="0.2">
      <c r="A60" t="s">
        <v>631</v>
      </c>
      <c r="B60" t="s">
        <v>589</v>
      </c>
      <c r="C60" s="3">
        <v>140874</v>
      </c>
      <c r="D60" s="3">
        <v>108755</v>
      </c>
      <c r="E60" s="4">
        <f t="shared" ca="1" si="1"/>
        <v>0.29533354788285598</v>
      </c>
    </row>
    <row r="61" spans="1:5" x14ac:dyDescent="0.2">
      <c r="A61" t="s">
        <v>632</v>
      </c>
      <c r="B61" t="s">
        <v>591</v>
      </c>
      <c r="C61" s="3">
        <v>111105</v>
      </c>
      <c r="D61" s="3">
        <v>111138</v>
      </c>
      <c r="E61" s="4">
        <f t="shared" ca="1" si="1"/>
        <v>-2.969281433892998E-4</v>
      </c>
    </row>
    <row r="62" spans="1:5" x14ac:dyDescent="0.2">
      <c r="A62" t="s">
        <v>633</v>
      </c>
      <c r="B62" t="s">
        <v>593</v>
      </c>
      <c r="C62" s="3">
        <v>845</v>
      </c>
      <c r="D62" s="3">
        <v>665</v>
      </c>
      <c r="E62" s="4">
        <f t="shared" ca="1" si="1"/>
        <v>0.27067669172932329</v>
      </c>
    </row>
    <row r="63" spans="1:5" x14ac:dyDescent="0.2">
      <c r="A63" t="s">
        <v>634</v>
      </c>
      <c r="B63" t="s">
        <v>595</v>
      </c>
      <c r="C63" s="3">
        <v>94579</v>
      </c>
      <c r="D63" s="3">
        <v>91127</v>
      </c>
      <c r="E63" s="4">
        <f t="shared" ca="1" si="1"/>
        <v>3.7881198766556566E-2</v>
      </c>
    </row>
    <row r="64" spans="1:5" x14ac:dyDescent="0.2">
      <c r="A64" t="s">
        <v>635</v>
      </c>
      <c r="B64" t="s">
        <v>597</v>
      </c>
      <c r="C64" s="3">
        <v>82066</v>
      </c>
      <c r="D64" s="3">
        <v>80193</v>
      </c>
      <c r="E64" s="4">
        <f t="shared" ca="1" si="1"/>
        <v>2.335615328021149E-2</v>
      </c>
    </row>
    <row r="65" spans="1:5" x14ac:dyDescent="0.2">
      <c r="A65" t="s">
        <v>636</v>
      </c>
      <c r="B65" t="s">
        <v>599</v>
      </c>
      <c r="C65" s="3">
        <v>12513</v>
      </c>
      <c r="D65" s="3">
        <v>10934</v>
      </c>
      <c r="E65" s="4">
        <f t="shared" ca="1" si="1"/>
        <v>0.14441192610206693</v>
      </c>
    </row>
    <row r="66" spans="1:5" x14ac:dyDescent="0.2">
      <c r="A66" t="s">
        <v>637</v>
      </c>
      <c r="B66" t="s">
        <v>601</v>
      </c>
      <c r="C66" s="3">
        <v>105995</v>
      </c>
      <c r="D66" s="3">
        <v>59341</v>
      </c>
      <c r="E66" s="4">
        <f t="shared" ca="1" si="1"/>
        <v>0.78620178291569065</v>
      </c>
    </row>
    <row r="67" spans="1:5" x14ac:dyDescent="0.2">
      <c r="A67" t="s">
        <v>638</v>
      </c>
      <c r="B67" t="s">
        <v>603</v>
      </c>
      <c r="C67" s="3">
        <v>7273</v>
      </c>
      <c r="D67" s="3">
        <v>0</v>
      </c>
      <c r="E67" s="4" t="e">
        <f t="shared" ca="1" si="1"/>
        <v>#DIV/0!</v>
      </c>
    </row>
    <row r="68" spans="1:5" x14ac:dyDescent="0.2">
      <c r="A68" t="s">
        <v>639</v>
      </c>
      <c r="B68" t="s">
        <v>605</v>
      </c>
      <c r="C68" s="3">
        <v>2612</v>
      </c>
      <c r="D68" s="3">
        <v>0</v>
      </c>
      <c r="E68" s="4" t="e">
        <f t="shared" ca="1" si="1"/>
        <v>#DIV/0!</v>
      </c>
    </row>
    <row r="69" spans="1:5" x14ac:dyDescent="0.2">
      <c r="A69" t="s">
        <v>640</v>
      </c>
      <c r="B69" t="s">
        <v>607</v>
      </c>
      <c r="C69" s="3">
        <v>96088</v>
      </c>
      <c r="D69" s="3">
        <v>59315</v>
      </c>
      <c r="E69" s="4">
        <f t="shared" ca="1" si="1"/>
        <v>0.61996122397369979</v>
      </c>
    </row>
    <row r="70" spans="1:5" x14ac:dyDescent="0.2">
      <c r="A70" t="s">
        <v>641</v>
      </c>
      <c r="B70" t="s">
        <v>642</v>
      </c>
      <c r="C70" s="3">
        <v>22</v>
      </c>
      <c r="D70" s="3">
        <v>26</v>
      </c>
      <c r="E70" s="4">
        <f t="shared" ca="1" si="1"/>
        <v>-0.15384615384615385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1"/>
  <sheetViews>
    <sheetView workbookViewId="0"/>
  </sheetViews>
  <sheetFormatPr baseColWidth="10" defaultColWidth="8.83203125" defaultRowHeight="15" x14ac:dyDescent="0.2"/>
  <cols>
    <col min="1" max="1" width="45.6640625" customWidth="1"/>
    <col min="2" max="101" width="20.6640625" customWidth="1"/>
  </cols>
  <sheetData>
    <row r="1" spans="1:5" ht="26" x14ac:dyDescent="0.3">
      <c r="A1" s="1" t="s">
        <v>643</v>
      </c>
    </row>
    <row r="2" spans="1:5" ht="20" x14ac:dyDescent="0.25">
      <c r="A2" s="2" t="s">
        <v>644</v>
      </c>
      <c r="B2" s="3">
        <f>VLOOKUP("3.99.99.22",'Income (DRE)'!A1:C10000,3,0)*VLOOKUP("3.99.99.30",'Income (DRE)'!A1:C10000,3,0)</f>
        <v>629201.33000000007</v>
      </c>
    </row>
    <row r="5" spans="1:5" ht="20" x14ac:dyDescent="0.25">
      <c r="A5" s="2" t="s">
        <v>645</v>
      </c>
      <c r="B5" s="2" t="s">
        <v>3</v>
      </c>
      <c r="C5" s="2" t="s">
        <v>285</v>
      </c>
      <c r="D5" s="2" t="s">
        <v>646</v>
      </c>
      <c r="E5" s="2" t="s">
        <v>647</v>
      </c>
    </row>
    <row r="6" spans="1:5" x14ac:dyDescent="0.2">
      <c r="A6" t="s">
        <v>648</v>
      </c>
      <c r="B6" s="4">
        <f>VLOOKUP("3.03",'Income (DRE)'!A1:C10000,3,0)/VLOOKUP("3.01",'Income (DRE)'!A1:F10000,3,0)</f>
        <v>0.32143583283167954</v>
      </c>
      <c r="C6" s="4">
        <f>VLOOKUP("3.03",'Income (DRE)'!A1:F10000,4,0)/VLOOKUP("3.01",'Income (DRE)'!A1:F10000,4,0)</f>
        <v>0.33024990140188593</v>
      </c>
      <c r="D6" s="4">
        <f>VLOOKUP("3.03",'Income (DRE)'!A1:F10000,5,0)/VLOOKUP("3.01",'Income (DRE)'!A1:F10000,5,0)</f>
        <v>0.35132264993093315</v>
      </c>
      <c r="E6" s="4">
        <f>VLOOKUP("3.03",'Income (DRE)'!A1:F10000,6,0)/VLOOKUP("3.01",'Income (DRE)'!A1:F10000,6,0)</f>
        <v>0.35609649411206379</v>
      </c>
    </row>
    <row r="7" spans="1:5" x14ac:dyDescent="0.2">
      <c r="A7" t="s">
        <v>649</v>
      </c>
      <c r="B7" s="4">
        <f>VLOOKUP("3.05",'Income (DRE)'!A1:C10000,3,0)/VLOOKUP("3.01",'Income (DRE)'!A1:C10000,3,0)</f>
        <v>4.166849388248145E-2</v>
      </c>
      <c r="C7" s="4">
        <f>VLOOKUP("3.05",'Income (DRE)'!A1:F10000,4,0)/VLOOKUP("3.01",'Income (DRE)'!A1:F10000,4,0)</f>
        <v>7.449166608667776E-2</v>
      </c>
      <c r="D7" s="4">
        <f>VLOOKUP("3.05",'Income (DRE)'!A1:F10000,5,0)/VLOOKUP("3.01",'Income (DRE)'!A1:F10000,5,0)</f>
        <v>0.12593320078887904</v>
      </c>
      <c r="E7" s="4">
        <f>VLOOKUP("3.05",'Income (DRE)'!A1:F10000,6,0)/VLOOKUP("3.01",'Income (DRE)'!A1:F10000,6,0)</f>
        <v>0.15681579722284961</v>
      </c>
    </row>
    <row r="8" spans="1:5" x14ac:dyDescent="0.2">
      <c r="A8" t="s">
        <v>650</v>
      </c>
      <c r="B8" s="4">
        <f>VLOOKUP("3.11",'Income (DRE)'!A1:C10000,3,0)/VLOOKUP("3.01",'Income (DRE)'!A1:C10000,3,0)</f>
        <v>1.0269617321208594E-2</v>
      </c>
      <c r="C8" s="4">
        <f>VLOOKUP("3.11",'Income (DRE)'!A1:F10000,4,0)/VLOOKUP("3.01",'Income (DRE)'!A1:F10000,4,0)</f>
        <v>2.0173068689667971E-2</v>
      </c>
      <c r="D8" s="4">
        <f>VLOOKUP("3.11",'Income (DRE)'!A1:F10000,5,0)/VLOOKUP("3.01",'Income (DRE)'!A1:F10000,5,0)</f>
        <v>7.0196660837904518E-2</v>
      </c>
      <c r="E8" s="4">
        <f>VLOOKUP("3.11",'Income (DRE)'!A1:F10000,6,0)/VLOOKUP("3.01",'Income (DRE)'!A1:F10000,6,0)</f>
        <v>8.4788283021187419E-2</v>
      </c>
    </row>
    <row r="9" spans="1:5" x14ac:dyDescent="0.2">
      <c r="A9" t="s">
        <v>651</v>
      </c>
      <c r="B9" s="4">
        <f>VLOOKUP("3.11",'Income (DRE)'!A1:D10000,4,0)/B2</f>
        <v>1.5201811477416933E-2</v>
      </c>
    </row>
    <row r="10" spans="1:5" x14ac:dyDescent="0.2">
      <c r="A10" t="s">
        <v>652</v>
      </c>
      <c r="B10" s="4">
        <f>4*VLOOKUP("3.11",'Income (DRE)'!A1:C10000,3,0)/VLOOKUP("2.03",Passive!A1:C10000,3,0)</f>
        <v>2.9290617848970253E-2</v>
      </c>
    </row>
    <row r="11" spans="1:5" x14ac:dyDescent="0.2">
      <c r="A11" t="s">
        <v>653</v>
      </c>
      <c r="B11" s="4">
        <f>4*VLOOKUP("3.05",'Income (DRE)'!A1:C10000,3,0)/VLOOKUP("1",Active!A1:C10000,3,0)</f>
        <v>2.5092428098141835E-2</v>
      </c>
    </row>
    <row r="12" spans="1:5" x14ac:dyDescent="0.2">
      <c r="A12" t="s">
        <v>654</v>
      </c>
      <c r="B12" s="4">
        <f>4*VLOOKUP("3.01",'Income (DRE)'!A1:C10000,3,0)/VLOOKUP("1",Active!A1:C10000,3,0)</f>
        <v>0.60219186632736355</v>
      </c>
    </row>
    <row r="14" spans="1:5" ht="20" x14ac:dyDescent="0.25">
      <c r="A14" s="2" t="s">
        <v>655</v>
      </c>
    </row>
    <row r="15" spans="1:5" x14ac:dyDescent="0.2">
      <c r="A15" t="s">
        <v>656</v>
      </c>
      <c r="B15" s="5">
        <f>(VLOOKUP("3.99.99.22",'Income (DRE)'!A1:C10000,3,0)*VLOOKUP("3.99.99.30",'Income (DRE)'!A1:C10000,3,0))/(4*VLOOKUP("3.11",'Income (DRE)'!A1:C10000,3,0))</f>
        <v>61.063793672360255</v>
      </c>
    </row>
    <row r="16" spans="1:5" x14ac:dyDescent="0.2">
      <c r="A16" t="s">
        <v>657</v>
      </c>
      <c r="B16" s="5">
        <f>(VLOOKUP("3.99.99.22",'Income (DRE)'!A1:C10000,3,0)*VLOOKUP("3.99.99.30",'Income (DRE)'!A1:C10000,3,0))/VLOOKUP("2.03",Passive!A1:C10000,3,0)</f>
        <v>1.788596244865472</v>
      </c>
    </row>
    <row r="17" spans="1:5" x14ac:dyDescent="0.2">
      <c r="A17" t="s">
        <v>658</v>
      </c>
      <c r="B17" s="5">
        <f>(VLOOKUP("3.99.99.22",'Income (DRE)'!A1:C10000,3,0)*VLOOKUP("3.99.99.30",'Income (DRE)'!A1:C10000,3,0))/(4*VLOOKUP("3.05",'Income (DRE)'!A1:C10000,3,0))</f>
        <v>15.049783055874476</v>
      </c>
    </row>
    <row r="19" spans="1:5" ht="20" x14ac:dyDescent="0.25">
      <c r="A19" s="2" t="s">
        <v>659</v>
      </c>
      <c r="B19" s="2" t="s">
        <v>3</v>
      </c>
      <c r="C19" s="2" t="s">
        <v>4</v>
      </c>
    </row>
    <row r="20" spans="1:5" x14ac:dyDescent="0.2">
      <c r="A20" t="s">
        <v>660</v>
      </c>
      <c r="B20" s="4">
        <f>(IFERROR(VLOOKUP("2.01.04",Passive!A1:C10000,3,0), 0)+IFERROR(VLOOKUP("2.02.01",Passive!A1:C10000,3,0), 0))/VLOOKUP("2.03",Passive!A1:C10000,3,0)</f>
        <v>1.7806899100302742</v>
      </c>
      <c r="C20" s="4">
        <f>(IFERROR(VLOOKUP("2.01.04",Passive!A1:D10000,4,0), 0)+IFERROR(VLOOKUP("2.02.01",Passive!A1:D10000,4,0), 0))/VLOOKUP("2.03",Passive!A1:D10000,4,0)</f>
        <v>1.7975358536106201</v>
      </c>
    </row>
    <row r="21" spans="1:5" x14ac:dyDescent="0.2">
      <c r="A21" t="s">
        <v>661</v>
      </c>
      <c r="B21" s="4">
        <f>(VLOOKUP("2.01",Passive!A1:C10000,3,0)+VLOOKUP("2.02",Passive!A1:C10000,3,0))/VLOOKUP("2.03",Passive!A1:C10000,3,0)</f>
        <v>3.7363020026436602</v>
      </c>
      <c r="C21" s="4">
        <f>(VLOOKUP("2.01",Passive!A1:D10000,4,0)+VLOOKUP("2.02",Passive!A1:D10000,4,0))/VLOOKUP("2.03",Passive!A1:D10000,4,0)</f>
        <v>3.5848313266537564</v>
      </c>
    </row>
    <row r="22" spans="1:5" x14ac:dyDescent="0.2">
      <c r="A22" t="s">
        <v>662</v>
      </c>
      <c r="B22" s="4">
        <f>VLOOKUP("2.02",Passive!A1:C10000,3,0)/VLOOKUP("2.03",Passive!A1:C10000,3,0)</f>
        <v>2.6596443850647411</v>
      </c>
      <c r="C22" s="4">
        <f>VLOOKUP("2.02",Passive!A1:D10000,4,0)/VLOOKUP("2.03",Passive!A1:D10000,4,0)</f>
        <v>2.1705993376554122</v>
      </c>
    </row>
    <row r="23" spans="1:5" x14ac:dyDescent="0.2">
      <c r="A23" t="s">
        <v>663</v>
      </c>
      <c r="B23" s="4">
        <f>IFERROR(VLOOKUP("2.01",Passive!A1:C10000,3,0), 0)/(IFERROR(VLOOKUP("2.01",Passive!A1:C10000,3,0), 0)+IFERROR(VLOOKUP("2.02",Passive!A1:C10000,3,0), 0))</f>
        <v>0.2881612933903947</v>
      </c>
      <c r="C23" s="4">
        <f>IFERROR(VLOOKUP("2.01",Passive!A1:D10000,4,0), 0)/(IFERROR(VLOOKUP("2.01",Passive!A1:D10000,4,0), 0)+IFERROR(VLOOKUP("2.02",Passive!A1:D10000,4,0), 0))</f>
        <v>0.394504471795735</v>
      </c>
    </row>
    <row r="24" spans="1:5" x14ac:dyDescent="0.2">
      <c r="A24" t="s">
        <v>664</v>
      </c>
      <c r="B24" s="4">
        <f>IFERROR(VLOOKUP("2.02",Passive!A1:C10000,3,0), 0)/(IFERROR(VLOOKUP("2.01",Passive!A1:C10000,3,0), 0)+IFERROR(VLOOKUP("2.02",Passive!A1:C10000,3,0), 0))</f>
        <v>0.71183870660960535</v>
      </c>
      <c r="C24" s="4">
        <f>IFERROR(VLOOKUP("2.02",Passive!A1:D10000,4,0), 0)/(IFERROR(VLOOKUP("2.01",Passive!A1:D10000,4,0), 0)+IFERROR(VLOOKUP("2.02",Passive!A1:D10000,4,0), 0))</f>
        <v>0.605495528204265</v>
      </c>
    </row>
    <row r="25" spans="1:5" x14ac:dyDescent="0.2">
      <c r="A25" t="s">
        <v>665</v>
      </c>
      <c r="B25" s="5">
        <f>(IFERROR(VLOOKUP("1.01.01",Active!A1:C10000,3,0), 0)+IFERROR(VLOOKUP("1.01.02",Active!A1:C10000,3,0), 0)+IFERROR(VLOOKUP("1.01.03",Active!A1:C10000,3,0), 0))/VLOOKUP("2.01",Passive!A1:C10000,3,0)</f>
        <v>0.9333944111186212</v>
      </c>
      <c r="C25" s="5">
        <f>(IFERROR(VLOOKUP("1.01.01",Active!A1:D10000,4,0), 0)+IFERROR(VLOOKUP("1.01.02",Active!A1:D10000,4,0), 0)+IFERROR(VLOOKUP("1.01.03",Active!A1:D10000,4,0), 0))/VLOOKUP("2.01",Passive!A1:D10000,4,0)</f>
        <v>0.70067522648118197</v>
      </c>
    </row>
    <row r="27" spans="1:5" ht="26" x14ac:dyDescent="0.3">
      <c r="A27" s="1" t="s">
        <v>666</v>
      </c>
    </row>
    <row r="28" spans="1:5" ht="20" x14ac:dyDescent="0.25">
      <c r="A28" s="2" t="s">
        <v>644</v>
      </c>
      <c r="B28" s="3">
        <f>VLOOKUP("3.99.99.22",'Income (DRE)'!A1:C10000,3,0)*VLOOKUP("3.99.99.30",'Income (DRE)'!A1:C10000,3,0)</f>
        <v>629201.33000000007</v>
      </c>
    </row>
    <row r="31" spans="1:5" ht="20" x14ac:dyDescent="0.25">
      <c r="A31" s="2" t="s">
        <v>645</v>
      </c>
      <c r="B31" s="2" t="s">
        <v>3</v>
      </c>
      <c r="C31" s="2" t="s">
        <v>285</v>
      </c>
      <c r="D31" s="2" t="s">
        <v>646</v>
      </c>
      <c r="E31" s="2" t="s">
        <v>647</v>
      </c>
    </row>
    <row r="32" spans="1:5" x14ac:dyDescent="0.2">
      <c r="A32" t="s">
        <v>648</v>
      </c>
      <c r="B32" s="4">
        <f>VLOOKUP("3.03c",'Income (DRE)'!A1:C10000,3,0)/VLOOKUP("3.01c",'Income (DRE)'!A1:F10000,3,0)</f>
        <v>0.38618402534696911</v>
      </c>
      <c r="C32" s="4">
        <f>VLOOKUP("3.03c",'Income (DRE)'!A1:F10000,4,0)/VLOOKUP("3.01c",'Income (DRE)'!A1:F10000,4,0)</f>
        <v>0.39250881905872681</v>
      </c>
      <c r="D32" s="4">
        <f>VLOOKUP("3.03c",'Income (DRE)'!A1:F10000,5,0)/VLOOKUP("3.01c",'Income (DRE)'!A1:F10000,5,0)</f>
        <v>0.40808455364788182</v>
      </c>
      <c r="E32" s="4">
        <f>VLOOKUP("3.03c",'Income (DRE)'!A1:F10000,6,0)/VLOOKUP("3.01c",'Income (DRE)'!A1:F10000,6,0)</f>
        <v>0.41187023723846222</v>
      </c>
    </row>
    <row r="33" spans="1:5" x14ac:dyDescent="0.2">
      <c r="A33" t="s">
        <v>649</v>
      </c>
      <c r="B33" s="4">
        <f>VLOOKUP("3.05c",'Income (DRE)'!A1:C10000,3,0)/VLOOKUP("3.01c",'Income (DRE)'!A1:C10000,3,0)</f>
        <v>4.8950973245667849E-2</v>
      </c>
      <c r="C33" s="4">
        <f>VLOOKUP("3.05c",'Income (DRE)'!A1:F10000,4,0)/VLOOKUP("3.01c",'Income (DRE)'!A1:F10000,4,0)</f>
        <v>7.1076355362656898E-2</v>
      </c>
      <c r="D33" s="4">
        <f>VLOOKUP("3.05c",'Income (DRE)'!A1:F10000,5,0)/VLOOKUP("3.01c",'Income (DRE)'!A1:F10000,5,0)</f>
        <v>0.12501632730069809</v>
      </c>
      <c r="E33" s="4">
        <f>VLOOKUP("3.05c",'Income (DRE)'!A1:F10000,6,0)/VLOOKUP("3.01c",'Income (DRE)'!A1:F10000,6,0)</f>
        <v>0.15276431783874228</v>
      </c>
    </row>
    <row r="34" spans="1:5" x14ac:dyDescent="0.2">
      <c r="A34" t="s">
        <v>650</v>
      </c>
      <c r="B34" s="4">
        <f>VLOOKUP("3.11c",'Income (DRE)'!A1:C10000,3,0)/VLOOKUP("3.01c",'Income (DRE)'!A1:C10000,3,0)</f>
        <v>9.3246822607302403E-3</v>
      </c>
      <c r="C34" s="4">
        <f>VLOOKUP("3.11c",'Income (DRE)'!A1:F10000,4,0)/VLOOKUP("3.01c",'Income (DRE)'!A1:F10000,4,0)</f>
        <v>1.8316874277028383E-2</v>
      </c>
      <c r="D34" s="4">
        <f>VLOOKUP("3.11c",'Income (DRE)'!A1:F10000,5,0)/VLOOKUP("3.01c",'Income (DRE)'!A1:F10000,5,0)</f>
        <v>6.3832489151415761E-2</v>
      </c>
      <c r="E34" s="4">
        <f>VLOOKUP("3.11c",'Income (DRE)'!A1:F10000,6,0)/VLOOKUP("3.01c",'Income (DRE)'!A1:F10000,6,0)</f>
        <v>7.7088859847175922E-2</v>
      </c>
    </row>
    <row r="35" spans="1:5" x14ac:dyDescent="0.2">
      <c r="A35" t="s">
        <v>651</v>
      </c>
      <c r="B35" s="4">
        <f>VLOOKUP("3.11c",'Income (DRE)'!A1:D10000,4,0)/B2</f>
        <v>1.5225651223591659E-2</v>
      </c>
    </row>
    <row r="36" spans="1:5" x14ac:dyDescent="0.2">
      <c r="A36" t="s">
        <v>652</v>
      </c>
      <c r="B36" s="4">
        <f>4*VLOOKUP("3.11c",'Income (DRE)'!A1:C10000,3,0)/VLOOKUP("2.03c",Passive!A1:C10000,3,0)</f>
        <v>2.9378743046850796E-2</v>
      </c>
    </row>
    <row r="37" spans="1:5" x14ac:dyDescent="0.2">
      <c r="A37" t="s">
        <v>653</v>
      </c>
      <c r="B37" s="4">
        <f>4*VLOOKUP("3.05c",'Income (DRE)'!A1:C10000,3,0)/VLOOKUP("1c",Active!A1:C10000,3,0)</f>
        <v>3.3825273077052548E-2</v>
      </c>
    </row>
    <row r="38" spans="1:5" x14ac:dyDescent="0.2">
      <c r="A38" t="s">
        <v>654</v>
      </c>
      <c r="B38" s="4">
        <f>4*VLOOKUP("3.01c",'Income (DRE)'!A1:C10000,3,0)/VLOOKUP("1c",Active!A1:C10000,3,0)</f>
        <v>0.69100307581823373</v>
      </c>
    </row>
    <row r="40" spans="1:5" ht="20" x14ac:dyDescent="0.25">
      <c r="A40" s="2" t="s">
        <v>655</v>
      </c>
    </row>
    <row r="41" spans="1:5" x14ac:dyDescent="0.2">
      <c r="A41" t="s">
        <v>656</v>
      </c>
      <c r="B41" s="5">
        <f>(VLOOKUP("3.99.99.22",'Income (DRE)'!A1:C10000,3,0)*VLOOKUP("3.99.99.30",'Income (DRE)'!A1:C10000,3,0))/(4*VLOOKUP("3.11c",'Income (DRE)'!A1:C10000,3,0))</f>
        <v>60.874741679566569</v>
      </c>
    </row>
    <row r="42" spans="1:5" x14ac:dyDescent="0.2">
      <c r="A42" t="s">
        <v>657</v>
      </c>
      <c r="B42" s="5">
        <f>(VLOOKUP("3.99.99.22",'Income (DRE)'!A1:C10000,3,0)*VLOOKUP("3.99.99.30",'Income (DRE)'!A1:C10000,3,0))/VLOOKUP("2.03c",Passive!A1:C10000,3,0)</f>
        <v>1.7884233938474048</v>
      </c>
    </row>
    <row r="43" spans="1:5" x14ac:dyDescent="0.2">
      <c r="A43" t="s">
        <v>658</v>
      </c>
      <c r="B43" s="5">
        <f>(VLOOKUP("3.99.99.22",'Income (DRE)'!A1:C10000,3,0)*VLOOKUP("3.99.99.30",'Income (DRE)'!A1:C10000,3,0))/(4*VLOOKUP("3.05c",'Income (DRE)'!A1:C10000,3,0))</f>
        <v>11.596043678584595</v>
      </c>
    </row>
    <row r="45" spans="1:5" ht="20" x14ac:dyDescent="0.25">
      <c r="A45" s="2" t="s">
        <v>659</v>
      </c>
      <c r="B45" s="2" t="s">
        <v>3</v>
      </c>
      <c r="C45" s="2" t="s">
        <v>4</v>
      </c>
    </row>
    <row r="46" spans="1:5" x14ac:dyDescent="0.2">
      <c r="A46" t="s">
        <v>660</v>
      </c>
      <c r="B46" s="4">
        <f>(IFERROR(VLOOKUP("2.01.04c",Passive!A1:C10000,3,0), 0)+IFERROR(VLOOKUP("2.02.01c",Passive!A1:C10000,3,0), 0))/VLOOKUP("2.03c",Passive!A1:C10000,3,0)</f>
        <v>1.7840508898041323</v>
      </c>
      <c r="C46" s="4">
        <f>(IFERROR(VLOOKUP("2.01.04c",Passive!A1:D10000,4,0), 0)+IFERROR(VLOOKUP("2.02.01c",Passive!A1:D10000,4,0), 0))/VLOOKUP("2.03c",Passive!A1:D10000,4,0)</f>
        <v>1.8015891391286045</v>
      </c>
    </row>
    <row r="47" spans="1:5" x14ac:dyDescent="0.2">
      <c r="A47" t="s">
        <v>661</v>
      </c>
      <c r="B47" s="4">
        <f>(VLOOKUP("2.01c",Passive!A1:C10000,3,0)+VLOOKUP("2.02c",Passive!A1:C10000,3,0))/VLOOKUP("2.03c",Passive!A1:C10000,3,0)</f>
        <v>3.5595206626134459</v>
      </c>
      <c r="C47" s="4">
        <f>(VLOOKUP("2.01c",Passive!A1:D10000,4,0)+VLOOKUP("2.02c",Passive!A1:D10000,4,0))/VLOOKUP("2.03c",Passive!A1:D10000,4,0)</f>
        <v>3.3920858766575459</v>
      </c>
    </row>
    <row r="48" spans="1:5" x14ac:dyDescent="0.2">
      <c r="A48" t="s">
        <v>662</v>
      </c>
      <c r="B48" s="4">
        <f>VLOOKUP("2.02c",Passive!A1:C10000,3,0)/VLOOKUP("2.03c",Passive!A1:C10000,3,0)</f>
        <v>2.4460304872676009</v>
      </c>
      <c r="C48" s="4">
        <f>VLOOKUP("2.02c",Passive!A1:D10000,4,0)/VLOOKUP("2.03c",Passive!A1:D10000,4,0)</f>
        <v>1.9386725601627728</v>
      </c>
    </row>
    <row r="49" spans="1:3" x14ac:dyDescent="0.2">
      <c r="A49" t="s">
        <v>663</v>
      </c>
      <c r="B49" s="4">
        <f>IFERROR(VLOOKUP("2.01c",Passive!A1:C10000,3,0), 0)/(IFERROR(VLOOKUP("2.01c",Passive!A1:C10000,3,0), 0)+IFERROR(VLOOKUP("2.02c",Passive!A1:C10000,3,0), 0))</f>
        <v>0.31282025893011856</v>
      </c>
      <c r="C49" s="4">
        <f>IFERROR(VLOOKUP("2.01c",Passive!A1:D10000,4,0), 0)/(IFERROR(VLOOKUP("2.01c",Passive!A1:D10000,4,0), 0)+IFERROR(VLOOKUP("2.02c",Passive!A1:D10000,4,0), 0))</f>
        <v>0.42847185164041912</v>
      </c>
    </row>
    <row r="50" spans="1:3" x14ac:dyDescent="0.2">
      <c r="A50" t="s">
        <v>664</v>
      </c>
      <c r="B50" s="4">
        <f>IFERROR(VLOOKUP("2.02c",Passive!A1:C10000,3,0), 0)/(IFERROR(VLOOKUP("2.01c",Passive!A1:C10000,3,0), 0)+IFERROR(VLOOKUP("2.02c",Passive!A1:C10000,3,0), 0))</f>
        <v>0.68717974106988144</v>
      </c>
      <c r="C50" s="4">
        <f>IFERROR(VLOOKUP("2.02c",Passive!A1:D10000,4,0), 0)/(IFERROR(VLOOKUP("2.01c",Passive!A1:D10000,4,0), 0)+IFERROR(VLOOKUP("2.02c",Passive!A1:D10000,4,0), 0))</f>
        <v>0.57152814835958088</v>
      </c>
    </row>
    <row r="51" spans="1:3" x14ac:dyDescent="0.2">
      <c r="A51" t="s">
        <v>665</v>
      </c>
      <c r="B51" s="5">
        <f>(IFERROR(VLOOKUP("1.01.01c",Active!A1:C10000,3,0), 0)+IFERROR(VLOOKUP("1.01.02c",Active!A1:C10000,3,0), 0)+IFERROR(VLOOKUP("1.01.03c",Active!A1:C10000,3,0), 0))/VLOOKUP("2.01c",Passive!A1:C10000,3,0)</f>
        <v>0.99506569290894376</v>
      </c>
      <c r="C51" s="5">
        <f>(IFERROR(VLOOKUP("1.01.01c",Active!A1:D10000,4,0), 0)+IFERROR(VLOOKUP("1.01.02c",Active!A1:D10000,4,0), 0)+IFERROR(VLOOKUP("1.01.03c",Active!A1:D10000,4,0), 0))/VLOOKUP("2.01c",Passive!A1:D10000,4,0)</f>
        <v>0.75496850184644348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Active</vt:lpstr>
      <vt:lpstr>Passive</vt:lpstr>
      <vt:lpstr>Income (DRE)</vt:lpstr>
      <vt:lpstr>Comprehensive (DRA)</vt:lpstr>
      <vt:lpstr>Cash-flow</vt:lpstr>
      <vt:lpstr>Added value (DVA)</vt:lpstr>
      <vt:lpstr>Basic Indicators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2018-11-27T17:03:12Z</dcterms:created>
  <dcterms:modified xsi:type="dcterms:W3CDTF">2018-11-27T17:43:54Z</dcterms:modified>
</cp:coreProperties>
</file>