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c5645bbe7846d/Desktop/"/>
    </mc:Choice>
  </mc:AlternateContent>
  <xr:revisionPtr revIDLastSave="2" documentId="8_{846D12A5-B085-4D1E-B3EC-528F1AE3E5CB}" xr6:coauthVersionLast="47" xr6:coauthVersionMax="47" xr10:uidLastSave="{F453F20D-E1A7-40F2-BB27-266414279D2D}"/>
  <bookViews>
    <workbookView xWindow="-120" yWindow="-120" windowWidth="29040" windowHeight="15720" tabRatio="673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state="hidden" r:id="rId4"/>
    <sheet name="New Data (Sep 2021)" sheetId="18" state="hidden" r:id="rId5"/>
  </sheets>
  <definedNames>
    <definedName name="_xlnm._FilterDatabase" localSheetId="0" hidden="1">Data!$A$1:$J$4795</definedName>
    <definedName name="CurMon">'Data Prep'!$B$9</definedName>
    <definedName name="CurYear">'Data Prep'!$B$8</definedName>
    <definedName name="PmYear">'Data Prep'!$A$12</definedName>
    <definedName name="PrevMon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2" l="1"/>
  <c r="O5" i="22"/>
  <c r="O6" i="22"/>
  <c r="O7" i="22"/>
  <c r="O8" i="22"/>
  <c r="O9" i="22"/>
  <c r="O10" i="22"/>
  <c r="O11" i="22"/>
  <c r="O12" i="22"/>
  <c r="O3" i="22"/>
  <c r="B3" i="22"/>
  <c r="S10" i="22" l="1"/>
  <c r="T12" i="22"/>
  <c r="S9" i="22"/>
  <c r="T11" i="22"/>
  <c r="S8" i="22"/>
  <c r="T10" i="22"/>
  <c r="S5" i="22"/>
  <c r="S11" i="22"/>
  <c r="T5" i="22"/>
  <c r="T9" i="22"/>
  <c r="S6" i="22"/>
  <c r="T8" i="22"/>
  <c r="S12" i="22"/>
  <c r="T6" i="22"/>
  <c r="B8" i="22"/>
  <c r="J2" i="22" s="1"/>
  <c r="B10" i="22" l="1"/>
  <c r="I2" i="22" s="1"/>
  <c r="B9" i="22"/>
  <c r="B13" i="22" s="1"/>
  <c r="E6" i="23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K4" i="22" l="1"/>
  <c r="K12" i="22"/>
  <c r="K5" i="22"/>
  <c r="K13" i="22"/>
  <c r="K6" i="22"/>
  <c r="K14" i="22"/>
  <c r="K8" i="22"/>
  <c r="K7" i="22"/>
  <c r="K3" i="22"/>
  <c r="X13" i="22"/>
  <c r="X24" i="22"/>
  <c r="X21" i="22"/>
  <c r="X4" i="22"/>
  <c r="X25" i="22"/>
  <c r="X10" i="22"/>
  <c r="X36" i="22"/>
  <c r="X20" i="22"/>
  <c r="X9" i="22"/>
  <c r="X32" i="22"/>
  <c r="X27" i="22"/>
  <c r="X5" i="22"/>
  <c r="X31" i="22"/>
  <c r="X8" i="22"/>
  <c r="X15" i="22"/>
  <c r="X19" i="22"/>
  <c r="X30" i="22"/>
  <c r="X7" i="22"/>
  <c r="X11" i="22"/>
  <c r="X16" i="22"/>
  <c r="X3" i="22"/>
  <c r="X29" i="22"/>
  <c r="X22" i="22"/>
  <c r="X17" i="22"/>
  <c r="X12" i="22"/>
  <c r="X6" i="22"/>
  <c r="X14" i="22"/>
  <c r="X33" i="22"/>
  <c r="X18" i="22"/>
  <c r="X23" i="22"/>
  <c r="X28" i="22"/>
  <c r="X35" i="22"/>
  <c r="X34" i="22"/>
  <c r="X26" i="22"/>
  <c r="J3" i="22"/>
  <c r="P8" i="22"/>
  <c r="J7" i="22"/>
  <c r="J12" i="22"/>
  <c r="J6" i="22"/>
  <c r="J14" i="22"/>
  <c r="P9" i="22"/>
  <c r="J8" i="22"/>
  <c r="P12" i="22"/>
  <c r="J5" i="22"/>
  <c r="J13" i="22"/>
  <c r="P7" i="22"/>
  <c r="S7" i="22" s="1"/>
  <c r="B12" i="22"/>
  <c r="P10" i="22"/>
  <c r="J9" i="22"/>
  <c r="K9" i="22" s="1"/>
  <c r="P3" i="22"/>
  <c r="S3" i="22" s="1"/>
  <c r="J4" i="22"/>
  <c r="P4" i="22"/>
  <c r="S4" i="22" s="1"/>
  <c r="P11" i="22"/>
  <c r="J10" i="22"/>
  <c r="K10" i="22" s="1"/>
  <c r="J11" i="22"/>
  <c r="K11" i="22" s="1"/>
  <c r="P5" i="22"/>
  <c r="P6" i="22"/>
  <c r="I9" i="22"/>
  <c r="I11" i="22"/>
  <c r="I12" i="22"/>
  <c r="I10" i="22"/>
  <c r="I4" i="22"/>
  <c r="I5" i="22"/>
  <c r="I13" i="22"/>
  <c r="I3" i="22"/>
  <c r="I6" i="22"/>
  <c r="I14" i="22"/>
  <c r="I7" i="22"/>
  <c r="I8" i="22"/>
  <c r="E3" i="22"/>
  <c r="E2" i="22"/>
  <c r="B11" i="22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Y6" i="22" l="1"/>
  <c r="Y34" i="22"/>
  <c r="Y4" i="22"/>
  <c r="Z4" i="22" s="1"/>
  <c r="Y20" i="22"/>
  <c r="Z20" i="22" s="1"/>
  <c r="Y3" i="22"/>
  <c r="Z3" i="22" s="1"/>
  <c r="Y29" i="22"/>
  <c r="Z29" i="22" s="1"/>
  <c r="Y21" i="22"/>
  <c r="Z21" i="22" s="1"/>
  <c r="Y18" i="22"/>
  <c r="Z18" i="22" s="1"/>
  <c r="Y31" i="22"/>
  <c r="Z31" i="22" s="1"/>
  <c r="Y22" i="22"/>
  <c r="Z22" i="22" s="1"/>
  <c r="Y14" i="22"/>
  <c r="Z14" i="22" s="1"/>
  <c r="Y36" i="22"/>
  <c r="Y15" i="22"/>
  <c r="Z15" i="22" s="1"/>
  <c r="Y35" i="22"/>
  <c r="Z35" i="22" s="1"/>
  <c r="Y30" i="22"/>
  <c r="Z30" i="22" s="1"/>
  <c r="Y19" i="22"/>
  <c r="Z19" i="22" s="1"/>
  <c r="Y13" i="22"/>
  <c r="Y5" i="22"/>
  <c r="Y10" i="22"/>
  <c r="Z10" i="22" s="1"/>
  <c r="Y23" i="22"/>
  <c r="Z23" i="22" s="1"/>
  <c r="Y28" i="22"/>
  <c r="Z28" i="22" s="1"/>
  <c r="Y24" i="22"/>
  <c r="Z24" i="22" s="1"/>
  <c r="Y32" i="22"/>
  <c r="Z32" i="22" s="1"/>
  <c r="Y8" i="22"/>
  <c r="Z8" i="22" s="1"/>
  <c r="Y33" i="22"/>
  <c r="Z33" i="22" s="1"/>
  <c r="Y7" i="22"/>
  <c r="Z7" i="22" s="1"/>
  <c r="Y12" i="22"/>
  <c r="Z12" i="22" s="1"/>
  <c r="Y16" i="22"/>
  <c r="Z16" i="22" s="1"/>
  <c r="Y25" i="22"/>
  <c r="Z25" i="22" s="1"/>
  <c r="Y27" i="22"/>
  <c r="Z27" i="22" s="1"/>
  <c r="Y17" i="22"/>
  <c r="Z17" i="22" s="1"/>
  <c r="Y11" i="22"/>
  <c r="Z11" i="22" s="1"/>
  <c r="Y9" i="22"/>
  <c r="Z9" i="22" s="1"/>
  <c r="Y26" i="22"/>
  <c r="Z26" i="22" s="1"/>
  <c r="Z5" i="22"/>
  <c r="Z36" i="22"/>
  <c r="Z6" i="22"/>
  <c r="Z34" i="22"/>
  <c r="Z13" i="22"/>
  <c r="E4" i="22"/>
  <c r="E6" i="22" s="1"/>
  <c r="Q6" i="22"/>
  <c r="R6" i="22" s="1"/>
  <c r="Q12" i="22"/>
  <c r="R12" i="22" s="1"/>
  <c r="Q7" i="22"/>
  <c r="R7" i="22" s="1"/>
  <c r="T7" i="22" s="1"/>
  <c r="Q11" i="22"/>
  <c r="R11" i="22" s="1"/>
  <c r="Q8" i="22"/>
  <c r="R8" i="22" s="1"/>
  <c r="Q4" i="22"/>
  <c r="R4" i="22" s="1"/>
  <c r="T4" i="22" s="1"/>
  <c r="Q3" i="22"/>
  <c r="R3" i="22" s="1"/>
  <c r="T3" i="22" s="1"/>
  <c r="Q9" i="22"/>
  <c r="R9" i="22" s="1"/>
  <c r="Q10" i="22"/>
  <c r="R10" i="22" s="1"/>
  <c r="Q5" i="22"/>
  <c r="R5" i="22" s="1"/>
  <c r="E5" i="22"/>
  <c r="AB32" i="22" l="1"/>
  <c r="AA32" i="22"/>
  <c r="AA23" i="22"/>
  <c r="AB23" i="22"/>
  <c r="AA17" i="22"/>
  <c r="AB17" i="22"/>
  <c r="AB30" i="22"/>
  <c r="AA30" i="22"/>
  <c r="AA27" i="22"/>
  <c r="AB27" i="22"/>
  <c r="AB35" i="22"/>
  <c r="AA35" i="22"/>
  <c r="AB22" i="22"/>
  <c r="AA22" i="22"/>
  <c r="AA9" i="22"/>
  <c r="AB9" i="22"/>
  <c r="AA21" i="22"/>
  <c r="AB21" i="22"/>
  <c r="AB24" i="22"/>
  <c r="AA24" i="22"/>
  <c r="AA15" i="22"/>
  <c r="AB15" i="22"/>
  <c r="AA16" i="22"/>
  <c r="AB16" i="22"/>
  <c r="AB26" i="22"/>
  <c r="AA26" i="22"/>
  <c r="AB8" i="22"/>
  <c r="AA8" i="22"/>
  <c r="AA18" i="22"/>
  <c r="AB18" i="22"/>
  <c r="AA13" i="22"/>
  <c r="AB13" i="22"/>
  <c r="AA7" i="22"/>
  <c r="AB7" i="22"/>
  <c r="AB19" i="22"/>
  <c r="AA19" i="22"/>
  <c r="AA29" i="22"/>
  <c r="AB29" i="22"/>
  <c r="AA3" i="22"/>
  <c r="AB3" i="22"/>
  <c r="AA6" i="22"/>
  <c r="AB6" i="22"/>
  <c r="AB4" i="22"/>
  <c r="AA4" i="22"/>
  <c r="AB25" i="22"/>
  <c r="AA25" i="22"/>
  <c r="AA31" i="22"/>
  <c r="AB31" i="22"/>
  <c r="AB20" i="22"/>
  <c r="AA20" i="22"/>
  <c r="AA10" i="22"/>
  <c r="AB10" i="22"/>
  <c r="AA12" i="22"/>
  <c r="AB12" i="22"/>
  <c r="AA14" i="22"/>
  <c r="AB14" i="22"/>
  <c r="AB28" i="22"/>
  <c r="AA28" i="22"/>
  <c r="AA5" i="22"/>
  <c r="AB5" i="22"/>
  <c r="AB34" i="22"/>
  <c r="AA34" i="22"/>
  <c r="AB33" i="22"/>
  <c r="AA33" i="22"/>
  <c r="AB36" i="22"/>
  <c r="AA36" i="22"/>
  <c r="AB11" i="22"/>
  <c r="AA11" i="22"/>
  <c r="AH14" i="22" l="1"/>
  <c r="S27" i="23" s="1"/>
  <c r="AF19" i="22"/>
  <c r="Q32" i="23" s="1"/>
  <c r="AH16" i="22"/>
  <c r="S29" i="23" s="1"/>
  <c r="AG15" i="22"/>
  <c r="R28" i="23" s="1"/>
  <c r="AG18" i="22"/>
  <c r="R31" i="23" s="1"/>
  <c r="AG16" i="22"/>
  <c r="R29" i="23" s="1"/>
  <c r="AF18" i="22"/>
  <c r="Q31" i="23" s="1"/>
  <c r="AF14" i="22"/>
  <c r="Q27" i="23" s="1"/>
  <c r="AH15" i="22"/>
  <c r="S28" i="23" s="1"/>
  <c r="AF17" i="22"/>
  <c r="Q30" i="23" s="1"/>
  <c r="AH18" i="22"/>
  <c r="S31" i="23" s="1"/>
  <c r="AG17" i="22"/>
  <c r="R30" i="23" s="1"/>
  <c r="AH19" i="22"/>
  <c r="S32" i="23" s="1"/>
  <c r="AF16" i="22"/>
  <c r="Q29" i="23" s="1"/>
  <c r="AG19" i="22"/>
  <c r="R32" i="23" s="1"/>
  <c r="AF15" i="22"/>
  <c r="Q28" i="23" s="1"/>
  <c r="AH17" i="22"/>
  <c r="S30" i="23" s="1"/>
  <c r="AG3" i="22"/>
  <c r="R13" i="23" s="1"/>
  <c r="AG7" i="22"/>
  <c r="R17" i="23" s="1"/>
  <c r="AF6" i="22"/>
  <c r="Q16" i="23" s="1"/>
  <c r="AH7" i="22"/>
  <c r="S17" i="23" s="1"/>
  <c r="AH5" i="22"/>
  <c r="S15" i="23" s="1"/>
  <c r="AH8" i="22"/>
  <c r="S18" i="23" s="1"/>
  <c r="AF4" i="22"/>
  <c r="Q14" i="23" s="1"/>
  <c r="AF7" i="22"/>
  <c r="Q17" i="23" s="1"/>
  <c r="AH4" i="22"/>
  <c r="S14" i="23" s="1"/>
  <c r="AG4" i="22"/>
  <c r="R14" i="23" s="1"/>
  <c r="AG8" i="22"/>
  <c r="R18" i="23" s="1"/>
  <c r="AF5" i="22"/>
  <c r="Q15" i="23" s="1"/>
  <c r="AF8" i="22"/>
  <c r="Q18" i="23" s="1"/>
  <c r="AF3" i="22"/>
  <c r="Q13" i="23" s="1"/>
  <c r="AH6" i="22"/>
  <c r="S16" i="23" s="1"/>
  <c r="AG5" i="22"/>
  <c r="R15" i="23" s="1"/>
  <c r="AH3" i="22"/>
  <c r="S13" i="23" s="1"/>
  <c r="AG6" i="22"/>
  <c r="R16" i="23" s="1"/>
  <c r="AG14" i="22"/>
  <c r="R27" i="23" s="1"/>
  <c r="S33" i="23" l="1"/>
  <c r="S19" i="23"/>
</calcChain>
</file>

<file path=xl/sharedStrings.xml><?xml version="1.0" encoding="utf-8"?>
<sst xmlns="http://schemas.openxmlformats.org/spreadsheetml/2006/main" count="26856" uniqueCount="131">
  <si>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</si>
  <si>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</si>
  <si>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</si>
  <si>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</si>
  <si>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</si>
  <si>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</si>
  <si>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</si>
  <si>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</si>
  <si>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</si>
  <si>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</si>
  <si>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</si>
  <si>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</si>
  <si>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</si>
  <si>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</si>
  <si>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</si>
  <si>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</si>
  <si>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</si>
  <si>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</si>
  <si>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</si>
  <si>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</si>
  <si>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</si>
  <si>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</si>
  <si>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</si>
  <si>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</si>
  <si>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</si>
  <si>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</si>
  <si>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</si>
  <si>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</si>
  <si>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</si>
  <si>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</si>
  <si>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</si>
  <si>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</si>
  <si>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</si>
  <si>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</si>
  <si>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</si>
  <si>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</si>
  <si>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</si>
  <si>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</si>
  <si>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</si>
  <si>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</si>
  <si>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</si>
  <si>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</si>
  <si>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</si>
  <si>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</si>
  <si>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</si>
  <si>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</si>
  <si>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</si>
  <si>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</si>
  <si>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</si>
  <si>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</si>
  <si>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</si>
  <si>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</si>
  <si>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</si>
  <si>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</si>
  <si>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</si>
  <si>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</si>
  <si>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</si>
  <si>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</si>
  <si>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</si>
  <si>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</si>
  <si>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</si>
  <si>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</si>
  <si>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</si>
  <si>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</si>
  <si>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</si>
  <si>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</si>
  <si>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</si>
  <si>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</si>
  <si>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</si>
  <si>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</si>
  <si>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</si>
  <si>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</si>
  <si>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</si>
  <si>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</si>
  <si>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</si>
  <si>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Selection</t>
  </si>
  <si>
    <t>REGION FILTER</t>
  </si>
  <si>
    <t>DATE FILTER</t>
  </si>
  <si>
    <t>Current Year</t>
  </si>
  <si>
    <t>Current Month</t>
  </si>
  <si>
    <t>Previous Year</t>
  </si>
  <si>
    <t>Previous Month</t>
  </si>
  <si>
    <t>KPIs</t>
  </si>
  <si>
    <t>Total Revenue:</t>
  </si>
  <si>
    <t xml:space="preserve">PM  Revenue: </t>
  </si>
  <si>
    <t>PY Revenue:</t>
  </si>
  <si>
    <t>PM Year</t>
  </si>
  <si>
    <r>
      <t>YoY%</t>
    </r>
    <r>
      <rPr>
        <b/>
        <sz val="11"/>
        <color theme="1"/>
        <rFont val="Calibri"/>
        <family val="2"/>
      </rPr>
      <t>Δ :</t>
    </r>
  </si>
  <si>
    <t>MoM%Δ :</t>
  </si>
  <si>
    <t>REVENUE TREND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</si>
  <si>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</si>
  <si>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</si>
  <si>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</si>
  <si>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</si>
  <si>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</si>
  <si>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</si>
  <si>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</si>
  <si>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</si>
  <si>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</si>
  <si>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</si>
  <si>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</si>
  <si>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</si>
  <si>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</si>
  <si>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>PM Revenue</t>
  </si>
  <si>
    <t xml:space="preserve">MoM%Δ </t>
  </si>
  <si>
    <t>Rank</t>
  </si>
  <si>
    <t xml:space="preserve">Product </t>
  </si>
  <si>
    <t xml:space="preserve">MoM Δ </t>
  </si>
  <si>
    <t>Rank(+)</t>
  </si>
  <si>
    <t>Rank(-)</t>
  </si>
  <si>
    <t>PRODUCT PERFORMANCE</t>
  </si>
  <si>
    <t>TOP PRODUCT</t>
  </si>
  <si>
    <t>BOTTOM PRODUCT</t>
  </si>
  <si>
    <t>Prodcuts</t>
  </si>
  <si>
    <r>
      <t xml:space="preserve">MoM Revenue </t>
    </r>
    <r>
      <rPr>
        <b/>
        <sz val="14"/>
        <color theme="1" tint="0.249977111117893"/>
        <rFont val="Calibri"/>
        <family val="2"/>
      </rPr>
      <t>Δ</t>
    </r>
  </si>
  <si>
    <t xml:space="preserve">Selection </t>
  </si>
  <si>
    <t xml:space="preserve">How did </t>
  </si>
  <si>
    <t>perform in</t>
  </si>
  <si>
    <t>Current Period:</t>
  </si>
  <si>
    <t>Month #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</si>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</sst>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$-409]#,##0"/>
    <numFmt numFmtId="166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</font>
    <font>
      <b/>
      <sz val="22"/>
      <color theme="4" tint="-0.249977111117893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9" fontId="0" fillId="0" borderId="0" xfId="1" applyFon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7" borderId="0" xfId="0" applyFont="1" applyFill="1"/>
    <xf numFmtId="0" fontId="0" fillId="0" borderId="0" xfId="0" applyAlignment="1">
      <alignment horizontal="centerContinuous"/>
    </xf>
    <xf numFmtId="0" fontId="3" fillId="5" borderId="0" xfId="0" applyFont="1" applyFill="1" applyAlignment="1">
      <alignment horizontal="centerContinuous"/>
    </xf>
    <xf numFmtId="165" fontId="0" fillId="0" borderId="0" xfId="1" applyNumberFormat="1" applyFont="1"/>
    <xf numFmtId="166" fontId="7" fillId="6" borderId="0" xfId="0" applyNumberFormat="1" applyFont="1" applyFill="1" applyAlignment="1">
      <alignment horizontal="center"/>
    </xf>
    <xf numFmtId="166" fontId="7" fillId="6" borderId="0" xfId="1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/>
    <xf numFmtId="165" fontId="8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165" fontId="8" fillId="0" borderId="1" xfId="0" applyNumberFormat="1" applyFont="1" applyBorder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165" fontId="0" fillId="0" borderId="0" xfId="0" applyNumberFormat="1" applyAlignment="1">
      <alignment horizontal="right"/>
    </xf>
    <xf numFmtId="9" fontId="0" fillId="0" borderId="0" xfId="0" applyNumberFormat="1"/>
    <xf numFmtId="0" fontId="13" fillId="0" borderId="0" xfId="0" applyFont="1" applyAlignment="1">
      <alignment horizontal="right"/>
    </xf>
    <xf numFmtId="0" fontId="12" fillId="0" borderId="0" xfId="0" applyFont="1"/>
    <xf numFmtId="0" fontId="1" fillId="4" borderId="0" xfId="0" applyFont="1" applyFill="1" applyAlignment="1">
      <alignment horizontal="right"/>
    </xf>
    <xf numFmtId="0" fontId="13" fillId="0" borderId="0" xfId="0" applyFont="1"/>
    <xf numFmtId="0" fontId="11" fillId="0" borderId="0" xfId="0" applyFont="1"/>
    <xf numFmtId="165" fontId="14" fillId="0" borderId="0" xfId="0" applyNumberFormat="1" applyFont="1"/>
    <xf numFmtId="165" fontId="15" fillId="0" borderId="0" xfId="0" applyNumberFormat="1" applyFont="1"/>
    <xf numFmtId="0" fontId="11" fillId="8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theme="9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7D7D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16401587186691"/>
          <c:y val="3.5685320356853206E-2"/>
          <c:w val="0.77483598412813304"/>
          <c:h val="0.933132630094921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Prep'!$P$2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Prep'!$N$3:$N$12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Prep'!$P$3:$P$12</c:f>
              <c:numCache>
                <c:formatCode>[$$-409]#,##0</c:formatCode>
                <c:ptCount val="10"/>
                <c:pt idx="0">
                  <c:v>15765.830000000002</c:v>
                </c:pt>
                <c:pt idx="1">
                  <c:v>10103.540000000001</c:v>
                </c:pt>
                <c:pt idx="2">
                  <c:v>20484.010000000002</c:v>
                </c:pt>
                <c:pt idx="3">
                  <c:v>18238.46</c:v>
                </c:pt>
                <c:pt idx="4">
                  <c:v>18171.759999999995</c:v>
                </c:pt>
                <c:pt idx="5">
                  <c:v>18237.980000000003</c:v>
                </c:pt>
                <c:pt idx="6">
                  <c:v>13879.13</c:v>
                </c:pt>
                <c:pt idx="7">
                  <c:v>17505.330000000002</c:v>
                </c:pt>
                <c:pt idx="8">
                  <c:v>7721.8800000000019</c:v>
                </c:pt>
                <c:pt idx="9">
                  <c:v>16255.230000000001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C-4C96-869F-296BF22CD1EF}"/>
            </c:ext>
          </c:extLst>
        </c:ser>
        <c:ser>
          <c:idx val="1"/>
          <c:order val="1"/>
          <c:tx>
            <c:strRef>
              <c:f>'Data Prep'!$S$2</c:f>
              <c:strCache>
                <c:ptCount val="1"/>
                <c:pt idx="0">
                  <c:v>Selection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Prep'!$N$3:$N$12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Prep'!$S$3:$S$12</c:f>
              <c:numCache>
                <c:formatCode>[$$-409]#,##0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18238.46</c:v>
                </c:pt>
                <c:pt idx="4">
                  <c:v>0</c:v>
                </c:pt>
                <c:pt idx="5">
                  <c:v>18237.980000000003</c:v>
                </c:pt>
                <c:pt idx="6">
                  <c:v>0</c:v>
                </c:pt>
                <c:pt idx="7">
                  <c:v>17505.330000000002</c:v>
                </c:pt>
                <c:pt idx="8">
                  <c:v>7721.8800000000019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C-4C96-869F-296BF22C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2120930912"/>
        <c:axId val="1693512224"/>
      </c:barChart>
      <c:catAx>
        <c:axId val="212093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12224"/>
        <c:crosses val="autoZero"/>
        <c:auto val="1"/>
        <c:lblAlgn val="ctr"/>
        <c:lblOffset val="100"/>
        <c:noMultiLvlLbl val="0"/>
      </c:catAx>
      <c:valAx>
        <c:axId val="1693512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>
            <c:manualLayout>
              <c:xMode val="edge"/>
              <c:yMode val="edge"/>
              <c:x val="0.38707889326454969"/>
              <c:y val="0.96851957696143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crossAx val="21209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7447161479934296E-3"/>
          <c:w val="1"/>
          <c:h val="0.964269786041593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Prep'!$R$2</c:f>
              <c:strCache>
                <c:ptCount val="1"/>
                <c:pt idx="0">
                  <c:v>MoM%Δ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'Data Prep'!$U$2:$U$12</c:f>
              <c:numCache>
                <c:formatCode>General</c:formatCode>
                <c:ptCount val="11"/>
              </c:numCache>
            </c:numRef>
          </c:cat>
          <c:val>
            <c:numRef>
              <c:f>'Data Prep'!$R$3:$R$12</c:f>
              <c:numCache>
                <c:formatCode>0%</c:formatCode>
                <c:ptCount val="10"/>
                <c:pt idx="0">
                  <c:v>0.38157142957292312</c:v>
                </c:pt>
                <c:pt idx="1">
                  <c:v>0.27268490293194403</c:v>
                </c:pt>
                <c:pt idx="2">
                  <c:v>0.14465033810308014</c:v>
                </c:pt>
                <c:pt idx="3">
                  <c:v>0.18953874088693379</c:v>
                </c:pt>
                <c:pt idx="4">
                  <c:v>-0.17099256839675403</c:v>
                </c:pt>
                <c:pt idx="5">
                  <c:v>-0.3315731431233282</c:v>
                </c:pt>
                <c:pt idx="6">
                  <c:v>5.7257752439920262E-2</c:v>
                </c:pt>
                <c:pt idx="7">
                  <c:v>2.6734476982343214E-2</c:v>
                </c:pt>
                <c:pt idx="8">
                  <c:v>-0.23788412342481746</c:v>
                </c:pt>
                <c:pt idx="9">
                  <c:v>-0.13607835613264074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F-4B73-846A-878AA251BCAA}"/>
            </c:ext>
          </c:extLst>
        </c:ser>
        <c:ser>
          <c:idx val="1"/>
          <c:order val="1"/>
          <c:tx>
            <c:strRef>
              <c:f>'Data Prep'!$T$2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Prep'!$U$2:$U$12</c:f>
              <c:numCache>
                <c:formatCode>General</c:formatCode>
                <c:ptCount val="11"/>
              </c:numCache>
            </c:numRef>
          </c:cat>
          <c:val>
            <c:numRef>
              <c:f>'Data Prep'!$T$3:$T$12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0.18953874088693379</c:v>
                </c:pt>
                <c:pt idx="4">
                  <c:v>0</c:v>
                </c:pt>
                <c:pt idx="5">
                  <c:v>-0.3315731431233282</c:v>
                </c:pt>
                <c:pt idx="6">
                  <c:v>0</c:v>
                </c:pt>
                <c:pt idx="7">
                  <c:v>2.6734476982343214E-2</c:v>
                </c:pt>
                <c:pt idx="8">
                  <c:v>-0.23788412342481746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43BF-4B73-846A-878AA251B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00"/>
        <c:axId val="2120930912"/>
        <c:axId val="1693512224"/>
      </c:barChart>
      <c:catAx>
        <c:axId val="212093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12224"/>
        <c:crosses val="autoZero"/>
        <c:auto val="1"/>
        <c:lblAlgn val="ctr"/>
        <c:lblOffset val="100"/>
        <c:noMultiLvlLbl val="0"/>
      </c:catAx>
      <c:valAx>
        <c:axId val="1693512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MoM%</a:t>
                </a:r>
                <a:r>
                  <a:rPr lang="el-GR" b="1"/>
                  <a:t>Δ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28861958661417325"/>
              <c:y val="0.96851957696143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209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615817601113119E-2"/>
          <c:y val="1.9221405627458821E-2"/>
          <c:w val="0.90284236157227338"/>
          <c:h val="0.89598148484428475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Prep'!$I$3:$I$14</c:f>
              <c:numCache>
                <c:formatCode>[$$-409]#,##0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B-48A1-976E-53048496A420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Prep'!$J$3:$J$14</c:f>
              <c:numCache>
                <c:formatCode>[$$-409]#,##0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B-48A1-976E-53048496A420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Prep'!$K$3:$K$14</c:f>
              <c:numCache>
                <c:formatCode>[$$-409]#,##0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B-48A1-976E-53048496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1328"/>
        <c:axId val="2078982000"/>
      </c:lineChart>
      <c:catAx>
        <c:axId val="211456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82000"/>
        <c:crosses val="autoZero"/>
        <c:auto val="1"/>
        <c:lblAlgn val="ctr"/>
        <c:lblOffset val="100"/>
        <c:noMultiLvlLbl val="0"/>
      </c:catAx>
      <c:valAx>
        <c:axId val="2078982000"/>
        <c:scaling>
          <c:orientation val="minMax"/>
        </c:scaling>
        <c:delete val="0"/>
        <c:axPos val="l"/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6132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399709</xdr:colOff>
      <xdr:row>10</xdr:row>
      <xdr:rowOff>0</xdr:rowOff>
    </xdr:from>
    <xdr:to>
      <xdr:col>9</xdr:col>
      <xdr:colOff>238125</xdr:colOff>
      <xdr:row>33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38F1D2E-0D18-4DB8-9C00-9CA104D08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238125</xdr:colOff>
      <xdr:row>10</xdr:row>
      <xdr:rowOff>142876</xdr:rowOff>
    </xdr:from>
    <xdr:to>
      <xdr:col>13</xdr:col>
      <xdr:colOff>297656</xdr:colOff>
      <xdr:row>33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8423CAA9-1979-45E9-ABFD-9A8370B7B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21</xdr:row>
      <xdr:rowOff>110559</xdr:rowOff>
    </xdr:from>
    <xdr:to>
      <xdr:col>4</xdr:col>
      <xdr:colOff>0</xdr:colOff>
      <xdr:row>32</xdr:row>
      <xdr:rowOff>204107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F0664498-D844-48D3-9D85-7792365B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171450</xdr:colOff>
      <xdr:row>0</xdr:row>
      <xdr:rowOff>104776</xdr:rowOff>
    </xdr:from>
    <xdr:to>
      <xdr:col>9</xdr:col>
      <xdr:colOff>149679</xdr:colOff>
      <xdr:row>3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384380-655D-73D4-B7C7-805B10CF19E2}"/>
            </a:ext>
          </a:extLst>
        </xdr:cNvPr>
        <xdr:cNvSpPr txBox="1"/>
      </xdr:nvSpPr>
      <xdr:spPr>
        <a:xfrm>
          <a:off x="171450" y="104776"/>
          <a:ext cx="7058025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800" b="1">
              <a:solidFill>
                <a:schemeClr val="tx1">
                  <a:lumMod val="75000"/>
                  <a:lumOff val="25000"/>
                </a:schemeClr>
              </a:solidFill>
            </a:rPr>
            <a:t>REGIONAL</a:t>
          </a:r>
          <a:r>
            <a:rPr lang="en-IN" sz="3800" b="1" baseline="0">
              <a:solidFill>
                <a:schemeClr val="tx1">
                  <a:lumMod val="75000"/>
                  <a:lumOff val="25000"/>
                </a:schemeClr>
              </a:solidFill>
            </a:rPr>
            <a:t> REVENUE DASHBOARD</a:t>
          </a:r>
          <a:endParaRPr lang="en-IN" sz="3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6</xdr:row>
      <xdr:rowOff>76200</xdr:rowOff>
    </xdr:from>
    <xdr:to>
      <xdr:col>20</xdr:col>
      <xdr:colOff>0</xdr:colOff>
      <xdr:row>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D1CC86-776B-9F07-FBA8-957071102FED}"/>
            </a:ext>
          </a:extLst>
        </xdr:cNvPr>
        <xdr:cNvCxnSpPr/>
      </xdr:nvCxnSpPr>
      <xdr:spPr>
        <a:xfrm flipV="1">
          <a:off x="0" y="1394392"/>
          <a:ext cx="15180469" cy="110898"/>
        </a:xfrm>
        <a:prstGeom prst="line">
          <a:avLst/>
        </a:prstGeom>
        <a:ln w="28575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35719</xdr:colOff>
      <xdr:row>8</xdr:row>
      <xdr:rowOff>28576</xdr:rowOff>
    </xdr:from>
    <xdr:to>
      <xdr:col>4</xdr:col>
      <xdr:colOff>0</xdr:colOff>
      <xdr:row>9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E06812-6B63-54FE-0ED5-3FC29D1EEA32}"/>
            </a:ext>
          </a:extLst>
        </xdr:cNvPr>
        <xdr:cNvSpPr txBox="1"/>
      </xdr:nvSpPr>
      <xdr:spPr>
        <a:xfrm>
          <a:off x="239826" y="1720964"/>
          <a:ext cx="4131469" cy="3394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0">
              <a:solidFill>
                <a:schemeClr val="tx1">
                  <a:lumMod val="65000"/>
                  <a:lumOff val="35000"/>
                </a:schemeClr>
              </a:solidFill>
            </a:rPr>
            <a:t>This</a:t>
          </a:r>
          <a:r>
            <a:rPr lang="en-IN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was the</a:t>
          </a:r>
          <a:r>
            <a:rPr lang="en-IN" sz="1600" b="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IN" sz="1800" b="1" baseline="0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IN" sz="1600" b="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IN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we drove in...</a:t>
          </a:r>
          <a:endParaRPr lang="en-IN" sz="16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348688</xdr:colOff>
      <xdr:row>15</xdr:row>
      <xdr:rowOff>229621</xdr:rowOff>
    </xdr:from>
    <xdr:to>
      <xdr:col>2</xdr:col>
      <xdr:colOff>348688</xdr:colOff>
      <xdr:row>17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9A1D8EF-D338-BE12-27F5-3F73A88FF258}"/>
            </a:ext>
          </a:extLst>
        </xdr:cNvPr>
        <xdr:cNvSpPr txBox="1"/>
      </xdr:nvSpPr>
      <xdr:spPr>
        <a:xfrm>
          <a:off x="552795" y="3563371"/>
          <a:ext cx="1131094" cy="280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0">
              <a:solidFill>
                <a:schemeClr val="tx1">
                  <a:lumMod val="65000"/>
                  <a:lumOff val="35000"/>
                </a:schemeClr>
              </a:solidFill>
            </a:rPr>
            <a:t>vs.Last</a:t>
          </a:r>
          <a:r>
            <a:rPr lang="en-IN" sz="1200" b="0" baseline="0">
              <a:solidFill>
                <a:schemeClr val="tx1">
                  <a:lumMod val="65000"/>
                  <a:lumOff val="35000"/>
                </a:schemeClr>
              </a:solidFill>
            </a:rPr>
            <a:t> Month</a:t>
          </a:r>
        </a:p>
        <a:p>
          <a:pPr algn="ctr"/>
          <a:endParaRPr lang="en-IN" sz="1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892968</xdr:colOff>
      <xdr:row>15</xdr:row>
      <xdr:rowOff>229621</xdr:rowOff>
    </xdr:from>
    <xdr:to>
      <xdr:col>3</xdr:col>
      <xdr:colOff>1025299</xdr:colOff>
      <xdr:row>17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90E035B-C27F-0494-1780-49ACE1A41FB4}"/>
            </a:ext>
          </a:extLst>
        </xdr:cNvPr>
        <xdr:cNvSpPr txBox="1"/>
      </xdr:nvSpPr>
      <xdr:spPr>
        <a:xfrm>
          <a:off x="2228169" y="3563371"/>
          <a:ext cx="1731170" cy="280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0">
              <a:solidFill>
                <a:schemeClr val="tx1">
                  <a:lumMod val="65000"/>
                  <a:lumOff val="35000"/>
                </a:schemeClr>
              </a:solidFill>
            </a:rPr>
            <a:t>vs.</a:t>
          </a:r>
          <a:r>
            <a:rPr lang="en-IN" sz="1200" b="0" baseline="0">
              <a:solidFill>
                <a:schemeClr val="tx1">
                  <a:lumMod val="65000"/>
                  <a:lumOff val="35000"/>
                </a:schemeClr>
              </a:solidFill>
            </a:rPr>
            <a:t>Last Year</a:t>
          </a:r>
          <a:endParaRPr lang="en-IN" sz="12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76200</xdr:colOff>
      <xdr:row>18</xdr:row>
      <xdr:rowOff>221798</xdr:rowOff>
    </xdr:from>
    <xdr:to>
      <xdr:col>3</xdr:col>
      <xdr:colOff>1396774</xdr:colOff>
      <xdr:row>20</xdr:row>
      <xdr:rowOff>76541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E93908B-A1E0-3A60-54DC-ECEA5035FD0F}"/>
            </a:ext>
          </a:extLst>
        </xdr:cNvPr>
        <xdr:cNvSpPr txBox="1"/>
      </xdr:nvSpPr>
      <xdr:spPr>
        <a:xfrm>
          <a:off x="280307" y="4312445"/>
          <a:ext cx="4050507" cy="3394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0">
              <a:solidFill>
                <a:schemeClr val="tx1">
                  <a:lumMod val="65000"/>
                  <a:lumOff val="35000"/>
                </a:schemeClr>
              </a:solidFill>
            </a:rPr>
            <a:t>...and</a:t>
          </a:r>
          <a:r>
            <a:rPr lang="en-IN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the revenue trend in</a:t>
          </a:r>
          <a:r>
            <a:rPr lang="en-IN" sz="1800" b="1" baseline="0">
              <a:solidFill>
                <a:schemeClr val="accent3"/>
              </a:solidFill>
            </a:rPr>
            <a:t> 2020 </a:t>
          </a:r>
          <a:r>
            <a:rPr lang="en-IN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vs </a:t>
          </a:r>
          <a:r>
            <a:rPr lang="en-IN" sz="1800" b="1" baseline="0">
              <a:solidFill>
                <a:schemeClr val="accent1">
                  <a:lumMod val="75000"/>
                </a:schemeClr>
              </a:solidFill>
            </a:rPr>
            <a:t>2021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15</xdr:col>
      <xdr:colOff>51028</xdr:colOff>
      <xdr:row>8</xdr:row>
      <xdr:rowOff>28576</xdr:rowOff>
    </xdr:from>
    <xdr:to>
      <xdr:col>19</xdr:col>
      <xdr:colOff>75180</xdr:colOff>
      <xdr:row>9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08078B5-A264-BB8E-8717-165FE90E26F0}"/>
            </a:ext>
          </a:extLst>
        </xdr:cNvPr>
        <xdr:cNvSpPr txBox="1"/>
      </xdr:nvSpPr>
      <xdr:spPr>
        <a:xfrm>
          <a:off x="10571050" y="1720964"/>
          <a:ext cx="3817143" cy="3394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Where these products drove</a:t>
          </a:r>
          <a:r>
            <a:rPr lang="en-IN" sz="1600" b="1" baseline="0">
              <a:solidFill>
                <a:schemeClr val="accent6"/>
              </a:solidFill>
            </a:rPr>
            <a:t> growth</a:t>
          </a:r>
          <a:r>
            <a:rPr lang="en-IN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...</a:t>
          </a:r>
          <a:endParaRPr lang="en-IN" sz="12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16</xdr:col>
      <xdr:colOff>43373</xdr:colOff>
      <xdr:row>22</xdr:row>
      <xdr:rowOff>38102</xdr:rowOff>
    </xdr:from>
    <xdr:to>
      <xdr:col>18</xdr:col>
      <xdr:colOff>1698682</xdr:colOff>
      <xdr:row>24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F565497-1EC1-9777-F941-B4EAF7DD217F}"/>
            </a:ext>
          </a:extLst>
        </xdr:cNvPr>
        <xdr:cNvSpPr txBox="1"/>
      </xdr:nvSpPr>
      <xdr:spPr>
        <a:xfrm>
          <a:off x="10716476" y="4987700"/>
          <a:ext cx="3526291" cy="3360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...and these products </a:t>
          </a:r>
          <a:r>
            <a:rPr lang="en-IN" sz="1600" b="1" baseline="0">
              <a:solidFill>
                <a:srgbClr val="FF0000"/>
              </a:solidFill>
            </a:rPr>
            <a:t>caused losses</a:t>
          </a:r>
          <a:endParaRPr lang="en-IN" sz="2000" b="1" baseline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4</xdr:col>
      <xdr:colOff>0</xdr:colOff>
      <xdr:row>8</xdr:row>
      <xdr:rowOff>28576</xdr:rowOff>
    </xdr:from>
    <xdr:to>
      <xdr:col>13</xdr:col>
      <xdr:colOff>0</xdr:colOff>
      <xdr:row>9</xdr:row>
      <xdr:rowOff>180975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A7E5230-606D-4663-333D-5C4F3551F5F2}"/>
            </a:ext>
          </a:extLst>
        </xdr:cNvPr>
        <xdr:cNvSpPr txBox="1"/>
      </xdr:nvSpPr>
      <xdr:spPr>
        <a:xfrm>
          <a:off x="4371295" y="1720964"/>
          <a:ext cx="5612946" cy="3394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This is how </a:t>
          </a:r>
          <a:r>
            <a:rPr lang="en-IN" sz="18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IN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rank compared to </a:t>
          </a:r>
          <a:r>
            <a:rPr lang="en-IN" sz="1800" b="1" baseline="0">
              <a:solidFill>
                <a:schemeClr val="accent3"/>
              </a:solidFill>
            </a:rPr>
            <a:t>other region</a:t>
          </a:r>
        </a:p>
        <a:p>
          <a:pPr algn="ctr"/>
          <a:endParaRPr lang="en-IN" sz="20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ctr"/>
          <a:endParaRPr lang="en-IN" sz="16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240506</xdr:colOff>
      <xdr:row>9</xdr:row>
      <xdr:rowOff>161925</xdr:rowOff>
    </xdr:from>
    <xdr:to>
      <xdr:col>3</xdr:col>
      <xdr:colOff>767103</xdr:colOff>
      <xdr:row>13</xdr:row>
      <xdr:rowOff>109878</xdr:rowOff>
    </xdr:to>
    <xdr:sp macro="" textlink="'Data Prep'!$E$2">
      <xdr:nvSpPr>
        <xdr:cNvPr id="25" name="TextBox 24">
          <a:extLst>
            <a:ext uri="{FF2B5EF4-FFF2-40B4-BE49-F238E27FC236}">
              <a16:creationId xmlns:a16="http://schemas.microsoft.com/office/drawing/2014/main" id="{8C97E5CE-9D7C-4BCA-A7E7-4D5683F83BD0}"/>
            </a:ext>
          </a:extLst>
        </xdr:cNvPr>
        <xdr:cNvSpPr txBox="1"/>
      </xdr:nvSpPr>
      <xdr:spPr>
        <a:xfrm>
          <a:off x="444613" y="2041412"/>
          <a:ext cx="3256530" cy="925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570831C-6655-4A1D-90F4-8F0D6BBC0109}" type="TxLink">
            <a:rPr lang="en-US" sz="55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$61,704</a:t>
          </a:fld>
          <a:endParaRPr lang="en-IN" sz="55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13</xdr:row>
      <xdr:rowOff>144576</xdr:rowOff>
    </xdr:from>
    <xdr:to>
      <xdr:col>3</xdr:col>
      <xdr:colOff>1224643</xdr:colOff>
      <xdr:row>13</xdr:row>
      <xdr:rowOff>144576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85815A04-5F1D-E673-D443-A86BD7C4B6E0}"/>
            </a:ext>
          </a:extLst>
        </xdr:cNvPr>
        <xdr:cNvCxnSpPr/>
      </xdr:nvCxnSpPr>
      <xdr:spPr>
        <a:xfrm>
          <a:off x="200025" y="3038475"/>
          <a:ext cx="395287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13</xdr:row>
      <xdr:rowOff>144576</xdr:rowOff>
    </xdr:from>
    <xdr:to>
      <xdr:col>2</xdr:col>
      <xdr:colOff>0</xdr:colOff>
      <xdr:row>13</xdr:row>
      <xdr:rowOff>144576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B2A4FAC4-165C-3D0A-807E-69994AA1EB7E}"/>
            </a:ext>
          </a:extLst>
        </xdr:cNvPr>
        <xdr:cNvCxnSpPr/>
      </xdr:nvCxnSpPr>
      <xdr:spPr>
        <a:xfrm>
          <a:off x="1333500" y="3038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752474</xdr:colOff>
          <xdr:row>13</xdr:row>
          <xdr:rowOff>144576</xdr:rowOff>
        </xdr:from>
        <xdr:to>
          <xdr:col>3</xdr:col>
          <xdr:colOff>1233927</xdr:colOff>
          <xdr:row>15</xdr:row>
          <xdr:rowOff>201522</xdr:rowOff>
        </xdr:to>
        <xdr:pic>
          <xdr:nvPicPr>
            <xdr:cNvPr id="47" name="Picture 46">
              <a:extLst>
                <a:ext uri="{FF2B5EF4-FFF2-40B4-BE49-F238E27FC236}">
                  <a16:creationId xmlns:a16="http://schemas.microsoft.com/office/drawing/2014/main" id="{C269D99C-AD12-40B9-B105-5035857469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22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085974" y="3038475"/>
              <a:ext cx="2076210" cy="54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180975</xdr:colOff>
          <xdr:row>13</xdr:row>
          <xdr:rowOff>150682</xdr:rowOff>
        </xdr:from>
        <xdr:to>
          <xdr:col>2</xdr:col>
          <xdr:colOff>806904</xdr:colOff>
          <xdr:row>15</xdr:row>
          <xdr:rowOff>207866</xdr:rowOff>
        </xdr:to>
        <xdr:pic>
          <xdr:nvPicPr>
            <xdr:cNvPr id="49" name="Picture 48">
              <a:extLst>
                <a:ext uri="{FF2B5EF4-FFF2-40B4-BE49-F238E27FC236}">
                  <a16:creationId xmlns:a16="http://schemas.microsoft.com/office/drawing/2014/main" id="{C8EA5B7F-0D55-4B43-8373-66ABBA58A0C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224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80975" y="3044581"/>
              <a:ext cx="1959429" cy="5402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2</xdr:col>
      <xdr:colOff>842962</xdr:colOff>
      <xdr:row>13</xdr:row>
      <xdr:rowOff>144576</xdr:rowOff>
    </xdr:from>
    <xdr:to>
      <xdr:col>2</xdr:col>
      <xdr:colOff>842962</xdr:colOff>
      <xdr:row>17</xdr:row>
      <xdr:rowOff>93549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C4D537E5-5B22-88EA-1239-F67045C59F2C}"/>
            </a:ext>
          </a:extLst>
        </xdr:cNvPr>
        <xdr:cNvCxnSpPr/>
      </xdr:nvCxnSpPr>
      <xdr:spPr>
        <a:xfrm>
          <a:off x="2176462" y="3038475"/>
          <a:ext cx="0" cy="95250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DB6B7-5DEF-4CEC-AD1D-CF6305040EEF}" name="Data" displayName="Data" ref="A1:J4795" totalsRowShown="0" headerRowDxfId="4">
  <autoFilter ref="A1:J4795" xr:uid="{BFADB6B7-5DEF-4CEC-AD1D-CF6305040EEF}"/>
  <tableColumns count="10">
    <tableColumn id="1" xr3:uid="{E4C76139-72F5-42F9-AEE6-6E6022BD924A}" name="Year"/>
    <tableColumn id="2" xr3:uid="{79D58747-6C06-4AEF-9DB7-CB8E62050C31}" name="Month"/>
    <tableColumn id="3" xr3:uid="{BE422EFA-694A-4506-81DC-CA1EC189C357}" name="Store Name"/>
    <tableColumn id="4" xr3:uid="{74285AEF-9D8D-4C16-BE0E-A3B7FF936431}" name="Region"/>
    <tableColumn id="5" xr3:uid="{9A7F70B6-8A7B-4DFE-812A-99CFA562E70D}" name="Store Type"/>
    <tableColumn id="6" xr3:uid="{A7CD3BAC-E511-405D-B5C0-459340235E09}" name="Product Name"/>
    <tableColumn id="7" xr3:uid="{52A50CFC-178E-40C4-A66C-32F1D4F70248}" name="Product Category"/>
    <tableColumn id="8" xr3:uid="{D5BB3839-6A4F-4564-A060-841C98238137}" name="Units Sold"/>
    <tableColumn id="9" xr3:uid="{53CA4DF4-575E-40DA-8FCF-6C45309B9080}" name="Revenue" dataDxfId="3"/>
    <tableColumn id="10" xr3:uid="{A84FEF9F-2807-494A-8238-9B27A3AD263A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>
      <selection activeCell="G4532" sqref="G4532"/>
    </sheetView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290A-4C88-41F1-AACA-A364A70656AB}">
  <dimension ref="A1:AH36"/>
  <sheetViews>
    <sheetView workbookViewId="0">
      <selection activeCell="D25" sqref="D25"/>
    </sheetView>
  </sheetViews>
  <sheetFormatPr defaultRowHeight="15" x14ac:dyDescent="0.25"/>
  <cols>
    <col min="1" max="1" width="22.42578125" customWidth="1"/>
    <col min="2" max="2" width="13.42578125" customWidth="1"/>
    <col min="4" max="4" width="19" bestFit="1" customWidth="1"/>
    <col min="5" max="5" width="10.140625" bestFit="1" customWidth="1"/>
    <col min="7" max="7" width="15.5703125" bestFit="1" customWidth="1"/>
    <col min="8" max="8" width="18.85546875" customWidth="1"/>
    <col min="9" max="9" width="12.42578125" customWidth="1"/>
    <col min="10" max="11" width="13" customWidth="1"/>
    <col min="14" max="14" width="20.7109375" bestFit="1" customWidth="1"/>
    <col min="15" max="15" width="13.7109375" customWidth="1"/>
    <col min="17" max="17" width="12.140625" bestFit="1" customWidth="1"/>
    <col min="22" max="22" width="14.42578125" customWidth="1"/>
    <col min="23" max="23" width="19" bestFit="1" customWidth="1"/>
    <col min="25" max="25" width="12.140625" bestFit="1" customWidth="1"/>
    <col min="31" max="31" width="13.5703125" bestFit="1" customWidth="1"/>
    <col min="32" max="32" width="15.85546875" bestFit="1" customWidth="1"/>
  </cols>
  <sheetData>
    <row r="1" spans="1:34" ht="15.75" x14ac:dyDescent="0.25">
      <c r="A1" s="35" t="s">
        <v>76</v>
      </c>
      <c r="B1" s="36"/>
      <c r="D1" s="37" t="s">
        <v>82</v>
      </c>
      <c r="E1" s="38"/>
      <c r="G1" s="13" t="s">
        <v>89</v>
      </c>
      <c r="H1" s="13"/>
      <c r="I1" s="13"/>
      <c r="J1" s="13"/>
      <c r="K1" s="13"/>
      <c r="N1" s="13" t="s">
        <v>102</v>
      </c>
      <c r="O1" s="13"/>
      <c r="P1" s="13"/>
      <c r="Q1" s="13"/>
      <c r="R1" s="13"/>
      <c r="S1" s="13"/>
      <c r="T1" s="13"/>
      <c r="W1" s="13" t="s">
        <v>110</v>
      </c>
      <c r="X1" s="13"/>
      <c r="Y1" s="13"/>
      <c r="Z1" s="13"/>
      <c r="AA1" s="13"/>
      <c r="AB1" s="13"/>
      <c r="AE1" s="13" t="s">
        <v>111</v>
      </c>
      <c r="AF1" s="13"/>
      <c r="AG1" s="13"/>
      <c r="AH1" s="13"/>
    </row>
    <row r="2" spans="1:34" x14ac:dyDescent="0.25">
      <c r="A2" s="5" t="s">
        <v>52</v>
      </c>
      <c r="B2" s="5" t="s">
        <v>75</v>
      </c>
      <c r="D2" s="9" t="s">
        <v>83</v>
      </c>
      <c r="E2" s="8">
        <f>SUMIFS(Data[Revenue],Data[Region],Region,Data[Month],CurMon,Data[Year],CurYear)</f>
        <v>61703.64999999998</v>
      </c>
      <c r="G2" s="11" t="s">
        <v>49</v>
      </c>
      <c r="H2" s="11"/>
      <c r="I2" s="11">
        <f>PrevYear</f>
        <v>2020</v>
      </c>
      <c r="J2" s="11">
        <f>CurYear</f>
        <v>2021</v>
      </c>
      <c r="K2" s="23" t="s">
        <v>75</v>
      </c>
      <c r="N2" s="11" t="s">
        <v>63</v>
      </c>
      <c r="O2" s="24" t="s">
        <v>52</v>
      </c>
      <c r="P2" s="11" t="s">
        <v>46</v>
      </c>
      <c r="Q2" s="11" t="s">
        <v>103</v>
      </c>
      <c r="R2" s="11" t="s">
        <v>104</v>
      </c>
      <c r="S2" s="11" t="s">
        <v>115</v>
      </c>
      <c r="T2" s="11" t="s">
        <v>75</v>
      </c>
      <c r="W2" s="11" t="s">
        <v>106</v>
      </c>
      <c r="X2" s="11" t="s">
        <v>46</v>
      </c>
      <c r="Y2" s="11" t="s">
        <v>103</v>
      </c>
      <c r="Z2" s="11" t="s">
        <v>107</v>
      </c>
      <c r="AA2" s="11" t="s">
        <v>108</v>
      </c>
      <c r="AB2" s="11" t="s">
        <v>109</v>
      </c>
      <c r="AE2" s="11" t="s">
        <v>105</v>
      </c>
      <c r="AF2" s="11" t="s">
        <v>106</v>
      </c>
      <c r="AG2" s="11" t="s">
        <v>46</v>
      </c>
      <c r="AH2" s="11" t="s">
        <v>107</v>
      </c>
    </row>
    <row r="3" spans="1:34" x14ac:dyDescent="0.25">
      <c r="A3" t="s">
        <v>4</v>
      </c>
      <c r="B3" t="str">
        <f>Dashboard!C6</f>
        <v>Chicago</v>
      </c>
      <c r="D3" s="9" t="s">
        <v>85</v>
      </c>
      <c r="E3" s="8">
        <f>SUMIFS(Data[Revenue],Data[Region],Region,Data[Month],CurMon,Data[Year],PrevYear)</f>
        <v>67569.269999999975</v>
      </c>
      <c r="G3">
        <v>1</v>
      </c>
      <c r="H3" s="9" t="s">
        <v>90</v>
      </c>
      <c r="I3" s="8">
        <f>SUMIFS(Data[[Revenue]:[Revenue]],Data[[Region]:[Region]],Region,Data[[Month]:[Month]],'Data Prep'!$G3,Data[[Year]:[Year]],'Data Prep'!I$2)</f>
        <v>63051.609999999993</v>
      </c>
      <c r="J3" s="8">
        <f>IF(G3&gt;CurMon,NA(),SUMIFS(Data[[Revenue]:[Revenue]],Data[[Region]:[Region]],Region,Data[[Month]:[Month]],'Data Prep'!$G3,Data[[Year]:[Year]],'Data Prep'!J$2))</f>
        <v>81321.820000000022</v>
      </c>
      <c r="K3" s="8" t="e">
        <f t="shared" ref="K3:K14" si="0">IF(G3=CurMon,J3,NA())</f>
        <v>#N/A</v>
      </c>
      <c r="N3" s="7" t="s">
        <v>56</v>
      </c>
      <c r="O3" s="9" t="str">
        <f>VLOOKUP(N3,Data[[Store Name]:[Region]],2,0)</f>
        <v>Los Angeles</v>
      </c>
      <c r="P3" s="25">
        <f>SUMIFS(Data[Revenue],Data[Store Name],'Data Prep'!N3,Data[Month],CurMon,Data[Year],CurYear)</f>
        <v>15765.830000000002</v>
      </c>
      <c r="Q3" s="25">
        <f>SUMIFS(Data[Revenue],Data[Store Name],'Data Prep'!N3,Data[Month],PrevMon,Data[Year],$B$12)</f>
        <v>11411.519999999999</v>
      </c>
      <c r="R3" s="6">
        <f>P3/Q3-1</f>
        <v>0.38157142957292312</v>
      </c>
      <c r="S3" s="25">
        <f t="shared" ref="S3:S12" si="1">IF($O3=Region,P3,0)</f>
        <v>0</v>
      </c>
      <c r="T3" s="26">
        <f t="shared" ref="T3:T12" si="2">IF($O3=Region,$R3,0)</f>
        <v>0</v>
      </c>
      <c r="W3" t="s">
        <v>13</v>
      </c>
      <c r="X3" s="8">
        <f>SUMIFS(Data[Revenue],Data[Product Name],'Data Prep'!W3,Data[Region],Region,Data[Month],CurMon,Data[Year],CurYear)</f>
        <v>2910.1800000000003</v>
      </c>
      <c r="Y3" s="8">
        <f>SUMIFS(Data[Revenue],Data[Product Name],'Data Prep'!W3,Data[Region],Region,Data[Month],PrevMon,Data[Year],$B$12)</f>
        <v>3389.88</v>
      </c>
      <c r="Z3" s="14">
        <f>X3-Y3</f>
        <v>-479.69999999999982</v>
      </c>
      <c r="AA3">
        <f>_xlfn.RANK.AVG(Z3,$Z$3:$Z$36,0)</f>
        <v>25</v>
      </c>
      <c r="AB3">
        <f>_xlfn.RANK.AVG(Z3,$Z$3:$Z$36,1)</f>
        <v>10</v>
      </c>
      <c r="AE3">
        <v>1</v>
      </c>
      <c r="AF3" t="str">
        <f>INDEX($W$3:$Z$36,MATCH($AE3,$AA$3:$AA$36,0),MATCH(AF$2,$W$2:$Z$2))</f>
        <v>Nerf Gun</v>
      </c>
      <c r="AG3" s="8">
        <f t="shared" ref="AG3:AG8" si="3">INDEX($W$3:$Z$36,MATCH($AE3,$AA$3:$AA$36,0),MATCH(AG$2,$W$2:$Z$2))</f>
        <v>4837.58</v>
      </c>
      <c r="AH3" s="8">
        <f>INDEX($W$3:$Z$36,MATCH($AE3,$AA$3:$AA$36,0),MATCH(AH$2,$W$2:$Z$2,0))</f>
        <v>2558.7200000000003</v>
      </c>
    </row>
    <row r="4" spans="1:34" x14ac:dyDescent="0.25">
      <c r="A4" t="s">
        <v>5</v>
      </c>
      <c r="D4" s="9" t="s">
        <v>84</v>
      </c>
      <c r="E4" s="8">
        <f>SUMIFS(Data[Revenue],Data[Region],Region,Data[Month],PrevMon,Data[Year],IF(CurMon=1,PrevYear,CurYear))</f>
        <v>69798.989999999991</v>
      </c>
      <c r="G4">
        <v>2</v>
      </c>
      <c r="H4" s="9" t="s">
        <v>91</v>
      </c>
      <c r="I4" s="8">
        <f>SUMIFS(Data[[Revenue]:[Revenue]],Data[[Region]:[Region]],Region,Data[[Month]:[Month]],'Data Prep'!$G4,Data[[Year]:[Year]],'Data Prep'!I$2)</f>
        <v>65298.220000000023</v>
      </c>
      <c r="J4" s="8">
        <f>IF(G4&gt;CurMon,NA(),SUMIFS(Data[[Revenue]:[Revenue]],Data[[Region]:[Region]],Region,Data[[Month]:[Month]],'Data Prep'!$G4,Data[[Year]:[Year]],'Data Prep'!J$2))</f>
        <v>87902.16</v>
      </c>
      <c r="K4" s="8" t="e">
        <f t="shared" si="0"/>
        <v>#N/A</v>
      </c>
      <c r="N4" s="7" t="s">
        <v>59</v>
      </c>
      <c r="O4" s="9" t="str">
        <f>VLOOKUP(N4,Data[[Store Name]:[Region]],2,0)</f>
        <v>Los Angeles</v>
      </c>
      <c r="P4" s="25">
        <f>SUMIFS(Data[Revenue],Data[Store Name],'Data Prep'!N4,Data[Month],CurMon,Data[Year],CurYear)</f>
        <v>10103.540000000001</v>
      </c>
      <c r="Q4" s="25">
        <f>SUMIFS(Data[Revenue],Data[Store Name],'Data Prep'!N4,Data[Month],PrevMon,Data[Year],$B$12)</f>
        <v>7938.76</v>
      </c>
      <c r="R4" s="6">
        <f t="shared" ref="R4:R12" si="4">P4/Q4-1</f>
        <v>0.27268490293194403</v>
      </c>
      <c r="S4" s="25">
        <f t="shared" si="1"/>
        <v>0</v>
      </c>
      <c r="T4" s="26">
        <f t="shared" si="2"/>
        <v>0</v>
      </c>
      <c r="W4" t="s">
        <v>24</v>
      </c>
      <c r="X4" s="8">
        <f>SUMIFS(Data[Revenue],Data[Product Name],'Data Prep'!W4,Data[Region],Region,Data[Month],CurMon,Data[Year],CurYear)</f>
        <v>2623.9799999999996</v>
      </c>
      <c r="Y4" s="8">
        <f>SUMIFS(Data[Revenue],Data[Product Name],'Data Prep'!W4,Data[Region],Region,Data[Month],PrevMon,Data[Year],$B$12)</f>
        <v>2896.7700000000004</v>
      </c>
      <c r="Z4" s="14">
        <f t="shared" ref="Z4:Z36" si="5">X4-Y4</f>
        <v>-272.79000000000087</v>
      </c>
      <c r="AA4">
        <f t="shared" ref="AA4:AA36" si="6">_xlfn.RANK.AVG(Z4,$Z$3:$Z$36,0)</f>
        <v>22</v>
      </c>
      <c r="AB4">
        <f t="shared" ref="AB4:AB36" si="7">_xlfn.RANK.AVG(Z4,$Z$3:$Z$36,1)</f>
        <v>13</v>
      </c>
      <c r="AE4">
        <v>2</v>
      </c>
      <c r="AF4" t="str">
        <f t="shared" ref="AF4:AF8" si="8">INDEX($W$3:$Z$36,MATCH($AE4,$AA$3:$AA$36,0),MATCH(AF$2,$W$2:$Z$2))</f>
        <v>Rubik's Cube</v>
      </c>
      <c r="AG4" s="8">
        <f t="shared" si="3"/>
        <v>3378.3099999999995</v>
      </c>
      <c r="AH4" s="8">
        <f t="shared" ref="AH4:AH8" si="9">INDEX($W$3:$Z$36,MATCH($AE4,$AA$3:$AA$36,0),MATCH(AH$2,$W$2:$Z$2,0))</f>
        <v>1079.4599999999996</v>
      </c>
    </row>
    <row r="5" spans="1:34" x14ac:dyDescent="0.25">
      <c r="A5" t="s">
        <v>48</v>
      </c>
      <c r="D5" s="9" t="s">
        <v>87</v>
      </c>
      <c r="E5" s="15">
        <f>(E2-E3)/E3</f>
        <v>-8.6808988760719144E-2</v>
      </c>
      <c r="G5">
        <v>3</v>
      </c>
      <c r="H5" s="9" t="s">
        <v>92</v>
      </c>
      <c r="I5" s="8">
        <f>SUMIFS(Data[[Revenue]:[Revenue]],Data[[Region]:[Region]],Region,Data[[Month]:[Month]],'Data Prep'!$G5,Data[[Year]:[Year]],'Data Prep'!I$2)</f>
        <v>64161.95</v>
      </c>
      <c r="J5" s="8">
        <f>IF(G5&gt;CurMon,NA(),SUMIFS(Data[[Revenue]:[Revenue]],Data[[Region]:[Region]],Region,Data[[Month]:[Month]],'Data Prep'!$G5,Data[[Year]:[Year]],'Data Prep'!J$2))</f>
        <v>105385.7199999999</v>
      </c>
      <c r="K5" s="8" t="e">
        <f t="shared" si="0"/>
        <v>#N/A</v>
      </c>
      <c r="N5" s="7" t="s">
        <v>62</v>
      </c>
      <c r="O5" s="9" t="str">
        <f>VLOOKUP(N5,Data[[Store Name]:[Region]],2,0)</f>
        <v>New York</v>
      </c>
      <c r="P5" s="25">
        <f>SUMIFS(Data[Revenue],Data[Store Name],'Data Prep'!N5,Data[Month],CurMon,Data[Year],CurYear)</f>
        <v>20484.010000000002</v>
      </c>
      <c r="Q5" s="25">
        <f>SUMIFS(Data[Revenue],Data[Store Name],'Data Prep'!N5,Data[Month],PrevMon,Data[Year],$B$12)</f>
        <v>17895.43</v>
      </c>
      <c r="R5" s="6">
        <f t="shared" si="4"/>
        <v>0.14465033810308014</v>
      </c>
      <c r="S5" s="25">
        <f t="shared" si="1"/>
        <v>0</v>
      </c>
      <c r="T5" s="26">
        <f t="shared" si="2"/>
        <v>0</v>
      </c>
      <c r="W5" t="s">
        <v>18</v>
      </c>
      <c r="X5" s="8">
        <f>SUMIFS(Data[Revenue],Data[Product Name],'Data Prep'!W5,Data[Region],Region,Data[Month],CurMon,Data[Year],CurYear)</f>
        <v>506.61</v>
      </c>
      <c r="Y5" s="8">
        <f>SUMIFS(Data[Revenue],Data[Product Name],'Data Prep'!W5,Data[Region],Region,Data[Month],PrevMon,Data[Year],$B$12)</f>
        <v>337.74</v>
      </c>
      <c r="Z5" s="14">
        <f t="shared" si="5"/>
        <v>168.87</v>
      </c>
      <c r="AA5">
        <f t="shared" si="6"/>
        <v>7</v>
      </c>
      <c r="AB5">
        <f t="shared" si="7"/>
        <v>28</v>
      </c>
      <c r="AE5">
        <v>3</v>
      </c>
      <c r="AF5" t="str">
        <f t="shared" si="8"/>
        <v>Barrel O' Slime</v>
      </c>
      <c r="AG5" s="8">
        <f t="shared" si="3"/>
        <v>2581.5300000000002</v>
      </c>
      <c r="AH5" s="8">
        <f t="shared" si="9"/>
        <v>746.12999999999988</v>
      </c>
    </row>
    <row r="6" spans="1:34" x14ac:dyDescent="0.25">
      <c r="D6" s="9" t="s">
        <v>88</v>
      </c>
      <c r="E6" s="16">
        <f>E2/E4-1</f>
        <v>-0.11598076132620272</v>
      </c>
      <c r="G6">
        <v>4</v>
      </c>
      <c r="H6" s="9" t="s">
        <v>93</v>
      </c>
      <c r="I6" s="8">
        <f>SUMIFS(Data[[Revenue]:[Revenue]],Data[[Region]:[Region]],Region,Data[[Month]:[Month]],'Data Prep'!$G6,Data[[Year]:[Year]],'Data Prep'!I$2)</f>
        <v>80619.25999999998</v>
      </c>
      <c r="J6" s="8">
        <f>IF(G6&gt;CurMon,NA(),SUMIFS(Data[[Revenue]:[Revenue]],Data[[Region]:[Region]],Region,Data[[Month]:[Month]],'Data Prep'!$G6,Data[[Year]:[Year]],'Data Prep'!J$2))</f>
        <v>99650.11000000003</v>
      </c>
      <c r="K6" s="8" t="e">
        <f t="shared" si="0"/>
        <v>#N/A</v>
      </c>
      <c r="N6" s="7" t="s">
        <v>55</v>
      </c>
      <c r="O6" s="9" t="str">
        <f>VLOOKUP(N6,Data[[Store Name]:[Region]],2,0)</f>
        <v>Chicago</v>
      </c>
      <c r="P6" s="25">
        <f>SUMIFS(Data[Revenue],Data[Store Name],'Data Prep'!N6,Data[Month],CurMon,Data[Year],CurYear)</f>
        <v>18238.46</v>
      </c>
      <c r="Q6" s="25">
        <f>SUMIFS(Data[Revenue],Data[Store Name],'Data Prep'!N6,Data[Month],PrevMon,Data[Year],$B$12)</f>
        <v>15332.379999999996</v>
      </c>
      <c r="R6" s="6">
        <f t="shared" si="4"/>
        <v>0.18953874088693379</v>
      </c>
      <c r="S6" s="25">
        <f t="shared" si="1"/>
        <v>18238.46</v>
      </c>
      <c r="T6" s="26">
        <f t="shared" si="2"/>
        <v>0.18953874088693379</v>
      </c>
      <c r="W6" t="s">
        <v>30</v>
      </c>
      <c r="X6" s="8">
        <f>SUMIFS(Data[Revenue],Data[Product Name],'Data Prep'!W6,Data[Region],Region,Data[Month],CurMon,Data[Year],CurYear)</f>
        <v>249.75</v>
      </c>
      <c r="Y6" s="8">
        <f>SUMIFS(Data[Revenue],Data[Product Name],'Data Prep'!W6,Data[Region],Region,Data[Month],PrevMon,Data[Year],$B$12)</f>
        <v>0</v>
      </c>
      <c r="Z6" s="14">
        <f t="shared" si="5"/>
        <v>249.75</v>
      </c>
      <c r="AA6">
        <f t="shared" si="6"/>
        <v>6</v>
      </c>
      <c r="AB6">
        <f t="shared" si="7"/>
        <v>29</v>
      </c>
      <c r="AE6">
        <v>4</v>
      </c>
      <c r="AF6" t="str">
        <f t="shared" si="8"/>
        <v>Dart Gun</v>
      </c>
      <c r="AG6" s="8">
        <f t="shared" si="3"/>
        <v>2510.4300000000003</v>
      </c>
      <c r="AH6" s="8">
        <f t="shared" si="9"/>
        <v>639.60000000000014</v>
      </c>
    </row>
    <row r="7" spans="1:34" ht="15.75" x14ac:dyDescent="0.25">
      <c r="A7" s="35" t="s">
        <v>77</v>
      </c>
      <c r="B7" s="36"/>
      <c r="G7">
        <v>5</v>
      </c>
      <c r="H7" s="9" t="s">
        <v>94</v>
      </c>
      <c r="I7" s="8">
        <f>SUMIFS(Data[[Revenue]:[Revenue]],Data[[Region]:[Region]],Region,Data[[Month]:[Month]],'Data Prep'!$G7,Data[[Year]:[Year]],'Data Prep'!I$2)</f>
        <v>79560.950000000026</v>
      </c>
      <c r="J7" s="8">
        <f>IF(G7&gt;CurMon,NA(),SUMIFS(Data[[Revenue]:[Revenue]],Data[[Region]:[Region]],Region,Data[[Month]:[Month]],'Data Prep'!$G7,Data[[Year]:[Year]],'Data Prep'!J$2))</f>
        <v>93467.969999999972</v>
      </c>
      <c r="K7" s="8" t="e">
        <f t="shared" si="0"/>
        <v>#N/A</v>
      </c>
      <c r="N7" s="7" t="s">
        <v>61</v>
      </c>
      <c r="O7" s="9" t="str">
        <f>VLOOKUP(N7,Data[[Store Name]:[Region]],2,0)</f>
        <v>Los Angeles</v>
      </c>
      <c r="P7" s="25">
        <f>SUMIFS(Data[Revenue],Data[Store Name],'Data Prep'!N7,Data[Month],CurMon,Data[Year],CurYear)</f>
        <v>18171.759999999995</v>
      </c>
      <c r="Q7" s="25">
        <f>SUMIFS(Data[Revenue],Data[Store Name],'Data Prep'!N7,Data[Month],PrevMon,Data[Year],$B$12)</f>
        <v>21919.900000000005</v>
      </c>
      <c r="R7" s="6">
        <f t="shared" si="4"/>
        <v>-0.17099256839675403</v>
      </c>
      <c r="S7" s="25">
        <f t="shared" si="1"/>
        <v>0</v>
      </c>
      <c r="T7" s="26">
        <f t="shared" si="2"/>
        <v>0</v>
      </c>
      <c r="W7" t="s">
        <v>20</v>
      </c>
      <c r="X7" s="8">
        <f>SUMIFS(Data[Revenue],Data[Product Name],'Data Prep'!W7,Data[Region],Region,Data[Month],CurMon,Data[Year],CurYear)</f>
        <v>2143.5700000000002</v>
      </c>
      <c r="Y7" s="8">
        <f>SUMIFS(Data[Revenue],Data[Product Name],'Data Prep'!W7,Data[Region],Region,Data[Month],PrevMon,Data[Year],$B$12)</f>
        <v>3867.42</v>
      </c>
      <c r="Z7" s="14">
        <f t="shared" si="5"/>
        <v>-1723.85</v>
      </c>
      <c r="AA7">
        <f t="shared" si="6"/>
        <v>33</v>
      </c>
      <c r="AB7">
        <f t="shared" si="7"/>
        <v>2</v>
      </c>
      <c r="AE7">
        <v>5</v>
      </c>
      <c r="AF7" t="str">
        <f t="shared" si="8"/>
        <v>Kids Makeup Kit</v>
      </c>
      <c r="AG7" s="8">
        <f t="shared" si="3"/>
        <v>2658.67</v>
      </c>
      <c r="AH7" s="8">
        <f t="shared" si="9"/>
        <v>299.85000000000036</v>
      </c>
    </row>
    <row r="8" spans="1:34" x14ac:dyDescent="0.25">
      <c r="A8" s="29" t="s">
        <v>78</v>
      </c>
      <c r="B8" s="10">
        <f>MAX(Data[Year])</f>
        <v>2021</v>
      </c>
      <c r="G8">
        <v>6</v>
      </c>
      <c r="H8" s="9" t="s">
        <v>95</v>
      </c>
      <c r="I8" s="8">
        <f>SUMIFS(Data[[Revenue]:[Revenue]],Data[[Region]:[Region]],Region,Data[[Month]:[Month]],'Data Prep'!$G8,Data[[Year]:[Year]],'Data Prep'!I$2)</f>
        <v>85430.399999999965</v>
      </c>
      <c r="J8" s="8">
        <f>IF(G8&gt;CurMon,NA(),SUMIFS(Data[[Revenue]:[Revenue]],Data[[Region]:[Region]],Region,Data[[Month]:[Month]],'Data Prep'!$G8,Data[[Year]:[Year]],'Data Prep'!J$2))</f>
        <v>91637.330000000016</v>
      </c>
      <c r="K8" s="8" t="e">
        <f t="shared" si="0"/>
        <v>#N/A</v>
      </c>
      <c r="N8" s="7" t="s">
        <v>57</v>
      </c>
      <c r="O8" s="9" t="str">
        <f>VLOOKUP(N8,Data[[Store Name]:[Region]],2,0)</f>
        <v>Chicago</v>
      </c>
      <c r="P8" s="25">
        <f>SUMIFS(Data[Revenue],Data[Store Name],'Data Prep'!N8,Data[Month],CurMon,Data[Year],CurYear)</f>
        <v>18237.980000000003</v>
      </c>
      <c r="Q8" s="25">
        <f>SUMIFS(Data[Revenue],Data[Store Name],'Data Prep'!N8,Data[Month],PrevMon,Data[Year],$B$12)</f>
        <v>27284.929999999993</v>
      </c>
      <c r="R8" s="6">
        <f t="shared" si="4"/>
        <v>-0.3315731431233282</v>
      </c>
      <c r="S8" s="25">
        <f t="shared" si="1"/>
        <v>18237.980000000003</v>
      </c>
      <c r="T8" s="26">
        <f t="shared" si="2"/>
        <v>-0.3315731431233282</v>
      </c>
      <c r="W8" t="s">
        <v>25</v>
      </c>
      <c r="X8" s="8">
        <f>SUMIFS(Data[Revenue],Data[Product Name],'Data Prep'!W8,Data[Region],Region,Data[Month],CurMon,Data[Year],CurYear)</f>
        <v>2510.4300000000003</v>
      </c>
      <c r="Y8" s="8">
        <f>SUMIFS(Data[Revenue],Data[Product Name],'Data Prep'!W8,Data[Region],Region,Data[Month],PrevMon,Data[Year],$B$12)</f>
        <v>1870.8300000000002</v>
      </c>
      <c r="Z8" s="14">
        <f t="shared" si="5"/>
        <v>639.60000000000014</v>
      </c>
      <c r="AA8">
        <f t="shared" si="6"/>
        <v>4</v>
      </c>
      <c r="AB8">
        <f t="shared" si="7"/>
        <v>31</v>
      </c>
      <c r="AE8">
        <v>6</v>
      </c>
      <c r="AF8" t="str">
        <f t="shared" si="8"/>
        <v>Classic Dominoes</v>
      </c>
      <c r="AG8" s="8">
        <f t="shared" si="3"/>
        <v>249.75</v>
      </c>
      <c r="AH8" s="8">
        <f t="shared" si="9"/>
        <v>249.75</v>
      </c>
    </row>
    <row r="9" spans="1:34" x14ac:dyDescent="0.25">
      <c r="A9" s="29" t="s">
        <v>79</v>
      </c>
      <c r="B9" s="10">
        <f>_xlfn.MAXIFS(Data[Month],Data[Year],[0]!CurYear)</f>
        <v>9</v>
      </c>
      <c r="G9">
        <v>7</v>
      </c>
      <c r="H9" s="9" t="s">
        <v>96</v>
      </c>
      <c r="I9" s="8">
        <f>SUMIFS(Data[[Revenue]:[Revenue]],Data[[Region]:[Region]],Region,Data[[Month]:[Month]],'Data Prep'!$G9,Data[[Year]:[Year]],'Data Prep'!I$2)</f>
        <v>70835.710000000006</v>
      </c>
      <c r="J9" s="8">
        <f>IF(G9&gt;CurMon,NA(),SUMIFS(Data[[Revenue]:[Revenue]],Data[[Region]:[Region]],Region,Data[[Month]:[Month]],'Data Prep'!$G9,Data[[Year]:[Year]],'Data Prep'!J$2))</f>
        <v>94953.469999999958</v>
      </c>
      <c r="K9" s="8" t="e">
        <f t="shared" si="0"/>
        <v>#N/A</v>
      </c>
      <c r="N9" s="7" t="s">
        <v>60</v>
      </c>
      <c r="O9" s="9" t="str">
        <f>VLOOKUP(N9,Data[[Store Name]:[Region]],2,0)</f>
        <v>New York</v>
      </c>
      <c r="P9" s="25">
        <f>SUMIFS(Data[Revenue],Data[Store Name],'Data Prep'!N9,Data[Month],CurMon,Data[Year],CurYear)</f>
        <v>13879.13</v>
      </c>
      <c r="Q9" s="25">
        <f>SUMIFS(Data[Revenue],Data[Store Name],'Data Prep'!N9,Data[Month],PrevMon,Data[Year],$B$12)</f>
        <v>13127.479999999996</v>
      </c>
      <c r="R9" s="6">
        <f t="shared" si="4"/>
        <v>5.7257752439920262E-2</v>
      </c>
      <c r="S9" s="25">
        <f t="shared" si="1"/>
        <v>0</v>
      </c>
      <c r="T9" s="26">
        <f t="shared" si="2"/>
        <v>0</v>
      </c>
      <c r="W9" t="s">
        <v>8</v>
      </c>
      <c r="X9" s="8">
        <f>SUMIFS(Data[Revenue],Data[Product Name],'Data Prep'!W9,Data[Region],Region,Data[Month],CurMon,Data[Year],CurYear)</f>
        <v>1523.8199999999997</v>
      </c>
      <c r="Y9" s="8">
        <f>SUMIFS(Data[Revenue],Data[Product Name],'Data Prep'!W9,Data[Region],Region,Data[Month],PrevMon,Data[Year],$B$12)</f>
        <v>2956.77</v>
      </c>
      <c r="Z9" s="14">
        <f t="shared" si="5"/>
        <v>-1432.9500000000003</v>
      </c>
      <c r="AA9">
        <f t="shared" si="6"/>
        <v>32</v>
      </c>
      <c r="AB9">
        <f t="shared" si="7"/>
        <v>3</v>
      </c>
      <c r="AF9" s="12"/>
    </row>
    <row r="10" spans="1:34" x14ac:dyDescent="0.25">
      <c r="A10" s="29" t="s">
        <v>80</v>
      </c>
      <c r="B10" s="10">
        <f>CurYear-1</f>
        <v>2020</v>
      </c>
      <c r="G10">
        <v>8</v>
      </c>
      <c r="H10" s="9" t="s">
        <v>97</v>
      </c>
      <c r="I10" s="8">
        <f>SUMIFS(Data[[Revenue]:[Revenue]],Data[[Region]:[Region]],Region,Data[[Month]:[Month]],'Data Prep'!$G10,Data[[Year]:[Year]],'Data Prep'!I$2)</f>
        <v>55171.65</v>
      </c>
      <c r="J10" s="8">
        <f>IF(G10&gt;CurMon,NA(),SUMIFS(Data[[Revenue]:[Revenue]],Data[[Region]:[Region]],Region,Data[[Month]:[Month]],'Data Prep'!$G10,Data[[Year]:[Year]],'Data Prep'!J$2))</f>
        <v>69798.989999999991</v>
      </c>
      <c r="K10" s="8" t="e">
        <f t="shared" si="0"/>
        <v>#N/A</v>
      </c>
      <c r="N10" s="7" t="s">
        <v>53</v>
      </c>
      <c r="O10" s="9" t="str">
        <f>VLOOKUP(N10,Data[[Store Name]:[Region]],2,0)</f>
        <v>Chicago</v>
      </c>
      <c r="P10" s="25">
        <f>SUMIFS(Data[Revenue],Data[Store Name],'Data Prep'!N10,Data[Month],CurMon,Data[Year],CurYear)</f>
        <v>17505.330000000002</v>
      </c>
      <c r="Q10" s="25">
        <f>SUMIFS(Data[Revenue],Data[Store Name],'Data Prep'!N10,Data[Month],PrevMon,Data[Year],$B$12)</f>
        <v>17049.52</v>
      </c>
      <c r="R10" s="6">
        <f t="shared" si="4"/>
        <v>2.6734476982343214E-2</v>
      </c>
      <c r="S10" s="25">
        <f t="shared" si="1"/>
        <v>17505.330000000002</v>
      </c>
      <c r="T10" s="26">
        <f t="shared" si="2"/>
        <v>2.6734476982343214E-2</v>
      </c>
      <c r="W10" t="s">
        <v>17</v>
      </c>
      <c r="X10" s="8">
        <f>SUMIFS(Data[Revenue],Data[Product Name],'Data Prep'!W10,Data[Region],Region,Data[Month],CurMon,Data[Year],CurYear)</f>
        <v>3967.39</v>
      </c>
      <c r="Y10" s="8">
        <f>SUMIFS(Data[Revenue],Data[Product Name],'Data Prep'!W10,Data[Region],Region,Data[Month],PrevMon,Data[Year],$B$12)</f>
        <v>3879.4700000000003</v>
      </c>
      <c r="Z10" s="14">
        <f t="shared" si="5"/>
        <v>87.919999999999618</v>
      </c>
      <c r="AA10">
        <f t="shared" si="6"/>
        <v>9</v>
      </c>
      <c r="AB10">
        <f t="shared" si="7"/>
        <v>26</v>
      </c>
    </row>
    <row r="11" spans="1:34" x14ac:dyDescent="0.25">
      <c r="A11" s="29" t="s">
        <v>81</v>
      </c>
      <c r="B11" s="10">
        <f>IF(CurMon=1,12,CurMon-1)</f>
        <v>8</v>
      </c>
      <c r="G11">
        <v>9</v>
      </c>
      <c r="H11" s="9" t="s">
        <v>98</v>
      </c>
      <c r="I11" s="8">
        <f>SUMIFS(Data[[Revenue]:[Revenue]],Data[[Region]:[Region]],Region,Data[[Month]:[Month]],'Data Prep'!$G11,Data[[Year]:[Year]],'Data Prep'!I$2)</f>
        <v>67569.269999999975</v>
      </c>
      <c r="J11" s="8">
        <f>IF(G11&gt;CurMon,NA(),SUMIFS(Data[[Revenue]:[Revenue]],Data[[Region]:[Region]],Region,Data[[Month]:[Month]],'Data Prep'!$G11,Data[[Year]:[Year]],'Data Prep'!J$2))</f>
        <v>61703.64999999998</v>
      </c>
      <c r="K11" s="8">
        <f t="shared" si="0"/>
        <v>61703.64999999998</v>
      </c>
      <c r="N11" s="7" t="s">
        <v>54</v>
      </c>
      <c r="O11" s="9" t="str">
        <f>VLOOKUP(N11,Data[[Store Name]:[Region]],2,0)</f>
        <v>Chicago</v>
      </c>
      <c r="P11" s="25">
        <f>SUMIFS(Data[Revenue],Data[Store Name],'Data Prep'!N11,Data[Month],CurMon,Data[Year],CurYear)</f>
        <v>7721.8800000000019</v>
      </c>
      <c r="Q11" s="25">
        <f>SUMIFS(Data[Revenue],Data[Store Name],'Data Prep'!N11,Data[Month],PrevMon,Data[Year],$B$12)</f>
        <v>10132.16</v>
      </c>
      <c r="R11" s="6">
        <f t="shared" si="4"/>
        <v>-0.23788412342481746</v>
      </c>
      <c r="S11" s="25">
        <f t="shared" si="1"/>
        <v>7721.8800000000019</v>
      </c>
      <c r="T11" s="26">
        <f t="shared" si="2"/>
        <v>-0.23788412342481746</v>
      </c>
      <c r="W11" t="s">
        <v>28</v>
      </c>
      <c r="X11" s="8">
        <f>SUMIFS(Data[Revenue],Data[Product Name],'Data Prep'!W11,Data[Region],Region,Data[Month],CurMon,Data[Year],CurYear)</f>
        <v>1603.93</v>
      </c>
      <c r="Y11" s="8">
        <f>SUMIFS(Data[Revenue],Data[Product Name],'Data Prep'!W11,Data[Region],Region,Data[Month],PrevMon,Data[Year],$B$12)</f>
        <v>2383.41</v>
      </c>
      <c r="Z11" s="14">
        <f t="shared" si="5"/>
        <v>-779.47999999999979</v>
      </c>
      <c r="AA11">
        <f t="shared" si="6"/>
        <v>28</v>
      </c>
      <c r="AB11">
        <f t="shared" si="7"/>
        <v>7</v>
      </c>
    </row>
    <row r="12" spans="1:34" x14ac:dyDescent="0.25">
      <c r="A12" s="29" t="s">
        <v>86</v>
      </c>
      <c r="B12" s="10">
        <f>IF(CurMon=1,PrevYear,CurYear)</f>
        <v>2021</v>
      </c>
      <c r="G12">
        <v>10</v>
      </c>
      <c r="H12" s="9" t="s">
        <v>99</v>
      </c>
      <c r="I12" s="8">
        <f>SUMIFS(Data[[Revenue]:[Revenue]],Data[[Region]:[Region]],Region,Data[[Month]:[Month]],'Data Prep'!$G12,Data[[Year]:[Year]],'Data Prep'!I$2)</f>
        <v>64882.340000000018</v>
      </c>
      <c r="J12" s="8" t="e">
        <f>IF(G12&gt;CurMon,NA(),SUMIFS(Data[[Revenue]:[Revenue]],Data[[Region]:[Region]],Region,Data[[Month]:[Month]],'Data Prep'!$G12,Data[[Year]:[Year]],'Data Prep'!J$2))</f>
        <v>#N/A</v>
      </c>
      <c r="K12" s="8" t="e">
        <f t="shared" si="0"/>
        <v>#N/A</v>
      </c>
      <c r="N12" s="7" t="s">
        <v>58</v>
      </c>
      <c r="O12" s="9" t="str">
        <f>VLOOKUP(N12,Data[[Store Name]:[Region]],2,0)</f>
        <v>New York</v>
      </c>
      <c r="P12" s="25">
        <f>SUMIFS(Data[Revenue],Data[Store Name],'Data Prep'!N12,Data[Month],CurMon,Data[Year],CurYear)</f>
        <v>16255.230000000001</v>
      </c>
      <c r="Q12" s="25">
        <f>SUMIFS(Data[Revenue],Data[Store Name],'Data Prep'!N12,Data[Month],PrevMon,Data[Year],$B$12)</f>
        <v>18815.63</v>
      </c>
      <c r="R12" s="6">
        <f t="shared" si="4"/>
        <v>-0.13607835613264074</v>
      </c>
      <c r="S12" s="25">
        <f t="shared" si="1"/>
        <v>0</v>
      </c>
      <c r="T12" s="26">
        <f t="shared" si="2"/>
        <v>0</v>
      </c>
      <c r="W12" t="s">
        <v>32</v>
      </c>
      <c r="X12" s="8">
        <f>SUMIFS(Data[Revenue],Data[Product Name],'Data Prep'!W12,Data[Region],Region,Data[Month],CurMon,Data[Year],CurYear)</f>
        <v>802.27</v>
      </c>
      <c r="Y12" s="8">
        <f>SUMIFS(Data[Revenue],Data[Product Name],'Data Prep'!W12,Data[Region],Region,Data[Month],PrevMon,Data[Year],$B$12)</f>
        <v>824.25</v>
      </c>
      <c r="Z12" s="14">
        <f t="shared" si="5"/>
        <v>-21.980000000000018</v>
      </c>
      <c r="AA12">
        <f t="shared" si="6"/>
        <v>19</v>
      </c>
      <c r="AB12">
        <f t="shared" si="7"/>
        <v>16</v>
      </c>
      <c r="AE12" s="13" t="s">
        <v>112</v>
      </c>
      <c r="AF12" s="13"/>
      <c r="AG12" s="13"/>
      <c r="AH12" s="13"/>
    </row>
    <row r="13" spans="1:34" x14ac:dyDescent="0.25">
      <c r="A13" s="29" t="s">
        <v>118</v>
      </c>
      <c r="B13" t="str">
        <f>VLOOKUP(CurMon,A17:B28,2,0)&amp;" "&amp;CurYear</f>
        <v>September 2021</v>
      </c>
      <c r="G13">
        <v>11</v>
      </c>
      <c r="H13" s="9" t="s">
        <v>100</v>
      </c>
      <c r="I13" s="8">
        <f>SUMIFS(Data[[Revenue]:[Revenue]],Data[[Region]:[Region]],Region,Data[[Month]:[Month]],'Data Prep'!$G13,Data[[Year]:[Year]],'Data Prep'!I$2)</f>
        <v>73732.52</v>
      </c>
      <c r="J13" s="8" t="e">
        <f>IF(G13&gt;CurMon,NA(),SUMIFS(Data[[Revenue]:[Revenue]],Data[[Region]:[Region]],Region,Data[[Month]:[Month]],'Data Prep'!$G13,Data[[Year]:[Year]],'Data Prep'!J$2))</f>
        <v>#N/A</v>
      </c>
      <c r="K13" s="8" t="e">
        <f t="shared" si="0"/>
        <v>#N/A</v>
      </c>
      <c r="P13" s="17"/>
      <c r="Q13" s="17"/>
      <c r="W13" t="s">
        <v>31</v>
      </c>
      <c r="X13" s="8">
        <f>SUMIFS(Data[Revenue],Data[Product Name],'Data Prep'!W13,Data[Region],Region,Data[Month],CurMon,Data[Year],CurYear)</f>
        <v>2658.67</v>
      </c>
      <c r="Y13" s="8">
        <f>SUMIFS(Data[Revenue],Data[Product Name],'Data Prep'!W13,Data[Region],Region,Data[Month],PrevMon,Data[Year],$B$12)</f>
        <v>2358.8199999999997</v>
      </c>
      <c r="Z13" s="14">
        <f t="shared" si="5"/>
        <v>299.85000000000036</v>
      </c>
      <c r="AA13">
        <f t="shared" si="6"/>
        <v>5</v>
      </c>
      <c r="AB13">
        <f t="shared" si="7"/>
        <v>30</v>
      </c>
      <c r="AE13" s="11" t="s">
        <v>105</v>
      </c>
      <c r="AF13" s="11" t="s">
        <v>106</v>
      </c>
      <c r="AG13" s="11" t="s">
        <v>46</v>
      </c>
      <c r="AH13" s="11" t="s">
        <v>107</v>
      </c>
    </row>
    <row r="14" spans="1:34" x14ac:dyDescent="0.25">
      <c r="G14">
        <v>12</v>
      </c>
      <c r="H14" s="9" t="s">
        <v>101</v>
      </c>
      <c r="I14" s="8">
        <f>SUMIFS(Data[[Revenue]:[Revenue]],Data[[Region]:[Region]],Region,Data[[Month]:[Month]],'Data Prep'!$G14,Data[[Year]:[Year]],'Data Prep'!I$2)</f>
        <v>93356.910000000018</v>
      </c>
      <c r="J14" s="8" t="e">
        <f>IF(G14&gt;CurMon,NA(),SUMIFS(Data[[Revenue]:[Revenue]],Data[[Region]:[Region]],Region,Data[[Month]:[Month]],'Data Prep'!$G14,Data[[Year]:[Year]],'Data Prep'!J$2))</f>
        <v>#N/A</v>
      </c>
      <c r="K14" s="8" t="e">
        <f t="shared" si="0"/>
        <v>#N/A</v>
      </c>
      <c r="W14" t="s">
        <v>15</v>
      </c>
      <c r="X14" s="8">
        <f>SUMIFS(Data[Revenue],Data[Product Name],'Data Prep'!W14,Data[Region],Region,Data[Month],CurMon,Data[Year],CurYear)</f>
        <v>8797.8000000000011</v>
      </c>
      <c r="Y14" s="8">
        <f>SUMIFS(Data[Revenue],Data[Product Name],'Data Prep'!W14,Data[Region],Region,Data[Month],PrevMon,Data[Year],$B$12)</f>
        <v>13276.68</v>
      </c>
      <c r="Z14" s="14">
        <f t="shared" si="5"/>
        <v>-4478.8799999999992</v>
      </c>
      <c r="AA14">
        <f t="shared" si="6"/>
        <v>34</v>
      </c>
      <c r="AB14">
        <f t="shared" si="7"/>
        <v>1</v>
      </c>
      <c r="AE14">
        <v>1</v>
      </c>
      <c r="AF14" t="str">
        <f>INDEX($W$3:$Z$36,MATCH($AE14,$AB$3:$AB$36,0),MATCH(AF$2,$W$2:$Z$2,0))</f>
        <v>Lego Bricks</v>
      </c>
      <c r="AG14" s="8">
        <f t="shared" ref="AG14:AH19" si="10">INDEX($W$3:$Z$36,MATCH($AE14,$AB$3:$AB$36,0),MATCH(AG$2,$W$2:$Z$2,0))</f>
        <v>8797.8000000000011</v>
      </c>
      <c r="AH14" s="8">
        <f t="shared" si="10"/>
        <v>-4478.8799999999992</v>
      </c>
    </row>
    <row r="15" spans="1:34" x14ac:dyDescent="0.25">
      <c r="W15" t="s">
        <v>71</v>
      </c>
      <c r="X15" s="8">
        <f>SUMIFS(Data[Revenue],Data[Product Name],'Data Prep'!W15,Data[Region],Region,Data[Month],CurMon,Data[Year],CurYear)</f>
        <v>0</v>
      </c>
      <c r="Y15" s="8">
        <f>SUMIFS(Data[Revenue],Data[Product Name],'Data Prep'!W15,Data[Region],Region,Data[Month],PrevMon,Data[Year],$B$12)</f>
        <v>0</v>
      </c>
      <c r="Z15" s="14">
        <f t="shared" si="5"/>
        <v>0</v>
      </c>
      <c r="AA15">
        <f t="shared" si="6"/>
        <v>15.5</v>
      </c>
      <c r="AB15">
        <f t="shared" si="7"/>
        <v>19.5</v>
      </c>
      <c r="AE15">
        <v>2</v>
      </c>
      <c r="AF15" t="str">
        <f t="shared" ref="AF15:AF19" si="11">INDEX($W$3:$Z$36,MATCH($AE15,$AB$3:$AB$36,0),MATCH(AF$2,$W$2:$Z$2,0))</f>
        <v>Colorbuds</v>
      </c>
      <c r="AG15" s="8">
        <f t="shared" si="10"/>
        <v>2143.5700000000002</v>
      </c>
      <c r="AH15" s="8">
        <f t="shared" si="10"/>
        <v>-1723.85</v>
      </c>
    </row>
    <row r="16" spans="1:34" x14ac:dyDescent="0.25">
      <c r="A16" s="29" t="s">
        <v>119</v>
      </c>
      <c r="B16" s="29" t="s">
        <v>49</v>
      </c>
      <c r="W16" t="s">
        <v>19</v>
      </c>
      <c r="X16" s="8">
        <f>SUMIFS(Data[Revenue],Data[Product Name],'Data Prep'!W16,Data[Region],Region,Data[Month],CurMon,Data[Year],CurYear)</f>
        <v>319.83999999999997</v>
      </c>
      <c r="Y16" s="8">
        <f>SUMIFS(Data[Revenue],Data[Product Name],'Data Prep'!W16,Data[Region],Region,Data[Month],PrevMon,Data[Year],$B$12)</f>
        <v>259.87</v>
      </c>
      <c r="Z16" s="14">
        <f t="shared" si="5"/>
        <v>59.96999999999997</v>
      </c>
      <c r="AA16">
        <f t="shared" si="6"/>
        <v>10</v>
      </c>
      <c r="AB16">
        <f t="shared" si="7"/>
        <v>25</v>
      </c>
      <c r="AE16">
        <v>3</v>
      </c>
      <c r="AF16" t="str">
        <f t="shared" si="11"/>
        <v>Deck Of Cards</v>
      </c>
      <c r="AG16" s="8">
        <f t="shared" si="10"/>
        <v>1523.8199999999997</v>
      </c>
      <c r="AH16" s="8">
        <f t="shared" si="10"/>
        <v>-1432.9500000000003</v>
      </c>
    </row>
    <row r="17" spans="1:34" x14ac:dyDescent="0.25">
      <c r="A17">
        <v>1</v>
      </c>
      <c r="B17" s="17" t="s">
        <v>120</v>
      </c>
      <c r="W17" t="s">
        <v>27</v>
      </c>
      <c r="X17" s="8">
        <f>SUMIFS(Data[Revenue],Data[Product Name],'Data Prep'!W17,Data[Region],Region,Data[Month],CurMon,Data[Year],CurYear)</f>
        <v>1225.9000000000001</v>
      </c>
      <c r="Y17" s="8">
        <f>SUMIFS(Data[Revenue],Data[Product Name],'Data Prep'!W17,Data[Region],Region,Data[Month],PrevMon,Data[Year],$B$12)</f>
        <v>1770.0800000000002</v>
      </c>
      <c r="Z17" s="14">
        <f t="shared" si="5"/>
        <v>-544.18000000000006</v>
      </c>
      <c r="AA17">
        <f t="shared" si="6"/>
        <v>26</v>
      </c>
      <c r="AB17">
        <f t="shared" si="7"/>
        <v>9</v>
      </c>
      <c r="AE17">
        <v>4</v>
      </c>
      <c r="AF17" t="str">
        <f t="shared" si="11"/>
        <v>Etch A Sketch</v>
      </c>
      <c r="AG17" s="8">
        <f t="shared" si="10"/>
        <v>482.77</v>
      </c>
      <c r="AH17" s="8">
        <f t="shared" si="10"/>
        <v>-1238.4099999999999</v>
      </c>
    </row>
    <row r="18" spans="1:34" x14ac:dyDescent="0.25">
      <c r="A18">
        <v>2</v>
      </c>
      <c r="B18" s="17" t="s">
        <v>121</v>
      </c>
      <c r="W18" t="s">
        <v>11</v>
      </c>
      <c r="X18" s="8">
        <f>SUMIFS(Data[Revenue],Data[Product Name],'Data Prep'!W18,Data[Region],Region,Data[Month],CurMon,Data[Year],CurYear)</f>
        <v>144.71</v>
      </c>
      <c r="Y18" s="8">
        <f>SUMIFS(Data[Revenue],Data[Product Name],'Data Prep'!W18,Data[Region],Region,Data[Month],PrevMon,Data[Year],$B$12)</f>
        <v>733.53</v>
      </c>
      <c r="Z18" s="14">
        <f t="shared" si="5"/>
        <v>-588.81999999999994</v>
      </c>
      <c r="AA18">
        <f t="shared" si="6"/>
        <v>27</v>
      </c>
      <c r="AB18">
        <f t="shared" si="7"/>
        <v>8</v>
      </c>
      <c r="AE18">
        <v>5</v>
      </c>
      <c r="AF18" t="str">
        <f t="shared" si="11"/>
        <v>Plush Pony</v>
      </c>
      <c r="AG18" s="8">
        <f t="shared" si="10"/>
        <v>59.97</v>
      </c>
      <c r="AH18" s="8">
        <f t="shared" si="10"/>
        <v>-999.49999999999977</v>
      </c>
    </row>
    <row r="19" spans="1:34" x14ac:dyDescent="0.25">
      <c r="A19">
        <v>3</v>
      </c>
      <c r="B19" s="17" t="s">
        <v>122</v>
      </c>
      <c r="W19" t="s">
        <v>26</v>
      </c>
      <c r="X19" s="8">
        <f>SUMIFS(Data[Revenue],Data[Product Name],'Data Prep'!W19,Data[Region],Region,Data[Month],CurMon,Data[Year],CurYear)</f>
        <v>3378.3099999999995</v>
      </c>
      <c r="Y19" s="8">
        <f>SUMIFS(Data[Revenue],Data[Product Name],'Data Prep'!W19,Data[Region],Region,Data[Month],PrevMon,Data[Year],$B$12)</f>
        <v>2298.85</v>
      </c>
      <c r="Z19" s="14">
        <f t="shared" si="5"/>
        <v>1079.4599999999996</v>
      </c>
      <c r="AA19">
        <f t="shared" si="6"/>
        <v>2</v>
      </c>
      <c r="AB19">
        <f t="shared" si="7"/>
        <v>33</v>
      </c>
      <c r="AE19">
        <v>6</v>
      </c>
      <c r="AF19" t="str">
        <f t="shared" si="11"/>
        <v>Toy Robot</v>
      </c>
      <c r="AG19" s="8">
        <f t="shared" si="10"/>
        <v>1351.48</v>
      </c>
      <c r="AH19" s="8">
        <f t="shared" si="10"/>
        <v>-909.65000000000009</v>
      </c>
    </row>
    <row r="20" spans="1:34" x14ac:dyDescent="0.25">
      <c r="A20">
        <v>4</v>
      </c>
      <c r="B20" s="17" t="s">
        <v>123</v>
      </c>
      <c r="W20" t="s">
        <v>6</v>
      </c>
      <c r="X20" s="8">
        <f>SUMIFS(Data[Revenue],Data[Product Name],'Data Prep'!W20,Data[Region],Region,Data[Month],CurMon,Data[Year],CurYear)</f>
        <v>1762.04</v>
      </c>
      <c r="Y20" s="8">
        <f>SUMIFS(Data[Revenue],Data[Product Name],'Data Prep'!W20,Data[Region],Region,Data[Month],PrevMon,Data[Year],$B$12)</f>
        <v>1708.1000000000001</v>
      </c>
      <c r="Z20" s="14">
        <f t="shared" si="5"/>
        <v>53.939999999999827</v>
      </c>
      <c r="AA20">
        <f t="shared" si="6"/>
        <v>11</v>
      </c>
      <c r="AB20">
        <f t="shared" si="7"/>
        <v>24</v>
      </c>
    </row>
    <row r="21" spans="1:34" x14ac:dyDescent="0.25">
      <c r="A21">
        <v>5</v>
      </c>
      <c r="B21" s="17" t="s">
        <v>94</v>
      </c>
      <c r="W21" t="s">
        <v>16</v>
      </c>
      <c r="X21" s="8">
        <f>SUMIFS(Data[Revenue],Data[Product Name],'Data Prep'!W21,Data[Region],Region,Data[Month],CurMon,Data[Year],CurYear)</f>
        <v>207.84</v>
      </c>
      <c r="Y21" s="8">
        <f>SUMIFS(Data[Revenue],Data[Product Name],'Data Prep'!W21,Data[Region],Region,Data[Month],PrevMon,Data[Year],$B$12)</f>
        <v>675.48</v>
      </c>
      <c r="Z21" s="14">
        <f t="shared" si="5"/>
        <v>-467.64</v>
      </c>
      <c r="AA21">
        <f t="shared" si="6"/>
        <v>24</v>
      </c>
      <c r="AB21">
        <f t="shared" si="7"/>
        <v>11</v>
      </c>
    </row>
    <row r="22" spans="1:34" x14ac:dyDescent="0.25">
      <c r="A22">
        <v>6</v>
      </c>
      <c r="B22" s="17" t="s">
        <v>124</v>
      </c>
      <c r="W22" t="s">
        <v>23</v>
      </c>
      <c r="X22" s="8">
        <f>SUMIFS(Data[Revenue],Data[Product Name],'Data Prep'!W22,Data[Region],Region,Data[Month],CurMon,Data[Year],CurYear)</f>
        <v>1351.48</v>
      </c>
      <c r="Y22" s="8">
        <f>SUMIFS(Data[Revenue],Data[Product Name],'Data Prep'!W22,Data[Region],Region,Data[Month],PrevMon,Data[Year],$B$12)</f>
        <v>2261.13</v>
      </c>
      <c r="Z22" s="14">
        <f t="shared" si="5"/>
        <v>-909.65000000000009</v>
      </c>
      <c r="AA22">
        <f t="shared" si="6"/>
        <v>29</v>
      </c>
      <c r="AB22">
        <f t="shared" si="7"/>
        <v>6</v>
      </c>
    </row>
    <row r="23" spans="1:34" x14ac:dyDescent="0.25">
      <c r="A23">
        <v>7</v>
      </c>
      <c r="B23" s="17" t="s">
        <v>125</v>
      </c>
      <c r="W23" t="s">
        <v>10</v>
      </c>
      <c r="X23" s="8">
        <f>SUMIFS(Data[Revenue],Data[Product Name],'Data Prep'!W23,Data[Region],Region,Data[Month],CurMon,Data[Year],CurYear)</f>
        <v>4837.58</v>
      </c>
      <c r="Y23" s="8">
        <f>SUMIFS(Data[Revenue],Data[Product Name],'Data Prep'!W23,Data[Region],Region,Data[Month],PrevMon,Data[Year],$B$12)</f>
        <v>2278.8599999999997</v>
      </c>
      <c r="Z23" s="14">
        <f t="shared" si="5"/>
        <v>2558.7200000000003</v>
      </c>
      <c r="AA23">
        <f t="shared" si="6"/>
        <v>1</v>
      </c>
      <c r="AB23">
        <f t="shared" si="7"/>
        <v>34</v>
      </c>
    </row>
    <row r="24" spans="1:34" x14ac:dyDescent="0.25">
      <c r="A24">
        <v>8</v>
      </c>
      <c r="B24" s="17" t="s">
        <v>126</v>
      </c>
      <c r="W24" t="s">
        <v>66</v>
      </c>
      <c r="X24" s="8">
        <f>SUMIFS(Data[Revenue],Data[Product Name],'Data Prep'!W24,Data[Region],Region,Data[Month],CurMon,Data[Year],CurYear)</f>
        <v>0</v>
      </c>
      <c r="Y24" s="8">
        <f>SUMIFS(Data[Revenue],Data[Product Name],'Data Prep'!W24,Data[Region],Region,Data[Month],PrevMon,Data[Year],$B$12)</f>
        <v>0</v>
      </c>
      <c r="Z24" s="14">
        <f t="shared" si="5"/>
        <v>0</v>
      </c>
      <c r="AA24">
        <f t="shared" si="6"/>
        <v>15.5</v>
      </c>
      <c r="AB24">
        <f t="shared" si="7"/>
        <v>19.5</v>
      </c>
    </row>
    <row r="25" spans="1:34" x14ac:dyDescent="0.25">
      <c r="A25">
        <v>9</v>
      </c>
      <c r="B25" s="17" t="s">
        <v>127</v>
      </c>
      <c r="W25" t="s">
        <v>29</v>
      </c>
      <c r="X25" s="8">
        <f>SUMIFS(Data[Revenue],Data[Product Name],'Data Prep'!W25,Data[Region],Region,Data[Month],CurMon,Data[Year],CurYear)</f>
        <v>0</v>
      </c>
      <c r="Y25" s="8">
        <f>SUMIFS(Data[Revenue],Data[Product Name],'Data Prep'!W25,Data[Region],Region,Data[Month],PrevMon,Data[Year],$B$12)</f>
        <v>223.72000000000003</v>
      </c>
      <c r="Z25" s="14">
        <f t="shared" si="5"/>
        <v>-223.72000000000003</v>
      </c>
      <c r="AA25">
        <f t="shared" si="6"/>
        <v>21</v>
      </c>
      <c r="AB25">
        <f t="shared" si="7"/>
        <v>14</v>
      </c>
    </row>
    <row r="26" spans="1:34" x14ac:dyDescent="0.25">
      <c r="A26">
        <v>10</v>
      </c>
      <c r="B26" s="17" t="s">
        <v>128</v>
      </c>
      <c r="W26" t="s">
        <v>34</v>
      </c>
      <c r="X26" s="8">
        <f>SUMIFS(Data[Revenue],Data[Product Name],'Data Prep'!W26,Data[Region],Region,Data[Month],CurMon,Data[Year],CurYear)</f>
        <v>2581.5300000000002</v>
      </c>
      <c r="Y26" s="8">
        <f>SUMIFS(Data[Revenue],Data[Product Name],'Data Prep'!W26,Data[Region],Region,Data[Month],PrevMon,Data[Year],$B$12)</f>
        <v>1835.4000000000003</v>
      </c>
      <c r="Z26" s="14">
        <f t="shared" si="5"/>
        <v>746.12999999999988</v>
      </c>
      <c r="AA26">
        <f t="shared" si="6"/>
        <v>3</v>
      </c>
      <c r="AB26">
        <f t="shared" si="7"/>
        <v>32</v>
      </c>
    </row>
    <row r="27" spans="1:34" x14ac:dyDescent="0.25">
      <c r="A27">
        <v>11</v>
      </c>
      <c r="B27" s="17" t="s">
        <v>129</v>
      </c>
      <c r="W27" t="s">
        <v>70</v>
      </c>
      <c r="X27" s="8">
        <f>SUMIFS(Data[Revenue],Data[Product Name],'Data Prep'!W27,Data[Region],Region,Data[Month],CurMon,Data[Year],CurYear)</f>
        <v>0</v>
      </c>
      <c r="Y27" s="8">
        <f>SUMIFS(Data[Revenue],Data[Product Name],'Data Prep'!W27,Data[Region],Region,Data[Month],PrevMon,Data[Year],$B$12)</f>
        <v>0</v>
      </c>
      <c r="Z27" s="14">
        <f t="shared" si="5"/>
        <v>0</v>
      </c>
      <c r="AA27">
        <f t="shared" si="6"/>
        <v>15.5</v>
      </c>
      <c r="AB27">
        <f t="shared" si="7"/>
        <v>19.5</v>
      </c>
    </row>
    <row r="28" spans="1:34" x14ac:dyDescent="0.25">
      <c r="A28">
        <v>12</v>
      </c>
      <c r="B28" s="17" t="s">
        <v>130</v>
      </c>
      <c r="W28" t="s">
        <v>67</v>
      </c>
      <c r="X28" s="8">
        <f>SUMIFS(Data[Revenue],Data[Product Name],'Data Prep'!W28,Data[Region],Region,Data[Month],CurMon,Data[Year],CurYear)</f>
        <v>0</v>
      </c>
      <c r="Y28" s="8">
        <f>SUMIFS(Data[Revenue],Data[Product Name],'Data Prep'!W28,Data[Region],Region,Data[Month],PrevMon,Data[Year],$B$12)</f>
        <v>0</v>
      </c>
      <c r="Z28" s="14">
        <f t="shared" si="5"/>
        <v>0</v>
      </c>
      <c r="AA28">
        <f t="shared" si="6"/>
        <v>15.5</v>
      </c>
      <c r="AB28">
        <f t="shared" si="7"/>
        <v>19.5</v>
      </c>
    </row>
    <row r="29" spans="1:34" x14ac:dyDescent="0.25">
      <c r="W29" t="s">
        <v>37</v>
      </c>
      <c r="X29" s="8">
        <f>SUMIFS(Data[Revenue],Data[Product Name],'Data Prep'!W29,Data[Region],Region,Data[Month],CurMon,Data[Year],CurYear)</f>
        <v>949.61999999999989</v>
      </c>
      <c r="Y29" s="8">
        <f>SUMIFS(Data[Revenue],Data[Product Name],'Data Prep'!W29,Data[Region],Region,Data[Month],PrevMon,Data[Year],$B$12)</f>
        <v>899.63999999999987</v>
      </c>
      <c r="Z29" s="14">
        <f t="shared" si="5"/>
        <v>49.980000000000018</v>
      </c>
      <c r="AA29">
        <f t="shared" si="6"/>
        <v>12</v>
      </c>
      <c r="AB29">
        <f t="shared" si="7"/>
        <v>23</v>
      </c>
    </row>
    <row r="30" spans="1:34" x14ac:dyDescent="0.25">
      <c r="W30" t="s">
        <v>38</v>
      </c>
      <c r="X30" s="8">
        <f>SUMIFS(Data[Revenue],Data[Product Name],'Data Prep'!W30,Data[Region],Region,Data[Month],CurMon,Data[Year],CurYear)</f>
        <v>19.98</v>
      </c>
      <c r="Y30" s="8">
        <f>SUMIFS(Data[Revenue],Data[Product Name],'Data Prep'!W30,Data[Region],Region,Data[Month],PrevMon,Data[Year],$B$12)</f>
        <v>149.85</v>
      </c>
      <c r="Z30" s="14">
        <f t="shared" si="5"/>
        <v>-129.87</v>
      </c>
      <c r="AA30">
        <f t="shared" si="6"/>
        <v>20</v>
      </c>
      <c r="AB30">
        <f t="shared" si="7"/>
        <v>15</v>
      </c>
    </row>
    <row r="31" spans="1:34" x14ac:dyDescent="0.25">
      <c r="W31" t="s">
        <v>39</v>
      </c>
      <c r="X31" s="8">
        <f>SUMIFS(Data[Revenue],Data[Product Name],'Data Prep'!W31,Data[Region],Region,Data[Month],CurMon,Data[Year],CurYear)</f>
        <v>59.97</v>
      </c>
      <c r="Y31" s="8">
        <f>SUMIFS(Data[Revenue],Data[Product Name],'Data Prep'!W31,Data[Region],Region,Data[Month],PrevMon,Data[Year],$B$12)</f>
        <v>1059.4699999999998</v>
      </c>
      <c r="Z31" s="14">
        <f t="shared" si="5"/>
        <v>-999.49999999999977</v>
      </c>
      <c r="AA31">
        <f t="shared" si="6"/>
        <v>30</v>
      </c>
      <c r="AB31">
        <f t="shared" si="7"/>
        <v>5</v>
      </c>
    </row>
    <row r="32" spans="1:34" x14ac:dyDescent="0.25">
      <c r="W32" t="s">
        <v>68</v>
      </c>
      <c r="X32" s="8">
        <f>SUMIFS(Data[Revenue],Data[Product Name],'Data Prep'!W32,Data[Region],Region,Data[Month],CurMon,Data[Year],CurYear)</f>
        <v>0</v>
      </c>
      <c r="Y32" s="8">
        <f>SUMIFS(Data[Revenue],Data[Product Name],'Data Prep'!W32,Data[Region],Region,Data[Month],PrevMon,Data[Year],$B$12)</f>
        <v>0</v>
      </c>
      <c r="Z32" s="14">
        <f t="shared" si="5"/>
        <v>0</v>
      </c>
      <c r="AA32">
        <f t="shared" si="6"/>
        <v>15.5</v>
      </c>
      <c r="AB32">
        <f t="shared" si="7"/>
        <v>19.5</v>
      </c>
    </row>
    <row r="33" spans="23:28" x14ac:dyDescent="0.25">
      <c r="W33" t="s">
        <v>42</v>
      </c>
      <c r="X33" s="8">
        <f>SUMIFS(Data[Revenue],Data[Product Name],'Data Prep'!W33,Data[Region],Region,Data[Month],CurMon,Data[Year],CurYear)</f>
        <v>5212.7400000000007</v>
      </c>
      <c r="Y33" s="8">
        <f>SUMIFS(Data[Revenue],Data[Product Name],'Data Prep'!W33,Data[Region],Region,Data[Month],PrevMon,Data[Year],$B$12)</f>
        <v>5660.4600000000009</v>
      </c>
      <c r="Z33" s="14">
        <f t="shared" si="5"/>
        <v>-447.72000000000025</v>
      </c>
      <c r="AA33">
        <f t="shared" si="6"/>
        <v>23</v>
      </c>
      <c r="AB33">
        <f t="shared" si="7"/>
        <v>12</v>
      </c>
    </row>
    <row r="34" spans="23:28" x14ac:dyDescent="0.25">
      <c r="W34" t="s">
        <v>41</v>
      </c>
      <c r="X34" s="8">
        <f>SUMIFS(Data[Revenue],Data[Product Name],'Data Prep'!W34,Data[Region],Region,Data[Month],CurMon,Data[Year],CurYear)</f>
        <v>909.09</v>
      </c>
      <c r="Y34" s="8">
        <f>SUMIFS(Data[Revenue],Data[Product Name],'Data Prep'!W34,Data[Region],Region,Data[Month],PrevMon,Data[Year],$B$12)</f>
        <v>819.18000000000006</v>
      </c>
      <c r="Z34" s="14">
        <f t="shared" si="5"/>
        <v>89.909999999999968</v>
      </c>
      <c r="AA34">
        <f t="shared" si="6"/>
        <v>8</v>
      </c>
      <c r="AB34">
        <f t="shared" si="7"/>
        <v>27</v>
      </c>
    </row>
    <row r="35" spans="23:28" x14ac:dyDescent="0.25">
      <c r="W35" t="s">
        <v>43</v>
      </c>
      <c r="X35" s="8">
        <f>SUMIFS(Data[Revenue],Data[Product Name],'Data Prep'!W35,Data[Region],Region,Data[Month],CurMon,Data[Year],CurYear)</f>
        <v>482.77</v>
      </c>
      <c r="Y35" s="8">
        <f>SUMIFS(Data[Revenue],Data[Product Name],'Data Prep'!W35,Data[Region],Region,Data[Month],PrevMon,Data[Year],$B$12)</f>
        <v>1721.1799999999998</v>
      </c>
      <c r="Z35" s="14">
        <f t="shared" si="5"/>
        <v>-1238.4099999999999</v>
      </c>
      <c r="AA35">
        <f t="shared" si="6"/>
        <v>31</v>
      </c>
      <c r="AB35">
        <f t="shared" si="7"/>
        <v>4</v>
      </c>
    </row>
    <row r="36" spans="23:28" x14ac:dyDescent="0.25">
      <c r="W36" t="s">
        <v>69</v>
      </c>
      <c r="X36" s="8">
        <f>SUMIFS(Data[Revenue],Data[Product Name],'Data Prep'!W36,Data[Region],Region,Data[Month],CurMon,Data[Year],CurYear)</f>
        <v>0</v>
      </c>
      <c r="Y36" s="8">
        <f>SUMIFS(Data[Revenue],Data[Product Name],'Data Prep'!W36,Data[Region],Region,Data[Month],PrevMon,Data[Year],$B$12)</f>
        <v>0</v>
      </c>
      <c r="Z36" s="14">
        <f t="shared" si="5"/>
        <v>0</v>
      </c>
      <c r="AA36">
        <f t="shared" si="6"/>
        <v>15.5</v>
      </c>
      <c r="AB36">
        <f t="shared" si="7"/>
        <v>19.5</v>
      </c>
    </row>
  </sheetData>
  <mergeCells count="3">
    <mergeCell ref="A1:B1"/>
    <mergeCell ref="A7:B7"/>
    <mergeCell ref="D1:E1"/>
  </mergeCells>
  <phoneticPr fontId="2" type="noConversion"/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313D-6026-46DE-8A83-59BE6F136F0B}">
  <dimension ref="A1:XFC1048575"/>
  <sheetViews>
    <sheetView showGridLines="0" showRowColHeaders="0" tabSelected="1" zoomScale="112" zoomScaleNormal="112" workbookViewId="0">
      <selection activeCell="C6" sqref="C6"/>
    </sheetView>
  </sheetViews>
  <sheetFormatPr defaultColWidth="0" defaultRowHeight="15" zeroHeight="1" x14ac:dyDescent="0.25"/>
  <cols>
    <col min="1" max="1" width="3" customWidth="1"/>
    <col min="2" max="2" width="17" customWidth="1"/>
    <col min="3" max="3" width="24" customWidth="1"/>
    <col min="4" max="4" width="21.5703125" customWidth="1"/>
    <col min="5" max="5" width="24" customWidth="1"/>
    <col min="6" max="6" width="6" customWidth="1"/>
    <col min="7" max="10" width="9.140625" customWidth="1"/>
    <col min="11" max="11" width="4.5703125" customWidth="1"/>
    <col min="12" max="12" width="3.7109375" customWidth="1"/>
    <col min="13" max="13" width="9.140625" customWidth="1"/>
    <col min="14" max="14" width="7.28515625" customWidth="1"/>
    <col min="15" max="15" width="0.7109375" customWidth="1"/>
    <col min="16" max="16" width="2.28515625" customWidth="1"/>
    <col min="17" max="17" width="16.85546875" customWidth="1"/>
    <col min="18" max="18" width="11.28515625" bestFit="1" customWidth="1"/>
    <col min="19" max="19" width="26.5703125" customWidth="1"/>
    <col min="20" max="20" width="7.140625" customWidth="1"/>
    <col min="21" max="16383" width="2.28515625" hidden="1"/>
    <col min="16384" max="16384" width="4.28515625" hidden="1" customWidth="1"/>
  </cols>
  <sheetData>
    <row r="1" spans="2:19" x14ac:dyDescent="0.25"/>
    <row r="2" spans="2:19" x14ac:dyDescent="0.25"/>
    <row r="3" spans="2:19" x14ac:dyDescent="0.25"/>
    <row r="4" spans="2:19" ht="9.75" customHeight="1" x14ac:dyDescent="0.25"/>
    <row r="5" spans="2:19" ht="24.75" customHeight="1" x14ac:dyDescent="0.25"/>
    <row r="6" spans="2:19" ht="24.75" customHeight="1" x14ac:dyDescent="0.5">
      <c r="B6" s="27" t="s">
        <v>116</v>
      </c>
      <c r="C6" s="34" t="s">
        <v>48</v>
      </c>
      <c r="D6" s="28" t="s">
        <v>117</v>
      </c>
      <c r="E6" s="31" t="str">
        <f>'Data Prep'!B13&amp;"?"</f>
        <v>September 2021?</v>
      </c>
      <c r="F6" s="30"/>
    </row>
    <row r="7" spans="2:19" x14ac:dyDescent="0.25"/>
    <row r="8" spans="2:19" x14ac:dyDescent="0.25"/>
    <row r="9" spans="2:19" x14ac:dyDescent="0.25"/>
    <row r="10" spans="2:19" x14ac:dyDescent="0.25"/>
    <row r="11" spans="2:19" ht="21" customHeight="1" x14ac:dyDescent="0.25"/>
    <row r="12" spans="2:19" ht="22.5" customHeight="1" x14ac:dyDescent="0.3">
      <c r="P12" s="18"/>
      <c r="Q12" s="20" t="s">
        <v>113</v>
      </c>
      <c r="R12" s="21" t="s">
        <v>46</v>
      </c>
      <c r="S12" s="21" t="s">
        <v>114</v>
      </c>
    </row>
    <row r="13" spans="2:19" ht="18.75" customHeight="1" x14ac:dyDescent="0.25">
      <c r="P13" s="18"/>
      <c r="Q13" s="18" t="str">
        <f>'Data Prep'!AF3</f>
        <v>Nerf Gun</v>
      </c>
      <c r="R13" s="19">
        <f>'Data Prep'!AG3</f>
        <v>4837.58</v>
      </c>
      <c r="S13" s="19">
        <f>'Data Prep'!AH3</f>
        <v>2558.7200000000003</v>
      </c>
    </row>
    <row r="14" spans="2:19" ht="18.75" customHeight="1" x14ac:dyDescent="0.25">
      <c r="P14" s="18"/>
      <c r="Q14" s="18" t="str">
        <f>'Data Prep'!AF4</f>
        <v>Rubik's Cube</v>
      </c>
      <c r="R14" s="19">
        <f>'Data Prep'!AG4</f>
        <v>3378.3099999999995</v>
      </c>
      <c r="S14" s="19">
        <f>'Data Prep'!AH4</f>
        <v>1079.4599999999996</v>
      </c>
    </row>
    <row r="15" spans="2:19" ht="18.75" customHeight="1" x14ac:dyDescent="0.25">
      <c r="P15" s="18"/>
      <c r="Q15" s="18" t="str">
        <f>'Data Prep'!AF5</f>
        <v>Barrel O' Slime</v>
      </c>
      <c r="R15" s="19">
        <f>'Data Prep'!AG5</f>
        <v>2581.5300000000002</v>
      </c>
      <c r="S15" s="19">
        <f>'Data Prep'!AH5</f>
        <v>746.12999999999988</v>
      </c>
    </row>
    <row r="16" spans="2:19" ht="20.25" customHeight="1" x14ac:dyDescent="0.25">
      <c r="P16" s="18"/>
      <c r="Q16" s="18" t="str">
        <f>'Data Prep'!AF6</f>
        <v>Dart Gun</v>
      </c>
      <c r="R16" s="19">
        <f>'Data Prep'!AG6</f>
        <v>2510.4300000000003</v>
      </c>
      <c r="S16" s="19">
        <f>'Data Prep'!AH6</f>
        <v>639.60000000000014</v>
      </c>
    </row>
    <row r="17" spans="16:20" ht="20.25" customHeight="1" x14ac:dyDescent="0.25">
      <c r="P17" s="18"/>
      <c r="Q17" s="18" t="str">
        <f>'Data Prep'!AF7</f>
        <v>Kids Makeup Kit</v>
      </c>
      <c r="R17" s="19">
        <f>'Data Prep'!AG7</f>
        <v>2658.67</v>
      </c>
      <c r="S17" s="19">
        <f>'Data Prep'!AH7</f>
        <v>299.85000000000036</v>
      </c>
    </row>
    <row r="18" spans="16:20" ht="19.5" customHeight="1" x14ac:dyDescent="0.25">
      <c r="Q18" s="18" t="str">
        <f>'Data Prep'!AF8</f>
        <v>Classic Dominoes</v>
      </c>
      <c r="R18" s="19">
        <f>'Data Prep'!AG8</f>
        <v>249.75</v>
      </c>
      <c r="S18" s="22">
        <f>'Data Prep'!AH8</f>
        <v>249.75</v>
      </c>
    </row>
    <row r="19" spans="16:20" ht="23.25" customHeight="1" x14ac:dyDescent="0.3">
      <c r="S19" s="32">
        <f>SUM(S13:S18)</f>
        <v>5573.51</v>
      </c>
    </row>
    <row r="20" spans="16:20" x14ac:dyDescent="0.25"/>
    <row r="21" spans="16:20" x14ac:dyDescent="0.25"/>
    <row r="22" spans="16:20" x14ac:dyDescent="0.25"/>
    <row r="23" spans="16:20" x14ac:dyDescent="0.25"/>
    <row r="24" spans="16:20" x14ac:dyDescent="0.25"/>
    <row r="25" spans="16:20" ht="21" customHeight="1" x14ac:dyDescent="0.25"/>
    <row r="26" spans="16:20" ht="18.75" x14ac:dyDescent="0.3">
      <c r="Q26" s="20" t="s">
        <v>113</v>
      </c>
      <c r="R26" s="21" t="s">
        <v>46</v>
      </c>
      <c r="S26" s="21" t="s">
        <v>114</v>
      </c>
    </row>
    <row r="27" spans="16:20" ht="19.5" customHeight="1" x14ac:dyDescent="0.25">
      <c r="P27" s="18"/>
      <c r="Q27" s="19" t="str">
        <f>'Data Prep'!AF14</f>
        <v>Lego Bricks</v>
      </c>
      <c r="R27" s="19">
        <f>'Data Prep'!AG14</f>
        <v>8797.8000000000011</v>
      </c>
      <c r="S27" s="19">
        <f>'Data Prep'!AH14</f>
        <v>-4478.8799999999992</v>
      </c>
      <c r="T27" s="19"/>
    </row>
    <row r="28" spans="16:20" ht="19.5" customHeight="1" x14ac:dyDescent="0.25">
      <c r="P28" s="18"/>
      <c r="Q28" s="19" t="str">
        <f>'Data Prep'!AF15</f>
        <v>Colorbuds</v>
      </c>
      <c r="R28" s="19">
        <f>'Data Prep'!AG15</f>
        <v>2143.5700000000002</v>
      </c>
      <c r="S28" s="19">
        <f>'Data Prep'!AH15</f>
        <v>-1723.85</v>
      </c>
      <c r="T28" s="19"/>
    </row>
    <row r="29" spans="16:20" ht="20.25" customHeight="1" x14ac:dyDescent="0.25">
      <c r="P29" s="18"/>
      <c r="Q29" s="19" t="str">
        <f>'Data Prep'!AF16</f>
        <v>Deck Of Cards</v>
      </c>
      <c r="R29" s="19">
        <f>'Data Prep'!AG16</f>
        <v>1523.8199999999997</v>
      </c>
      <c r="S29" s="19">
        <f>'Data Prep'!AH16</f>
        <v>-1432.9500000000003</v>
      </c>
      <c r="T29" s="19"/>
    </row>
    <row r="30" spans="16:20" ht="19.5" customHeight="1" x14ac:dyDescent="0.25">
      <c r="P30" s="18"/>
      <c r="Q30" s="19" t="str">
        <f>'Data Prep'!AF17</f>
        <v>Etch A Sketch</v>
      </c>
      <c r="R30" s="19">
        <f>'Data Prep'!AG17</f>
        <v>482.77</v>
      </c>
      <c r="S30" s="19">
        <f>'Data Prep'!AH17</f>
        <v>-1238.4099999999999</v>
      </c>
      <c r="T30" s="19"/>
    </row>
    <row r="31" spans="16:20" ht="19.5" customHeight="1" x14ac:dyDescent="0.25">
      <c r="P31" s="18"/>
      <c r="Q31" s="19" t="str">
        <f>'Data Prep'!AF18</f>
        <v>Plush Pony</v>
      </c>
      <c r="R31" s="19">
        <f>'Data Prep'!AG18</f>
        <v>59.97</v>
      </c>
      <c r="S31" s="19">
        <f>'Data Prep'!AH18</f>
        <v>-999.49999999999977</v>
      </c>
      <c r="T31" s="19"/>
    </row>
    <row r="32" spans="16:20" ht="19.5" customHeight="1" x14ac:dyDescent="0.25">
      <c r="Q32" s="19" t="str">
        <f>'Data Prep'!AF19</f>
        <v>Toy Robot</v>
      </c>
      <c r="R32" s="19">
        <f>'Data Prep'!AG19</f>
        <v>1351.48</v>
      </c>
      <c r="S32" s="22">
        <f>'Data Prep'!AH19</f>
        <v>-909.65000000000009</v>
      </c>
    </row>
    <row r="33" spans="19:19" ht="23.25" customHeight="1" x14ac:dyDescent="0.3">
      <c r="S33" s="33">
        <f>SUM(S27:S32)</f>
        <v>-10783.24</v>
      </c>
    </row>
    <row r="34" spans="19:19" ht="11.25" hidden="1" customHeight="1" x14ac:dyDescent="0.25"/>
    <row r="38" spans="19:19" ht="12.75" hidden="1" customHeight="1" x14ac:dyDescent="0.25"/>
    <row r="44" spans="19:19" ht="19.5" hidden="1" customHeight="1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1048572" ht="13.5" customHeight="1" x14ac:dyDescent="0.25"/>
    <row r="1048574" ht="31.5" hidden="1" customHeight="1" x14ac:dyDescent="0.25"/>
    <row r="1048575" ht="52.5" hidden="1" customHeight="1" x14ac:dyDescent="0.25"/>
  </sheetData>
  <sheetProtection sheet="1" objects="1" scenarios="1" selectLockedCells="1"/>
  <conditionalFormatting sqref="S13:S18">
    <cfRule type="colorScale" priority="3">
      <colorScale>
        <cfvo type="min"/>
        <cfvo type="max"/>
        <color theme="0"/>
        <color theme="9" tint="0.59999389629810485"/>
      </colorScale>
    </cfRule>
  </conditionalFormatting>
  <conditionalFormatting sqref="S27:S32">
    <cfRule type="colorScale" priority="1">
      <colorScale>
        <cfvo type="min"/>
        <cfvo type="max"/>
        <color rgb="FFFF7D7D"/>
        <color theme="0"/>
      </colorScale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D25ED4-1475-4669-B418-1EE03A5DCACD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35" workbookViewId="0">
      <selection sqref="A1:J269"/>
    </sheetView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26" workbookViewId="0">
      <selection sqref="A1:J260"/>
    </sheetView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</vt:lpstr>
      <vt:lpstr>CurYear</vt:lpstr>
      <vt:lpstr>PmYear</vt:lpstr>
      <vt:lpstr>PrevMon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SANKALP sachan</cp:lastModifiedBy>
  <dcterms:created xsi:type="dcterms:W3CDTF">2021-07-16T18:17:37Z</dcterms:created>
  <dcterms:modified xsi:type="dcterms:W3CDTF">2023-08-05T14:20:54Z</dcterms:modified>
</cp:coreProperties>
</file>