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P\Documents\Faculdade\IC\"/>
    </mc:Choice>
  </mc:AlternateContent>
  <xr:revisionPtr revIDLastSave="0" documentId="13_ncr:1_{C7F1AC4F-E902-496A-B3A2-5E56369BEA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dos_total" sheetId="1" r:id="rId1"/>
    <sheet name="Gráficos" sheetId="2" r:id="rId2"/>
  </sheets>
  <definedNames>
    <definedName name="_xlchart.v1.0" hidden="1">Gráficos!$A$10</definedName>
    <definedName name="_xlchart.v1.1" hidden="1">Gráficos!$A$11</definedName>
    <definedName name="_xlchart.v1.10" hidden="1">Gráficos!$B$11</definedName>
    <definedName name="_xlchart.v1.11" hidden="1">Gráficos!$B$2</definedName>
    <definedName name="_xlchart.v1.12" hidden="1">Gráficos!$B$3</definedName>
    <definedName name="_xlchart.v1.13" hidden="1">Gráficos!$B$4</definedName>
    <definedName name="_xlchart.v1.14" hidden="1">Gráficos!$B$5</definedName>
    <definedName name="_xlchart.v1.15" hidden="1">Gráficos!$B$6</definedName>
    <definedName name="_xlchart.v1.16" hidden="1">Gráficos!$B$7</definedName>
    <definedName name="_xlchart.v1.17" hidden="1">Gráficos!$B$8</definedName>
    <definedName name="_xlchart.v1.18" hidden="1">Gráficos!$B$9</definedName>
    <definedName name="_xlchart.v1.19" hidden="1">Gráficos!$A$10</definedName>
    <definedName name="_xlchart.v1.2" hidden="1">Gráficos!$A$3</definedName>
    <definedName name="_xlchart.v1.20" hidden="1">Gráficos!$A$11</definedName>
    <definedName name="_xlchart.v1.21" hidden="1">Gráficos!$A$3</definedName>
    <definedName name="_xlchart.v1.22" hidden="1">Gráficos!$A$4</definedName>
    <definedName name="_xlchart.v1.23" hidden="1">Gráficos!$A$5</definedName>
    <definedName name="_xlchart.v1.24" hidden="1">Gráficos!$A$6</definedName>
    <definedName name="_xlchart.v1.25" hidden="1">Gráficos!$A$7</definedName>
    <definedName name="_xlchart.v1.26" hidden="1">Gráficos!$A$8</definedName>
    <definedName name="_xlchart.v1.27" hidden="1">Gráficos!$A$9</definedName>
    <definedName name="_xlchart.v1.28" hidden="1">Gráficos!$B$10</definedName>
    <definedName name="_xlchart.v1.29" hidden="1">Gráficos!$B$11</definedName>
    <definedName name="_xlchart.v1.3" hidden="1">Gráficos!$A$4</definedName>
    <definedName name="_xlchart.v1.30" hidden="1">Gráficos!$B$2</definedName>
    <definedName name="_xlchart.v1.31" hidden="1">Gráficos!$B$3</definedName>
    <definedName name="_xlchart.v1.32" hidden="1">Gráficos!$B$4</definedName>
    <definedName name="_xlchart.v1.33" hidden="1">Gráficos!$B$5</definedName>
    <definedName name="_xlchart.v1.34" hidden="1">Gráficos!$B$6</definedName>
    <definedName name="_xlchart.v1.35" hidden="1">Gráficos!$B$7</definedName>
    <definedName name="_xlchart.v1.36" hidden="1">Gráficos!$B$8</definedName>
    <definedName name="_xlchart.v1.37" hidden="1">Gráficos!$B$9</definedName>
    <definedName name="_xlchart.v1.4" hidden="1">Gráficos!$A$5</definedName>
    <definedName name="_xlchart.v1.5" hidden="1">Gráficos!$A$6</definedName>
    <definedName name="_xlchart.v1.6" hidden="1">Gráficos!$A$7</definedName>
    <definedName name="_xlchart.v1.7" hidden="1">Gráficos!$A$8</definedName>
    <definedName name="_xlchart.v1.8" hidden="1">Gráficos!$A$9</definedName>
    <definedName name="_xlchart.v1.9" hidden="1">Gráficos!$B$10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2" i="1" l="1"/>
  <c r="C11" i="2" s="1"/>
  <c r="B126" i="1"/>
  <c r="C10" i="2" s="1"/>
  <c r="B110" i="1"/>
  <c r="C9" i="2" s="1"/>
  <c r="B94" i="1"/>
  <c r="C8" i="2" s="1"/>
  <c r="B78" i="1"/>
  <c r="C7" i="2" s="1"/>
  <c r="B62" i="1"/>
  <c r="C6" i="2" s="1"/>
  <c r="B46" i="1"/>
  <c r="C5" i="2" s="1"/>
  <c r="B30" i="1"/>
  <c r="C4" i="2" s="1"/>
  <c r="B14" i="1"/>
  <c r="C3" i="2" s="1"/>
  <c r="B11" i="2"/>
  <c r="B10" i="2"/>
  <c r="B9" i="2"/>
  <c r="B8" i="2"/>
  <c r="B7" i="2"/>
  <c r="B6" i="2"/>
  <c r="B5" i="2"/>
  <c r="B4" i="2"/>
  <c r="B3" i="2"/>
  <c r="B13" i="1"/>
  <c r="C143" i="1" l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B143" i="1"/>
  <c r="D11" i="2" s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B141" i="1"/>
  <c r="C127" i="1" l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B127" i="1"/>
  <c r="D10" i="2" s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B125" i="1"/>
  <c r="C111" i="1" l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B111" i="1"/>
  <c r="D9" i="2" s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B109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5" i="1"/>
  <c r="D8" i="2" s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3" i="1"/>
  <c r="H92" i="1"/>
  <c r="H91" i="1"/>
  <c r="H90" i="1"/>
  <c r="H89" i="1"/>
  <c r="H88" i="1"/>
  <c r="H87" i="1"/>
  <c r="H86" i="1"/>
  <c r="H85" i="1"/>
  <c r="H84" i="1"/>
  <c r="H83" i="1"/>
  <c r="G92" i="1"/>
  <c r="G91" i="1"/>
  <c r="G90" i="1"/>
  <c r="G89" i="1"/>
  <c r="G88" i="1"/>
  <c r="G87" i="1"/>
  <c r="G86" i="1"/>
  <c r="G85" i="1"/>
  <c r="G84" i="1"/>
  <c r="G83" i="1"/>
  <c r="F92" i="1"/>
  <c r="F91" i="1"/>
  <c r="F90" i="1"/>
  <c r="F89" i="1"/>
  <c r="F88" i="1"/>
  <c r="F87" i="1"/>
  <c r="F86" i="1"/>
  <c r="F85" i="1"/>
  <c r="F84" i="1"/>
  <c r="F83" i="1"/>
  <c r="E92" i="1"/>
  <c r="E91" i="1"/>
  <c r="E90" i="1"/>
  <c r="E89" i="1"/>
  <c r="E88" i="1"/>
  <c r="E87" i="1"/>
  <c r="E86" i="1"/>
  <c r="E85" i="1"/>
  <c r="E84" i="1"/>
  <c r="E83" i="1"/>
  <c r="D92" i="1"/>
  <c r="D91" i="1"/>
  <c r="D90" i="1"/>
  <c r="D89" i="1"/>
  <c r="D88" i="1"/>
  <c r="D87" i="1"/>
  <c r="D86" i="1"/>
  <c r="D85" i="1"/>
  <c r="D84" i="1"/>
  <c r="D83" i="1"/>
  <c r="C92" i="1"/>
  <c r="C91" i="1"/>
  <c r="C90" i="1"/>
  <c r="C89" i="1"/>
  <c r="C88" i="1"/>
  <c r="C87" i="1"/>
  <c r="C86" i="1"/>
  <c r="C85" i="1"/>
  <c r="C84" i="1"/>
  <c r="C83" i="1"/>
  <c r="C79" i="1" l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B79" i="1"/>
  <c r="D7" i="2" s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B77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B63" i="1"/>
  <c r="D6" i="2" s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47" i="1"/>
  <c r="D47" i="1"/>
  <c r="E47" i="1"/>
  <c r="F47" i="1"/>
  <c r="G47" i="1"/>
  <c r="H47" i="1"/>
  <c r="I47" i="1"/>
  <c r="J47" i="1"/>
  <c r="B47" i="1"/>
  <c r="D5" i="2" s="1"/>
  <c r="C31" i="1"/>
  <c r="D31" i="1"/>
  <c r="E31" i="1"/>
  <c r="F31" i="1"/>
  <c r="G31" i="1"/>
  <c r="H31" i="1"/>
  <c r="I31" i="1"/>
  <c r="J31" i="1"/>
  <c r="O61" i="1"/>
  <c r="P61" i="1"/>
  <c r="L61" i="1"/>
  <c r="M61" i="1"/>
  <c r="N61" i="1"/>
  <c r="C61" i="1"/>
  <c r="D61" i="1"/>
  <c r="E61" i="1"/>
  <c r="F61" i="1"/>
  <c r="G61" i="1"/>
  <c r="H61" i="1"/>
  <c r="I61" i="1"/>
  <c r="J61" i="1"/>
  <c r="K61" i="1"/>
  <c r="B61" i="1"/>
  <c r="C46" i="1" l="1"/>
  <c r="D46" i="1"/>
  <c r="E46" i="1"/>
  <c r="F46" i="1"/>
  <c r="G46" i="1"/>
  <c r="H46" i="1"/>
  <c r="I46" i="1"/>
  <c r="J46" i="1"/>
  <c r="C45" i="1"/>
  <c r="D45" i="1"/>
  <c r="E45" i="1"/>
  <c r="F45" i="1"/>
  <c r="G45" i="1"/>
  <c r="H45" i="1"/>
  <c r="I45" i="1"/>
  <c r="J45" i="1"/>
  <c r="K45" i="1"/>
  <c r="L45" i="1"/>
  <c r="B45" i="1"/>
  <c r="E44" i="1"/>
  <c r="E43" i="1"/>
  <c r="E42" i="1"/>
  <c r="E41" i="1"/>
  <c r="E40" i="1"/>
  <c r="E39" i="1"/>
  <c r="E38" i="1"/>
  <c r="E37" i="1"/>
  <c r="E36" i="1"/>
  <c r="D44" i="1"/>
  <c r="D43" i="1"/>
  <c r="D42" i="1"/>
  <c r="D41" i="1"/>
  <c r="D40" i="1"/>
  <c r="D39" i="1"/>
  <c r="D38" i="1"/>
  <c r="D37" i="1"/>
  <c r="D36" i="1"/>
  <c r="D35" i="1"/>
  <c r="C44" i="1"/>
  <c r="C43" i="1"/>
  <c r="C42" i="1"/>
  <c r="C41" i="1"/>
  <c r="C40" i="1"/>
  <c r="C39" i="1"/>
  <c r="C38" i="1"/>
  <c r="C37" i="1"/>
  <c r="C36" i="1"/>
  <c r="C35" i="1"/>
  <c r="K31" i="1"/>
  <c r="L31" i="1"/>
  <c r="B31" i="1"/>
  <c r="D4" i="2" s="1"/>
  <c r="C30" i="1"/>
  <c r="D30" i="1"/>
  <c r="E30" i="1"/>
  <c r="F30" i="1"/>
  <c r="G30" i="1"/>
  <c r="H30" i="1"/>
  <c r="I30" i="1"/>
  <c r="J30" i="1"/>
  <c r="K30" i="1"/>
  <c r="L30" i="1"/>
  <c r="C29" i="1"/>
  <c r="D29" i="1"/>
  <c r="E29" i="1"/>
  <c r="F29" i="1"/>
  <c r="G29" i="1"/>
  <c r="H29" i="1"/>
  <c r="I29" i="1"/>
  <c r="J29" i="1"/>
  <c r="K29" i="1"/>
  <c r="L29" i="1"/>
  <c r="B29" i="1"/>
  <c r="B15" i="1"/>
  <c r="D3" i="2" s="1"/>
  <c r="E28" i="1"/>
  <c r="E27" i="1"/>
  <c r="E26" i="1"/>
  <c r="E25" i="1"/>
  <c r="E24" i="1"/>
  <c r="E23" i="1"/>
  <c r="E22" i="1"/>
  <c r="E21" i="1"/>
  <c r="C28" i="1"/>
  <c r="C27" i="1"/>
  <c r="C26" i="1"/>
  <c r="C25" i="1"/>
  <c r="C24" i="1"/>
  <c r="C23" i="1"/>
  <c r="C22" i="1"/>
  <c r="C21" i="1"/>
  <c r="C20" i="1"/>
  <c r="C19" i="1"/>
  <c r="E20" i="1"/>
  <c r="E19" i="1"/>
  <c r="D28" i="1"/>
  <c r="D27" i="1"/>
  <c r="D26" i="1"/>
  <c r="D25" i="1"/>
  <c r="D24" i="1"/>
  <c r="D23" i="1"/>
  <c r="D22" i="1"/>
  <c r="D21" i="1"/>
  <c r="D20" i="1"/>
  <c r="D19" i="1"/>
  <c r="J15" i="1"/>
  <c r="H15" i="1"/>
  <c r="L14" i="1"/>
  <c r="K14" i="1"/>
  <c r="J14" i="1"/>
  <c r="I14" i="1"/>
  <c r="I15" i="1" s="1"/>
  <c r="H14" i="1"/>
  <c r="G14" i="1"/>
  <c r="G15" i="1" s="1"/>
  <c r="F14" i="1"/>
  <c r="F15" i="1" s="1"/>
  <c r="L13" i="1"/>
  <c r="K13" i="1"/>
  <c r="J13" i="1"/>
  <c r="I13" i="1"/>
  <c r="H13" i="1"/>
  <c r="G13" i="1"/>
  <c r="F13" i="1"/>
  <c r="E12" i="1"/>
  <c r="D12" i="1"/>
  <c r="C12" i="1"/>
  <c r="E11" i="1"/>
  <c r="D11" i="1"/>
  <c r="C11" i="1"/>
  <c r="E10" i="1"/>
  <c r="D10" i="1"/>
  <c r="C10" i="1"/>
  <c r="E9" i="1"/>
  <c r="E14" i="1" s="1"/>
  <c r="E15" i="1" s="1"/>
  <c r="D9" i="1"/>
  <c r="C9" i="1"/>
  <c r="C14" i="1" s="1"/>
  <c r="C15" i="1" s="1"/>
  <c r="E8" i="1"/>
  <c r="D8" i="1"/>
  <c r="C8" i="1"/>
  <c r="E7" i="1"/>
  <c r="D7" i="1"/>
  <c r="C7" i="1"/>
  <c r="E6" i="1"/>
  <c r="D6" i="1"/>
  <c r="C6" i="1"/>
  <c r="E5" i="1"/>
  <c r="D5" i="1"/>
  <c r="C5" i="1"/>
  <c r="E4" i="1"/>
  <c r="E13" i="1" s="1"/>
  <c r="D4" i="1"/>
  <c r="C4" i="1"/>
  <c r="D3" i="1"/>
  <c r="D14" i="1" s="1"/>
  <c r="D15" i="1" s="1"/>
  <c r="C3" i="1"/>
  <c r="C13" i="1" s="1"/>
  <c r="D13" i="1" l="1"/>
</calcChain>
</file>

<file path=xl/sharedStrings.xml><?xml version="1.0" encoding="utf-8"?>
<sst xmlns="http://schemas.openxmlformats.org/spreadsheetml/2006/main" count="223" uniqueCount="46">
  <si>
    <t xml:space="preserve"> No exp</t>
  </si>
  <si>
    <t>Tempo Trilateraç (s)</t>
  </si>
  <si>
    <t>Tempo distancia 0(s)</t>
  </si>
  <si>
    <t>Tempo distancia 1(s)</t>
  </si>
  <si>
    <t>Tempo distancia 2(s)</t>
  </si>
  <si>
    <t>Distancia nó 0(m)</t>
  </si>
  <si>
    <t>Distancia nó 1(m)</t>
  </si>
  <si>
    <t>Distancia nó 2(m)</t>
  </si>
  <si>
    <t>Posição x estimada (m)</t>
  </si>
  <si>
    <t>Posição y estimada (m)</t>
  </si>
  <si>
    <t>Posição x real (m)</t>
  </si>
  <si>
    <t>Posição y real (m)</t>
  </si>
  <si>
    <t>Média</t>
  </si>
  <si>
    <t>Desvio-Padrão</t>
  </si>
  <si>
    <t>Intervalo de confiança</t>
  </si>
  <si>
    <t>Wireless_3_1m</t>
  </si>
  <si>
    <t>Wireless_3_5m</t>
  </si>
  <si>
    <t>Tempo Trilateração (s)</t>
  </si>
  <si>
    <t>Wireless_3_10m</t>
  </si>
  <si>
    <t>Wireless_6_1m</t>
  </si>
  <si>
    <t>Tempo distancia 3(s)</t>
  </si>
  <si>
    <t>Tempo distancia 4(s)</t>
  </si>
  <si>
    <t>Tempo distancia 5(s)</t>
  </si>
  <si>
    <t>Distancia nó 3(m)</t>
  </si>
  <si>
    <t>Distancia nó 4(m)</t>
  </si>
  <si>
    <t>Distancia nó 5(m)</t>
  </si>
  <si>
    <t>Wireless_6_5m</t>
  </si>
  <si>
    <t>Wireless_6_10m</t>
  </si>
  <si>
    <t>0.000100056</t>
  </si>
  <si>
    <t>Wireless_12_1m</t>
  </si>
  <si>
    <t>Tempo distancia 6(s)</t>
  </si>
  <si>
    <t>Tempo distancia 7(s)</t>
  </si>
  <si>
    <t>Tempo distancia 8(s)</t>
  </si>
  <si>
    <t>Tempo distancia 9(s)</t>
  </si>
  <si>
    <t>Tempo distancia 10(s)</t>
  </si>
  <si>
    <t>Tempo distancia 11(s)</t>
  </si>
  <si>
    <t>0.000132233</t>
  </si>
  <si>
    <t>Distancia nó 6(m)</t>
  </si>
  <si>
    <t>Distancia nó 7(m)</t>
  </si>
  <si>
    <t>Distancia nó 8(m)</t>
  </si>
  <si>
    <t>Distancia nó 9(m)</t>
  </si>
  <si>
    <t>Distancia nó 10(m)</t>
  </si>
  <si>
    <t>Distancia nó 11(m)</t>
  </si>
  <si>
    <t>Wireless_12_5m</t>
  </si>
  <si>
    <t>Wireless_12_10m</t>
  </si>
  <si>
    <t>Tempo trilateração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</si>
</sst>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000"/>
    <numFmt numFmtId="165" formatCode="#,##0.000000"/>
    <numFmt numFmtId="166" formatCode="#,##0.0000000"/>
    <numFmt numFmtId="167" formatCode="#,##0.00000"/>
    <numFmt numFmtId="168" formatCode="0.0000000000"/>
    <numFmt numFmtId="169" formatCode="0.00000000000"/>
    <numFmt numFmtId="170" formatCode="0.00000000"/>
    <numFmt numFmtId="171" formatCode="#,##0.0000"/>
    <numFmt numFmtId="172" formatCode="0.0000"/>
    <numFmt numFmtId="173" formatCode="0.00000"/>
    <numFmt numFmtId="174" formatCode="0.000000"/>
    <numFmt numFmtId="175" formatCode="0.000000000"/>
    <numFmt numFmtId="176" formatCode="0.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" fillId="0" borderId="0" xfId="0" applyFo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0" fillId="0" borderId="0" xfId="0" applyFont="1"/>
    <xf numFmtId="4" fontId="0" fillId="0" borderId="0" xfId="0" applyNumberFormat="1"/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</c:f>
              <c:strCache>
                <c:ptCount val="1"/>
                <c:pt idx="0">
                  <c:v>Wireless_3_1m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Gráficos!$D$3</c:f>
                <c:numCache>
                  <c:formatCode>General</c:formatCode>
                  <c:ptCount val="1"/>
                  <c:pt idx="0">
                    <c:v>6.6804395887709922E-2</c:v>
                  </c:pt>
                </c:numCache>
              </c:numRef>
            </c:plus>
            <c:minus>
              <c:numRef>
                <c:f>Gráficos!$D$3</c:f>
                <c:numCache>
                  <c:formatCode>General</c:formatCode>
                  <c:ptCount val="1"/>
                  <c:pt idx="0">
                    <c:v>6.6804395887709922E-2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Gráficos!$B$2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Gráficos!$B$3</c:f>
              <c:numCache>
                <c:formatCode>0.00E+00</c:formatCode>
                <c:ptCount val="1"/>
                <c:pt idx="0">
                  <c:v>0.30181599999999997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0-4D6D-B3DA-B070FD9905EE}"/>
            </c:ext>
          </c:extLst>
        </c:ser>
        <c:ser>
          <c:idx val="1"/>
          <c:order val="1"/>
          <c:tx>
            <c:strRef>
              <c:f>Gráficos!$A$4</c:f>
              <c:strCache>
                <c:ptCount val="1"/>
                <c:pt idx="0">
                  <c:v>Wireless_3_5m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Gráficos!$D$4</c:f>
                <c:numCache>
                  <c:formatCode>General</c:formatCode>
                  <c:ptCount val="1"/>
                  <c:pt idx="0">
                    <c:v>0.13980162149982456</c:v>
                  </c:pt>
                </c:numCache>
              </c:numRef>
            </c:plus>
            <c:minus>
              <c:numRef>
                <c:f>Gráficos!$D$4</c:f>
                <c:numCache>
                  <c:formatCode>General</c:formatCode>
                  <c:ptCount val="1"/>
                  <c:pt idx="0">
                    <c:v>0.13980162149982456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Gráficos!$B$2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Gráficos!$B$4</c:f>
              <c:numCache>
                <c:formatCode>0.00E+00</c:formatCode>
                <c:ptCount val="1"/>
                <c:pt idx="0">
                  <c:v>0.36990309000000005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0-4D6D-B3DA-B070FD9905EE}"/>
            </c:ext>
          </c:extLst>
        </c:ser>
        <c:ser>
          <c:idx val="2"/>
          <c:order val="2"/>
          <c:tx>
            <c:strRef>
              <c:f>Gráficos!$A$5</c:f>
              <c:strCache>
                <c:ptCount val="1"/>
                <c:pt idx="0">
                  <c:v>Wireless_3_10m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Gráficos!$D$5</c:f>
                <c:numCache>
                  <c:formatCode>General</c:formatCode>
                  <c:ptCount val="1"/>
                  <c:pt idx="0">
                    <c:v>0.12447183912730188</c:v>
                  </c:pt>
                </c:numCache>
              </c:numRef>
            </c:plus>
            <c:minus>
              <c:numRef>
                <c:f>Gráficos!$D$5</c:f>
                <c:numCache>
                  <c:formatCode>General</c:formatCode>
                  <c:ptCount val="1"/>
                  <c:pt idx="0">
                    <c:v>0.12447183912730188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Gráficos!$B$2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Gráficos!$B$5</c:f>
              <c:numCache>
                <c:formatCode>0.00E+00</c:formatCode>
                <c:ptCount val="1"/>
                <c:pt idx="0">
                  <c:v>0.419238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0-4D6D-B3DA-B070FD9905EE}"/>
            </c:ext>
          </c:extLst>
        </c:ser>
        <c:ser>
          <c:idx val="3"/>
          <c:order val="3"/>
          <c:tx>
            <c:strRef>
              <c:f>Gráficos!$A$6</c:f>
              <c:strCache>
                <c:ptCount val="1"/>
                <c:pt idx="0">
                  <c:v>Wireless_6_1m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Gráficos!$D$6</c:f>
                <c:numCache>
                  <c:formatCode>General</c:formatCode>
                  <c:ptCount val="1"/>
                  <c:pt idx="0">
                    <c:v>0.24109759716390755</c:v>
                  </c:pt>
                </c:numCache>
              </c:numRef>
            </c:plus>
            <c:minus>
              <c:numRef>
                <c:f>Gráficos!$D$6</c:f>
                <c:numCache>
                  <c:formatCode>General</c:formatCode>
                  <c:ptCount val="1"/>
                  <c:pt idx="0">
                    <c:v>0.24109759716390755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Gráficos!$B$2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Gráficos!$B$6</c:f>
              <c:numCache>
                <c:formatCode>0.00E+00</c:formatCode>
                <c:ptCount val="1"/>
                <c:pt idx="0">
                  <c:v>0.47563067850000007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0-4D6D-B3DA-B070FD9905EE}"/>
            </c:ext>
          </c:extLst>
        </c:ser>
        <c:ser>
          <c:idx val="4"/>
          <c:order val="4"/>
          <c:tx>
            <c:strRef>
              <c:f>Gráficos!$A$7</c:f>
              <c:strCache>
                <c:ptCount val="1"/>
                <c:pt idx="0">
                  <c:v>Wireless_6_5m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Gráficos!$D$7</c:f>
                <c:numCache>
                  <c:formatCode>General</c:formatCode>
                  <c:ptCount val="1"/>
                  <c:pt idx="0">
                    <c:v>0.1542201239459127</c:v>
                  </c:pt>
                </c:numCache>
              </c:numRef>
            </c:plus>
            <c:minus>
              <c:numRef>
                <c:f>Gráficos!$D$7</c:f>
                <c:numCache>
                  <c:formatCode>General</c:formatCode>
                  <c:ptCount val="1"/>
                  <c:pt idx="0">
                    <c:v>0.1542201239459127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Gráficos!$B$2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Gráficos!$B$7</c:f>
              <c:numCache>
                <c:formatCode>0.00E+00</c:formatCode>
                <c:ptCount val="1"/>
                <c:pt idx="0">
                  <c:v>0.53612319270000008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0-4D6D-B3DA-B070FD9905EE}"/>
            </c:ext>
          </c:extLst>
        </c:ser>
        <c:ser>
          <c:idx val="5"/>
          <c:order val="5"/>
          <c:tx>
            <c:strRef>
              <c:f>Gráficos!$A$8</c:f>
              <c:strCache>
                <c:ptCount val="1"/>
                <c:pt idx="0">
                  <c:v>Wireless_6_10m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Gráficos!$D$8</c:f>
                <c:numCache>
                  <c:formatCode>General</c:formatCode>
                  <c:ptCount val="1"/>
                  <c:pt idx="0">
                    <c:v>0.22010040949958251</c:v>
                  </c:pt>
                </c:numCache>
              </c:numRef>
            </c:plus>
            <c:minus>
              <c:numRef>
                <c:f>Gráficos!$D$8</c:f>
                <c:numCache>
                  <c:formatCode>General</c:formatCode>
                  <c:ptCount val="1"/>
                  <c:pt idx="0">
                    <c:v>0.22010040949958251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Gráficos!$B$2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Gráficos!$B$8</c:f>
              <c:numCache>
                <c:formatCode>0.00E+00</c:formatCode>
                <c:ptCount val="1"/>
                <c:pt idx="0">
                  <c:v>0.5481988888888889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60-4D6D-B3DA-B070FD9905EE}"/>
            </c:ext>
          </c:extLst>
        </c:ser>
        <c:ser>
          <c:idx val="6"/>
          <c:order val="6"/>
          <c:tx>
            <c:strRef>
              <c:f>Gráficos!$A$9</c:f>
              <c:strCache>
                <c:ptCount val="1"/>
                <c:pt idx="0">
                  <c:v>Wireless_12_1m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Gráficos!$D$9</c:f>
                <c:numCache>
                  <c:formatCode>General</c:formatCode>
                  <c:ptCount val="1"/>
                  <c:pt idx="0">
                    <c:v>0.33390272157526102</c:v>
                  </c:pt>
                </c:numCache>
              </c:numRef>
            </c:plus>
            <c:minus>
              <c:numRef>
                <c:f>Gráficos!$D$9</c:f>
                <c:numCache>
                  <c:formatCode>General</c:formatCode>
                  <c:ptCount val="1"/>
                  <c:pt idx="0">
                    <c:v>0.33390272157526102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Gráficos!$B$2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Gráficos!$B$9</c:f>
              <c:numCache>
                <c:formatCode>0.00E+00</c:formatCode>
                <c:ptCount val="1"/>
                <c:pt idx="0">
                  <c:v>0.48135530944444443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60-4D6D-B3DA-B070FD9905EE}"/>
            </c:ext>
          </c:extLst>
        </c:ser>
        <c:ser>
          <c:idx val="7"/>
          <c:order val="7"/>
          <c:tx>
            <c:strRef>
              <c:f>Gráficos!$A$10</c:f>
              <c:strCache>
                <c:ptCount val="1"/>
                <c:pt idx="0">
                  <c:v>Wireless_12_5m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Gráficos!$D$10</c:f>
                <c:numCache>
                  <c:formatCode>General</c:formatCode>
                  <c:ptCount val="1"/>
                  <c:pt idx="0">
                    <c:v>0.32864272226151298</c:v>
                  </c:pt>
                </c:numCache>
              </c:numRef>
            </c:plus>
            <c:minus>
              <c:numRef>
                <c:f>Gráficos!$D$10</c:f>
                <c:numCache>
                  <c:formatCode>General</c:formatCode>
                  <c:ptCount val="1"/>
                  <c:pt idx="0">
                    <c:v>0.32864272226151298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Gráficos!$B$2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Gráficos!$B$10</c:f>
              <c:numCache>
                <c:formatCode>0.00E+00</c:formatCode>
                <c:ptCount val="1"/>
                <c:pt idx="0">
                  <c:v>0.45747840769999992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60-4D6D-B3DA-B070FD9905EE}"/>
            </c:ext>
          </c:extLst>
        </c:ser>
        <c:ser>
          <c:idx val="8"/>
          <c:order val="8"/>
          <c:tx>
            <c:strRef>
              <c:f>Gráficos!$A$11</c:f>
              <c:strCache>
                <c:ptCount val="1"/>
                <c:pt idx="0">
                  <c:v>Wireless_12_10m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Gráficos!$D$11</c:f>
                <c:numCache>
                  <c:formatCode>General</c:formatCode>
                  <c:ptCount val="1"/>
                  <c:pt idx="0">
                    <c:v>0.27424228074780127</c:v>
                  </c:pt>
                </c:numCache>
              </c:numRef>
            </c:plus>
            <c:minus>
              <c:numRef>
                <c:f>Gráficos!$D$11</c:f>
                <c:numCache>
                  <c:formatCode>General</c:formatCode>
                  <c:ptCount val="1"/>
                  <c:pt idx="0">
                    <c:v>0.27424228074780127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Gráficos!$B$2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Gráficos!$B$11</c:f>
              <c:numCache>
                <c:formatCode>0.00E+00</c:formatCode>
                <c:ptCount val="1"/>
                <c:pt idx="0">
                  <c:v>0.57172820460000007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60-4D6D-B3DA-B070FD99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572431"/>
        <c:axId val="1799739583"/>
      </c:barChart>
      <c:catAx>
        <c:axId val="18075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39583"/>
        <c:crosses val="autoZero"/>
        <c:auto val="1"/>
        <c:lblAlgn val="ctr"/>
        <c:lblOffset val="100"/>
        <c:noMultiLvlLbl val="0"/>
      </c:catAx>
      <c:valAx>
        <c:axId val="17997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7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157162</xdr:rowOff>
    </xdr:from>
    <xdr:to>
      <xdr:col>13</xdr:col>
      <xdr:colOff>400050</xdr:colOff>
      <xdr:row>16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E074CE-FE63-426D-8C60-B421AE490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5"/>
  <sheetViews>
    <sheetView tabSelected="1" topLeftCell="A70" workbookViewId="0">
      <selection activeCell="G145" sqref="G145"/>
    </sheetView>
  </sheetViews>
  <sheetFormatPr defaultRowHeight="15" x14ac:dyDescent="0.25"/>
  <cols>
    <col min="1" max="1" width="16.140625" customWidth="1"/>
    <col min="2" max="2" width="15.85546875" customWidth="1"/>
    <col min="3" max="3" width="17" customWidth="1"/>
    <col min="4" max="4" width="17.85546875" customWidth="1"/>
    <col min="5" max="5" width="16.42578125" customWidth="1"/>
    <col min="6" max="6" width="17" customWidth="1"/>
    <col min="7" max="7" width="16.140625" customWidth="1"/>
    <col min="8" max="8" width="15.28515625" customWidth="1"/>
    <col min="9" max="9" width="16.7109375" customWidth="1"/>
    <col min="10" max="10" width="16.28515625" customWidth="1"/>
    <col min="11" max="11" width="17" customWidth="1"/>
    <col min="12" max="12" width="16" customWidth="1"/>
    <col min="13" max="13" width="18.28515625" customWidth="1"/>
    <col min="14" max="14" width="17.42578125" customWidth="1"/>
    <col min="15" max="15" width="13.7109375" customWidth="1"/>
    <col min="16" max="16" width="13.85546875" customWidth="1"/>
    <col min="17" max="17" width="14.42578125" customWidth="1"/>
    <col min="18" max="18" width="14.5703125" customWidth="1"/>
    <col min="19" max="19" width="15.85546875" customWidth="1"/>
    <col min="20" max="20" width="15.42578125" customWidth="1"/>
    <col min="21" max="21" width="15.5703125" customWidth="1"/>
    <col min="22" max="22" width="13.85546875" customWidth="1"/>
    <col min="23" max="23" width="14.42578125" customWidth="1"/>
    <col min="24" max="24" width="13" customWidth="1"/>
    <col min="25" max="25" width="14" customWidth="1"/>
    <col min="26" max="26" width="13.7109375" customWidth="1"/>
    <col min="27" max="27" width="14.42578125" customWidth="1"/>
    <col min="28" max="28" width="15.28515625" customWidth="1"/>
    <col min="29" max="29" width="10.28515625" customWidth="1"/>
    <col min="30" max="30" width="10.85546875" customWidth="1"/>
  </cols>
  <sheetData>
    <row r="1" spans="1:12" x14ac:dyDescent="0.25">
      <c r="A1" s="9" t="s">
        <v>15</v>
      </c>
    </row>
    <row r="2" spans="1:12" x14ac:dyDescent="0.25">
      <c r="A2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>
        <v>1</v>
      </c>
      <c r="B3" s="1">
        <v>0.27881</v>
      </c>
      <c r="C3" s="14">
        <f>2.53*10^-7</f>
        <v>2.5299999999999995E-7</v>
      </c>
      <c r="D3">
        <f>1.21*10^-7</f>
        <v>1.2099999999999998E-7</v>
      </c>
      <c r="E3" s="2">
        <v>9.9999999999999995E-8</v>
      </c>
      <c r="F3" s="3">
        <v>2.97004</v>
      </c>
      <c r="G3" s="4">
        <v>3.02101</v>
      </c>
      <c r="H3" s="4">
        <v>2.3161999999999998</v>
      </c>
      <c r="I3" s="5">
        <v>300.94</v>
      </c>
      <c r="J3" s="5">
        <v>299.21199999999999</v>
      </c>
      <c r="K3">
        <v>300</v>
      </c>
      <c r="L3">
        <v>300</v>
      </c>
    </row>
    <row r="4" spans="1:12" x14ac:dyDescent="0.25">
      <c r="A4">
        <v>2</v>
      </c>
      <c r="B4" s="1">
        <v>0.31873000000000001</v>
      </c>
      <c r="C4">
        <f>1.59*10^-7</f>
        <v>1.5900000000000001E-7</v>
      </c>
      <c r="D4">
        <f>8.9*10^-7</f>
        <v>8.8999999999999995E-7</v>
      </c>
      <c r="E4">
        <f>8.5*10^-8</f>
        <v>8.5000000000000007E-8</v>
      </c>
      <c r="F4" s="3">
        <v>2.0430899999999999</v>
      </c>
      <c r="G4" s="4">
        <v>1.7795700000000001</v>
      </c>
      <c r="H4" s="4">
        <v>2.7050299999999998</v>
      </c>
      <c r="I4" s="5">
        <v>300.786</v>
      </c>
      <c r="J4" s="5">
        <v>301.28899999999999</v>
      </c>
      <c r="K4">
        <v>300</v>
      </c>
      <c r="L4">
        <v>300</v>
      </c>
    </row>
    <row r="5" spans="1:12" x14ac:dyDescent="0.25">
      <c r="A5">
        <v>3</v>
      </c>
      <c r="B5" s="1">
        <v>0.31966</v>
      </c>
      <c r="C5">
        <f>1.72*10^-7</f>
        <v>1.7199999999999998E-7</v>
      </c>
      <c r="D5">
        <f>1.02*10^-7</f>
        <v>1.02E-7</v>
      </c>
      <c r="E5">
        <f>1.06*10^-7</f>
        <v>1.06E-7</v>
      </c>
      <c r="F5" s="3">
        <v>2.5455399999999999</v>
      </c>
      <c r="G5" s="4">
        <v>3.036</v>
      </c>
      <c r="H5" s="4">
        <v>2.3168000000000002</v>
      </c>
      <c r="I5" s="5">
        <v>299.03800000000001</v>
      </c>
      <c r="J5" s="5">
        <v>300.40600000000001</v>
      </c>
      <c r="K5">
        <v>300</v>
      </c>
      <c r="L5">
        <v>300</v>
      </c>
    </row>
    <row r="6" spans="1:12" x14ac:dyDescent="0.25">
      <c r="A6">
        <v>4</v>
      </c>
      <c r="B6" s="1">
        <v>0.32679000000000002</v>
      </c>
      <c r="C6">
        <f>1.61*10^-7</f>
        <v>1.61E-7</v>
      </c>
      <c r="D6">
        <f>9.8*10^-8</f>
        <v>9.8000000000000004E-8</v>
      </c>
      <c r="E6">
        <f>6.9*10^-8</f>
        <v>6.9000000000000009E-8</v>
      </c>
      <c r="F6" s="3">
        <v>1.07446</v>
      </c>
      <c r="G6" s="4">
        <v>1.3619600000000001</v>
      </c>
      <c r="H6" s="4">
        <v>2.1369199999999999</v>
      </c>
      <c r="I6" s="5">
        <v>300.17500000000001</v>
      </c>
      <c r="J6" s="5">
        <v>298.46899999999999</v>
      </c>
      <c r="K6">
        <v>300</v>
      </c>
      <c r="L6">
        <v>300</v>
      </c>
    </row>
    <row r="7" spans="1:12" x14ac:dyDescent="0.25">
      <c r="A7">
        <v>5</v>
      </c>
      <c r="B7" s="1">
        <v>3.4459999999999998E-2</v>
      </c>
      <c r="C7">
        <f>1.74*10^-7</f>
        <v>1.74E-7</v>
      </c>
      <c r="D7">
        <f>1.11*10^-7</f>
        <v>1.11E-7</v>
      </c>
      <c r="E7">
        <f>8.3*10^-8</f>
        <v>8.3000000000000015E-8</v>
      </c>
      <c r="F7" s="3">
        <v>2.93947</v>
      </c>
      <c r="G7" s="4">
        <v>1.0129999999999999</v>
      </c>
      <c r="H7" s="4">
        <v>1.49207</v>
      </c>
      <c r="I7" s="5">
        <v>300.3</v>
      </c>
      <c r="J7" s="5">
        <v>296.49299999999999</v>
      </c>
      <c r="K7">
        <v>300</v>
      </c>
      <c r="L7">
        <v>300</v>
      </c>
    </row>
    <row r="8" spans="1:12" x14ac:dyDescent="0.25">
      <c r="A8">
        <v>6</v>
      </c>
      <c r="B8" s="1">
        <v>0.38077</v>
      </c>
      <c r="C8">
        <f>1.73*10^-7</f>
        <v>1.73E-7</v>
      </c>
      <c r="D8">
        <f>1.19*10^-7</f>
        <v>1.1899999999999999E-7</v>
      </c>
      <c r="E8">
        <f>1.23*10^-7</f>
        <v>1.23E-7</v>
      </c>
      <c r="F8" s="3">
        <v>1.2009700000000001</v>
      </c>
      <c r="G8" s="4">
        <v>2.6162899999999998</v>
      </c>
      <c r="H8" s="4">
        <v>2.8375400000000002</v>
      </c>
      <c r="I8" s="5">
        <v>298.649</v>
      </c>
      <c r="J8" s="5">
        <v>298.04599999999999</v>
      </c>
      <c r="K8">
        <v>300</v>
      </c>
      <c r="L8">
        <v>300</v>
      </c>
    </row>
    <row r="9" spans="1:12" x14ac:dyDescent="0.25">
      <c r="A9">
        <v>7</v>
      </c>
      <c r="B9" s="1">
        <v>0.32235000000000003</v>
      </c>
      <c r="C9">
        <f>1.76*10^-7</f>
        <v>1.7599999999999999E-7</v>
      </c>
      <c r="D9">
        <f>8.7*10^-8</f>
        <v>8.6999999999999998E-8</v>
      </c>
      <c r="E9">
        <f>8.2*10^-8</f>
        <v>8.1999999999999993E-8</v>
      </c>
      <c r="F9" s="3">
        <v>2.0904500000000001</v>
      </c>
      <c r="G9" s="4">
        <v>2.8789099999999999</v>
      </c>
      <c r="H9" s="4">
        <v>2.8312400000000002</v>
      </c>
      <c r="I9" s="5">
        <v>299.02</v>
      </c>
      <c r="J9" s="5">
        <v>299.15699999999998</v>
      </c>
      <c r="K9">
        <v>300</v>
      </c>
      <c r="L9">
        <v>300</v>
      </c>
    </row>
    <row r="10" spans="1:12" x14ac:dyDescent="0.25">
      <c r="A10">
        <v>8</v>
      </c>
      <c r="B10" s="1">
        <v>0.31303999999999998</v>
      </c>
      <c r="C10">
        <f>1.51*10^-7</f>
        <v>1.5099999999999999E-7</v>
      </c>
      <c r="D10">
        <f>5.2*10^-8</f>
        <v>5.2000000000000002E-8</v>
      </c>
      <c r="E10">
        <f>4.9*10^-8</f>
        <v>4.9000000000000002E-8</v>
      </c>
      <c r="F10" s="3">
        <v>2.69034</v>
      </c>
      <c r="G10" s="4">
        <v>3.1619100000000002</v>
      </c>
      <c r="H10" s="4">
        <v>3.0000200000000001</v>
      </c>
      <c r="I10" s="5">
        <v>299.75099999999998</v>
      </c>
      <c r="J10" s="5">
        <v>301.13</v>
      </c>
      <c r="K10">
        <v>300</v>
      </c>
      <c r="L10">
        <v>300</v>
      </c>
    </row>
    <row r="11" spans="1:12" x14ac:dyDescent="0.25">
      <c r="A11">
        <v>9</v>
      </c>
      <c r="B11" s="1">
        <v>0.36262</v>
      </c>
      <c r="C11">
        <f>2.27*10^-7</f>
        <v>2.2699999999999998E-7</v>
      </c>
      <c r="D11">
        <f>9.5*10^-8</f>
        <v>9.5000000000000004E-8</v>
      </c>
      <c r="E11">
        <f>1.9*10^-7</f>
        <v>1.8999999999999998E-7</v>
      </c>
      <c r="F11" s="3">
        <v>2.38185</v>
      </c>
      <c r="G11" s="4">
        <v>1.36466</v>
      </c>
      <c r="H11" s="4">
        <v>2.3521700000000001</v>
      </c>
      <c r="I11" s="5">
        <v>299.96499999999997</v>
      </c>
      <c r="J11" s="5">
        <v>301.87</v>
      </c>
      <c r="K11">
        <v>300</v>
      </c>
      <c r="L11">
        <v>300</v>
      </c>
    </row>
    <row r="12" spans="1:12" x14ac:dyDescent="0.25">
      <c r="A12">
        <v>10</v>
      </c>
      <c r="B12" s="1">
        <v>0.36092999999999997</v>
      </c>
      <c r="C12">
        <f>1.41*10^-7</f>
        <v>1.4099999999999998E-7</v>
      </c>
      <c r="D12">
        <f>1.03*10^-7</f>
        <v>1.03E-7</v>
      </c>
      <c r="E12">
        <f>1.59*10^-7</f>
        <v>1.5900000000000001E-7</v>
      </c>
      <c r="F12" s="3">
        <v>1.4150199999999999</v>
      </c>
      <c r="G12" s="4">
        <v>1.78556</v>
      </c>
      <c r="H12" s="4">
        <v>3.1861899999999999</v>
      </c>
      <c r="I12" s="5">
        <v>298.25900000000001</v>
      </c>
      <c r="J12" s="5">
        <v>302.334</v>
      </c>
      <c r="K12">
        <v>300</v>
      </c>
      <c r="L12">
        <v>300</v>
      </c>
    </row>
    <row r="13" spans="1:12" x14ac:dyDescent="0.25">
      <c r="A13" t="s">
        <v>12</v>
      </c>
      <c r="B13" s="8">
        <f>AVERAGE(B3:B12)</f>
        <v>0.30181599999999997</v>
      </c>
      <c r="C13" s="6">
        <f t="shared" ref="C13:L13" si="0">AVERAGE(C3:C12)</f>
        <v>1.7869999999999998E-7</v>
      </c>
      <c r="D13" s="6">
        <f t="shared" si="0"/>
        <v>1.7779999999999999E-7</v>
      </c>
      <c r="E13" s="7">
        <f t="shared" si="0"/>
        <v>1.046E-7</v>
      </c>
      <c r="F13" s="1">
        <f t="shared" si="0"/>
        <v>2.1351229999999997</v>
      </c>
      <c r="G13" s="1">
        <f t="shared" si="0"/>
        <v>2.2018870000000001</v>
      </c>
      <c r="H13" s="1">
        <f t="shared" si="0"/>
        <v>2.5174180000000002</v>
      </c>
      <c r="I13" s="1">
        <f t="shared" si="0"/>
        <v>299.68829999999997</v>
      </c>
      <c r="J13" s="1">
        <f t="shared" si="0"/>
        <v>299.84059999999999</v>
      </c>
      <c r="K13" s="1">
        <f t="shared" si="0"/>
        <v>300</v>
      </c>
      <c r="L13" s="1">
        <f t="shared" si="0"/>
        <v>300</v>
      </c>
    </row>
    <row r="14" spans="1:12" x14ac:dyDescent="0.25">
      <c r="A14" t="s">
        <v>13</v>
      </c>
      <c r="B14" s="1">
        <f>_xlfn.STDEV.P(B3:B12)</f>
        <v>9.3386106054380386E-2</v>
      </c>
      <c r="C14" s="6">
        <f t="shared" ref="C14:L14" si="1">STDEVA(C3:C12)</f>
        <v>3.4721271098084325E-8</v>
      </c>
      <c r="D14" s="6">
        <f t="shared" si="1"/>
        <v>2.5100013280208971E-7</v>
      </c>
      <c r="E14" s="7">
        <f t="shared" si="1"/>
        <v>4.2602034380218662E-8</v>
      </c>
      <c r="F14" s="1">
        <f t="shared" si="1"/>
        <v>0.69986543503495569</v>
      </c>
      <c r="G14" s="8">
        <f t="shared" si="1"/>
        <v>0.82259748955569556</v>
      </c>
      <c r="H14" s="1">
        <f t="shared" si="1"/>
        <v>0.49670936053189219</v>
      </c>
      <c r="I14" s="1">
        <f t="shared" si="1"/>
        <v>0.91017727821440064</v>
      </c>
      <c r="J14" s="1">
        <f t="shared" si="1"/>
        <v>1.8733911141741544</v>
      </c>
      <c r="K14" s="8">
        <f t="shared" si="1"/>
        <v>0</v>
      </c>
      <c r="L14" s="1">
        <f t="shared" si="1"/>
        <v>0</v>
      </c>
    </row>
    <row r="15" spans="1:12" x14ac:dyDescent="0.25">
      <c r="A15" t="s">
        <v>14</v>
      </c>
      <c r="B15" s="1">
        <f>_xlfn.CONFIDENCE.T(0.05,B14,COUNT(B3:B12))</f>
        <v>6.6804395887709922E-2</v>
      </c>
      <c r="C15" s="6">
        <f t="shared" ref="C15:J15" si="2">_xlfn.CONFIDENCE.T(0.05,C14,COUNT(C3:C12))</f>
        <v>2.4838101064094271E-8</v>
      </c>
      <c r="D15" s="6">
        <f t="shared" si="2"/>
        <v>1.7955467839952886E-7</v>
      </c>
      <c r="E15" s="7">
        <f t="shared" si="2"/>
        <v>3.047565950228911E-8</v>
      </c>
      <c r="F15" s="1">
        <f t="shared" si="2"/>
        <v>0.50065357220241924</v>
      </c>
      <c r="G15" s="8">
        <f t="shared" si="2"/>
        <v>0.58845079498779862</v>
      </c>
      <c r="H15" s="1">
        <f t="shared" si="2"/>
        <v>0.35532447131676181</v>
      </c>
      <c r="I15" s="1">
        <f t="shared" si="2"/>
        <v>0.65110160162825459</v>
      </c>
      <c r="J15" s="1">
        <f t="shared" si="2"/>
        <v>1.3401432711085595</v>
      </c>
      <c r="K15" s="1"/>
      <c r="L15" s="1"/>
    </row>
    <row r="17" spans="1:12" x14ac:dyDescent="0.25">
      <c r="A17" s="9" t="s">
        <v>16</v>
      </c>
    </row>
    <row r="18" spans="1:12" x14ac:dyDescent="0.25">
      <c r="B18" t="s">
        <v>17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</row>
    <row r="19" spans="1:12" x14ac:dyDescent="0.25">
      <c r="A19">
        <v>1</v>
      </c>
      <c r="B19" s="8">
        <v>0.40173999999999999</v>
      </c>
      <c r="C19">
        <f>1.78*10^-7</f>
        <v>1.7800000000000001E-7</v>
      </c>
      <c r="D19">
        <f>1.21*10^-7</f>
        <v>1.2099999999999998E-7</v>
      </c>
      <c r="E19">
        <f>9.9*10^-8</f>
        <v>9.9E-8</v>
      </c>
      <c r="F19" s="4">
        <v>6.7051600000000002</v>
      </c>
      <c r="G19" s="4">
        <v>6.7015599999999997</v>
      </c>
      <c r="H19" s="4">
        <v>7.3722000000000003</v>
      </c>
      <c r="I19" s="10">
        <v>299.99799999999999</v>
      </c>
      <c r="J19" s="11">
        <v>299.05900000000003</v>
      </c>
      <c r="K19">
        <v>300</v>
      </c>
      <c r="L19">
        <v>300</v>
      </c>
    </row>
    <row r="20" spans="1:12" x14ac:dyDescent="0.25">
      <c r="A20">
        <v>2</v>
      </c>
      <c r="B20" s="8">
        <v>0.33965000000000001</v>
      </c>
      <c r="C20">
        <f>2.31*10^-7</f>
        <v>2.3099999999999999E-7</v>
      </c>
      <c r="D20">
        <f>1.2*10^-7</f>
        <v>1.1999999999999999E-7</v>
      </c>
      <c r="E20">
        <f>1.28*10^-7</f>
        <v>1.2800000000000001E-7</v>
      </c>
      <c r="F20" s="4">
        <v>6.8163799999999997</v>
      </c>
      <c r="G20" s="4">
        <v>6.7759099999999997</v>
      </c>
      <c r="H20" s="4">
        <v>5.2706499999999998</v>
      </c>
      <c r="I20" s="10">
        <v>299.97199999999998</v>
      </c>
      <c r="J20" s="11">
        <v>301.84100000000001</v>
      </c>
      <c r="K20">
        <v>300</v>
      </c>
      <c r="L20">
        <v>300</v>
      </c>
    </row>
    <row r="21" spans="1:12" x14ac:dyDescent="0.25">
      <c r="A21">
        <v>3</v>
      </c>
      <c r="B21" s="8">
        <v>0.39907999999999999</v>
      </c>
      <c r="C21">
        <f>1.68*10^-7</f>
        <v>1.68E-7</v>
      </c>
      <c r="D21">
        <f>9.9*10^-8</f>
        <v>9.9E-8</v>
      </c>
      <c r="E21">
        <f>8.4*10^-8</f>
        <v>8.4000000000000011E-8</v>
      </c>
      <c r="F21" s="4">
        <v>5.7062499999999998</v>
      </c>
      <c r="G21" s="4">
        <v>6.6820700000000004</v>
      </c>
      <c r="H21" s="4">
        <v>6.5078899999999997</v>
      </c>
      <c r="I21" s="10">
        <v>300.11500000000001</v>
      </c>
      <c r="J21" s="11">
        <v>301.09399999999999</v>
      </c>
      <c r="K21">
        <v>300</v>
      </c>
      <c r="L21">
        <v>300</v>
      </c>
    </row>
    <row r="22" spans="1:12" x14ac:dyDescent="0.25">
      <c r="A22">
        <v>4</v>
      </c>
      <c r="B22" s="8">
        <v>0.57006000000000001</v>
      </c>
      <c r="C22">
        <f>2.16*10^-7</f>
        <v>2.16E-7</v>
      </c>
      <c r="D22">
        <f>1.43*10^-7</f>
        <v>1.43E-7</v>
      </c>
      <c r="E22">
        <f>8.6*10^-8</f>
        <v>8.6000000000000002E-8</v>
      </c>
      <c r="F22" s="4">
        <v>5.08718</v>
      </c>
      <c r="G22" s="4">
        <v>6.6470000000000002</v>
      </c>
      <c r="H22" s="4">
        <v>5.7425199999999998</v>
      </c>
      <c r="I22" s="10">
        <v>299.64499999999998</v>
      </c>
      <c r="J22" s="11">
        <v>298.52499999999998</v>
      </c>
      <c r="K22">
        <v>300</v>
      </c>
      <c r="L22">
        <v>300</v>
      </c>
    </row>
    <row r="23" spans="1:12" x14ac:dyDescent="0.25">
      <c r="A23">
        <v>5</v>
      </c>
      <c r="B23" s="8">
        <v>7.7020000000000005E-2</v>
      </c>
      <c r="C23">
        <f>1.99*10^-7</f>
        <v>1.99E-7</v>
      </c>
      <c r="D23">
        <f>1.42*10^-7</f>
        <v>1.4199999999999997E-7</v>
      </c>
      <c r="E23" s="2">
        <f>0.0000007</f>
        <v>6.9999999999999997E-7</v>
      </c>
      <c r="F23" s="4">
        <v>7.0067500000000003</v>
      </c>
      <c r="G23" s="4">
        <v>6.3310199999999996</v>
      </c>
      <c r="H23" s="4">
        <v>5.8516500000000002</v>
      </c>
      <c r="I23" s="10">
        <v>299.70800000000003</v>
      </c>
      <c r="J23" s="11">
        <v>298.80700000000002</v>
      </c>
      <c r="K23">
        <v>300</v>
      </c>
      <c r="L23">
        <v>300</v>
      </c>
    </row>
    <row r="24" spans="1:12" x14ac:dyDescent="0.25">
      <c r="A24">
        <v>6</v>
      </c>
      <c r="B24" s="8">
        <v>0.35524</v>
      </c>
      <c r="C24">
        <f>2.1*10^-7</f>
        <v>2.1E-7</v>
      </c>
      <c r="D24">
        <f>1.11*10^-7</f>
        <v>1.11E-7</v>
      </c>
      <c r="E24">
        <f>1.28*10^-7</f>
        <v>1.2800000000000001E-7</v>
      </c>
      <c r="F24" s="4">
        <v>7.2831599999999996</v>
      </c>
      <c r="G24" s="4">
        <v>5.0808799999999996</v>
      </c>
      <c r="H24" s="4">
        <v>5.6570799999999997</v>
      </c>
      <c r="I24" s="10">
        <v>298.63900000000001</v>
      </c>
      <c r="J24" s="11">
        <v>300.74299999999999</v>
      </c>
      <c r="K24">
        <v>300</v>
      </c>
      <c r="L24">
        <v>300</v>
      </c>
    </row>
    <row r="25" spans="1:12" x14ac:dyDescent="0.25">
      <c r="A25">
        <v>7</v>
      </c>
      <c r="B25" s="8">
        <v>3.0899999999999999E-5</v>
      </c>
      <c r="C25">
        <f>1.76*10^-7</f>
        <v>1.7599999999999999E-7</v>
      </c>
      <c r="D25">
        <f>1.45*10^-7</f>
        <v>1.4499999999999999E-7</v>
      </c>
      <c r="E25">
        <f>1.01*10^-7</f>
        <v>1.0099999999999999E-7</v>
      </c>
      <c r="F25" s="4">
        <v>6.4026699999999996</v>
      </c>
      <c r="G25" s="4">
        <v>5.4253400000000003</v>
      </c>
      <c r="H25" s="4">
        <v>5.1939000000000002</v>
      </c>
      <c r="I25" s="10">
        <v>300.12299999999999</v>
      </c>
      <c r="J25" s="11">
        <v>298.721</v>
      </c>
      <c r="K25">
        <v>300</v>
      </c>
      <c r="L25">
        <v>300</v>
      </c>
    </row>
    <row r="26" spans="1:12" x14ac:dyDescent="0.25">
      <c r="A26">
        <v>8</v>
      </c>
      <c r="B26" s="8">
        <v>0.38539000000000001</v>
      </c>
      <c r="C26">
        <f>1.45*10^-7</f>
        <v>1.4499999999999999E-7</v>
      </c>
      <c r="D26">
        <f>1.33*10^-7</f>
        <v>1.3300000000000001E-7</v>
      </c>
      <c r="E26" s="2">
        <f>0.00000008</f>
        <v>8.0000000000000002E-8</v>
      </c>
      <c r="F26" s="4">
        <v>7.3530100000000003</v>
      </c>
      <c r="G26" s="4">
        <v>6.8475599999999996</v>
      </c>
      <c r="H26" s="4">
        <v>5.1492399999999998</v>
      </c>
      <c r="I26" s="10">
        <v>299.64100000000002</v>
      </c>
      <c r="J26" s="11">
        <v>302.39600000000002</v>
      </c>
      <c r="K26">
        <v>300</v>
      </c>
      <c r="L26">
        <v>300</v>
      </c>
    </row>
    <row r="27" spans="1:12" x14ac:dyDescent="0.25">
      <c r="A27">
        <v>9</v>
      </c>
      <c r="B27" s="8">
        <v>0.47781000000000001</v>
      </c>
      <c r="C27">
        <f>1.87*10^-7</f>
        <v>1.8699999999999999E-7</v>
      </c>
      <c r="D27">
        <f>1.42*10^-7</f>
        <v>1.4199999999999997E-7</v>
      </c>
      <c r="E27">
        <f>1.21*10^-7</f>
        <v>1.2099999999999998E-7</v>
      </c>
      <c r="F27" s="4">
        <v>7.1083800000000004</v>
      </c>
      <c r="G27" s="4">
        <v>6.3801800000000002</v>
      </c>
      <c r="H27" s="4">
        <v>6.8316699999999999</v>
      </c>
      <c r="I27" s="10">
        <v>300.298</v>
      </c>
      <c r="J27" s="11">
        <v>299.31599999999997</v>
      </c>
      <c r="K27">
        <v>300</v>
      </c>
      <c r="L27">
        <v>300</v>
      </c>
    </row>
    <row r="28" spans="1:12" x14ac:dyDescent="0.25">
      <c r="A28">
        <v>10</v>
      </c>
      <c r="B28" s="8">
        <v>0.69301000000000001</v>
      </c>
      <c r="C28">
        <f>1.95*10^-7</f>
        <v>1.9499999999999999E-7</v>
      </c>
      <c r="D28">
        <f>1.17*10^-7</f>
        <v>1.1699999999999999E-7</v>
      </c>
      <c r="E28">
        <f>1.3*10^-7</f>
        <v>1.3E-7</v>
      </c>
      <c r="F28" s="4">
        <v>5.5371699999999997</v>
      </c>
      <c r="G28" s="4">
        <v>7.1125800000000003</v>
      </c>
      <c r="H28" s="4">
        <v>6.3660899999999998</v>
      </c>
      <c r="I28" s="10">
        <v>299.49700000000001</v>
      </c>
      <c r="J28" s="11">
        <v>301.49</v>
      </c>
      <c r="K28">
        <v>300</v>
      </c>
      <c r="L28">
        <v>300</v>
      </c>
    </row>
    <row r="29" spans="1:12" x14ac:dyDescent="0.25">
      <c r="A29" t="s">
        <v>12</v>
      </c>
      <c r="B29" s="1">
        <f>AVERAGE(B19:B28)</f>
        <v>0.36990309000000005</v>
      </c>
      <c r="C29" s="1">
        <f t="shared" ref="C29:L29" si="3">AVERAGE(C19:C28)</f>
        <v>1.9050000000000002E-7</v>
      </c>
      <c r="D29" s="1">
        <f t="shared" si="3"/>
        <v>1.2729999999999998E-7</v>
      </c>
      <c r="E29" s="1">
        <f t="shared" si="3"/>
        <v>1.6570000000000001E-7</v>
      </c>
      <c r="F29" s="1">
        <f t="shared" si="3"/>
        <v>6.500611000000001</v>
      </c>
      <c r="G29" s="1">
        <f t="shared" si="3"/>
        <v>6.3984100000000002</v>
      </c>
      <c r="H29" s="1">
        <f t="shared" si="3"/>
        <v>5.9942890000000002</v>
      </c>
      <c r="I29" s="1">
        <f t="shared" si="3"/>
        <v>299.7636</v>
      </c>
      <c r="J29" s="1">
        <f t="shared" si="3"/>
        <v>300.19920000000002</v>
      </c>
      <c r="K29" s="1">
        <f t="shared" si="3"/>
        <v>300</v>
      </c>
      <c r="L29" s="1">
        <f t="shared" si="3"/>
        <v>300</v>
      </c>
    </row>
    <row r="30" spans="1:12" x14ac:dyDescent="0.25">
      <c r="A30" t="s">
        <v>13</v>
      </c>
      <c r="B30">
        <f>STDEVP(B19:B28)</f>
        <v>0.19542919112541215</v>
      </c>
      <c r="C30">
        <f t="shared" ref="C30:L30" si="4">STDEVA(C19:C28)</f>
        <v>2.5206921448064398E-8</v>
      </c>
      <c r="D30">
        <f t="shared" si="4"/>
        <v>1.5951663096854678E-8</v>
      </c>
      <c r="E30">
        <f t="shared" si="4"/>
        <v>1.8873794295559942E-7</v>
      </c>
      <c r="F30">
        <f t="shared" si="4"/>
        <v>0.79391328816257167</v>
      </c>
      <c r="G30">
        <f t="shared" si="4"/>
        <v>0.64773665245478684</v>
      </c>
      <c r="H30">
        <f t="shared" si="4"/>
        <v>0.75112469916711622</v>
      </c>
      <c r="I30">
        <f t="shared" si="4"/>
        <v>0.47194590085446059</v>
      </c>
      <c r="J30">
        <f t="shared" si="4"/>
        <v>1.4640251819327921</v>
      </c>
      <c r="K30">
        <f t="shared" si="4"/>
        <v>0</v>
      </c>
      <c r="L30">
        <f t="shared" si="4"/>
        <v>0</v>
      </c>
    </row>
    <row r="31" spans="1:12" x14ac:dyDescent="0.25">
      <c r="A31" t="s">
        <v>14</v>
      </c>
      <c r="B31">
        <f>_xlfn.CONFIDENCE.T(0.05,B30,COUNT(B19:B28))</f>
        <v>0.13980162149982456</v>
      </c>
      <c r="C31">
        <f t="shared" ref="C31:J31" si="5">_xlfn.CONFIDENCE.T(0.05,C30,COUNT(C19:C28))</f>
        <v>1.8031945336132936E-8</v>
      </c>
      <c r="D31">
        <f t="shared" si="5"/>
        <v>1.1411132358052395E-8</v>
      </c>
      <c r="E31">
        <f t="shared" si="5"/>
        <v>1.3501499091198543E-7</v>
      </c>
      <c r="F31">
        <f t="shared" si="5"/>
        <v>0.56793135342897405</v>
      </c>
      <c r="G31">
        <f t="shared" si="5"/>
        <v>0.46336288758385213</v>
      </c>
      <c r="H31">
        <f t="shared" si="5"/>
        <v>0.53732224079433466</v>
      </c>
      <c r="I31">
        <f t="shared" si="5"/>
        <v>0.33760975942078503</v>
      </c>
      <c r="J31">
        <f t="shared" si="5"/>
        <v>1.0473005244105817</v>
      </c>
      <c r="K31" t="e">
        <f t="shared" ref="K31:L31" si="6">_xlfn.CONFIDENCE.T(0.05,K30,COUNT(K19:K28))</f>
        <v>#NUM!</v>
      </c>
      <c r="L31" t="e">
        <f t="shared" si="6"/>
        <v>#NUM!</v>
      </c>
    </row>
    <row r="32" spans="1:12" x14ac:dyDescent="0.25">
      <c r="I32" s="11"/>
    </row>
    <row r="33" spans="1:12" x14ac:dyDescent="0.25">
      <c r="A33" s="9" t="s">
        <v>18</v>
      </c>
    </row>
    <row r="34" spans="1:12" x14ac:dyDescent="0.25">
      <c r="B34" t="s">
        <v>17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</row>
    <row r="35" spans="1:12" x14ac:dyDescent="0.25">
      <c r="A35">
        <v>1</v>
      </c>
      <c r="B35" s="1">
        <v>0.32749</v>
      </c>
      <c r="C35">
        <f>1.53*10^-7</f>
        <v>1.5300000000000001E-7</v>
      </c>
      <c r="D35">
        <f>1.01*10^-7</f>
        <v>1.0099999999999999E-7</v>
      </c>
      <c r="E35" s="14">
        <v>8.9999999999999999E-8</v>
      </c>
      <c r="F35" s="3">
        <v>10.6774</v>
      </c>
      <c r="G35" s="5">
        <v>11.946999999999999</v>
      </c>
      <c r="H35" s="3">
        <v>11.787800000000001</v>
      </c>
      <c r="I35" s="10">
        <v>300.09399999999999</v>
      </c>
      <c r="J35" s="10">
        <v>301.34199999999998</v>
      </c>
      <c r="K35">
        <v>300</v>
      </c>
      <c r="L35">
        <v>300</v>
      </c>
    </row>
    <row r="36" spans="1:12" x14ac:dyDescent="0.25">
      <c r="A36">
        <v>2</v>
      </c>
      <c r="B36" s="1">
        <v>0.37808999999999998</v>
      </c>
      <c r="C36">
        <f>1.64*10^-7</f>
        <v>1.6399999999999999E-7</v>
      </c>
      <c r="D36">
        <f>6.8*10^-8</f>
        <v>6.8E-8</v>
      </c>
      <c r="E36">
        <f>6.4*10^-8</f>
        <v>6.4000000000000004E-8</v>
      </c>
      <c r="F36" s="3">
        <v>10.1729</v>
      </c>
      <c r="G36" s="5">
        <v>10.245100000000001</v>
      </c>
      <c r="H36" s="3">
        <v>10.3314</v>
      </c>
      <c r="I36" s="10">
        <v>299.95600000000002</v>
      </c>
      <c r="J36" s="10">
        <v>300.11799999999999</v>
      </c>
      <c r="K36">
        <v>300</v>
      </c>
      <c r="L36">
        <v>300</v>
      </c>
    </row>
    <row r="37" spans="1:12" x14ac:dyDescent="0.25">
      <c r="A37">
        <v>3</v>
      </c>
      <c r="B37" s="1">
        <v>0.57242999999999999</v>
      </c>
      <c r="C37">
        <f>2.22*10^-7</f>
        <v>2.22E-7</v>
      </c>
      <c r="D37">
        <f>1.51*10^-7</f>
        <v>1.5099999999999999E-7</v>
      </c>
      <c r="E37">
        <f>1.2*10^-7</f>
        <v>1.1999999999999999E-7</v>
      </c>
      <c r="F37" s="3">
        <v>10.026</v>
      </c>
      <c r="G37" s="5">
        <v>10.382099999999999</v>
      </c>
      <c r="H37" s="3">
        <v>11.3963</v>
      </c>
      <c r="I37" s="10">
        <v>299.81799999999998</v>
      </c>
      <c r="J37" s="10">
        <v>298.714</v>
      </c>
      <c r="K37">
        <v>300</v>
      </c>
      <c r="L37">
        <v>300</v>
      </c>
    </row>
    <row r="38" spans="1:12" x14ac:dyDescent="0.25">
      <c r="A38">
        <v>4</v>
      </c>
      <c r="B38" s="1">
        <v>3.5639999999999998E-2</v>
      </c>
      <c r="C38">
        <f>2.21*10^-7</f>
        <v>2.2099999999999998E-7</v>
      </c>
      <c r="D38">
        <f>1.02*10^-7</f>
        <v>1.02E-7</v>
      </c>
      <c r="E38">
        <f>1.08*10^-7</f>
        <v>1.08E-7</v>
      </c>
      <c r="F38" s="3">
        <v>10.0059</v>
      </c>
      <c r="G38" s="5">
        <v>11.8775</v>
      </c>
      <c r="H38" s="3">
        <v>12.1995</v>
      </c>
      <c r="I38" s="10">
        <v>299.80599999999998</v>
      </c>
      <c r="J38" s="10">
        <v>302.24200000000002</v>
      </c>
      <c r="K38">
        <v>300</v>
      </c>
      <c r="L38">
        <v>300</v>
      </c>
    </row>
    <row r="39" spans="1:12" x14ac:dyDescent="0.25">
      <c r="A39">
        <v>5</v>
      </c>
      <c r="B39" s="1">
        <v>0.33028000000000002</v>
      </c>
      <c r="C39">
        <f>1.78*10^-7</f>
        <v>1.7800000000000001E-7</v>
      </c>
      <c r="D39">
        <f>1.2*10^-7</f>
        <v>1.1999999999999999E-7</v>
      </c>
      <c r="E39">
        <f>1.04*10^-7</f>
        <v>1.04E-7</v>
      </c>
      <c r="F39" s="3">
        <v>10.7973</v>
      </c>
      <c r="G39" s="5">
        <v>10.0505</v>
      </c>
      <c r="H39" s="3">
        <v>10.9115</v>
      </c>
      <c r="I39" s="10">
        <v>300.45100000000002</v>
      </c>
      <c r="J39" s="10">
        <v>299.673</v>
      </c>
      <c r="K39">
        <v>300</v>
      </c>
      <c r="L39">
        <v>300</v>
      </c>
    </row>
    <row r="40" spans="1:12" x14ac:dyDescent="0.25">
      <c r="A40">
        <v>6</v>
      </c>
      <c r="B40" s="1">
        <v>0.37870999999999999</v>
      </c>
      <c r="C40">
        <f>1.56*10^-7</f>
        <v>1.5599999999999999E-7</v>
      </c>
      <c r="D40">
        <f>9.5*10^-8</f>
        <v>9.5000000000000004E-8</v>
      </c>
      <c r="E40">
        <f>1.26*10^-7</f>
        <v>1.2599999999999999E-7</v>
      </c>
      <c r="F40" s="3">
        <v>11.001200000000001</v>
      </c>
      <c r="G40" s="5">
        <v>12.355</v>
      </c>
      <c r="H40" s="3">
        <v>10.2811</v>
      </c>
      <c r="I40" s="10">
        <v>298.82600000000002</v>
      </c>
      <c r="J40" s="10">
        <v>300.40699999999998</v>
      </c>
      <c r="K40">
        <v>300</v>
      </c>
      <c r="L40">
        <v>300</v>
      </c>
    </row>
    <row r="41" spans="1:12" x14ac:dyDescent="0.25">
      <c r="A41">
        <v>7</v>
      </c>
      <c r="B41" s="1">
        <v>0.36656</v>
      </c>
      <c r="C41">
        <f>2.24*10^-7</f>
        <v>2.2400000000000002E-7</v>
      </c>
      <c r="D41">
        <f>5.37*10^-7</f>
        <v>5.37E-7</v>
      </c>
      <c r="E41">
        <f>1.68*10^-7</f>
        <v>1.68E-7</v>
      </c>
      <c r="F41" s="3">
        <v>10.4472</v>
      </c>
      <c r="G41" s="5">
        <v>11.5783</v>
      </c>
      <c r="H41" s="3">
        <v>11.3405</v>
      </c>
      <c r="I41" s="10">
        <v>299.86399999999998</v>
      </c>
      <c r="J41" s="10">
        <v>301.10899999999998</v>
      </c>
      <c r="K41">
        <v>300</v>
      </c>
      <c r="L41">
        <v>300</v>
      </c>
    </row>
    <row r="42" spans="1:12" x14ac:dyDescent="0.25">
      <c r="A42">
        <v>8</v>
      </c>
      <c r="B42" s="1">
        <v>0.55584</v>
      </c>
      <c r="C42">
        <f>2.33*10^-7</f>
        <v>2.3300000000000001E-7</v>
      </c>
      <c r="D42">
        <f>1.32*10^-7</f>
        <v>1.3199999999999999E-7</v>
      </c>
      <c r="E42">
        <f>9.4*10^-8</f>
        <v>9.4000000000000008E-8</v>
      </c>
      <c r="F42" s="3">
        <v>12.206300000000001</v>
      </c>
      <c r="G42" s="5">
        <v>10.8672</v>
      </c>
      <c r="H42" s="3">
        <v>12.135</v>
      </c>
      <c r="I42" s="10">
        <v>299.27100000000002</v>
      </c>
      <c r="J42" s="10">
        <v>299.18400000000003</v>
      </c>
      <c r="K42">
        <v>300</v>
      </c>
      <c r="L42">
        <v>300</v>
      </c>
    </row>
    <row r="43" spans="1:12" x14ac:dyDescent="0.25">
      <c r="A43">
        <v>9</v>
      </c>
      <c r="B43" s="1">
        <v>0.56261000000000005</v>
      </c>
      <c r="C43">
        <f>3.4*10^-7</f>
        <v>3.3999999999999997E-7</v>
      </c>
      <c r="D43">
        <f>2.21*10^-7</f>
        <v>2.2099999999999998E-7</v>
      </c>
      <c r="E43">
        <f>1.59*10^-7</f>
        <v>1.5900000000000001E-7</v>
      </c>
      <c r="F43" s="3">
        <v>10.479200000000001</v>
      </c>
      <c r="G43" s="5">
        <v>12.2156</v>
      </c>
      <c r="H43" s="3">
        <v>12.4156</v>
      </c>
      <c r="I43" s="10">
        <v>300.12299999999999</v>
      </c>
      <c r="J43" s="10">
        <v>302.09399999999999</v>
      </c>
      <c r="K43">
        <v>300</v>
      </c>
      <c r="L43">
        <v>300</v>
      </c>
    </row>
    <row r="44" spans="1:12" x14ac:dyDescent="0.25">
      <c r="A44">
        <v>10</v>
      </c>
      <c r="B44" s="1">
        <v>0.68472999999999995</v>
      </c>
      <c r="C44">
        <f>2.24*10^-7</f>
        <v>2.2400000000000002E-7</v>
      </c>
      <c r="D44">
        <f>2.78*10^-7</f>
        <v>2.7799999999999997E-7</v>
      </c>
      <c r="E44">
        <f>1.38*10^-7</f>
        <v>1.3799999999999999E-7</v>
      </c>
      <c r="F44" s="3">
        <v>10.601900000000001</v>
      </c>
      <c r="G44" s="5">
        <v>10.3249</v>
      </c>
      <c r="H44" s="3">
        <v>11.792299999999999</v>
      </c>
      <c r="I44" s="10">
        <v>299.18900000000002</v>
      </c>
      <c r="J44" s="10">
        <v>300.52199999999999</v>
      </c>
      <c r="K44">
        <v>300</v>
      </c>
      <c r="L44">
        <v>300</v>
      </c>
    </row>
    <row r="45" spans="1:12" x14ac:dyDescent="0.25">
      <c r="A45" t="s">
        <v>12</v>
      </c>
      <c r="B45" s="1">
        <f>AVERAGE(B35:B44)</f>
        <v>0.419238</v>
      </c>
      <c r="C45" s="6">
        <f t="shared" ref="C45:L45" si="7">AVERAGE(C35:C44)</f>
        <v>2.1150000000000001E-7</v>
      </c>
      <c r="D45" s="6">
        <f t="shared" si="7"/>
        <v>1.8049999999999998E-7</v>
      </c>
      <c r="E45" s="6">
        <f t="shared" si="7"/>
        <v>1.1710000000000001E-7</v>
      </c>
      <c r="F45" s="1">
        <f t="shared" si="7"/>
        <v>10.641529999999999</v>
      </c>
      <c r="G45" s="1">
        <f t="shared" si="7"/>
        <v>11.184319999999998</v>
      </c>
      <c r="H45" s="1">
        <f t="shared" si="7"/>
        <v>11.459100000000001</v>
      </c>
      <c r="I45" s="1">
        <f t="shared" si="7"/>
        <v>299.7398</v>
      </c>
      <c r="J45" s="1">
        <f t="shared" si="7"/>
        <v>300.54050000000001</v>
      </c>
      <c r="K45" s="1">
        <f t="shared" si="7"/>
        <v>300</v>
      </c>
      <c r="L45" s="1">
        <f t="shared" si="7"/>
        <v>300</v>
      </c>
    </row>
    <row r="46" spans="1:12" x14ac:dyDescent="0.25">
      <c r="A46" t="s">
        <v>13</v>
      </c>
      <c r="B46">
        <f>STDEVP(B35:B44)</f>
        <v>0.17399963303409585</v>
      </c>
      <c r="C46" s="15">
        <f t="shared" ref="C46:J46" si="8">STDEVA(C35:C44)</f>
        <v>5.5144758993438745E-8</v>
      </c>
      <c r="D46">
        <f t="shared" si="8"/>
        <v>1.4046371615316019E-7</v>
      </c>
      <c r="E46">
        <f t="shared" si="8"/>
        <v>3.1994617602896204E-8</v>
      </c>
      <c r="F46">
        <f t="shared" si="8"/>
        <v>0.63871581935074151</v>
      </c>
      <c r="G46">
        <f t="shared" si="8"/>
        <v>0.90073034539262153</v>
      </c>
      <c r="H46">
        <f t="shared" si="8"/>
        <v>0.75397155855583231</v>
      </c>
      <c r="I46">
        <f t="shared" si="8"/>
        <v>0.4954185211627683</v>
      </c>
      <c r="J46">
        <f t="shared" si="8"/>
        <v>1.1737632025053217</v>
      </c>
    </row>
    <row r="47" spans="1:12" x14ac:dyDescent="0.25">
      <c r="A47" t="s">
        <v>14</v>
      </c>
      <c r="B47">
        <f>_xlfn.CONFIDENCE.T(0.05,B46,COUNT(B35:B44))</f>
        <v>0.12447183912730188</v>
      </c>
      <c r="C47">
        <f t="shared" ref="C47:J47" si="9">_xlfn.CONFIDENCE.T(0.05,C46,COUNT(C35:C44))</f>
        <v>3.9448184174044329E-8</v>
      </c>
      <c r="D47">
        <f t="shared" si="9"/>
        <v>1.0048168938846637E-7</v>
      </c>
      <c r="E47">
        <f t="shared" si="9"/>
        <v>2.2887570656122396E-8</v>
      </c>
      <c r="F47">
        <f t="shared" si="9"/>
        <v>0.45690977232526453</v>
      </c>
      <c r="G47">
        <f t="shared" si="9"/>
        <v>0.64434367299395401</v>
      </c>
      <c r="H47">
        <f t="shared" si="9"/>
        <v>0.53935876131838012</v>
      </c>
      <c r="I47">
        <f t="shared" si="9"/>
        <v>0.35440106045956027</v>
      </c>
      <c r="J47">
        <f t="shared" si="9"/>
        <v>0.83965961288642577</v>
      </c>
    </row>
    <row r="49" spans="1:18" x14ac:dyDescent="0.25">
      <c r="A49" s="9" t="s">
        <v>19</v>
      </c>
    </row>
    <row r="50" spans="1:18" x14ac:dyDescent="0.25">
      <c r="B50" t="s">
        <v>17</v>
      </c>
      <c r="C50" t="s">
        <v>2</v>
      </c>
      <c r="D50" t="s">
        <v>3</v>
      </c>
      <c r="E50" t="s">
        <v>4</v>
      </c>
      <c r="F50" t="s">
        <v>20</v>
      </c>
      <c r="G50" t="s">
        <v>21</v>
      </c>
      <c r="H50" t="s">
        <v>22</v>
      </c>
      <c r="I50" t="s">
        <v>5</v>
      </c>
      <c r="J50" t="s">
        <v>6</v>
      </c>
      <c r="K50" t="s">
        <v>7</v>
      </c>
      <c r="L50" t="s">
        <v>23</v>
      </c>
      <c r="M50" t="s">
        <v>24</v>
      </c>
      <c r="N50" t="s">
        <v>25</v>
      </c>
      <c r="O50" t="s">
        <v>8</v>
      </c>
      <c r="P50" t="s">
        <v>9</v>
      </c>
      <c r="Q50" t="s">
        <v>10</v>
      </c>
      <c r="R50" t="s">
        <v>11</v>
      </c>
    </row>
    <row r="51" spans="1:18" x14ac:dyDescent="0.25">
      <c r="A51">
        <v>1</v>
      </c>
      <c r="B51" s="6">
        <v>1.3801699999999999E-4</v>
      </c>
      <c r="C51" s="6">
        <v>2.1500000000000001E-7</v>
      </c>
      <c r="D51" s="6">
        <v>9.3999999999999995E-8</v>
      </c>
      <c r="E51" s="6">
        <v>1.06E-7</v>
      </c>
      <c r="F51" s="6">
        <v>1.23E-7</v>
      </c>
      <c r="G51" s="6">
        <v>1.06E-7</v>
      </c>
      <c r="H51" s="6">
        <v>9.5999999999999999E-8</v>
      </c>
      <c r="I51" s="4">
        <v>2.2400500000000001</v>
      </c>
      <c r="J51" s="4">
        <v>1.5852999999999999</v>
      </c>
      <c r="K51" s="4">
        <v>1.1496999999999999</v>
      </c>
      <c r="L51" s="4">
        <v>1.5949</v>
      </c>
      <c r="M51" s="4">
        <v>1.06186</v>
      </c>
      <c r="N51" s="4">
        <v>2.7128199999999998</v>
      </c>
      <c r="O51" s="10">
        <v>300.36700000000002</v>
      </c>
      <c r="P51" s="10">
        <v>301.767</v>
      </c>
      <c r="Q51">
        <v>300</v>
      </c>
      <c r="R51">
        <v>300</v>
      </c>
    </row>
    <row r="52" spans="1:18" x14ac:dyDescent="0.25">
      <c r="A52">
        <v>2</v>
      </c>
      <c r="B52" s="6">
        <v>0.74314000000000002</v>
      </c>
      <c r="C52" s="6">
        <v>1.98E-7</v>
      </c>
      <c r="D52" s="6">
        <v>1.61E-7</v>
      </c>
      <c r="E52" s="6">
        <v>7.4999999999999997E-8</v>
      </c>
      <c r="F52" s="6">
        <v>8.9000000000000003E-8</v>
      </c>
      <c r="G52" s="6">
        <v>8.4999999999999994E-8</v>
      </c>
      <c r="H52" s="6">
        <v>7.7999999999999997E-8</v>
      </c>
      <c r="I52" s="4">
        <v>2.13842</v>
      </c>
      <c r="J52" s="4">
        <v>1.7037199999999999</v>
      </c>
      <c r="K52" s="4">
        <v>1.1044400000000001</v>
      </c>
      <c r="L52" s="4">
        <v>1.66625</v>
      </c>
      <c r="M52" s="4">
        <v>2.5392399999999999</v>
      </c>
      <c r="N52" s="4">
        <v>2.0134099999999999</v>
      </c>
      <c r="O52" s="10">
        <v>299.488</v>
      </c>
      <c r="P52" s="10">
        <v>300.58499999999998</v>
      </c>
      <c r="Q52">
        <v>300</v>
      </c>
      <c r="R52">
        <v>300</v>
      </c>
    </row>
    <row r="53" spans="1:18" x14ac:dyDescent="0.25">
      <c r="A53">
        <v>3</v>
      </c>
      <c r="B53" s="6">
        <v>0.62868999999999997</v>
      </c>
      <c r="C53" s="6">
        <v>1.79E-7</v>
      </c>
      <c r="D53" s="6">
        <v>1.4100000000000001E-7</v>
      </c>
      <c r="E53" s="6">
        <v>1.7599999999999999E-7</v>
      </c>
      <c r="F53" s="6">
        <v>1.3300000000000001E-7</v>
      </c>
      <c r="G53" s="6">
        <v>8.7999999999999994E-8</v>
      </c>
      <c r="H53" s="6">
        <v>1.37E-7</v>
      </c>
      <c r="I53" s="4">
        <v>2.0559799999999999</v>
      </c>
      <c r="J53" s="4">
        <v>1.23125</v>
      </c>
      <c r="K53" s="4">
        <v>1.9345600000000001</v>
      </c>
      <c r="L53" s="4">
        <v>2.12493</v>
      </c>
      <c r="M53" s="4">
        <v>1.0034099999999999</v>
      </c>
      <c r="N53" s="4">
        <v>3.4868899999999998</v>
      </c>
      <c r="O53" s="10">
        <v>298.02100000000002</v>
      </c>
      <c r="P53" s="10">
        <v>297.44499999999999</v>
      </c>
      <c r="Q53">
        <v>300</v>
      </c>
      <c r="R53">
        <v>300</v>
      </c>
    </row>
    <row r="54" spans="1:18" x14ac:dyDescent="0.25">
      <c r="A54">
        <v>4</v>
      </c>
      <c r="B54" s="6">
        <v>0.56206999999999996</v>
      </c>
      <c r="C54" s="6">
        <v>1.42E-7</v>
      </c>
      <c r="D54" s="6">
        <v>9.0999999999999994E-8</v>
      </c>
      <c r="E54" s="6">
        <v>7.7999999999999997E-8</v>
      </c>
      <c r="F54" s="6">
        <v>8.2000000000000006E-8</v>
      </c>
      <c r="G54" s="6">
        <v>8.0000000000000002E-8</v>
      </c>
      <c r="H54" s="6">
        <v>6.5E-8</v>
      </c>
      <c r="I54" s="4">
        <v>1.4422999999999999</v>
      </c>
      <c r="J54" s="4">
        <v>1.9978199999999999</v>
      </c>
      <c r="K54" s="4">
        <v>1.9045799999999999</v>
      </c>
      <c r="L54" s="4">
        <v>2.1231300000000002</v>
      </c>
      <c r="M54" s="4">
        <v>3.0674800000000002</v>
      </c>
      <c r="N54" s="4">
        <v>2.7937699999999999</v>
      </c>
      <c r="O54" s="10">
        <v>301.24200000000002</v>
      </c>
      <c r="P54" s="10">
        <v>299.15899999999999</v>
      </c>
      <c r="Q54">
        <v>300</v>
      </c>
      <c r="R54">
        <v>300</v>
      </c>
    </row>
    <row r="55" spans="1:18" x14ac:dyDescent="0.25">
      <c r="A55">
        <v>5</v>
      </c>
      <c r="B55" s="6">
        <v>1.13084E-4</v>
      </c>
      <c r="C55" s="6">
        <v>1.79E-7</v>
      </c>
      <c r="D55" s="6">
        <v>9.6999999999999995E-8</v>
      </c>
      <c r="E55" s="6">
        <v>8.9000000000000003E-8</v>
      </c>
      <c r="F55" s="6">
        <v>1.06E-7</v>
      </c>
      <c r="G55" s="6">
        <v>1.35E-7</v>
      </c>
      <c r="H55" s="6">
        <v>1.2100000000000001E-7</v>
      </c>
      <c r="I55" s="4">
        <v>1.79186</v>
      </c>
      <c r="J55" s="4">
        <v>3.3420899999999998</v>
      </c>
      <c r="K55" s="4">
        <v>2.0640700000000001</v>
      </c>
      <c r="L55" s="4">
        <v>1.20217</v>
      </c>
      <c r="M55" s="4">
        <v>3.48359</v>
      </c>
      <c r="N55" s="4">
        <v>3.2824300000000002</v>
      </c>
      <c r="O55" s="10">
        <v>301.71899999999999</v>
      </c>
      <c r="P55" s="10">
        <v>297.71499999999997</v>
      </c>
      <c r="Q55">
        <v>300</v>
      </c>
      <c r="R55">
        <v>300</v>
      </c>
    </row>
    <row r="56" spans="1:18" x14ac:dyDescent="0.25">
      <c r="A56">
        <v>6</v>
      </c>
      <c r="B56" s="6">
        <v>0.79474999999999996</v>
      </c>
      <c r="C56" s="6">
        <v>2.1299999999999999E-7</v>
      </c>
      <c r="D56" s="6">
        <v>1.06E-7</v>
      </c>
      <c r="E56" s="6">
        <v>1.23E-7</v>
      </c>
      <c r="F56" s="6">
        <v>1.18E-7</v>
      </c>
      <c r="G56" s="6">
        <v>7.0000000000000005E-8</v>
      </c>
      <c r="H56" s="6">
        <v>6.1999999999999999E-8</v>
      </c>
      <c r="I56" s="4">
        <v>1.0648599999999999</v>
      </c>
      <c r="J56" s="4">
        <v>2.8666200000000002</v>
      </c>
      <c r="K56" s="4">
        <v>1.8545199999999999</v>
      </c>
      <c r="L56" s="4">
        <v>2.2835200000000002</v>
      </c>
      <c r="M56" s="4">
        <v>3.1151399999999998</v>
      </c>
      <c r="N56" s="4">
        <v>1.9810300000000001</v>
      </c>
      <c r="O56" s="10">
        <v>299.601</v>
      </c>
      <c r="P56" s="10">
        <v>300.404</v>
      </c>
      <c r="Q56">
        <v>300</v>
      </c>
      <c r="R56">
        <v>300</v>
      </c>
    </row>
    <row r="57" spans="1:18" x14ac:dyDescent="0.25">
      <c r="A57">
        <v>7</v>
      </c>
      <c r="B57" s="6">
        <v>0.97367000000000004</v>
      </c>
      <c r="C57" s="6">
        <v>2.2700000000000001E-7</v>
      </c>
      <c r="D57" s="6">
        <v>2.4900000000000002E-7</v>
      </c>
      <c r="E57" s="6">
        <v>1.68E-7</v>
      </c>
      <c r="F57" s="6">
        <v>1.6E-7</v>
      </c>
      <c r="G57" s="6">
        <v>1.2800000000000001E-7</v>
      </c>
      <c r="H57" s="6">
        <v>1.3E-7</v>
      </c>
      <c r="I57" s="4">
        <v>1.6122799999999999</v>
      </c>
      <c r="J57" s="4">
        <v>2.9904299999999999</v>
      </c>
      <c r="K57" s="4">
        <v>2.1450200000000001</v>
      </c>
      <c r="L57" s="4">
        <v>1.2840100000000001</v>
      </c>
      <c r="M57" s="4">
        <v>1.52355</v>
      </c>
      <c r="N57" s="4">
        <v>2.4978699999999998</v>
      </c>
      <c r="O57" s="10">
        <v>299.161</v>
      </c>
      <c r="P57" s="10">
        <v>298.68900000000002</v>
      </c>
      <c r="Q57">
        <v>300</v>
      </c>
      <c r="R57">
        <v>300</v>
      </c>
    </row>
    <row r="58" spans="1:18" x14ac:dyDescent="0.25">
      <c r="A58">
        <v>8</v>
      </c>
      <c r="B58" s="6">
        <v>0.53173999999999999</v>
      </c>
      <c r="C58" s="6">
        <v>1.8699999999999999E-7</v>
      </c>
      <c r="D58" s="6">
        <v>1.7499999999999999E-7</v>
      </c>
      <c r="E58" s="6">
        <v>1.9000000000000001E-7</v>
      </c>
      <c r="F58" s="6">
        <v>1.2499999999999999E-7</v>
      </c>
      <c r="G58" s="6">
        <v>1.5800000000000001E-7</v>
      </c>
      <c r="H58" s="6">
        <v>1.5800000000000001E-7</v>
      </c>
      <c r="I58" s="4">
        <v>3.26444</v>
      </c>
      <c r="J58" s="4">
        <v>2.7541899999999999</v>
      </c>
      <c r="K58" s="4">
        <v>2.6744500000000002</v>
      </c>
      <c r="L58" s="4">
        <v>3.3124099999999999</v>
      </c>
      <c r="M58" s="4">
        <v>3.0566800000000001</v>
      </c>
      <c r="N58" s="4">
        <v>1.1275200000000001</v>
      </c>
      <c r="O58" s="10">
        <v>297.61700000000002</v>
      </c>
      <c r="P58" s="10">
        <v>299.70100000000002</v>
      </c>
      <c r="Q58">
        <v>300</v>
      </c>
      <c r="R58">
        <v>300</v>
      </c>
    </row>
    <row r="59" spans="1:18" x14ac:dyDescent="0.25">
      <c r="A59">
        <v>9</v>
      </c>
      <c r="B59" s="6">
        <v>0.52183000000000002</v>
      </c>
      <c r="C59" s="6">
        <v>2.67E-7</v>
      </c>
      <c r="D59" s="6">
        <v>1.6299999999999999E-7</v>
      </c>
      <c r="E59" s="6">
        <v>1.3E-7</v>
      </c>
      <c r="F59" s="6">
        <v>1.2700000000000001E-7</v>
      </c>
      <c r="G59" s="6">
        <v>1.04E-7</v>
      </c>
      <c r="H59" s="6">
        <v>1.5099999999999999E-7</v>
      </c>
      <c r="I59" s="4">
        <v>1.3238799999999999</v>
      </c>
      <c r="J59" s="4">
        <v>2.25624</v>
      </c>
      <c r="K59" s="4">
        <v>2.1024400000000001</v>
      </c>
      <c r="L59" s="4">
        <v>3.0482900000000002</v>
      </c>
      <c r="M59" s="4">
        <v>2.3671600000000002</v>
      </c>
      <c r="N59" s="4">
        <v>3.3897499999999998</v>
      </c>
      <c r="O59" s="10">
        <v>301.59199999999998</v>
      </c>
      <c r="P59" s="10">
        <v>298.11399999999998</v>
      </c>
      <c r="Q59">
        <v>300</v>
      </c>
      <c r="R59">
        <v>300</v>
      </c>
    </row>
    <row r="60" spans="1:18" x14ac:dyDescent="0.25">
      <c r="A60">
        <v>10</v>
      </c>
      <c r="B60" s="6">
        <v>1.6568400000000001E-4</v>
      </c>
      <c r="C60" s="6">
        <v>1.1999999999999999E-7</v>
      </c>
      <c r="D60" s="6">
        <v>8.9000000000000003E-8</v>
      </c>
      <c r="E60" s="6">
        <v>8.3999999999999998E-8</v>
      </c>
      <c r="F60" s="6">
        <v>8.7999999999999994E-8</v>
      </c>
      <c r="G60" s="6">
        <v>9.0999999999999994E-8</v>
      </c>
      <c r="H60" s="6">
        <v>1.06E-7</v>
      </c>
      <c r="I60" s="4">
        <v>1.93066</v>
      </c>
      <c r="J60" s="4">
        <v>2.4741900000000001</v>
      </c>
      <c r="K60" s="4">
        <v>1.8856900000000001</v>
      </c>
      <c r="L60" s="4">
        <v>3.14093</v>
      </c>
      <c r="M60" s="4">
        <v>2.70383</v>
      </c>
      <c r="N60" s="4">
        <v>1.1206199999999999</v>
      </c>
      <c r="O60" s="10">
        <v>301.86599999999999</v>
      </c>
      <c r="P60" s="10">
        <v>300.14699999999999</v>
      </c>
      <c r="Q60">
        <v>300</v>
      </c>
      <c r="R60">
        <v>300</v>
      </c>
    </row>
    <row r="61" spans="1:18" x14ac:dyDescent="0.25">
      <c r="A61" t="s">
        <v>12</v>
      </c>
      <c r="B61" s="1">
        <f>AVERAGE(B51:B60)</f>
        <v>0.47563067850000007</v>
      </c>
      <c r="C61" s="6">
        <f t="shared" ref="C61:K61" si="10">AVERAGE(C51:C60)</f>
        <v>1.927E-7</v>
      </c>
      <c r="D61" s="6">
        <f t="shared" si="10"/>
        <v>1.3659999999999999E-7</v>
      </c>
      <c r="E61" s="6">
        <f t="shared" si="10"/>
        <v>1.219E-7</v>
      </c>
      <c r="F61" s="6">
        <f t="shared" si="10"/>
        <v>1.1509999999999999E-7</v>
      </c>
      <c r="G61" s="6">
        <f t="shared" si="10"/>
        <v>1.0449999999999999E-7</v>
      </c>
      <c r="H61" s="6">
        <f t="shared" si="10"/>
        <v>1.104E-7</v>
      </c>
      <c r="I61" s="4">
        <f t="shared" si="10"/>
        <v>1.8864729999999998</v>
      </c>
      <c r="J61" s="1">
        <f t="shared" si="10"/>
        <v>2.3201849999999999</v>
      </c>
      <c r="K61" s="1">
        <f t="shared" si="10"/>
        <v>1.8819470000000003</v>
      </c>
      <c r="L61" s="1">
        <f t="shared" ref="L61" si="11">AVERAGE(L51:L60)</f>
        <v>2.1780540000000004</v>
      </c>
      <c r="M61" s="1">
        <f t="shared" ref="M61" si="12">AVERAGE(M51:M60)</f>
        <v>2.3921939999999995</v>
      </c>
      <c r="N61" s="4">
        <f t="shared" ref="N61" si="13">AVERAGE(N51:N60)</f>
        <v>2.4406109999999996</v>
      </c>
      <c r="O61" s="4">
        <f t="shared" ref="O61" si="14">AVERAGE(O51:O60)</f>
        <v>300.06740000000002</v>
      </c>
      <c r="P61" s="10">
        <f t="shared" ref="P61" si="15">AVERAGE(P51:P60)</f>
        <v>299.37260000000003</v>
      </c>
      <c r="Q61" s="10"/>
    </row>
    <row r="62" spans="1:18" x14ac:dyDescent="0.25">
      <c r="A62" t="s">
        <v>13</v>
      </c>
      <c r="B62">
        <f>STDEVP(B51:B60)</f>
        <v>0.33703120100135642</v>
      </c>
      <c r="C62">
        <f t="shared" ref="C62:P62" si="16">STDEVA(C51:C60)</f>
        <v>4.2029222638011709E-8</v>
      </c>
      <c r="D62">
        <f t="shared" si="16"/>
        <v>5.1730498204100497E-8</v>
      </c>
      <c r="E62">
        <f t="shared" si="16"/>
        <v>4.3017954907741076E-8</v>
      </c>
      <c r="F62">
        <f t="shared" si="16"/>
        <v>2.4131353509950954E-8</v>
      </c>
      <c r="G62">
        <f t="shared" si="16"/>
        <v>2.7833832330856319E-8</v>
      </c>
      <c r="H62">
        <f t="shared" si="16"/>
        <v>3.4638450055137027E-8</v>
      </c>
      <c r="I62">
        <f t="shared" si="16"/>
        <v>0.61381810852781682</v>
      </c>
      <c r="J62">
        <f t="shared" si="16"/>
        <v>0.68459719935237173</v>
      </c>
      <c r="K62">
        <f t="shared" si="16"/>
        <v>0.46233751420964642</v>
      </c>
      <c r="L62">
        <f t="shared" si="16"/>
        <v>0.77041420905611158</v>
      </c>
      <c r="M62">
        <f t="shared" si="16"/>
        <v>0.89341835083260213</v>
      </c>
      <c r="N62">
        <f t="shared" si="16"/>
        <v>0.86709098793930273</v>
      </c>
      <c r="O62">
        <f t="shared" si="16"/>
        <v>1.5392495429772042</v>
      </c>
      <c r="P62">
        <f t="shared" si="16"/>
        <v>1.3958143939013632</v>
      </c>
    </row>
    <row r="63" spans="1:18" x14ac:dyDescent="0.25">
      <c r="A63" t="s">
        <v>14</v>
      </c>
      <c r="B63">
        <f>_xlfn.CONFIDENCE.T(0.05,B62,COUNT(B51:B60))</f>
        <v>0.24109759716390755</v>
      </c>
      <c r="C63">
        <f t="shared" ref="C63:P63" si="17">_xlfn.CONFIDENCE.T(0.05,C62,COUNT(C51:C60))</f>
        <v>3.0065894666680282E-8</v>
      </c>
      <c r="D63">
        <f t="shared" si="17"/>
        <v>3.7005769139606365E-8</v>
      </c>
      <c r="E63">
        <f t="shared" si="17"/>
        <v>3.0773191123987232E-8</v>
      </c>
      <c r="F63">
        <f t="shared" si="17"/>
        <v>1.7262530383762858E-8</v>
      </c>
      <c r="G63">
        <f t="shared" si="17"/>
        <v>1.9911124177507634E-8</v>
      </c>
      <c r="H63">
        <f t="shared" si="17"/>
        <v>2.4778854459062227E-8</v>
      </c>
      <c r="I63">
        <f t="shared" si="17"/>
        <v>0.43909902294522474</v>
      </c>
      <c r="J63">
        <f t="shared" si="17"/>
        <v>0.48973133436489508</v>
      </c>
      <c r="K63">
        <f t="shared" si="17"/>
        <v>0.33073633367918093</v>
      </c>
      <c r="L63">
        <f t="shared" si="17"/>
        <v>0.5511211249062169</v>
      </c>
      <c r="M63">
        <f t="shared" si="17"/>
        <v>0.6391129871890241</v>
      </c>
      <c r="N63">
        <f t="shared" si="17"/>
        <v>0.62027952632730665</v>
      </c>
      <c r="O63">
        <f t="shared" si="17"/>
        <v>1.1011127905809326</v>
      </c>
      <c r="P63">
        <f t="shared" si="17"/>
        <v>0.99850546613059787</v>
      </c>
    </row>
    <row r="65" spans="1:18" x14ac:dyDescent="0.25">
      <c r="A65" s="9" t="s">
        <v>26</v>
      </c>
    </row>
    <row r="66" spans="1:18" x14ac:dyDescent="0.25">
      <c r="B66" t="s">
        <v>17</v>
      </c>
      <c r="C66" t="s">
        <v>2</v>
      </c>
      <c r="D66" t="s">
        <v>3</v>
      </c>
      <c r="E66" t="s">
        <v>4</v>
      </c>
      <c r="F66" t="s">
        <v>20</v>
      </c>
      <c r="G66" t="s">
        <v>21</v>
      </c>
      <c r="H66" t="s">
        <v>22</v>
      </c>
      <c r="I66" t="s">
        <v>5</v>
      </c>
      <c r="J66" t="s">
        <v>6</v>
      </c>
      <c r="K66" t="s">
        <v>7</v>
      </c>
      <c r="L66" t="s">
        <v>23</v>
      </c>
      <c r="M66" t="s">
        <v>24</v>
      </c>
      <c r="N66" t="s">
        <v>25</v>
      </c>
      <c r="O66" t="s">
        <v>8</v>
      </c>
      <c r="P66" t="s">
        <v>9</v>
      </c>
      <c r="Q66" t="s">
        <v>10</v>
      </c>
      <c r="R66" t="s">
        <v>11</v>
      </c>
    </row>
    <row r="67" spans="1:18" x14ac:dyDescent="0.25">
      <c r="A67">
        <v>1</v>
      </c>
      <c r="B67" s="13">
        <v>0.51383999999999996</v>
      </c>
      <c r="C67" s="7">
        <v>2.53E-7</v>
      </c>
      <c r="D67" s="6">
        <v>1.9000000000000001E-7</v>
      </c>
      <c r="E67" s="6">
        <v>1.23E-7</v>
      </c>
      <c r="F67" s="7">
        <v>1.3300000000000001E-7</v>
      </c>
      <c r="G67" s="6">
        <v>8.2000000000000006E-8</v>
      </c>
      <c r="H67" s="6">
        <v>9.3999999999999995E-8</v>
      </c>
      <c r="I67" s="3">
        <v>7.14825</v>
      </c>
      <c r="J67" s="3">
        <v>7.0784000000000002</v>
      </c>
      <c r="K67" s="4">
        <v>7.0244400000000002</v>
      </c>
      <c r="L67" s="4">
        <v>5.5032899999999998</v>
      </c>
      <c r="M67" s="4">
        <v>6.0549099999999996</v>
      </c>
      <c r="N67" s="4">
        <v>5.43344</v>
      </c>
      <c r="O67" s="10">
        <v>300.23899999999998</v>
      </c>
      <c r="P67" s="10">
        <v>300.827</v>
      </c>
      <c r="Q67">
        <v>300</v>
      </c>
      <c r="R67">
        <v>300</v>
      </c>
    </row>
    <row r="68" spans="1:18" x14ac:dyDescent="0.25">
      <c r="A68">
        <v>2</v>
      </c>
      <c r="B68" s="13">
        <v>0.52144000000000001</v>
      </c>
      <c r="C68" s="7">
        <v>1.79E-7</v>
      </c>
      <c r="D68" s="6">
        <v>1.02E-7</v>
      </c>
      <c r="E68" s="6">
        <v>6.7000000000000004E-8</v>
      </c>
      <c r="F68" s="7">
        <v>6.7000000000000004E-8</v>
      </c>
      <c r="G68" s="6">
        <v>8.0999999999999997E-8</v>
      </c>
      <c r="H68" s="6">
        <v>1.42E-7</v>
      </c>
      <c r="I68" s="3">
        <v>5.3303099999999999</v>
      </c>
      <c r="J68" s="3">
        <v>6.8544499999999999</v>
      </c>
      <c r="K68" s="4">
        <v>5.9847599999999996</v>
      </c>
      <c r="L68" s="4">
        <v>5.9907500000000002</v>
      </c>
      <c r="M68" s="4">
        <v>6.8013899999999996</v>
      </c>
      <c r="N68" s="4">
        <v>6.5132899999999996</v>
      </c>
      <c r="O68" s="10">
        <v>299.73399999999998</v>
      </c>
      <c r="P68" s="10">
        <v>299.98599999999999</v>
      </c>
      <c r="Q68">
        <v>300</v>
      </c>
      <c r="R68">
        <v>300</v>
      </c>
    </row>
    <row r="69" spans="1:18" x14ac:dyDescent="0.25">
      <c r="A69">
        <v>3</v>
      </c>
      <c r="B69" s="13">
        <v>0.57343999999999995</v>
      </c>
      <c r="C69" s="7">
        <v>1.66E-7</v>
      </c>
      <c r="D69" s="6">
        <v>1.04E-7</v>
      </c>
      <c r="E69" s="6">
        <v>7.7000000000000001E-8</v>
      </c>
      <c r="F69" s="7">
        <v>7.4999999999999997E-8</v>
      </c>
      <c r="G69" s="6">
        <v>7.0000000000000005E-8</v>
      </c>
      <c r="H69" s="6">
        <v>8.9000000000000003E-8</v>
      </c>
      <c r="I69" s="3">
        <v>5.0176299999999996</v>
      </c>
      <c r="J69" s="3">
        <v>6.0746900000000004</v>
      </c>
      <c r="K69" s="4">
        <v>5.0571999999999999</v>
      </c>
      <c r="L69" s="4">
        <v>5.7245400000000002</v>
      </c>
      <c r="M69" s="4">
        <v>6.3058300000000003</v>
      </c>
      <c r="N69" s="4">
        <v>6.5222800000000003</v>
      </c>
      <c r="O69" s="10">
        <v>300.798</v>
      </c>
      <c r="P69" s="10">
        <v>300.30200000000002</v>
      </c>
      <c r="Q69">
        <v>300</v>
      </c>
      <c r="R69">
        <v>300</v>
      </c>
    </row>
    <row r="70" spans="1:18" x14ac:dyDescent="0.25">
      <c r="A70">
        <v>4</v>
      </c>
      <c r="B70" s="13">
        <v>0.44817000000000001</v>
      </c>
      <c r="C70" s="7">
        <v>1.97E-7</v>
      </c>
      <c r="D70" s="6">
        <v>1.5599999999999999E-7</v>
      </c>
      <c r="E70" s="6">
        <v>7.4000000000000001E-8</v>
      </c>
      <c r="F70" s="7">
        <v>5.7000000000000001E-8</v>
      </c>
      <c r="G70" s="6">
        <v>7.1999999999999996E-8</v>
      </c>
      <c r="H70" s="6">
        <v>4.1000000000000003E-8</v>
      </c>
      <c r="I70" s="3">
        <v>6.5441700000000003</v>
      </c>
      <c r="J70" s="3">
        <v>7.4171699999999996</v>
      </c>
      <c r="K70" s="4">
        <v>6.0045400000000004</v>
      </c>
      <c r="L70" s="4">
        <v>5.9589699999999999</v>
      </c>
      <c r="M70" s="4">
        <v>7.1740300000000001</v>
      </c>
      <c r="N70" s="4">
        <v>7.3748899999999997</v>
      </c>
      <c r="O70" s="10">
        <v>300.45400000000001</v>
      </c>
      <c r="P70" s="10">
        <v>299.63200000000001</v>
      </c>
      <c r="Q70">
        <v>300</v>
      </c>
      <c r="R70">
        <v>300</v>
      </c>
    </row>
    <row r="71" spans="1:18" x14ac:dyDescent="0.25">
      <c r="A71">
        <v>5</v>
      </c>
      <c r="B71" s="13">
        <v>0.83328000000000002</v>
      </c>
      <c r="C71" s="7">
        <v>1.8699999999999999E-7</v>
      </c>
      <c r="D71" s="6">
        <v>1.18E-7</v>
      </c>
      <c r="E71" s="6">
        <v>1.24E-7</v>
      </c>
      <c r="F71" s="7">
        <v>1.18E-7</v>
      </c>
      <c r="G71" s="6">
        <v>8.6099999999999999E-7</v>
      </c>
      <c r="H71" s="6">
        <v>8.9999999999999999E-8</v>
      </c>
      <c r="I71" s="3">
        <v>6.2740600000000004</v>
      </c>
      <c r="J71" s="3">
        <v>6.6083299999999996</v>
      </c>
      <c r="K71" s="4">
        <v>5.1018699999999999</v>
      </c>
      <c r="L71" s="4">
        <v>5.53207</v>
      </c>
      <c r="M71" s="4">
        <v>6.1799200000000001</v>
      </c>
      <c r="N71" s="4">
        <v>6.5846400000000003</v>
      </c>
      <c r="O71" s="10">
        <v>299.44</v>
      </c>
      <c r="P71" s="10">
        <v>299.61099999999999</v>
      </c>
      <c r="Q71">
        <v>300</v>
      </c>
      <c r="R71">
        <v>300</v>
      </c>
    </row>
    <row r="72" spans="1:18" x14ac:dyDescent="0.25">
      <c r="A72">
        <v>6</v>
      </c>
      <c r="B72" s="13">
        <v>1.31927E-4</v>
      </c>
      <c r="C72" s="7">
        <v>1.68E-7</v>
      </c>
      <c r="D72" s="6">
        <v>1.1899999999999999E-7</v>
      </c>
      <c r="E72" s="6">
        <v>5.9999999999999995E-8</v>
      </c>
      <c r="F72" s="7">
        <v>8.3000000000000002E-8</v>
      </c>
      <c r="G72" s="6">
        <v>5.9999999999999995E-8</v>
      </c>
      <c r="H72" s="6">
        <v>1.1000000000000001E-7</v>
      </c>
      <c r="I72" s="3">
        <v>6.5750500000000001</v>
      </c>
      <c r="J72" s="3">
        <v>6.09598</v>
      </c>
      <c r="K72" s="4">
        <v>5.0128300000000001</v>
      </c>
      <c r="L72" s="4">
        <v>5.7206400000000004</v>
      </c>
      <c r="M72" s="4">
        <v>5.4583199999999996</v>
      </c>
      <c r="N72" s="4">
        <v>6.1907100000000002</v>
      </c>
      <c r="O72" s="10">
        <v>299.822</v>
      </c>
      <c r="P72" s="10">
        <v>300.39699999999999</v>
      </c>
      <c r="Q72">
        <v>300</v>
      </c>
      <c r="R72">
        <v>300</v>
      </c>
    </row>
    <row r="73" spans="1:18" x14ac:dyDescent="0.25">
      <c r="A73">
        <v>7</v>
      </c>
      <c r="B73" s="13">
        <v>0.50793999999999995</v>
      </c>
      <c r="C73" s="7">
        <v>1.55E-7</v>
      </c>
      <c r="D73" s="6">
        <v>7.3000000000000005E-8</v>
      </c>
      <c r="E73" s="6">
        <v>8.9999999999999999E-8</v>
      </c>
      <c r="F73" s="7">
        <v>8.7999999999999994E-8</v>
      </c>
      <c r="G73" s="6">
        <v>6.7000000000000004E-8</v>
      </c>
      <c r="H73" s="6">
        <v>6.8999999999999996E-8</v>
      </c>
      <c r="I73" s="3">
        <v>6.6401000000000003</v>
      </c>
      <c r="J73" s="3">
        <v>5.9823599999999999</v>
      </c>
      <c r="K73" s="4">
        <v>5.3998600000000003</v>
      </c>
      <c r="L73" s="4">
        <v>6.5618600000000002</v>
      </c>
      <c r="M73" s="4">
        <v>6.2782499999999999</v>
      </c>
      <c r="N73" s="4">
        <v>5.0895799999999998</v>
      </c>
      <c r="O73" s="10">
        <v>299.96600000000001</v>
      </c>
      <c r="P73" s="10">
        <v>301.01400000000001</v>
      </c>
      <c r="Q73">
        <v>300</v>
      </c>
      <c r="R73">
        <v>300</v>
      </c>
    </row>
    <row r="74" spans="1:18" x14ac:dyDescent="0.25">
      <c r="A74">
        <v>8</v>
      </c>
      <c r="B74" s="13">
        <v>0.49895</v>
      </c>
      <c r="C74" s="7">
        <v>1.6400000000000001E-7</v>
      </c>
      <c r="D74" s="6">
        <v>1.2800000000000001E-7</v>
      </c>
      <c r="E74" s="6">
        <v>1.01E-7</v>
      </c>
      <c r="F74" s="7">
        <v>9.5999999999999999E-8</v>
      </c>
      <c r="G74" s="6">
        <v>8.3999999999999998E-8</v>
      </c>
      <c r="H74" s="6">
        <v>1.02E-7</v>
      </c>
      <c r="I74" s="3">
        <v>5.7167399999999997</v>
      </c>
      <c r="J74" s="3">
        <v>7.3748899999999997</v>
      </c>
      <c r="K74" s="4">
        <v>7.0052500000000002</v>
      </c>
      <c r="L74" s="4">
        <v>5.3162200000000004</v>
      </c>
      <c r="M74" s="4">
        <v>7.29725</v>
      </c>
      <c r="N74" s="4">
        <v>6.8592500000000003</v>
      </c>
      <c r="O74" s="10">
        <v>299.702</v>
      </c>
      <c r="P74" s="10">
        <v>300.04599999999999</v>
      </c>
      <c r="Q74">
        <v>300</v>
      </c>
      <c r="R74">
        <v>300</v>
      </c>
    </row>
    <row r="75" spans="1:18" x14ac:dyDescent="0.25">
      <c r="A75">
        <v>9</v>
      </c>
      <c r="B75" s="13">
        <v>0.71767000000000003</v>
      </c>
      <c r="C75" s="7">
        <v>2.4900000000000002E-7</v>
      </c>
      <c r="D75" s="6">
        <v>1.86E-7</v>
      </c>
      <c r="E75" s="6">
        <v>2.1E-7</v>
      </c>
      <c r="F75" s="7">
        <v>1.6E-7</v>
      </c>
      <c r="G75" s="6">
        <v>1.3300000000000001E-7</v>
      </c>
      <c r="H75" s="6">
        <v>1.6999999999999999E-7</v>
      </c>
      <c r="I75" s="3">
        <v>6.6212200000000001</v>
      </c>
      <c r="J75" s="3">
        <v>5.4655199999999997</v>
      </c>
      <c r="K75" s="4">
        <v>6.2815500000000002</v>
      </c>
      <c r="L75" s="4">
        <v>6.0171299999999999</v>
      </c>
      <c r="M75" s="4">
        <v>6.1256599999999999</v>
      </c>
      <c r="N75" s="4">
        <v>5.3285099999999996</v>
      </c>
      <c r="O75" s="10">
        <v>300.73599999999999</v>
      </c>
      <c r="P75" s="10">
        <v>299.71899999999999</v>
      </c>
      <c r="Q75">
        <v>300</v>
      </c>
      <c r="R75">
        <v>300</v>
      </c>
    </row>
    <row r="76" spans="1:18" x14ac:dyDescent="0.25">
      <c r="A76">
        <v>10</v>
      </c>
      <c r="B76" s="13">
        <v>0.74636999999999998</v>
      </c>
      <c r="C76" s="7">
        <v>2.9299999999999999E-7</v>
      </c>
      <c r="D76" s="6">
        <v>1.3400000000000001E-7</v>
      </c>
      <c r="E76" s="6">
        <v>1.36E-7</v>
      </c>
      <c r="F76" s="7">
        <v>1.1999999999999999E-7</v>
      </c>
      <c r="G76" s="6">
        <v>1.6199999999999999E-7</v>
      </c>
      <c r="H76" s="6">
        <v>1.3799999999999999E-7</v>
      </c>
      <c r="I76" s="3">
        <v>5.3345099999999999</v>
      </c>
      <c r="J76" s="3">
        <v>5.7212399999999999</v>
      </c>
      <c r="K76" s="4">
        <v>6.52888</v>
      </c>
      <c r="L76" s="4">
        <v>5.7766999999999999</v>
      </c>
      <c r="M76" s="4">
        <v>7.28226</v>
      </c>
      <c r="N76" s="4">
        <v>6.7465299999999999</v>
      </c>
      <c r="O76" s="10">
        <v>299.66800000000001</v>
      </c>
      <c r="P76" s="10">
        <v>299.19299999999998</v>
      </c>
      <c r="Q76">
        <v>300</v>
      </c>
      <c r="R76">
        <v>300</v>
      </c>
    </row>
    <row r="77" spans="1:18" x14ac:dyDescent="0.25">
      <c r="A77" t="s">
        <v>12</v>
      </c>
      <c r="B77" s="6">
        <f>AVERAGE(B67:B76)</f>
        <v>0.53612319270000008</v>
      </c>
      <c r="C77" s="6">
        <f t="shared" ref="C77:P77" si="18">AVERAGE(C67:C76)</f>
        <v>2.0109999999999999E-7</v>
      </c>
      <c r="D77" s="6">
        <f t="shared" si="18"/>
        <v>1.3100000000000002E-7</v>
      </c>
      <c r="E77" s="6">
        <f t="shared" si="18"/>
        <v>1.062E-7</v>
      </c>
      <c r="F77" s="6">
        <f t="shared" si="18"/>
        <v>9.9699999999999999E-8</v>
      </c>
      <c r="G77" s="6">
        <f t="shared" si="18"/>
        <v>1.6719999999999999E-7</v>
      </c>
      <c r="H77" s="6">
        <f t="shared" si="18"/>
        <v>1.0449999999999999E-7</v>
      </c>
      <c r="I77" s="6">
        <f t="shared" si="18"/>
        <v>6.1202039999999993</v>
      </c>
      <c r="J77" s="6">
        <f t="shared" si="18"/>
        <v>6.4673029999999994</v>
      </c>
      <c r="K77" s="6">
        <f t="shared" si="18"/>
        <v>5.940118</v>
      </c>
      <c r="L77" s="6">
        <f t="shared" si="18"/>
        <v>5.8102170000000006</v>
      </c>
      <c r="M77" s="6">
        <f t="shared" si="18"/>
        <v>6.4957820000000002</v>
      </c>
      <c r="N77" s="6">
        <f t="shared" si="18"/>
        <v>6.2643120000000003</v>
      </c>
      <c r="O77" s="12">
        <f t="shared" si="18"/>
        <v>300.05589999999995</v>
      </c>
      <c r="P77" s="11">
        <f t="shared" si="18"/>
        <v>300.0727</v>
      </c>
    </row>
    <row r="78" spans="1:18" x14ac:dyDescent="0.25">
      <c r="A78" t="s">
        <v>13</v>
      </c>
      <c r="B78">
        <f>STDEVP(B67:B76)</f>
        <v>0.21558486771949459</v>
      </c>
      <c r="C78">
        <f t="shared" ref="C78:R78" si="19">STDEVA(C67:C76)</f>
        <v>4.7101427201778547E-8</v>
      </c>
      <c r="D78">
        <f t="shared" si="19"/>
        <v>3.7112441759244745E-8</v>
      </c>
      <c r="E78">
        <f t="shared" si="19"/>
        <v>4.4859781542044983E-8</v>
      </c>
      <c r="F78">
        <f t="shared" si="19"/>
        <v>3.2359267949417864E-8</v>
      </c>
      <c r="G78">
        <f t="shared" si="19"/>
        <v>2.4590187744979364E-7</v>
      </c>
      <c r="H78">
        <f t="shared" si="19"/>
        <v>3.7577327679806549E-8</v>
      </c>
      <c r="I78">
        <f t="shared" si="19"/>
        <v>0.71555661321489139</v>
      </c>
      <c r="J78">
        <f t="shared" si="19"/>
        <v>0.69574477028496851</v>
      </c>
      <c r="K78">
        <f t="shared" si="19"/>
        <v>0.77556901178424753</v>
      </c>
      <c r="L78">
        <f t="shared" si="19"/>
        <v>0.3487423049903754</v>
      </c>
      <c r="M78">
        <f t="shared" si="19"/>
        <v>0.61510358222190697</v>
      </c>
      <c r="N78">
        <f t="shared" si="19"/>
        <v>0.74554250704958069</v>
      </c>
      <c r="O78">
        <f t="shared" si="19"/>
        <v>0.47454222385602496</v>
      </c>
      <c r="P78">
        <f t="shared" si="19"/>
        <v>0.57031688072899533</v>
      </c>
      <c r="Q78">
        <f t="shared" si="19"/>
        <v>0</v>
      </c>
      <c r="R78">
        <f t="shared" si="19"/>
        <v>0</v>
      </c>
    </row>
    <row r="79" spans="1:18" x14ac:dyDescent="0.25">
      <c r="A79" t="s">
        <v>14</v>
      </c>
      <c r="B79">
        <f>_xlfn.CONFIDENCE.T(0.05,B78,COUNT(B67:B76))</f>
        <v>0.1542201239459127</v>
      </c>
      <c r="C79">
        <f t="shared" ref="C79:R79" si="20">_xlfn.CONFIDENCE.T(0.05,C78,COUNT(C67:C76))</f>
        <v>3.3694331229866809E-8</v>
      </c>
      <c r="D79">
        <f t="shared" si="20"/>
        <v>2.6548641509909817E-8</v>
      </c>
      <c r="E79">
        <f t="shared" si="20"/>
        <v>3.2090754526437237E-8</v>
      </c>
      <c r="F79">
        <f t="shared" si="20"/>
        <v>2.3148425799771265E-8</v>
      </c>
      <c r="G79">
        <f t="shared" si="20"/>
        <v>1.7590760622486196E-7</v>
      </c>
      <c r="H79">
        <f t="shared" si="20"/>
        <v>2.6881200863672233E-8</v>
      </c>
      <c r="I79">
        <f t="shared" si="20"/>
        <v>0.51187836487625238</v>
      </c>
      <c r="J79">
        <f t="shared" si="20"/>
        <v>0.49770582621632597</v>
      </c>
      <c r="K79">
        <f t="shared" si="20"/>
        <v>0.55480864863670543</v>
      </c>
      <c r="L79">
        <f t="shared" si="20"/>
        <v>0.24947521627899286</v>
      </c>
      <c r="M79">
        <f t="shared" si="20"/>
        <v>0.44001859542973576</v>
      </c>
      <c r="N79">
        <f t="shared" si="20"/>
        <v>0.53332898111260063</v>
      </c>
      <c r="O79">
        <f t="shared" si="20"/>
        <v>0.33946705701008462</v>
      </c>
      <c r="P79">
        <f t="shared" si="20"/>
        <v>0.40798011922113475</v>
      </c>
      <c r="Q79" t="e">
        <f t="shared" si="20"/>
        <v>#NUM!</v>
      </c>
      <c r="R79" t="e">
        <f t="shared" si="20"/>
        <v>#NUM!</v>
      </c>
    </row>
    <row r="81" spans="1:18" x14ac:dyDescent="0.25">
      <c r="A81" s="9" t="s">
        <v>27</v>
      </c>
    </row>
    <row r="82" spans="1:18" x14ac:dyDescent="0.25">
      <c r="B82" t="s">
        <v>17</v>
      </c>
      <c r="C82" t="s">
        <v>2</v>
      </c>
      <c r="D82" t="s">
        <v>3</v>
      </c>
      <c r="E82" t="s">
        <v>4</v>
      </c>
      <c r="F82" t="s">
        <v>20</v>
      </c>
      <c r="G82" t="s">
        <v>21</v>
      </c>
      <c r="H82" t="s">
        <v>22</v>
      </c>
      <c r="I82" t="s">
        <v>5</v>
      </c>
      <c r="J82" t="s">
        <v>6</v>
      </c>
      <c r="K82" t="s">
        <v>7</v>
      </c>
      <c r="L82" t="s">
        <v>23</v>
      </c>
      <c r="M82" t="s">
        <v>24</v>
      </c>
      <c r="N82" t="s">
        <v>25</v>
      </c>
      <c r="O82" t="s">
        <v>8</v>
      </c>
      <c r="P82" t="s">
        <v>9</v>
      </c>
      <c r="Q82" t="s">
        <v>10</v>
      </c>
      <c r="R82" t="s">
        <v>11</v>
      </c>
    </row>
    <row r="83" spans="1:18" x14ac:dyDescent="0.25">
      <c r="A83">
        <v>1</v>
      </c>
      <c r="B83" s="13" t="s">
        <v>28</v>
      </c>
      <c r="C83">
        <f>2.21*10^-7</f>
        <v>2.2099999999999998E-7</v>
      </c>
      <c r="D83">
        <f>1.16*10^-7</f>
        <v>1.1599999999999999E-7</v>
      </c>
      <c r="E83" s="14">
        <f>1.39*10^-7</f>
        <v>1.3899999999999999E-7</v>
      </c>
      <c r="F83">
        <f>1.26*10^-7</f>
        <v>1.2599999999999999E-7</v>
      </c>
      <c r="G83">
        <f>1.31*10^-7</f>
        <v>1.31E-7</v>
      </c>
      <c r="H83">
        <f>1.61*10^-7</f>
        <v>1.61E-7</v>
      </c>
      <c r="I83" s="3">
        <v>10.1144</v>
      </c>
      <c r="J83" s="3">
        <v>11.6784</v>
      </c>
      <c r="K83" s="3">
        <v>10.6585</v>
      </c>
      <c r="L83" s="3">
        <v>10.973000000000001</v>
      </c>
      <c r="M83" s="3">
        <v>11.670299999999999</v>
      </c>
      <c r="N83" s="3">
        <v>11.262</v>
      </c>
      <c r="O83" s="10">
        <v>300.26600000000002</v>
      </c>
      <c r="P83" s="10">
        <v>299.93299999999999</v>
      </c>
      <c r="Q83">
        <v>300</v>
      </c>
      <c r="R83">
        <v>300</v>
      </c>
    </row>
    <row r="84" spans="1:18" x14ac:dyDescent="0.25">
      <c r="A84">
        <v>2</v>
      </c>
      <c r="B84" s="13">
        <v>0.53652</v>
      </c>
      <c r="C84">
        <f>1.78*10^-7</f>
        <v>1.7800000000000001E-7</v>
      </c>
      <c r="D84">
        <f>1.14*10^-7</f>
        <v>1.1399999999999999E-7</v>
      </c>
      <c r="E84">
        <f>1.21*10^-7</f>
        <v>1.2099999999999998E-7</v>
      </c>
      <c r="F84">
        <f>6.2*10^-8</f>
        <v>6.1999999999999999E-8</v>
      </c>
      <c r="G84">
        <f>6.1*10^-8</f>
        <v>6.1000000000000004E-8</v>
      </c>
      <c r="H84">
        <f>4.9*10^-8</f>
        <v>4.9000000000000002E-8</v>
      </c>
      <c r="I84" s="3">
        <v>10.427099999999999</v>
      </c>
      <c r="J84" s="3">
        <v>11.1082</v>
      </c>
      <c r="K84" s="3">
        <v>11.819000000000001</v>
      </c>
      <c r="L84" s="3">
        <v>10.149800000000001</v>
      </c>
      <c r="M84" s="3">
        <v>11.1622</v>
      </c>
      <c r="N84" s="3">
        <v>11.8775</v>
      </c>
      <c r="O84" s="10">
        <v>300.13600000000002</v>
      </c>
      <c r="P84" s="10">
        <v>300.54199999999997</v>
      </c>
      <c r="Q84">
        <v>300</v>
      </c>
      <c r="R84">
        <v>300</v>
      </c>
    </row>
    <row r="85" spans="1:18" x14ac:dyDescent="0.25">
      <c r="A85">
        <v>3</v>
      </c>
      <c r="B85" s="13">
        <v>0.65734999999999999</v>
      </c>
      <c r="C85" s="14">
        <f>2.8*10^-7</f>
        <v>2.7999999999999997E-7</v>
      </c>
      <c r="D85">
        <f>1.81*10^-7</f>
        <v>1.8099999999999999E-7</v>
      </c>
      <c r="E85">
        <f>1.87*10^-7</f>
        <v>1.8699999999999999E-7</v>
      </c>
      <c r="F85">
        <f>2.38*10^-7</f>
        <v>2.3799999999999999E-7</v>
      </c>
      <c r="G85">
        <f>1.42*10^-7</f>
        <v>1.4199999999999997E-7</v>
      </c>
      <c r="H85">
        <f>1.05*10^-7</f>
        <v>1.05E-7</v>
      </c>
      <c r="I85" s="3">
        <v>11.1511</v>
      </c>
      <c r="J85" s="3">
        <v>10.916600000000001</v>
      </c>
      <c r="K85" s="3">
        <v>10.837199999999999</v>
      </c>
      <c r="L85" s="3">
        <v>12.1371</v>
      </c>
      <c r="M85" s="3">
        <v>10.851599999999999</v>
      </c>
      <c r="N85" s="3">
        <v>10.9466</v>
      </c>
      <c r="O85" s="10">
        <v>299.48200000000003</v>
      </c>
      <c r="P85" s="10">
        <v>299.99400000000003</v>
      </c>
      <c r="Q85">
        <v>300</v>
      </c>
      <c r="R85">
        <v>300</v>
      </c>
    </row>
    <row r="86" spans="1:18" x14ac:dyDescent="0.25">
      <c r="A86">
        <v>4</v>
      </c>
      <c r="B86" s="13">
        <v>0.91042000000000001</v>
      </c>
      <c r="C86">
        <f>1.63*10^-7</f>
        <v>1.6299999999999999E-7</v>
      </c>
      <c r="D86">
        <f>1.06*10^-7</f>
        <v>1.06E-7</v>
      </c>
      <c r="E86">
        <f>1.22*10^-7</f>
        <v>1.2199999999999998E-7</v>
      </c>
      <c r="F86">
        <f>1.25*10^-7</f>
        <v>1.2499999999999999E-7</v>
      </c>
      <c r="G86">
        <f>9.9*10^-8</f>
        <v>9.9E-8</v>
      </c>
      <c r="H86">
        <f>1.04*10^-7</f>
        <v>1.04E-7</v>
      </c>
      <c r="I86" s="3">
        <v>11.8514</v>
      </c>
      <c r="J86" s="3">
        <v>11.013199999999999</v>
      </c>
      <c r="K86" s="3">
        <v>11.2356</v>
      </c>
      <c r="L86" s="3">
        <v>11.6233</v>
      </c>
      <c r="M86" s="3">
        <v>12.448600000000001</v>
      </c>
      <c r="N86" s="3">
        <v>11.4125</v>
      </c>
      <c r="O86" s="10">
        <v>299.34500000000003</v>
      </c>
      <c r="P86" s="10">
        <v>299.90699999999998</v>
      </c>
      <c r="Q86">
        <v>300</v>
      </c>
      <c r="R86">
        <v>300</v>
      </c>
    </row>
    <row r="87" spans="1:18" x14ac:dyDescent="0.25">
      <c r="A87">
        <v>5</v>
      </c>
      <c r="B87" s="13">
        <v>0.63146000000000002</v>
      </c>
      <c r="C87">
        <f>2.69*10^-7</f>
        <v>2.6899999999999999E-7</v>
      </c>
      <c r="D87">
        <f>1.07*10^-7</f>
        <v>1.0700000000000001E-7</v>
      </c>
      <c r="E87">
        <f>1.13*10^-7</f>
        <v>1.1299999999999998E-7</v>
      </c>
      <c r="F87">
        <f>1.04*10^-7</f>
        <v>1.04E-7</v>
      </c>
      <c r="G87">
        <f>9.9*10^-8</f>
        <v>9.9E-8</v>
      </c>
      <c r="H87">
        <f>1.22*10^-7</f>
        <v>1.2199999999999998E-7</v>
      </c>
      <c r="I87" s="3">
        <v>10.013999999999999</v>
      </c>
      <c r="J87" s="3">
        <v>11.792</v>
      </c>
      <c r="K87" s="3">
        <v>11.7309</v>
      </c>
      <c r="L87" s="3">
        <v>12.480700000000001</v>
      </c>
      <c r="M87" s="3">
        <v>11.48</v>
      </c>
      <c r="N87" s="3">
        <v>10.7658</v>
      </c>
      <c r="O87" s="10">
        <v>299.01600000000002</v>
      </c>
      <c r="P87" s="10">
        <v>300.14499999999998</v>
      </c>
      <c r="Q87">
        <v>300</v>
      </c>
      <c r="R87">
        <v>300</v>
      </c>
    </row>
    <row r="88" spans="1:18" x14ac:dyDescent="0.25">
      <c r="A88">
        <v>6</v>
      </c>
      <c r="B88" s="13">
        <v>0.86053000000000002</v>
      </c>
      <c r="C88" s="14">
        <f>1.6*10^-7</f>
        <v>1.6E-7</v>
      </c>
      <c r="D88">
        <f>5.4*10^-8</f>
        <v>5.4000000000000007E-8</v>
      </c>
      <c r="E88">
        <f>9.1*10^-8</f>
        <v>9.0999999999999994E-8</v>
      </c>
      <c r="F88">
        <f>6.3*10^-8</f>
        <v>6.2999999999999995E-8</v>
      </c>
      <c r="G88">
        <f>6.4*10^-8</f>
        <v>6.4000000000000004E-8</v>
      </c>
      <c r="H88">
        <f>4.2*10^-8</f>
        <v>4.2000000000000006E-8</v>
      </c>
      <c r="I88" s="3">
        <v>12.2019</v>
      </c>
      <c r="J88" s="3">
        <v>10.8765</v>
      </c>
      <c r="K88" s="3">
        <v>11.8619</v>
      </c>
      <c r="L88" s="3">
        <v>12.157500000000001</v>
      </c>
      <c r="M88" s="3">
        <v>11.414899999999999</v>
      </c>
      <c r="N88" s="3">
        <v>10.050800000000001</v>
      </c>
      <c r="O88" s="10">
        <v>301.14100000000002</v>
      </c>
      <c r="P88" s="10">
        <v>299.17599999999999</v>
      </c>
      <c r="Q88">
        <v>300</v>
      </c>
      <c r="R88">
        <v>300</v>
      </c>
    </row>
    <row r="89" spans="1:18" x14ac:dyDescent="0.25">
      <c r="A89">
        <v>7</v>
      </c>
      <c r="B89" s="13">
        <v>5.058E-2</v>
      </c>
      <c r="C89">
        <f>1.89*10^-7</f>
        <v>1.8899999999999999E-7</v>
      </c>
      <c r="D89">
        <f>1.29*10^-7</f>
        <v>1.29E-7</v>
      </c>
      <c r="E89">
        <f>8.6*10^-8</f>
        <v>8.6000000000000002E-8</v>
      </c>
      <c r="F89">
        <f>8.8*10^-8</f>
        <v>8.8000000000000007E-8</v>
      </c>
      <c r="G89">
        <f>1.04*10^-7</f>
        <v>1.04E-7</v>
      </c>
      <c r="H89">
        <f>1.02*10^-7</f>
        <v>1.02E-7</v>
      </c>
      <c r="I89" s="3">
        <v>11.62</v>
      </c>
      <c r="J89" s="3">
        <v>11.0968</v>
      </c>
      <c r="K89" s="3">
        <v>10.974500000000001</v>
      </c>
      <c r="L89" s="3">
        <v>12.191700000000001</v>
      </c>
      <c r="M89" s="3">
        <v>11.6592</v>
      </c>
      <c r="N89" s="3">
        <v>11.8322</v>
      </c>
      <c r="O89" s="10">
        <v>300.20800000000003</v>
      </c>
      <c r="P89" s="10">
        <v>299.59699999999998</v>
      </c>
      <c r="Q89">
        <v>300</v>
      </c>
      <c r="R89">
        <v>300</v>
      </c>
    </row>
    <row r="90" spans="1:18" x14ac:dyDescent="0.25">
      <c r="A90">
        <v>8</v>
      </c>
      <c r="B90" s="13">
        <v>0.53788999999999998</v>
      </c>
      <c r="C90">
        <f>2.64*10^-7</f>
        <v>2.6399999999999998E-7</v>
      </c>
      <c r="D90">
        <f>2.78*10^-7</f>
        <v>2.7799999999999997E-7</v>
      </c>
      <c r="E90">
        <f>1.28*10^-7</f>
        <v>1.2800000000000001E-7</v>
      </c>
      <c r="F90">
        <f>1.01*10^-7</f>
        <v>1.0099999999999999E-7</v>
      </c>
      <c r="G90" s="14">
        <f>1.4*10^-7</f>
        <v>1.3999999999999998E-7</v>
      </c>
      <c r="H90">
        <f>9.2*10^-8</f>
        <v>9.199999999999999E-8</v>
      </c>
      <c r="I90" s="3">
        <v>11.384600000000001</v>
      </c>
      <c r="J90" s="3">
        <v>12.3071</v>
      </c>
      <c r="K90" s="3">
        <v>11.1004</v>
      </c>
      <c r="L90" s="3">
        <v>10.400399999999999</v>
      </c>
      <c r="M90" s="3">
        <v>11.208</v>
      </c>
      <c r="N90" s="3">
        <v>12.1761</v>
      </c>
      <c r="O90" s="10">
        <v>299.37799999999999</v>
      </c>
      <c r="P90" s="10">
        <v>300.16000000000003</v>
      </c>
      <c r="Q90">
        <v>300</v>
      </c>
      <c r="R90">
        <v>300</v>
      </c>
    </row>
    <row r="91" spans="1:18" x14ac:dyDescent="0.25">
      <c r="A91">
        <v>9</v>
      </c>
      <c r="B91" s="13">
        <v>7.2760000000000005E-2</v>
      </c>
      <c r="C91">
        <f>1.43*10^-7</f>
        <v>1.43E-7</v>
      </c>
      <c r="D91">
        <f>6.5*10^-8</f>
        <v>6.5E-8</v>
      </c>
      <c r="E91">
        <f>5.2*10^-8</f>
        <v>5.2000000000000002E-8</v>
      </c>
      <c r="F91">
        <f>5.9*10^-8</f>
        <v>5.9000000000000006E-8</v>
      </c>
      <c r="G91">
        <f>6.5*10^-8</f>
        <v>6.5E-8</v>
      </c>
      <c r="H91">
        <f>4.7*10^-8</f>
        <v>4.7000000000000004E-8</v>
      </c>
      <c r="I91" s="3">
        <v>10.3689</v>
      </c>
      <c r="J91" s="3">
        <v>10.081099999999999</v>
      </c>
      <c r="K91" s="3">
        <v>11.828900000000001</v>
      </c>
      <c r="L91" s="3">
        <v>12.3607</v>
      </c>
      <c r="M91" s="3">
        <v>10.606400000000001</v>
      </c>
      <c r="N91" s="3">
        <v>10.38</v>
      </c>
      <c r="O91" s="10">
        <v>300.07100000000003</v>
      </c>
      <c r="P91" s="10">
        <v>300.63799999999998</v>
      </c>
      <c r="Q91">
        <v>300</v>
      </c>
      <c r="R91">
        <v>300</v>
      </c>
    </row>
    <row r="92" spans="1:18" x14ac:dyDescent="0.25">
      <c r="A92">
        <v>10</v>
      </c>
      <c r="B92" s="13">
        <v>0.67627999999999999</v>
      </c>
      <c r="C92">
        <f>2.22*10^-7</f>
        <v>2.22E-7</v>
      </c>
      <c r="D92">
        <f>9.8*10^-8</f>
        <v>9.8000000000000004E-8</v>
      </c>
      <c r="E92">
        <f>1.13*10^-7</f>
        <v>1.1299999999999998E-7</v>
      </c>
      <c r="F92" s="14">
        <f>1.4*10^-7</f>
        <v>1.3999999999999998E-7</v>
      </c>
      <c r="G92">
        <f>1.12*10^-7</f>
        <v>1.1200000000000001E-7</v>
      </c>
      <c r="H92">
        <f>1.62*10^-7</f>
        <v>1.6199999999999999E-7</v>
      </c>
      <c r="I92" s="3">
        <v>12.309200000000001</v>
      </c>
      <c r="J92" s="3">
        <v>10.283200000000001</v>
      </c>
      <c r="K92" s="3">
        <v>11.4895</v>
      </c>
      <c r="L92" s="3">
        <v>10.711600000000001</v>
      </c>
      <c r="M92" s="3">
        <v>11.631600000000001</v>
      </c>
      <c r="N92" s="3">
        <v>12.0855</v>
      </c>
      <c r="O92" s="10">
        <v>299.37599999999998</v>
      </c>
      <c r="P92" s="10">
        <v>300.25900000000001</v>
      </c>
      <c r="Q92">
        <v>300</v>
      </c>
      <c r="R92">
        <v>300</v>
      </c>
    </row>
    <row r="93" spans="1:18" x14ac:dyDescent="0.25">
      <c r="A93" t="s">
        <v>12</v>
      </c>
      <c r="B93" s="13">
        <f>AVERAGE(B83:B92)</f>
        <v>0.5481988888888889</v>
      </c>
      <c r="C93" s="14">
        <f t="shared" ref="C93:P93" si="21">AVERAGE(C83:C92)</f>
        <v>2.0889999999999997E-7</v>
      </c>
      <c r="D93" s="14">
        <f t="shared" si="21"/>
        <v>1.2480000000000001E-7</v>
      </c>
      <c r="E93" s="14">
        <f t="shared" si="21"/>
        <v>1.152E-7</v>
      </c>
      <c r="F93" s="14">
        <f t="shared" si="21"/>
        <v>1.1059999999999998E-7</v>
      </c>
      <c r="G93" s="14">
        <f t="shared" si="21"/>
        <v>1.0169999999999999E-7</v>
      </c>
      <c r="H93" s="14">
        <f t="shared" si="21"/>
        <v>9.8599999999999996E-8</v>
      </c>
      <c r="I93" s="13">
        <f t="shared" si="21"/>
        <v>11.144259999999999</v>
      </c>
      <c r="J93" s="13">
        <f t="shared" si="21"/>
        <v>11.115309999999999</v>
      </c>
      <c r="K93" s="13">
        <f t="shared" si="21"/>
        <v>11.353640000000002</v>
      </c>
      <c r="L93" s="13">
        <f t="shared" si="21"/>
        <v>11.51858</v>
      </c>
      <c r="M93" s="13">
        <f t="shared" si="21"/>
        <v>11.413280000000002</v>
      </c>
      <c r="N93" s="13">
        <f t="shared" si="21"/>
        <v>11.2789</v>
      </c>
      <c r="O93" s="13">
        <f t="shared" si="21"/>
        <v>299.84190000000001</v>
      </c>
      <c r="P93" s="13">
        <f t="shared" si="21"/>
        <v>300.03509999999994</v>
      </c>
    </row>
    <row r="94" spans="1:18" x14ac:dyDescent="0.25">
      <c r="A94" t="s">
        <v>13</v>
      </c>
      <c r="B94">
        <f>STDEVP(B83:B92)</f>
        <v>0.28634000191863762</v>
      </c>
      <c r="C94" s="17">
        <f t="shared" ref="C94:P94" si="22">STDEVA(C83:C92)</f>
        <v>4.9679975845404746E-8</v>
      </c>
      <c r="D94">
        <f t="shared" si="22"/>
        <v>6.3959709540025606E-8</v>
      </c>
      <c r="E94">
        <f t="shared" si="22"/>
        <v>3.5602122283806491E-8</v>
      </c>
      <c r="F94">
        <f t="shared" si="22"/>
        <v>5.3204427551765936E-8</v>
      </c>
      <c r="G94">
        <f t="shared" si="22"/>
        <v>3.0731995632492778E-8</v>
      </c>
      <c r="H94">
        <f t="shared" si="22"/>
        <v>4.3349227854202376E-8</v>
      </c>
      <c r="I94">
        <f t="shared" si="22"/>
        <v>0.86367908674975413</v>
      </c>
      <c r="J94">
        <f t="shared" si="22"/>
        <v>0.67203472041587586</v>
      </c>
      <c r="K94">
        <f t="shared" si="22"/>
        <v>0.4513294244045401</v>
      </c>
      <c r="L94">
        <f t="shared" si="22"/>
        <v>0.87954805414801274</v>
      </c>
      <c r="M94">
        <f t="shared" si="22"/>
        <v>0.50796566331899951</v>
      </c>
      <c r="N94">
        <f t="shared" si="22"/>
        <v>0.73243236623671304</v>
      </c>
      <c r="O94">
        <f t="shared" si="22"/>
        <v>0.63520310837471239</v>
      </c>
      <c r="P94">
        <f t="shared" si="22"/>
        <v>0.42904971221940597</v>
      </c>
    </row>
    <row r="95" spans="1:18" x14ac:dyDescent="0.25">
      <c r="A95" t="s">
        <v>14</v>
      </c>
      <c r="B95">
        <f>_xlfn.CONFIDENCE.T(0.05,B94,COUNT(B83:B92))</f>
        <v>0.22010040949958251</v>
      </c>
      <c r="C95">
        <f t="shared" ref="C95:P95" si="23">_xlfn.CONFIDENCE.T(0.05,C94,COUNT(C83:C92))</f>
        <v>3.5538913809466097E-8</v>
      </c>
      <c r="D95">
        <f t="shared" si="23"/>
        <v>4.5754019923335128E-8</v>
      </c>
      <c r="E95">
        <f t="shared" si="23"/>
        <v>2.5468224042933068E-8</v>
      </c>
      <c r="F95">
        <f t="shared" si="23"/>
        <v>3.8060154677371673E-8</v>
      </c>
      <c r="G95">
        <f t="shared" si="23"/>
        <v>2.1984345309964019E-8</v>
      </c>
      <c r="H95">
        <f t="shared" si="23"/>
        <v>3.1010169513999572E-8</v>
      </c>
      <c r="I95">
        <f t="shared" si="23"/>
        <v>0.61783879924887353</v>
      </c>
      <c r="J95">
        <f t="shared" si="23"/>
        <v>0.4807446783015617</v>
      </c>
      <c r="K95">
        <f t="shared" si="23"/>
        <v>0.32286162061555285</v>
      </c>
      <c r="L95">
        <f t="shared" si="23"/>
        <v>0.62919077466784112</v>
      </c>
      <c r="M95">
        <f t="shared" si="23"/>
        <v>0.36337674525121594</v>
      </c>
      <c r="N95">
        <f t="shared" si="23"/>
        <v>0.52395055134386781</v>
      </c>
      <c r="O95">
        <f t="shared" si="23"/>
        <v>0.45439693026988309</v>
      </c>
      <c r="P95">
        <f t="shared" si="23"/>
        <v>0.30692367464087839</v>
      </c>
    </row>
    <row r="97" spans="1:30" x14ac:dyDescent="0.25">
      <c r="A97" s="9" t="s">
        <v>29</v>
      </c>
    </row>
    <row r="98" spans="1:30" x14ac:dyDescent="0.25">
      <c r="B98" t="s">
        <v>17</v>
      </c>
      <c r="C98" t="s">
        <v>2</v>
      </c>
      <c r="D98" t="s">
        <v>3</v>
      </c>
      <c r="E98" t="s">
        <v>4</v>
      </c>
      <c r="F98" t="s">
        <v>20</v>
      </c>
      <c r="G98" t="s">
        <v>21</v>
      </c>
      <c r="H98" t="s">
        <v>22</v>
      </c>
      <c r="I98" t="s">
        <v>30</v>
      </c>
      <c r="J98" t="s">
        <v>31</v>
      </c>
      <c r="K98" t="s">
        <v>32</v>
      </c>
      <c r="L98" t="s">
        <v>33</v>
      </c>
      <c r="M98" t="s">
        <v>34</v>
      </c>
      <c r="N98" t="s">
        <v>35</v>
      </c>
      <c r="O98" t="s">
        <v>5</v>
      </c>
      <c r="P98" t="s">
        <v>6</v>
      </c>
      <c r="Q98" t="s">
        <v>7</v>
      </c>
      <c r="R98" t="s">
        <v>23</v>
      </c>
      <c r="S98" t="s">
        <v>24</v>
      </c>
      <c r="T98" t="s">
        <v>25</v>
      </c>
      <c r="U98" t="s">
        <v>37</v>
      </c>
      <c r="V98" t="s">
        <v>38</v>
      </c>
      <c r="W98" t="s">
        <v>39</v>
      </c>
      <c r="X98" t="s">
        <v>40</v>
      </c>
      <c r="Y98" t="s">
        <v>41</v>
      </c>
      <c r="Z98" t="s">
        <v>42</v>
      </c>
      <c r="AA98" t="s">
        <v>8</v>
      </c>
      <c r="AB98" t="s">
        <v>9</v>
      </c>
      <c r="AC98" t="s">
        <v>10</v>
      </c>
      <c r="AD98" t="s">
        <v>11</v>
      </c>
    </row>
    <row r="99" spans="1:30" x14ac:dyDescent="0.25">
      <c r="A99">
        <v>1</v>
      </c>
      <c r="B99" s="6" t="s">
        <v>36</v>
      </c>
      <c r="C99" s="6">
        <v>1.8199999999999999E-7</v>
      </c>
      <c r="D99" s="6">
        <v>1.36E-7</v>
      </c>
      <c r="E99" s="6">
        <v>1.6999999999999999E-7</v>
      </c>
      <c r="F99" s="6">
        <v>1.11E-7</v>
      </c>
      <c r="G99" s="6">
        <v>1.3199999999999999E-7</v>
      </c>
      <c r="H99" s="6">
        <v>9.5999999999999999E-8</v>
      </c>
      <c r="I99" s="6">
        <v>8.4999999999999994E-8</v>
      </c>
      <c r="J99" s="6">
        <v>9.9E-8</v>
      </c>
      <c r="K99" s="6">
        <v>6.8E-8</v>
      </c>
      <c r="L99" s="6">
        <v>9.8000000000000004E-8</v>
      </c>
      <c r="M99" s="6">
        <v>9.2000000000000003E-8</v>
      </c>
      <c r="N99" s="6">
        <v>1.2499999999999999E-7</v>
      </c>
      <c r="O99" s="3">
        <v>2.0658699999999999</v>
      </c>
      <c r="P99" s="3">
        <v>1.09934</v>
      </c>
      <c r="Q99" s="3">
        <v>2.2499400000000001</v>
      </c>
      <c r="R99" s="3">
        <v>1.0480700000000001</v>
      </c>
      <c r="S99" s="3">
        <v>3.2128800000000002</v>
      </c>
      <c r="T99" s="3">
        <v>1.4827699999999999</v>
      </c>
      <c r="U99" s="3">
        <v>2.5344500000000001</v>
      </c>
      <c r="V99" s="3">
        <v>1.0288900000000001</v>
      </c>
      <c r="W99" s="3">
        <v>2.2727300000000001</v>
      </c>
      <c r="X99" s="3">
        <v>2.1120399999999999</v>
      </c>
      <c r="Y99" s="3">
        <v>2.7700800000000001</v>
      </c>
      <c r="Z99" s="3">
        <v>2.1063399999999999</v>
      </c>
      <c r="AA99" s="16">
        <v>299.84399999999999</v>
      </c>
      <c r="AB99" s="16">
        <v>300.33</v>
      </c>
      <c r="AC99">
        <v>300</v>
      </c>
      <c r="AD99">
        <v>300</v>
      </c>
    </row>
    <row r="100" spans="1:30" x14ac:dyDescent="0.25">
      <c r="A100">
        <v>2</v>
      </c>
      <c r="B100" s="6">
        <v>1.2981099999999999E-4</v>
      </c>
      <c r="C100" s="6">
        <v>1.2700000000000001E-7</v>
      </c>
      <c r="D100" s="6">
        <v>1.04E-7</v>
      </c>
      <c r="E100" s="6">
        <v>1.04E-7</v>
      </c>
      <c r="F100" s="6">
        <v>9.5999999999999999E-8</v>
      </c>
      <c r="G100" s="6">
        <v>1.03E-7</v>
      </c>
      <c r="H100" s="6">
        <v>1.8799999999999999E-7</v>
      </c>
      <c r="I100" s="6">
        <v>2.17E-7</v>
      </c>
      <c r="J100" s="6">
        <v>1.3799999999999999E-7</v>
      </c>
      <c r="K100" s="6">
        <v>1.5300000000000001E-7</v>
      </c>
      <c r="L100" s="6">
        <v>1.1999999999999999E-7</v>
      </c>
      <c r="M100" s="6">
        <v>1.12E-7</v>
      </c>
      <c r="N100" s="6">
        <v>1.31E-7</v>
      </c>
      <c r="O100" s="3">
        <v>2.1018400000000002</v>
      </c>
      <c r="P100" s="3">
        <v>1.3148899999999999</v>
      </c>
      <c r="Q100" s="3">
        <v>3.4407199999999998</v>
      </c>
      <c r="R100" s="3">
        <v>1.83263</v>
      </c>
      <c r="S100" s="3">
        <v>1.7253099999999999</v>
      </c>
      <c r="T100" s="3">
        <v>3.2947199999999999</v>
      </c>
      <c r="U100" s="3">
        <v>2.9037899999999999</v>
      </c>
      <c r="V100" s="3">
        <v>2.8654199999999999</v>
      </c>
      <c r="W100" s="3">
        <v>2.77488</v>
      </c>
      <c r="X100" s="3">
        <v>1.7274</v>
      </c>
      <c r="Y100" s="3">
        <v>1.5859000000000001</v>
      </c>
      <c r="Z100" s="3">
        <v>1.4806699999999999</v>
      </c>
      <c r="AA100" s="16">
        <v>299.58800000000002</v>
      </c>
      <c r="AB100" s="16">
        <v>300.73099999999999</v>
      </c>
      <c r="AC100">
        <v>300</v>
      </c>
      <c r="AD100">
        <v>300</v>
      </c>
    </row>
    <row r="101" spans="1:30" x14ac:dyDescent="0.25">
      <c r="A101">
        <v>3</v>
      </c>
      <c r="B101" s="6">
        <v>1.8855799999999999E-4</v>
      </c>
      <c r="C101" s="6">
        <v>2.22E-7</v>
      </c>
      <c r="D101" s="6">
        <v>8.4999999999999994E-8</v>
      </c>
      <c r="E101" s="6">
        <v>8.4999999999999994E-8</v>
      </c>
      <c r="F101" s="6">
        <v>7.1E-8</v>
      </c>
      <c r="G101" s="6">
        <v>9.6999999999999995E-8</v>
      </c>
      <c r="H101" s="6">
        <v>9.5999999999999999E-8</v>
      </c>
      <c r="I101" s="6">
        <v>8.9000000000000003E-8</v>
      </c>
      <c r="J101" s="6">
        <v>1.2599999999999999E-7</v>
      </c>
      <c r="K101" s="6">
        <v>7.7000000000000001E-8</v>
      </c>
      <c r="L101" s="6">
        <v>8.9999999999999999E-8</v>
      </c>
      <c r="M101" s="6">
        <v>9.6999999999999995E-8</v>
      </c>
      <c r="N101" s="6">
        <v>8.0000000000000002E-8</v>
      </c>
      <c r="O101" s="3">
        <v>1.93906</v>
      </c>
      <c r="P101" s="3">
        <v>1.2552300000000001</v>
      </c>
      <c r="Q101" s="3">
        <v>3.2791299999999999</v>
      </c>
      <c r="R101" s="3">
        <v>2.0664699999999998</v>
      </c>
      <c r="S101" s="3">
        <v>1.74959</v>
      </c>
      <c r="T101" s="3">
        <v>1.32568</v>
      </c>
      <c r="U101" s="3">
        <v>1.62338</v>
      </c>
      <c r="V101" s="3">
        <v>1.27891</v>
      </c>
      <c r="W101" s="3">
        <v>3.4329200000000002</v>
      </c>
      <c r="X101" s="3">
        <v>3.31121</v>
      </c>
      <c r="Y101" s="3">
        <v>1.6743399999999999</v>
      </c>
      <c r="Z101" s="3">
        <v>2.0721699999999998</v>
      </c>
      <c r="AA101" s="16">
        <v>302.10500000000002</v>
      </c>
      <c r="AB101" s="16">
        <v>299.54500000000002</v>
      </c>
      <c r="AC101">
        <v>300</v>
      </c>
      <c r="AD101">
        <v>300</v>
      </c>
    </row>
    <row r="102" spans="1:30" x14ac:dyDescent="0.25">
      <c r="A102">
        <v>4</v>
      </c>
      <c r="B102" s="6">
        <v>0.77988999999999997</v>
      </c>
      <c r="C102" s="6">
        <v>1.4499999999999999E-7</v>
      </c>
      <c r="D102" s="6">
        <v>9.2999999999999999E-8</v>
      </c>
      <c r="E102" s="6">
        <v>6.8999999999999996E-8</v>
      </c>
      <c r="F102" s="6">
        <v>1.1899999999999999E-7</v>
      </c>
      <c r="G102" s="6">
        <v>5.8000000000000003E-8</v>
      </c>
      <c r="H102" s="6">
        <v>1.0700000000000001E-7</v>
      </c>
      <c r="I102" s="6">
        <v>1.2499999999999999E-7</v>
      </c>
      <c r="J102" s="6">
        <v>1.91E-7</v>
      </c>
      <c r="K102" s="6">
        <v>1.37E-7</v>
      </c>
      <c r="L102" s="6">
        <v>7.7999999999999997E-8</v>
      </c>
      <c r="M102" s="6">
        <v>1.1600000000000001E-7</v>
      </c>
      <c r="N102" s="6">
        <v>1.23E-7</v>
      </c>
      <c r="O102" s="3">
        <v>1.0633600000000001</v>
      </c>
      <c r="P102" s="3">
        <v>2.2220599999999999</v>
      </c>
      <c r="Q102" s="3">
        <v>2.9769399999999999</v>
      </c>
      <c r="R102" s="3">
        <v>2.9790399999999999</v>
      </c>
      <c r="S102" s="3">
        <v>2.7410000000000001</v>
      </c>
      <c r="T102" s="3">
        <v>3.23386</v>
      </c>
      <c r="U102" s="3">
        <v>1.2744200000000001</v>
      </c>
      <c r="V102" s="3">
        <v>2.0101100000000001</v>
      </c>
      <c r="W102" s="3">
        <v>1.99962</v>
      </c>
      <c r="X102" s="3">
        <v>3.1376300000000001</v>
      </c>
      <c r="Y102" s="3">
        <v>1.6515599999999999</v>
      </c>
      <c r="Z102" s="3">
        <v>2.9205800000000002</v>
      </c>
      <c r="AA102" s="16">
        <v>300.142</v>
      </c>
      <c r="AB102" s="16">
        <v>299.08</v>
      </c>
      <c r="AC102">
        <v>300</v>
      </c>
      <c r="AD102">
        <v>300</v>
      </c>
    </row>
    <row r="103" spans="1:30" x14ac:dyDescent="0.25">
      <c r="A103">
        <v>5</v>
      </c>
      <c r="B103" s="6">
        <v>0.84150999999999998</v>
      </c>
      <c r="C103" s="6">
        <v>1.5099999999999999E-7</v>
      </c>
      <c r="D103" s="6">
        <v>7.7000000000000001E-8</v>
      </c>
      <c r="E103" s="6">
        <v>1.02E-7</v>
      </c>
      <c r="F103" s="6">
        <v>8.4999999999999994E-8</v>
      </c>
      <c r="G103" s="6">
        <v>2.0100000000000001E-7</v>
      </c>
      <c r="H103" s="6">
        <v>1.9399999999999999E-7</v>
      </c>
      <c r="I103" s="6">
        <v>9.9E-8</v>
      </c>
      <c r="J103" s="6">
        <v>1.8300000000000001E-7</v>
      </c>
      <c r="K103" s="6">
        <v>7.1999999999999996E-8</v>
      </c>
      <c r="L103" s="6">
        <v>1.2700000000000001E-7</v>
      </c>
      <c r="M103" s="6">
        <v>6.4000000000000004E-8</v>
      </c>
      <c r="N103" s="6">
        <v>6.5E-8</v>
      </c>
      <c r="O103" s="3">
        <v>2.65856</v>
      </c>
      <c r="P103" s="3">
        <v>2.6711499999999999</v>
      </c>
      <c r="Q103" s="3">
        <v>3.4488099999999999</v>
      </c>
      <c r="R103" s="3">
        <v>1.93516</v>
      </c>
      <c r="S103" s="3">
        <v>2.3866499999999999</v>
      </c>
      <c r="T103" s="3">
        <v>1.7615799999999999</v>
      </c>
      <c r="U103" s="3">
        <v>3.2455500000000002</v>
      </c>
      <c r="V103" s="3">
        <v>3.0006200000000001</v>
      </c>
      <c r="W103" s="3">
        <v>2.5509300000000001</v>
      </c>
      <c r="X103" s="3">
        <v>3.1844000000000001</v>
      </c>
      <c r="Y103" s="3">
        <v>1.62158</v>
      </c>
      <c r="Z103" s="3">
        <v>1.86381</v>
      </c>
      <c r="AA103" s="16">
        <v>299.91800000000001</v>
      </c>
      <c r="AB103" s="16">
        <v>298.68700000000001</v>
      </c>
      <c r="AC103">
        <v>300</v>
      </c>
      <c r="AD103">
        <v>300</v>
      </c>
    </row>
    <row r="104" spans="1:30" x14ac:dyDescent="0.25">
      <c r="A104">
        <v>6</v>
      </c>
      <c r="B104" s="6">
        <v>0.79886000000000001</v>
      </c>
      <c r="C104" s="6">
        <v>1.37E-7</v>
      </c>
      <c r="D104" s="6">
        <v>8.3999999999999998E-8</v>
      </c>
      <c r="E104" s="6">
        <v>9.8000000000000004E-8</v>
      </c>
      <c r="F104" s="6">
        <v>7.1E-8</v>
      </c>
      <c r="G104" s="6">
        <v>6.4000000000000004E-8</v>
      </c>
      <c r="H104" s="6">
        <v>8.6999999999999998E-8</v>
      </c>
      <c r="I104" s="6">
        <v>8.9999999999999999E-8</v>
      </c>
      <c r="J104" s="6">
        <v>1.15E-7</v>
      </c>
      <c r="K104" s="6">
        <v>1.8400000000000001E-7</v>
      </c>
      <c r="L104" s="6">
        <v>1.49E-7</v>
      </c>
      <c r="M104" s="6">
        <v>8.3000000000000002E-8</v>
      </c>
      <c r="N104" s="6">
        <v>1.2599999999999999E-7</v>
      </c>
      <c r="O104" s="3">
        <v>3.1529199999999999</v>
      </c>
      <c r="P104" s="3">
        <v>1.07446</v>
      </c>
      <c r="Q104" s="3">
        <v>1.4411</v>
      </c>
      <c r="R104" s="3">
        <v>1.2633300000000001</v>
      </c>
      <c r="S104" s="3">
        <v>3.3768600000000002</v>
      </c>
      <c r="T104" s="3">
        <v>1.8704099999999999</v>
      </c>
      <c r="U104" s="3">
        <v>2.4277199999999999</v>
      </c>
      <c r="V104" s="3">
        <v>1.1254200000000001</v>
      </c>
      <c r="W104" s="3">
        <v>1.93726</v>
      </c>
      <c r="X104" s="3">
        <v>1.1847799999999999</v>
      </c>
      <c r="Y104" s="3">
        <v>3.3174999999999999</v>
      </c>
      <c r="Z104" s="3">
        <v>1.9126799999999999</v>
      </c>
      <c r="AA104" s="16">
        <v>299.50299999999999</v>
      </c>
      <c r="AB104" s="16">
        <v>300.32299999999998</v>
      </c>
      <c r="AC104">
        <v>300</v>
      </c>
      <c r="AD104">
        <v>300</v>
      </c>
    </row>
    <row r="105" spans="1:30" x14ac:dyDescent="0.25">
      <c r="A105">
        <v>7</v>
      </c>
      <c r="B105" s="6">
        <v>1.2118800000000001E-4</v>
      </c>
      <c r="C105" s="6">
        <v>1.8400000000000001E-7</v>
      </c>
      <c r="D105" s="6">
        <v>2.2100000000000001E-7</v>
      </c>
      <c r="E105" s="6">
        <v>1.68E-7</v>
      </c>
      <c r="F105" s="6">
        <v>1.6500000000000001E-7</v>
      </c>
      <c r="G105" s="6">
        <v>9.3999999999999995E-8</v>
      </c>
      <c r="H105" s="6">
        <v>1.1300000000000001E-7</v>
      </c>
      <c r="I105" s="6">
        <v>1.03E-7</v>
      </c>
      <c r="J105" s="6">
        <v>1.1999999999999999E-7</v>
      </c>
      <c r="K105" s="6">
        <v>7.6000000000000006E-8</v>
      </c>
      <c r="L105" s="6">
        <v>7.7999999999999997E-8</v>
      </c>
      <c r="M105" s="6">
        <v>8.9000000000000003E-8</v>
      </c>
      <c r="N105" s="6">
        <v>1.92E-7</v>
      </c>
      <c r="O105" s="3">
        <v>2.0274999999999999</v>
      </c>
      <c r="P105" s="3">
        <v>1.8991899999999999</v>
      </c>
      <c r="Q105" s="3">
        <v>1.46868</v>
      </c>
      <c r="R105" s="3">
        <v>2.2010800000000001</v>
      </c>
      <c r="S105" s="3">
        <v>1.31399</v>
      </c>
      <c r="T105" s="3">
        <v>1.5936999999999999</v>
      </c>
      <c r="U105" s="3">
        <v>2.5662199999999999</v>
      </c>
      <c r="V105" s="3">
        <v>3.3813599999999999</v>
      </c>
      <c r="W105" s="3">
        <v>2.4714900000000002</v>
      </c>
      <c r="X105" s="3">
        <v>1.31429</v>
      </c>
      <c r="Y105" s="3">
        <v>1.7355</v>
      </c>
      <c r="Z105" s="3">
        <v>1.19407</v>
      </c>
      <c r="AA105" s="16">
        <v>299.29599999999999</v>
      </c>
      <c r="AB105" s="16">
        <v>300.54300000000001</v>
      </c>
      <c r="AC105">
        <v>300</v>
      </c>
      <c r="AD105">
        <v>300</v>
      </c>
    </row>
    <row r="106" spans="1:30" x14ac:dyDescent="0.25">
      <c r="A106">
        <v>8</v>
      </c>
      <c r="B106" s="6">
        <v>0.92135999999999996</v>
      </c>
      <c r="C106" s="6">
        <v>1.55E-7</v>
      </c>
      <c r="D106" s="6">
        <v>7.0000000000000005E-8</v>
      </c>
      <c r="E106" s="6">
        <v>8.6000000000000002E-8</v>
      </c>
      <c r="F106" s="6">
        <v>7.3000000000000005E-8</v>
      </c>
      <c r="G106" s="6">
        <v>7.7999999999999997E-8</v>
      </c>
      <c r="H106" s="6">
        <v>6.4000000000000004E-8</v>
      </c>
      <c r="I106" s="6">
        <v>6.4000000000000004E-8</v>
      </c>
      <c r="J106" s="6">
        <v>6.1000000000000004E-8</v>
      </c>
      <c r="K106" s="6">
        <v>1.8099999999999999E-7</v>
      </c>
      <c r="L106" s="6">
        <v>2.0800000000000001E-7</v>
      </c>
      <c r="M106" s="6">
        <v>1.1600000000000001E-7</v>
      </c>
      <c r="N106" s="6">
        <v>1.4499999999999999E-7</v>
      </c>
      <c r="O106" s="3">
        <v>3.2131799999999999</v>
      </c>
      <c r="P106" s="3">
        <v>1.4563900000000001</v>
      </c>
      <c r="Q106" s="3">
        <v>1.1056299999999999</v>
      </c>
      <c r="R106" s="3">
        <v>2.8114499999999998</v>
      </c>
      <c r="S106" s="3">
        <v>2.81745</v>
      </c>
      <c r="T106" s="3">
        <v>2.82464</v>
      </c>
      <c r="U106" s="3">
        <v>2.4582999999999999</v>
      </c>
      <c r="V106" s="3">
        <v>1.11493</v>
      </c>
      <c r="W106" s="3">
        <v>1.2294499999999999</v>
      </c>
      <c r="X106" s="3">
        <v>3.4128400000000001</v>
      </c>
      <c r="Y106" s="3">
        <v>3.1697099999999998</v>
      </c>
      <c r="Z106" s="3">
        <v>1.9222699999999999</v>
      </c>
      <c r="AA106" s="16">
        <v>298.87700000000001</v>
      </c>
      <c r="AB106" s="16">
        <v>299.54399999999998</v>
      </c>
      <c r="AC106">
        <v>300</v>
      </c>
      <c r="AD106">
        <v>300</v>
      </c>
    </row>
    <row r="107" spans="1:30" x14ac:dyDescent="0.25">
      <c r="A107">
        <v>9</v>
      </c>
      <c r="B107" s="6">
        <v>0.99002000000000001</v>
      </c>
      <c r="C107" s="6">
        <v>1.6400000000000001E-7</v>
      </c>
      <c r="D107" s="6">
        <v>1.14E-7</v>
      </c>
      <c r="E107" s="6">
        <v>3.4200000000000002E-7</v>
      </c>
      <c r="F107" s="6">
        <v>2.1899999999999999E-7</v>
      </c>
      <c r="G107" s="6">
        <v>1.3400000000000001E-7</v>
      </c>
      <c r="H107" s="6">
        <v>1.17E-7</v>
      </c>
      <c r="I107" s="6">
        <v>1.4000000000000001E-7</v>
      </c>
      <c r="J107" s="6">
        <v>1.1000000000000001E-7</v>
      </c>
      <c r="K107" s="6">
        <v>1.35E-7</v>
      </c>
      <c r="L107" s="6">
        <v>1.12E-7</v>
      </c>
      <c r="M107" s="6">
        <v>1.14E-7</v>
      </c>
      <c r="N107" s="6">
        <v>1.08E-7</v>
      </c>
      <c r="O107" s="3">
        <v>2.3653599999999999</v>
      </c>
      <c r="P107" s="3">
        <v>2.7829700000000002</v>
      </c>
      <c r="Q107" s="3">
        <v>3.18649</v>
      </c>
      <c r="R107" s="3">
        <v>1.0396799999999999</v>
      </c>
      <c r="S107" s="3">
        <v>1.5220499999999999</v>
      </c>
      <c r="T107" s="3">
        <v>2.2769200000000001</v>
      </c>
      <c r="U107" s="3">
        <v>2.2052700000000001</v>
      </c>
      <c r="V107" s="3">
        <v>2.67475</v>
      </c>
      <c r="W107" s="3">
        <v>1.95225</v>
      </c>
      <c r="X107" s="3">
        <v>2.7035300000000002</v>
      </c>
      <c r="Y107" s="3">
        <v>2.6015999999999999</v>
      </c>
      <c r="Z107" s="3">
        <v>2.21007</v>
      </c>
      <c r="AA107" s="16">
        <v>299.79700000000003</v>
      </c>
      <c r="AB107" s="16">
        <v>299.90100000000001</v>
      </c>
      <c r="AC107">
        <v>300</v>
      </c>
      <c r="AD107">
        <v>300</v>
      </c>
    </row>
    <row r="108" spans="1:30" x14ac:dyDescent="0.25">
      <c r="A108">
        <v>10</v>
      </c>
      <c r="B108" s="6">
        <v>1.1822799999999999E-4</v>
      </c>
      <c r="C108" s="6">
        <v>1.5800000000000001E-7</v>
      </c>
      <c r="D108" s="6">
        <v>1.79E-7</v>
      </c>
      <c r="E108" s="6">
        <v>1.3899999999999999E-7</v>
      </c>
      <c r="F108" s="6">
        <v>1.0700000000000001E-7</v>
      </c>
      <c r="G108" s="6">
        <v>1.14E-7</v>
      </c>
      <c r="H108" s="6">
        <v>1.3199999999999999E-7</v>
      </c>
      <c r="I108" s="6">
        <v>1.06E-7</v>
      </c>
      <c r="J108" s="6">
        <v>1.1300000000000001E-7</v>
      </c>
      <c r="K108" s="6">
        <v>1.02E-7</v>
      </c>
      <c r="L108" s="6">
        <v>1.04E-7</v>
      </c>
      <c r="M108" s="6">
        <v>2.7500000000000001E-7</v>
      </c>
      <c r="N108" s="6">
        <v>2.5800000000000001E-7</v>
      </c>
      <c r="O108" s="3">
        <v>2.1348199999999999</v>
      </c>
      <c r="P108" s="3">
        <v>2.14052</v>
      </c>
      <c r="Q108" s="3">
        <v>1.8260400000000001</v>
      </c>
      <c r="R108" s="3">
        <v>1.3961300000000001</v>
      </c>
      <c r="S108" s="3">
        <v>1.2333499999999999</v>
      </c>
      <c r="T108" s="3">
        <v>1.0918399999999999</v>
      </c>
      <c r="U108" s="3">
        <v>2.1390199999999999</v>
      </c>
      <c r="V108" s="3">
        <v>1.0282899999999999</v>
      </c>
      <c r="W108" s="3">
        <v>3.0051199999999998</v>
      </c>
      <c r="X108" s="3">
        <v>2.10724</v>
      </c>
      <c r="Y108" s="3">
        <v>1.4815700000000001</v>
      </c>
      <c r="Z108" s="3">
        <v>2.80816</v>
      </c>
      <c r="AA108" s="16">
        <v>298.447</v>
      </c>
      <c r="AB108" s="16">
        <v>299.815</v>
      </c>
      <c r="AC108">
        <v>300</v>
      </c>
      <c r="AD108">
        <v>300</v>
      </c>
    </row>
    <row r="109" spans="1:30" x14ac:dyDescent="0.25">
      <c r="A109" t="s">
        <v>12</v>
      </c>
      <c r="B109" s="6">
        <f>AVERAGE(B99:B108)</f>
        <v>0.48135530944444443</v>
      </c>
      <c r="C109" s="6">
        <f t="shared" ref="C109:AD109" si="24">AVERAGE(C99:C108)</f>
        <v>1.6250000000000001E-7</v>
      </c>
      <c r="D109" s="6">
        <f t="shared" si="24"/>
        <v>1.1630000000000002E-7</v>
      </c>
      <c r="E109" s="6">
        <f t="shared" si="24"/>
        <v>1.3630000000000002E-7</v>
      </c>
      <c r="F109" s="6">
        <f t="shared" si="24"/>
        <v>1.117E-7</v>
      </c>
      <c r="G109" s="6">
        <f t="shared" si="24"/>
        <v>1.075E-7</v>
      </c>
      <c r="H109" s="6">
        <f t="shared" si="24"/>
        <v>1.1940000000000002E-7</v>
      </c>
      <c r="I109" s="6">
        <f t="shared" si="24"/>
        <v>1.118E-7</v>
      </c>
      <c r="J109" s="6">
        <f t="shared" si="24"/>
        <v>1.2559999999999996E-7</v>
      </c>
      <c r="K109" s="6">
        <f t="shared" si="24"/>
        <v>1.1850000000000001E-7</v>
      </c>
      <c r="L109" s="6">
        <f t="shared" si="24"/>
        <v>1.164E-7</v>
      </c>
      <c r="M109" s="6">
        <f t="shared" si="24"/>
        <v>1.1580000000000002E-7</v>
      </c>
      <c r="N109" s="6">
        <f t="shared" si="24"/>
        <v>1.353E-7</v>
      </c>
      <c r="O109" s="13">
        <f t="shared" si="24"/>
        <v>2.2722470000000001</v>
      </c>
      <c r="P109" s="13">
        <f t="shared" si="24"/>
        <v>1.79162</v>
      </c>
      <c r="Q109" s="13">
        <f t="shared" si="24"/>
        <v>2.442348</v>
      </c>
      <c r="R109" s="13">
        <f t="shared" si="24"/>
        <v>1.8573039999999998</v>
      </c>
      <c r="S109" s="13">
        <f t="shared" si="24"/>
        <v>2.2079130000000005</v>
      </c>
      <c r="T109" s="13">
        <f t="shared" si="24"/>
        <v>2.0756120000000005</v>
      </c>
      <c r="U109" s="13">
        <f t="shared" si="24"/>
        <v>2.337812</v>
      </c>
      <c r="V109" s="13">
        <f t="shared" si="24"/>
        <v>1.9508699999999997</v>
      </c>
      <c r="W109" s="13">
        <f t="shared" si="24"/>
        <v>2.3626650000000007</v>
      </c>
      <c r="X109" s="13">
        <f t="shared" si="24"/>
        <v>2.4195359999999999</v>
      </c>
      <c r="Y109" s="13">
        <f t="shared" si="24"/>
        <v>2.1609340000000001</v>
      </c>
      <c r="Z109" s="13">
        <f t="shared" si="24"/>
        <v>2.0490819999999998</v>
      </c>
      <c r="AA109" s="13">
        <f t="shared" si="24"/>
        <v>299.75170000000003</v>
      </c>
      <c r="AB109" s="13">
        <f t="shared" si="24"/>
        <v>299.84989999999999</v>
      </c>
      <c r="AC109" s="13">
        <f t="shared" si="24"/>
        <v>300</v>
      </c>
      <c r="AD109" s="13">
        <f t="shared" si="24"/>
        <v>300</v>
      </c>
    </row>
    <row r="110" spans="1:30" x14ac:dyDescent="0.25">
      <c r="A110" t="s">
        <v>13</v>
      </c>
      <c r="B110" s="6">
        <f>STDEVP(B99:B108)</f>
        <v>0.43439131328231317</v>
      </c>
      <c r="C110" s="6">
        <f t="shared" ref="C110:AD110" si="25">STDEVA(C99:C108)</f>
        <v>2.7508584518695655E-8</v>
      </c>
      <c r="D110" s="6">
        <f t="shared" si="25"/>
        <v>4.9094127279475424E-8</v>
      </c>
      <c r="E110" s="6">
        <f t="shared" si="25"/>
        <v>8.0165176701330595E-8</v>
      </c>
      <c r="F110" s="6">
        <f t="shared" si="25"/>
        <v>4.7375685277951971E-8</v>
      </c>
      <c r="G110" s="6">
        <f t="shared" si="25"/>
        <v>4.1649996665332672E-8</v>
      </c>
      <c r="H110" s="6">
        <f t="shared" si="25"/>
        <v>4.1958180238052372E-8</v>
      </c>
      <c r="I110" s="6">
        <f t="shared" si="25"/>
        <v>4.2569681438528257E-8</v>
      </c>
      <c r="J110" s="6">
        <f t="shared" si="25"/>
        <v>3.8227971143885961E-8</v>
      </c>
      <c r="K110" s="6">
        <f t="shared" si="25"/>
        <v>4.5355999235676272E-8</v>
      </c>
      <c r="L110" s="6">
        <f t="shared" si="25"/>
        <v>3.9067463018049518E-8</v>
      </c>
      <c r="M110" s="6">
        <f t="shared" si="25"/>
        <v>5.8461383265650956E-8</v>
      </c>
      <c r="N110" s="6">
        <f t="shared" si="25"/>
        <v>5.5249032168496457E-8</v>
      </c>
      <c r="O110" s="6">
        <f t="shared" si="25"/>
        <v>0.62731227825187341</v>
      </c>
      <c r="P110" s="6">
        <f t="shared" si="25"/>
        <v>0.64082099197479214</v>
      </c>
      <c r="Q110" s="6">
        <f t="shared" si="25"/>
        <v>0.92518171059407472</v>
      </c>
      <c r="R110" s="6">
        <f t="shared" si="25"/>
        <v>0.6852529300144099</v>
      </c>
      <c r="S110" s="6">
        <f t="shared" si="25"/>
        <v>0.79765662569317453</v>
      </c>
      <c r="T110" s="6">
        <f t="shared" si="25"/>
        <v>0.79470195139505617</v>
      </c>
      <c r="U110" s="6">
        <f t="shared" si="25"/>
        <v>0.57310636656344638</v>
      </c>
      <c r="V110" s="6">
        <f t="shared" si="25"/>
        <v>0.94546194715129206</v>
      </c>
      <c r="W110" s="6">
        <f t="shared" si="25"/>
        <v>0.62794887334789162</v>
      </c>
      <c r="X110" s="6">
        <f t="shared" si="25"/>
        <v>0.84198111658951891</v>
      </c>
      <c r="Y110" s="6">
        <f t="shared" si="25"/>
        <v>0.72117583519631923</v>
      </c>
      <c r="Z110" s="6">
        <f t="shared" si="25"/>
        <v>0.52584187202364696</v>
      </c>
      <c r="AA110" s="6">
        <f t="shared" si="25"/>
        <v>0.97138138179033295</v>
      </c>
      <c r="AB110" s="6">
        <f t="shared" si="25"/>
        <v>0.65374943382171902</v>
      </c>
      <c r="AC110" s="6">
        <f t="shared" si="25"/>
        <v>0</v>
      </c>
      <c r="AD110" s="6">
        <f t="shared" si="25"/>
        <v>0</v>
      </c>
    </row>
    <row r="111" spans="1:30" x14ac:dyDescent="0.25">
      <c r="A111" t="s">
        <v>14</v>
      </c>
      <c r="B111" s="6">
        <f>_xlfn.CONFIDENCE.T(0.05,B110,COUNT(B99:B108))</f>
        <v>0.33390272157526102</v>
      </c>
      <c r="C111" s="6">
        <f t="shared" ref="C111:AD111" si="26">_xlfn.CONFIDENCE.T(0.05,C110,COUNT(C99:C108))</f>
        <v>1.9678455908926653E-8</v>
      </c>
      <c r="D111" s="6">
        <f t="shared" si="26"/>
        <v>3.5119822991975553E-8</v>
      </c>
      <c r="E111" s="6">
        <f t="shared" si="26"/>
        <v>5.7346712771655483E-8</v>
      </c>
      <c r="F111" s="6">
        <f t="shared" si="26"/>
        <v>3.3890523638675692E-8</v>
      </c>
      <c r="G111" s="6">
        <f t="shared" si="26"/>
        <v>2.9794612748200887E-8</v>
      </c>
      <c r="H111" s="6">
        <f t="shared" si="26"/>
        <v>3.0015073995252637E-8</v>
      </c>
      <c r="I111" s="6">
        <f t="shared" si="26"/>
        <v>3.045251560202241E-8</v>
      </c>
      <c r="J111" s="6">
        <f t="shared" si="26"/>
        <v>2.7346643159026117E-8</v>
      </c>
      <c r="K111" s="6">
        <f t="shared" si="26"/>
        <v>3.2445727280441214E-8</v>
      </c>
      <c r="L111" s="6">
        <f t="shared" si="26"/>
        <v>2.7947179468715273E-8</v>
      </c>
      <c r="M111" s="6">
        <f t="shared" si="26"/>
        <v>4.1820754251681271E-8</v>
      </c>
      <c r="N111" s="6">
        <f t="shared" si="26"/>
        <v>3.9522776709929353E-8</v>
      </c>
      <c r="O111" s="6">
        <f t="shared" si="26"/>
        <v>0.44875217044766891</v>
      </c>
      <c r="P111" s="6">
        <f t="shared" si="26"/>
        <v>0.45841572210013953</v>
      </c>
      <c r="Q111" s="6">
        <f t="shared" si="26"/>
        <v>0.66183512595122429</v>
      </c>
      <c r="R111" s="6">
        <f t="shared" si="26"/>
        <v>0.49020041582244078</v>
      </c>
      <c r="S111" s="6">
        <f t="shared" si="26"/>
        <v>0.57060917578287007</v>
      </c>
      <c r="T111" s="6">
        <f t="shared" si="26"/>
        <v>0.56849552911881707</v>
      </c>
      <c r="U111" s="6">
        <f t="shared" si="26"/>
        <v>0.40997559717691667</v>
      </c>
      <c r="V111" s="6">
        <f t="shared" si="26"/>
        <v>0.67634273322714844</v>
      </c>
      <c r="W111" s="6">
        <f t="shared" si="26"/>
        <v>0.44920756314591259</v>
      </c>
      <c r="X111" s="6">
        <f t="shared" si="26"/>
        <v>0.60231700644920383</v>
      </c>
      <c r="Y111" s="6">
        <f t="shared" si="26"/>
        <v>0.51589811412684905</v>
      </c>
      <c r="Z111" s="6">
        <f t="shared" si="26"/>
        <v>0.37616461460065836</v>
      </c>
      <c r="AA111" s="6">
        <f t="shared" si="26"/>
        <v>0.69488437979504158</v>
      </c>
      <c r="AB111" s="6">
        <f t="shared" si="26"/>
        <v>0.46766417225877877</v>
      </c>
      <c r="AC111" s="6" t="e">
        <f t="shared" si="26"/>
        <v>#NUM!</v>
      </c>
      <c r="AD111" s="6" t="e">
        <f t="shared" si="26"/>
        <v>#NUM!</v>
      </c>
    </row>
    <row r="113" spans="1:30" x14ac:dyDescent="0.25">
      <c r="A113" s="9" t="s">
        <v>43</v>
      </c>
    </row>
    <row r="114" spans="1:30" x14ac:dyDescent="0.25">
      <c r="B114" t="s">
        <v>17</v>
      </c>
      <c r="C114" t="s">
        <v>2</v>
      </c>
      <c r="D114" t="s">
        <v>3</v>
      </c>
      <c r="E114" t="s">
        <v>4</v>
      </c>
      <c r="F114" t="s">
        <v>20</v>
      </c>
      <c r="G114" t="s">
        <v>21</v>
      </c>
      <c r="H114" t="s">
        <v>22</v>
      </c>
      <c r="I114" t="s">
        <v>30</v>
      </c>
      <c r="J114" t="s">
        <v>31</v>
      </c>
      <c r="K114" t="s">
        <v>32</v>
      </c>
      <c r="L114" t="s">
        <v>33</v>
      </c>
      <c r="M114" t="s">
        <v>34</v>
      </c>
      <c r="N114" t="s">
        <v>35</v>
      </c>
      <c r="O114" t="s">
        <v>5</v>
      </c>
      <c r="P114" t="s">
        <v>6</v>
      </c>
      <c r="Q114" t="s">
        <v>7</v>
      </c>
      <c r="R114" t="s">
        <v>23</v>
      </c>
      <c r="S114" t="s">
        <v>24</v>
      </c>
      <c r="T114" t="s">
        <v>25</v>
      </c>
      <c r="U114" t="s">
        <v>37</v>
      </c>
      <c r="V114" t="s">
        <v>38</v>
      </c>
      <c r="W114" t="s">
        <v>39</v>
      </c>
      <c r="X114" t="s">
        <v>40</v>
      </c>
      <c r="Y114" t="s">
        <v>41</v>
      </c>
      <c r="Z114" t="s">
        <v>42</v>
      </c>
      <c r="AA114" t="s">
        <v>8</v>
      </c>
      <c r="AB114" t="s">
        <v>9</v>
      </c>
      <c r="AC114" t="s">
        <v>10</v>
      </c>
      <c r="AD114" t="s">
        <v>11</v>
      </c>
    </row>
    <row r="115" spans="1:30" x14ac:dyDescent="0.25">
      <c r="A115">
        <v>1</v>
      </c>
      <c r="B115" s="6">
        <v>0.94540999999999997</v>
      </c>
      <c r="C115" s="6">
        <v>1.86E-7</v>
      </c>
      <c r="D115" s="6">
        <v>1.3899999999999999E-7</v>
      </c>
      <c r="E115" s="6">
        <v>1.17E-7</v>
      </c>
      <c r="F115" s="6">
        <v>1.8E-7</v>
      </c>
      <c r="G115" s="6">
        <v>1.9500000000000001E-7</v>
      </c>
      <c r="H115" s="6">
        <v>2.4499999999999998E-7</v>
      </c>
      <c r="I115" s="6">
        <v>1.2700000000000001E-7</v>
      </c>
      <c r="J115" s="6">
        <v>1.29E-7</v>
      </c>
      <c r="K115" s="6">
        <v>1.73E-7</v>
      </c>
      <c r="L115" s="6">
        <v>1.4000000000000001E-7</v>
      </c>
      <c r="M115" s="6">
        <v>1.08E-7</v>
      </c>
      <c r="N115" s="6">
        <v>1.06E-7</v>
      </c>
      <c r="O115" s="3">
        <v>5.5368700000000004</v>
      </c>
      <c r="P115" s="3">
        <v>7.3590099999999996</v>
      </c>
      <c r="Q115" s="3">
        <v>6.8343699999999998</v>
      </c>
      <c r="R115" s="3">
        <v>6.9926599999999999</v>
      </c>
      <c r="S115" s="3">
        <v>5.9101100000000004</v>
      </c>
      <c r="T115" s="5">
        <v>7.2414899999999998</v>
      </c>
      <c r="U115" s="3">
        <v>6.2039099999999996</v>
      </c>
      <c r="V115" s="3">
        <v>6.4632300000000003</v>
      </c>
      <c r="W115" s="3">
        <v>5.4931000000000001</v>
      </c>
      <c r="X115" s="3">
        <v>6.5219800000000001</v>
      </c>
      <c r="Y115" s="3">
        <v>7.2765599999999999</v>
      </c>
      <c r="Z115" s="3">
        <v>5.3773799999999996</v>
      </c>
      <c r="AA115" s="3">
        <v>299.084</v>
      </c>
      <c r="AB115" s="3">
        <v>300.66800000000001</v>
      </c>
      <c r="AC115">
        <v>300</v>
      </c>
      <c r="AD115">
        <v>300</v>
      </c>
    </row>
    <row r="116" spans="1:30" x14ac:dyDescent="0.25">
      <c r="A116">
        <v>2</v>
      </c>
      <c r="B116" s="6">
        <v>0.84216000000000002</v>
      </c>
      <c r="C116" s="6">
        <v>2.72E-7</v>
      </c>
      <c r="D116" s="6">
        <v>1.5200000000000001E-7</v>
      </c>
      <c r="E116" s="6">
        <v>1.2200000000000001E-7</v>
      </c>
      <c r="F116" s="6">
        <v>1.2200000000000001E-7</v>
      </c>
      <c r="G116" s="6">
        <v>9.8000000000000004E-8</v>
      </c>
      <c r="H116" s="6">
        <v>1.17E-7</v>
      </c>
      <c r="I116" s="6">
        <v>8.3000000000000002E-8</v>
      </c>
      <c r="J116" s="6">
        <v>8.6999999999999998E-8</v>
      </c>
      <c r="K116" s="6">
        <v>6.8E-8</v>
      </c>
      <c r="L116" s="6">
        <v>8.0999999999999997E-8</v>
      </c>
      <c r="M116" s="6">
        <v>1.11E-7</v>
      </c>
      <c r="N116" s="6">
        <v>8.3000000000000002E-8</v>
      </c>
      <c r="O116" s="3">
        <v>6.5498700000000003</v>
      </c>
      <c r="P116" s="3">
        <v>5.4601199999999999</v>
      </c>
      <c r="Q116" s="3">
        <v>5.0173300000000003</v>
      </c>
      <c r="R116" s="3">
        <v>6.9117199999999999</v>
      </c>
      <c r="S116" s="3">
        <v>7.2585699999999997</v>
      </c>
      <c r="T116" s="5">
        <v>5.7707100000000002</v>
      </c>
      <c r="U116" s="3">
        <v>6.8286699999999998</v>
      </c>
      <c r="V116" s="3">
        <v>7.3638000000000003</v>
      </c>
      <c r="W116" s="3">
        <v>6.1670299999999996</v>
      </c>
      <c r="X116" s="3">
        <v>6.31813</v>
      </c>
      <c r="Y116" s="3">
        <v>6.1181599999999996</v>
      </c>
      <c r="Z116" s="3">
        <v>6.04352</v>
      </c>
      <c r="AA116" s="3">
        <v>300.53100000000001</v>
      </c>
      <c r="AB116" s="3">
        <v>300.39699999999999</v>
      </c>
      <c r="AC116">
        <v>300</v>
      </c>
      <c r="AD116">
        <v>300</v>
      </c>
    </row>
    <row r="117" spans="1:30" x14ac:dyDescent="0.25">
      <c r="A117">
        <v>3</v>
      </c>
      <c r="B117" s="6">
        <v>1.0639E-4</v>
      </c>
      <c r="C117" s="6">
        <v>2.4499999999999998E-7</v>
      </c>
      <c r="D117" s="6">
        <v>1.61E-7</v>
      </c>
      <c r="E117" s="6">
        <v>9.6999999999999995E-8</v>
      </c>
      <c r="F117" s="6">
        <v>1.14E-7</v>
      </c>
      <c r="G117" s="6">
        <v>1.17E-7</v>
      </c>
      <c r="H117" s="6">
        <v>9.3999999999999995E-8</v>
      </c>
      <c r="I117" s="6">
        <v>8.9000000000000003E-8</v>
      </c>
      <c r="J117" s="6">
        <v>1.03E-7</v>
      </c>
      <c r="K117" s="6">
        <v>8.9999999999999999E-8</v>
      </c>
      <c r="L117" s="6">
        <v>8.9000000000000003E-8</v>
      </c>
      <c r="M117" s="6">
        <v>1.17E-7</v>
      </c>
      <c r="N117" s="6">
        <v>1.08E-7</v>
      </c>
      <c r="O117" s="3">
        <v>5.6330999999999998</v>
      </c>
      <c r="P117" s="3">
        <v>7.16594</v>
      </c>
      <c r="Q117" s="3">
        <v>7.1047799999999999</v>
      </c>
      <c r="R117" s="3">
        <v>5.0997700000000004</v>
      </c>
      <c r="S117" s="3">
        <v>7.0190400000000004</v>
      </c>
      <c r="T117" s="5">
        <v>5.8984199999999998</v>
      </c>
      <c r="U117" s="3">
        <v>7.0409300000000004</v>
      </c>
      <c r="V117" s="3">
        <v>6.6823699999999997</v>
      </c>
      <c r="W117" s="3">
        <v>7.0915900000000001</v>
      </c>
      <c r="X117" s="3">
        <v>7.0583099999999996</v>
      </c>
      <c r="Y117" s="3">
        <v>6.4992000000000001</v>
      </c>
      <c r="Z117" s="3">
        <v>6.0860900000000004</v>
      </c>
      <c r="AA117" s="3">
        <v>300.37200000000001</v>
      </c>
      <c r="AB117" s="3">
        <v>299.714</v>
      </c>
      <c r="AC117">
        <v>300</v>
      </c>
      <c r="AD117">
        <v>300</v>
      </c>
    </row>
    <row r="118" spans="1:30" x14ac:dyDescent="0.25">
      <c r="A118">
        <v>4</v>
      </c>
      <c r="B118" s="6">
        <v>1.04874E-4</v>
      </c>
      <c r="C118" s="6">
        <v>1.6500000000000001E-7</v>
      </c>
      <c r="D118" s="6">
        <v>9.5999999999999999E-8</v>
      </c>
      <c r="E118" s="6">
        <v>1.06E-7</v>
      </c>
      <c r="F118" s="6">
        <v>8.9000000000000003E-8</v>
      </c>
      <c r="G118" s="6">
        <v>7.7000000000000001E-8</v>
      </c>
      <c r="H118" s="6">
        <v>2.0800000000000001E-7</v>
      </c>
      <c r="I118" s="6">
        <v>1.61E-7</v>
      </c>
      <c r="J118" s="6">
        <v>2.2600000000000001E-7</v>
      </c>
      <c r="K118" s="6">
        <v>1.5300000000000001E-7</v>
      </c>
      <c r="L118" s="6">
        <v>1.1899999999999999E-7</v>
      </c>
      <c r="M118" s="6">
        <v>9.5000000000000004E-8</v>
      </c>
      <c r="N118" s="6">
        <v>1.01E-7</v>
      </c>
      <c r="O118" s="3">
        <v>5.6642799999999998</v>
      </c>
      <c r="P118" s="3">
        <v>6.7147500000000004</v>
      </c>
      <c r="Q118" s="3">
        <v>5.5296700000000003</v>
      </c>
      <c r="R118" s="3">
        <v>6.6254099999999996</v>
      </c>
      <c r="S118" s="3">
        <v>5.2026000000000003</v>
      </c>
      <c r="T118" s="5">
        <v>6.3325199999999997</v>
      </c>
      <c r="U118" s="3">
        <v>5.8882199999999996</v>
      </c>
      <c r="V118" s="3">
        <v>5.4094600000000002</v>
      </c>
      <c r="W118" s="3">
        <v>6.8244800000000003</v>
      </c>
      <c r="X118" s="3">
        <v>5.1363399999999997</v>
      </c>
      <c r="Y118" s="3">
        <v>6.8190799999999996</v>
      </c>
      <c r="Z118" s="3">
        <v>5.3354100000000004</v>
      </c>
      <c r="AA118" s="3">
        <v>300.31599999999997</v>
      </c>
      <c r="AB118" s="3">
        <v>300.44600000000003</v>
      </c>
      <c r="AC118">
        <v>300</v>
      </c>
      <c r="AD118">
        <v>300</v>
      </c>
    </row>
    <row r="119" spans="1:30" x14ac:dyDescent="0.25">
      <c r="A119">
        <v>5</v>
      </c>
      <c r="B119" s="6">
        <v>0.98614999999999997</v>
      </c>
      <c r="C119" s="6">
        <v>1.5699999999999999E-7</v>
      </c>
      <c r="D119" s="6">
        <v>1.1300000000000001E-7</v>
      </c>
      <c r="E119" s="6">
        <v>8.7999999999999994E-8</v>
      </c>
      <c r="F119" s="6">
        <v>8.9000000000000003E-8</v>
      </c>
      <c r="G119" s="6">
        <v>1.1600000000000001E-7</v>
      </c>
      <c r="H119" s="6">
        <v>1.7100000000000001E-7</v>
      </c>
      <c r="I119" s="6">
        <v>1.9999999999999999E-7</v>
      </c>
      <c r="J119" s="6">
        <v>2.17E-7</v>
      </c>
      <c r="K119" s="6">
        <v>9.9999999999999995E-8</v>
      </c>
      <c r="L119" s="6">
        <v>8.0000000000000002E-8</v>
      </c>
      <c r="M119" s="6">
        <v>9.3999999999999995E-8</v>
      </c>
      <c r="N119" s="6">
        <v>7.7000000000000001E-8</v>
      </c>
      <c r="O119" s="3">
        <v>5.1810099999999997</v>
      </c>
      <c r="P119" s="3">
        <v>6.7465299999999999</v>
      </c>
      <c r="Q119" s="3">
        <v>5.1180599999999998</v>
      </c>
      <c r="R119" s="3">
        <v>6.3229199999999999</v>
      </c>
      <c r="S119" s="3">
        <v>7.2462799999999996</v>
      </c>
      <c r="T119" s="5">
        <v>5.1696200000000001</v>
      </c>
      <c r="U119" s="3">
        <v>5.7578100000000001</v>
      </c>
      <c r="V119" s="3">
        <v>6.6520900000000003</v>
      </c>
      <c r="W119" s="3">
        <v>5.0389099999999996</v>
      </c>
      <c r="X119" s="3">
        <v>6.1007800000000003</v>
      </c>
      <c r="Y119" s="3">
        <v>6.2305900000000003</v>
      </c>
      <c r="Z119" s="3">
        <v>5.3426</v>
      </c>
      <c r="AA119" s="3">
        <v>300.19299999999998</v>
      </c>
      <c r="AB119" s="3">
        <v>300.65600000000001</v>
      </c>
      <c r="AC119">
        <v>300</v>
      </c>
      <c r="AD119">
        <v>300</v>
      </c>
    </row>
    <row r="120" spans="1:30" x14ac:dyDescent="0.25">
      <c r="A120">
        <v>6</v>
      </c>
      <c r="B120" s="6">
        <v>1.4726499999999999E-4</v>
      </c>
      <c r="C120" s="6">
        <v>1.68E-7</v>
      </c>
      <c r="D120" s="6">
        <v>1.4100000000000001E-7</v>
      </c>
      <c r="E120" s="6">
        <v>1.8400000000000001E-7</v>
      </c>
      <c r="F120" s="6">
        <v>1.48E-7</v>
      </c>
      <c r="G120" s="6">
        <v>1.54E-7</v>
      </c>
      <c r="H120" s="6">
        <v>1.3E-7</v>
      </c>
      <c r="I120" s="6">
        <v>1.14E-7</v>
      </c>
      <c r="J120" s="6">
        <v>1.18E-7</v>
      </c>
      <c r="K120" s="6">
        <v>1.1600000000000001E-7</v>
      </c>
      <c r="L120" s="6">
        <v>1.1600000000000001E-7</v>
      </c>
      <c r="M120" s="6">
        <v>1.14E-7</v>
      </c>
      <c r="N120" s="6">
        <v>1.15E-7</v>
      </c>
      <c r="O120" s="3">
        <v>6.8280700000000003</v>
      </c>
      <c r="P120" s="3">
        <v>5.7095500000000001</v>
      </c>
      <c r="Q120" s="3">
        <v>7.44984</v>
      </c>
      <c r="R120" s="3">
        <v>5.2118900000000004</v>
      </c>
      <c r="S120" s="3">
        <v>7.0352300000000003</v>
      </c>
      <c r="T120" s="5">
        <v>7.1779299999999999</v>
      </c>
      <c r="U120" s="3">
        <v>6.5324799999999996</v>
      </c>
      <c r="V120" s="3">
        <v>7.3754900000000001</v>
      </c>
      <c r="W120" s="3">
        <v>6.1106699999999998</v>
      </c>
      <c r="X120" s="3">
        <v>6.8124799999999999</v>
      </c>
      <c r="Y120" s="3">
        <v>6.7180499999999999</v>
      </c>
      <c r="Z120" s="3">
        <v>5.0629</v>
      </c>
      <c r="AA120" s="3">
        <v>301.26400000000001</v>
      </c>
      <c r="AB120" s="3">
        <v>300.25799999999998</v>
      </c>
      <c r="AC120">
        <v>300</v>
      </c>
      <c r="AD120">
        <v>300</v>
      </c>
    </row>
    <row r="121" spans="1:30" x14ac:dyDescent="0.25">
      <c r="A121">
        <v>7</v>
      </c>
      <c r="B121" s="6">
        <v>1.1525E-4</v>
      </c>
      <c r="C121" s="6">
        <v>1.3799999999999999E-7</v>
      </c>
      <c r="D121" s="6">
        <v>1.2700000000000001E-7</v>
      </c>
      <c r="E121" s="6">
        <v>1.1999999999999999E-7</v>
      </c>
      <c r="F121" s="6">
        <v>9.9999999999999995E-8</v>
      </c>
      <c r="G121" s="6">
        <v>8.6000000000000002E-8</v>
      </c>
      <c r="H121" s="6">
        <v>5.9999999999999995E-8</v>
      </c>
      <c r="I121" s="6">
        <v>5.5999999999999999E-8</v>
      </c>
      <c r="J121" s="6">
        <v>1.02E-7</v>
      </c>
      <c r="K121" s="6">
        <v>8.9000000000000003E-8</v>
      </c>
      <c r="L121" s="6">
        <v>8.2000000000000006E-8</v>
      </c>
      <c r="M121" s="6">
        <v>8.3999999999999998E-8</v>
      </c>
      <c r="N121" s="6">
        <v>9.9E-8</v>
      </c>
      <c r="O121" s="3">
        <v>5.3216200000000002</v>
      </c>
      <c r="P121" s="3">
        <v>7.1890200000000002</v>
      </c>
      <c r="Q121" s="3">
        <v>5.6028200000000004</v>
      </c>
      <c r="R121" s="3">
        <v>5.4406299999999996</v>
      </c>
      <c r="S121" s="3">
        <v>6.7741100000000003</v>
      </c>
      <c r="T121" s="5">
        <v>5.9278000000000004</v>
      </c>
      <c r="U121" s="3">
        <v>6.3112300000000001</v>
      </c>
      <c r="V121" s="3">
        <v>6.2926399999999996</v>
      </c>
      <c r="W121" s="3">
        <v>5.3150199999999996</v>
      </c>
      <c r="X121" s="3">
        <v>5.3024300000000002</v>
      </c>
      <c r="Y121" s="3">
        <v>7.1719299999999997</v>
      </c>
      <c r="Z121" s="3">
        <v>7.1323600000000003</v>
      </c>
      <c r="AA121" s="3">
        <v>300.47800000000001</v>
      </c>
      <c r="AB121" s="3">
        <v>300.81200000000001</v>
      </c>
      <c r="AC121">
        <v>300</v>
      </c>
      <c r="AD121">
        <v>300</v>
      </c>
    </row>
    <row r="122" spans="1:30" x14ac:dyDescent="0.25">
      <c r="A122">
        <v>8</v>
      </c>
      <c r="B122" s="6">
        <v>0.84058999999999995</v>
      </c>
      <c r="C122" s="6">
        <v>2.5199999999999998E-7</v>
      </c>
      <c r="D122" s="6">
        <v>9.9999999999999995E-8</v>
      </c>
      <c r="E122" s="6">
        <v>9.9999999999999995E-8</v>
      </c>
      <c r="F122" s="6">
        <v>1.01E-7</v>
      </c>
      <c r="G122" s="6">
        <v>8.3999999999999998E-8</v>
      </c>
      <c r="H122" s="6">
        <v>8.4999999999999994E-8</v>
      </c>
      <c r="I122" s="6">
        <v>1.08E-7</v>
      </c>
      <c r="J122" s="6">
        <v>7.9000000000000006E-8</v>
      </c>
      <c r="K122" s="6">
        <v>9.9E-8</v>
      </c>
      <c r="L122" s="6">
        <v>7.9000000000000006E-8</v>
      </c>
      <c r="M122" s="6">
        <v>9.8000000000000004E-8</v>
      </c>
      <c r="N122" s="6">
        <v>1.02E-7</v>
      </c>
      <c r="O122" s="3">
        <v>5.2421699999999998</v>
      </c>
      <c r="P122" s="3">
        <v>7.0475199999999996</v>
      </c>
      <c r="Q122" s="3">
        <v>6.2776500000000004</v>
      </c>
      <c r="R122" s="3">
        <v>5.6798700000000002</v>
      </c>
      <c r="S122" s="3">
        <v>5.0215199999999998</v>
      </c>
      <c r="T122" s="5">
        <v>5.4205500000000004</v>
      </c>
      <c r="U122" s="3">
        <v>5.4885999999999999</v>
      </c>
      <c r="V122" s="3">
        <v>6.6032299999999999</v>
      </c>
      <c r="W122" s="3">
        <v>6.1673299999999998</v>
      </c>
      <c r="X122" s="3">
        <v>5.2676499999999997</v>
      </c>
      <c r="Y122" s="3">
        <v>5.6555799999999996</v>
      </c>
      <c r="Z122" s="3">
        <v>5.8789300000000004</v>
      </c>
      <c r="AA122" s="3">
        <v>299.62599999999998</v>
      </c>
      <c r="AB122" s="3">
        <v>300.13499999999999</v>
      </c>
      <c r="AC122">
        <v>300</v>
      </c>
      <c r="AD122">
        <v>300</v>
      </c>
    </row>
    <row r="123" spans="1:30" x14ac:dyDescent="0.25">
      <c r="A123">
        <v>9</v>
      </c>
      <c r="B123" s="6">
        <v>0.95986000000000005</v>
      </c>
      <c r="C123" s="6">
        <v>1.6500000000000001E-7</v>
      </c>
      <c r="D123" s="6">
        <v>1.4600000000000001E-7</v>
      </c>
      <c r="E123" s="6">
        <v>1.92E-7</v>
      </c>
      <c r="F123" s="6">
        <v>1.2700000000000001E-7</v>
      </c>
      <c r="G123" s="6">
        <v>1.35E-7</v>
      </c>
      <c r="H123" s="6">
        <v>9.9E-8</v>
      </c>
      <c r="I123" s="6">
        <v>8.0000000000000002E-8</v>
      </c>
      <c r="J123" s="6">
        <v>9.3999999999999995E-8</v>
      </c>
      <c r="K123" s="6">
        <v>5.8999999999999999E-8</v>
      </c>
      <c r="L123" s="6">
        <v>1.04E-7</v>
      </c>
      <c r="M123" s="6">
        <v>6.8E-8</v>
      </c>
      <c r="N123" s="6">
        <v>6.5E-8</v>
      </c>
      <c r="O123" s="3">
        <v>6.8448599999999997</v>
      </c>
      <c r="P123" s="3">
        <v>6.0237299999999996</v>
      </c>
      <c r="Q123" s="3">
        <v>6.3100300000000002</v>
      </c>
      <c r="R123" s="3">
        <v>5.2835400000000003</v>
      </c>
      <c r="S123" s="3">
        <v>5.6996500000000001</v>
      </c>
      <c r="T123" s="5">
        <v>7.35121</v>
      </c>
      <c r="U123" s="3">
        <v>5.2046999999999999</v>
      </c>
      <c r="V123" s="3">
        <v>6.8436599999999999</v>
      </c>
      <c r="W123" s="3">
        <v>5.0104300000000004</v>
      </c>
      <c r="X123" s="3">
        <v>5.7488200000000003</v>
      </c>
      <c r="Y123" s="3">
        <v>5.7374299999999998</v>
      </c>
      <c r="Z123" s="3">
        <v>7.1065800000000001</v>
      </c>
      <c r="AA123" s="3">
        <v>300.82299999999998</v>
      </c>
      <c r="AB123" s="3">
        <v>300.55799999999999</v>
      </c>
      <c r="AC123">
        <v>300</v>
      </c>
      <c r="AD123">
        <v>300</v>
      </c>
    </row>
    <row r="124" spans="1:30" x14ac:dyDescent="0.25">
      <c r="A124">
        <v>10</v>
      </c>
      <c r="B124" s="6">
        <v>1.4029799999999999E-4</v>
      </c>
      <c r="C124" s="6">
        <v>1.4499999999999999E-7</v>
      </c>
      <c r="D124" s="6">
        <v>8.7999999999999994E-8</v>
      </c>
      <c r="E124" s="6">
        <v>1.3799999999999999E-7</v>
      </c>
      <c r="F124" s="6">
        <v>9.8000000000000004E-8</v>
      </c>
      <c r="G124" s="6">
        <v>8.6999999999999998E-8</v>
      </c>
      <c r="H124" s="6">
        <v>8.9999999999999999E-8</v>
      </c>
      <c r="I124" s="6">
        <v>1.31E-7</v>
      </c>
      <c r="J124" s="6">
        <v>1.36E-7</v>
      </c>
      <c r="K124" s="6">
        <v>9.9999999999999995E-8</v>
      </c>
      <c r="L124" s="6">
        <v>9.9999999999999995E-8</v>
      </c>
      <c r="M124" s="6">
        <v>1.06E-7</v>
      </c>
      <c r="N124" s="6">
        <v>1.2499999999999999E-7</v>
      </c>
      <c r="O124" s="3">
        <v>7.0784000000000002</v>
      </c>
      <c r="P124" s="3">
        <v>5.7721999999999998</v>
      </c>
      <c r="Q124" s="3">
        <v>6.6799799999999996</v>
      </c>
      <c r="R124" s="3">
        <v>7.0526200000000001</v>
      </c>
      <c r="S124" s="3">
        <v>6.0995799999999996</v>
      </c>
      <c r="T124" s="5">
        <v>6.5885400000000001</v>
      </c>
      <c r="U124" s="3">
        <v>7.2993499999999996</v>
      </c>
      <c r="V124" s="3">
        <v>6.6188200000000004</v>
      </c>
      <c r="W124" s="3">
        <v>6.9671799999999999</v>
      </c>
      <c r="X124" s="3">
        <v>6.2668600000000003</v>
      </c>
      <c r="Y124" s="3">
        <v>5.8015800000000004</v>
      </c>
      <c r="Z124" s="3">
        <v>7.3593099999999998</v>
      </c>
      <c r="AA124" s="3">
        <v>299.18200000000002</v>
      </c>
      <c r="AB124" s="3">
        <v>300.39299999999997</v>
      </c>
      <c r="AC124">
        <v>300</v>
      </c>
      <c r="AD124">
        <v>300</v>
      </c>
    </row>
    <row r="125" spans="1:30" x14ac:dyDescent="0.25">
      <c r="A125" t="s">
        <v>12</v>
      </c>
      <c r="B125" s="6">
        <f>AVERAGE(B115:B124)</f>
        <v>0.45747840769999992</v>
      </c>
      <c r="C125" s="6">
        <f t="shared" ref="C125:AD125" si="27">AVERAGE(C115:C124)</f>
        <v>1.8929999999999998E-7</v>
      </c>
      <c r="D125" s="6">
        <f t="shared" si="27"/>
        <v>1.2630000000000001E-7</v>
      </c>
      <c r="E125" s="6">
        <f t="shared" si="27"/>
        <v>1.2640000000000002E-7</v>
      </c>
      <c r="F125" s="6">
        <f t="shared" si="27"/>
        <v>1.1679999999999999E-7</v>
      </c>
      <c r="G125" s="6">
        <f t="shared" si="27"/>
        <v>1.1489999999999999E-7</v>
      </c>
      <c r="H125" s="6">
        <f t="shared" si="27"/>
        <v>1.2989999999999999E-7</v>
      </c>
      <c r="I125" s="6">
        <f t="shared" si="27"/>
        <v>1.1489999999999999E-7</v>
      </c>
      <c r="J125" s="6">
        <f t="shared" si="27"/>
        <v>1.2910000000000001E-7</v>
      </c>
      <c r="K125" s="6">
        <f t="shared" si="27"/>
        <v>1.0469999999999999E-7</v>
      </c>
      <c r="L125" s="6">
        <f t="shared" si="27"/>
        <v>9.9E-8</v>
      </c>
      <c r="M125" s="6">
        <f t="shared" si="27"/>
        <v>9.9499999999999984E-8</v>
      </c>
      <c r="N125" s="1">
        <f t="shared" si="27"/>
        <v>9.8100000000000025E-8</v>
      </c>
      <c r="O125" s="1">
        <f t="shared" si="27"/>
        <v>5.9880250000000013</v>
      </c>
      <c r="P125" s="1">
        <f t="shared" si="27"/>
        <v>6.5188370000000004</v>
      </c>
      <c r="Q125" s="1">
        <f t="shared" si="27"/>
        <v>6.1924529999999995</v>
      </c>
      <c r="R125" s="13">
        <f t="shared" si="27"/>
        <v>6.0621029999999996</v>
      </c>
      <c r="S125" s="13">
        <f t="shared" si="27"/>
        <v>6.3266689999999999</v>
      </c>
      <c r="T125" s="13">
        <f t="shared" si="27"/>
        <v>6.2878789999999993</v>
      </c>
      <c r="U125" s="13">
        <f t="shared" si="27"/>
        <v>6.2555899999999998</v>
      </c>
      <c r="V125" s="13">
        <f t="shared" si="27"/>
        <v>6.6304789999999993</v>
      </c>
      <c r="W125" s="13">
        <f t="shared" si="27"/>
        <v>6.0185739999999992</v>
      </c>
      <c r="X125" s="13">
        <f t="shared" si="27"/>
        <v>6.0533780000000004</v>
      </c>
      <c r="Y125" s="13">
        <f t="shared" si="27"/>
        <v>6.4028159999999996</v>
      </c>
      <c r="Z125" s="13">
        <f t="shared" si="27"/>
        <v>6.0725080000000009</v>
      </c>
      <c r="AA125" s="13">
        <f t="shared" si="27"/>
        <v>300.18690000000004</v>
      </c>
      <c r="AB125" s="13">
        <f t="shared" si="27"/>
        <v>300.40370000000001</v>
      </c>
      <c r="AC125" s="6">
        <f t="shared" si="27"/>
        <v>300</v>
      </c>
      <c r="AD125" s="6">
        <f t="shared" si="27"/>
        <v>300</v>
      </c>
    </row>
    <row r="126" spans="1:30" x14ac:dyDescent="0.25">
      <c r="A126" t="s">
        <v>13</v>
      </c>
      <c r="B126">
        <f>STDEVP(B115:B124)</f>
        <v>0.45941084725474063</v>
      </c>
      <c r="C126">
        <f t="shared" ref="C126:AD126" si="28">STDEVA(C115:C124)</f>
        <v>4.8483788814177642E-8</v>
      </c>
      <c r="D126">
        <f t="shared" si="28"/>
        <v>2.5569295823093937E-8</v>
      </c>
      <c r="E126">
        <f t="shared" si="28"/>
        <v>3.5522137072848281E-8</v>
      </c>
      <c r="F126">
        <f t="shared" si="28"/>
        <v>2.8939784227100088E-8</v>
      </c>
      <c r="G126">
        <f t="shared" si="28"/>
        <v>3.74831814136539E-8</v>
      </c>
      <c r="H126">
        <f t="shared" si="28"/>
        <v>5.9573390778844279E-8</v>
      </c>
      <c r="I126">
        <f t="shared" si="28"/>
        <v>4.2422347360271742E-8</v>
      </c>
      <c r="J126">
        <f t="shared" si="28"/>
        <v>5.1872600346104368E-8</v>
      </c>
      <c r="K126">
        <f t="shared" si="28"/>
        <v>3.5119004035485472E-8</v>
      </c>
      <c r="L126">
        <f t="shared" si="28"/>
        <v>2.0736441353327723E-8</v>
      </c>
      <c r="M126">
        <f t="shared" si="28"/>
        <v>1.5086785976844478E-8</v>
      </c>
      <c r="N126">
        <f t="shared" si="28"/>
        <v>1.8144175680121462E-8</v>
      </c>
      <c r="O126">
        <f t="shared" si="28"/>
        <v>0.74762001592088212</v>
      </c>
      <c r="P126">
        <f t="shared" si="28"/>
        <v>0.70882804857422843</v>
      </c>
      <c r="Q126">
        <f t="shared" si="28"/>
        <v>0.84369348544296152</v>
      </c>
      <c r="R126">
        <f t="shared" si="28"/>
        <v>0.79872729577956425</v>
      </c>
      <c r="S126">
        <f t="shared" si="28"/>
        <v>0.84859048333692466</v>
      </c>
      <c r="T126">
        <f t="shared" si="28"/>
        <v>0.78004196127089198</v>
      </c>
      <c r="U126">
        <f t="shared" si="28"/>
        <v>0.68251482207755332</v>
      </c>
      <c r="V126">
        <f t="shared" si="28"/>
        <v>0.55530574017982814</v>
      </c>
      <c r="W126">
        <f t="shared" si="28"/>
        <v>0.78177557153501265</v>
      </c>
      <c r="X126">
        <f t="shared" si="28"/>
        <v>0.6698783304418392</v>
      </c>
      <c r="Y126">
        <f t="shared" si="28"/>
        <v>0.58785662653405546</v>
      </c>
      <c r="Z126">
        <f t="shared" si="28"/>
        <v>0.84758075114213327</v>
      </c>
      <c r="AA126">
        <f t="shared" si="28"/>
        <v>0.69599640005454599</v>
      </c>
      <c r="AB126">
        <f t="shared" si="28"/>
        <v>0.31536400485083699</v>
      </c>
      <c r="AC126">
        <f t="shared" si="28"/>
        <v>0</v>
      </c>
      <c r="AD126">
        <f t="shared" si="28"/>
        <v>0</v>
      </c>
    </row>
    <row r="127" spans="1:30" x14ac:dyDescent="0.25">
      <c r="A127" t="s">
        <v>14</v>
      </c>
      <c r="B127">
        <f>_xlfn.CONFIDENCE.T(0.05,B126,COUNT(B115:B124))</f>
        <v>0.32864272226151298</v>
      </c>
      <c r="C127" s="18">
        <f t="shared" ref="C127:AD127" si="29">_xlfn.CONFIDENCE.T(0.05,C126,COUNT(C115:C124))</f>
        <v>3.4683213155845247E-8</v>
      </c>
      <c r="D127" s="18">
        <f t="shared" si="29"/>
        <v>1.8291172347857122E-8</v>
      </c>
      <c r="E127" s="18">
        <f t="shared" si="29"/>
        <v>2.5411006069898592E-8</v>
      </c>
      <c r="F127" s="18">
        <f t="shared" si="29"/>
        <v>2.0702274504156965E-8</v>
      </c>
      <c r="G127" s="18">
        <f t="shared" si="29"/>
        <v>2.6813852682008582E-8</v>
      </c>
      <c r="H127" s="18">
        <f t="shared" si="29"/>
        <v>4.2616236505735373E-8</v>
      </c>
      <c r="I127" s="18">
        <f t="shared" si="29"/>
        <v>3.0347119151656791E-8</v>
      </c>
      <c r="J127" s="18">
        <f t="shared" si="29"/>
        <v>3.7107422888242051E-8</v>
      </c>
      <c r="K127" s="18">
        <f t="shared" si="29"/>
        <v>2.5122622067596179E-8</v>
      </c>
      <c r="L127" s="18">
        <f t="shared" si="29"/>
        <v>1.4833956527358665E-8</v>
      </c>
      <c r="M127" s="18">
        <f t="shared" si="29"/>
        <v>1.079243653743708E-8</v>
      </c>
      <c r="N127" s="18">
        <f t="shared" si="29"/>
        <v>1.2979561375919873E-8</v>
      </c>
      <c r="O127">
        <f t="shared" si="29"/>
        <v>0.53481514143090136</v>
      </c>
      <c r="P127">
        <f t="shared" si="29"/>
        <v>0.50706503969328409</v>
      </c>
      <c r="Q127">
        <f t="shared" si="29"/>
        <v>0.60354196133408311</v>
      </c>
      <c r="R127">
        <f t="shared" si="29"/>
        <v>0.57137508702318518</v>
      </c>
      <c r="S127">
        <f t="shared" si="29"/>
        <v>0.6070450625960534</v>
      </c>
      <c r="T127">
        <f t="shared" si="29"/>
        <v>0.55800840394203444</v>
      </c>
      <c r="U127">
        <f t="shared" si="29"/>
        <v>0.48824169140051732</v>
      </c>
      <c r="V127">
        <f t="shared" si="29"/>
        <v>0.39724179616279176</v>
      </c>
      <c r="W127">
        <f t="shared" si="29"/>
        <v>0.55924855401673479</v>
      </c>
      <c r="X127">
        <f t="shared" si="29"/>
        <v>0.47920208984166868</v>
      </c>
      <c r="Y127">
        <f t="shared" si="29"/>
        <v>0.42052729751175455</v>
      </c>
      <c r="Z127">
        <f t="shared" si="29"/>
        <v>0.60632274369732853</v>
      </c>
      <c r="AA127">
        <f t="shared" si="29"/>
        <v>0.49788583130974101</v>
      </c>
      <c r="AB127">
        <f t="shared" si="29"/>
        <v>0.22559781876461246</v>
      </c>
      <c r="AC127" t="e">
        <f t="shared" si="29"/>
        <v>#NUM!</v>
      </c>
      <c r="AD127" t="e">
        <f t="shared" si="29"/>
        <v>#NUM!</v>
      </c>
    </row>
    <row r="129" spans="1:30" x14ac:dyDescent="0.25">
      <c r="A129" s="9" t="s">
        <v>44</v>
      </c>
    </row>
    <row r="130" spans="1:30" x14ac:dyDescent="0.25">
      <c r="B130" t="s">
        <v>17</v>
      </c>
      <c r="C130" t="s">
        <v>2</v>
      </c>
      <c r="D130" t="s">
        <v>3</v>
      </c>
      <c r="E130" t="s">
        <v>4</v>
      </c>
      <c r="F130" t="s">
        <v>20</v>
      </c>
      <c r="G130" t="s">
        <v>21</v>
      </c>
      <c r="H130" t="s">
        <v>22</v>
      </c>
      <c r="I130" t="s">
        <v>30</v>
      </c>
      <c r="J130" t="s">
        <v>31</v>
      </c>
      <c r="K130" t="s">
        <v>32</v>
      </c>
      <c r="L130" t="s">
        <v>33</v>
      </c>
      <c r="M130" t="s">
        <v>34</v>
      </c>
      <c r="N130" t="s">
        <v>35</v>
      </c>
      <c r="O130" t="s">
        <v>5</v>
      </c>
      <c r="P130" t="s">
        <v>6</v>
      </c>
      <c r="Q130" t="s">
        <v>7</v>
      </c>
      <c r="R130" t="s">
        <v>23</v>
      </c>
      <c r="S130" t="s">
        <v>24</v>
      </c>
      <c r="T130" t="s">
        <v>25</v>
      </c>
      <c r="U130" t="s">
        <v>37</v>
      </c>
      <c r="V130" t="s">
        <v>38</v>
      </c>
      <c r="W130" t="s">
        <v>39</v>
      </c>
      <c r="X130" t="s">
        <v>40</v>
      </c>
      <c r="Y130" t="s">
        <v>41</v>
      </c>
      <c r="Z130" t="s">
        <v>42</v>
      </c>
      <c r="AA130" t="s">
        <v>8</v>
      </c>
      <c r="AB130" t="s">
        <v>9</v>
      </c>
      <c r="AC130" t="s">
        <v>10</v>
      </c>
      <c r="AD130" t="s">
        <v>11</v>
      </c>
    </row>
    <row r="131" spans="1:30" x14ac:dyDescent="0.25">
      <c r="A131">
        <v>1</v>
      </c>
      <c r="B131" s="2">
        <v>0.73065999999999998</v>
      </c>
      <c r="C131" s="2">
        <v>1.8199999999999999E-7</v>
      </c>
      <c r="D131" s="2">
        <v>1.8099999999999999E-7</v>
      </c>
      <c r="E131" s="2">
        <v>7.4999999999999997E-8</v>
      </c>
      <c r="F131" s="2">
        <v>3.0600000000000001E-7</v>
      </c>
      <c r="G131" s="2">
        <v>1.8300000000000001E-7</v>
      </c>
      <c r="H131" s="2">
        <v>4.9999999999999998E-7</v>
      </c>
      <c r="I131" s="2">
        <v>1.6999999999999999E-7</v>
      </c>
      <c r="J131" s="2">
        <v>1.3400000000000001E-7</v>
      </c>
      <c r="K131" s="2">
        <v>5.9999999999999995E-8</v>
      </c>
      <c r="L131" s="2">
        <v>1.02E-7</v>
      </c>
      <c r="M131" s="2">
        <v>6.7000000000000004E-8</v>
      </c>
      <c r="N131" s="2">
        <v>6.1999999999999999E-8</v>
      </c>
      <c r="O131" s="5">
        <v>11.7051</v>
      </c>
      <c r="P131" s="5">
        <v>10.583600000000001</v>
      </c>
      <c r="Q131" s="5">
        <v>11.373200000000001</v>
      </c>
      <c r="R131" s="5">
        <v>12.360099999999999</v>
      </c>
      <c r="S131" s="5">
        <v>10.3527</v>
      </c>
      <c r="T131" s="5">
        <v>10.227399999999999</v>
      </c>
      <c r="U131" s="5">
        <v>11.760300000000001</v>
      </c>
      <c r="V131" s="5">
        <v>11.778499999999999</v>
      </c>
      <c r="W131" s="5">
        <v>11.0794</v>
      </c>
      <c r="X131" s="5">
        <v>11.4907</v>
      </c>
      <c r="Y131" s="5">
        <v>10.294600000000001</v>
      </c>
      <c r="Z131" s="5">
        <v>10.4274</v>
      </c>
      <c r="AA131" s="10">
        <v>300.43299999999999</v>
      </c>
      <c r="AB131" s="10">
        <v>299.83999999999997</v>
      </c>
      <c r="AC131">
        <v>300</v>
      </c>
      <c r="AD131">
        <v>300</v>
      </c>
    </row>
    <row r="132" spans="1:30" x14ac:dyDescent="0.25">
      <c r="A132">
        <v>2</v>
      </c>
      <c r="B132" s="2">
        <v>0.76237999999999995</v>
      </c>
      <c r="C132" s="2">
        <v>2.35E-7</v>
      </c>
      <c r="D132" s="2">
        <v>2.0699999999999999E-7</v>
      </c>
      <c r="E132" s="2">
        <v>1.5200000000000001E-7</v>
      </c>
      <c r="F132" s="2">
        <v>1.2200000000000001E-7</v>
      </c>
      <c r="G132" s="2">
        <v>1.79E-7</v>
      </c>
      <c r="H132" s="2">
        <v>1.2599999999999999E-7</v>
      </c>
      <c r="I132" s="2">
        <v>6.5999999999999995E-8</v>
      </c>
      <c r="J132" s="2">
        <v>6.4000000000000004E-8</v>
      </c>
      <c r="K132" s="2">
        <v>1.0700000000000001E-7</v>
      </c>
      <c r="L132" s="2">
        <v>5.2000000000000002E-8</v>
      </c>
      <c r="M132" s="2">
        <v>9.0999999999999994E-8</v>
      </c>
      <c r="N132" s="2">
        <v>7.1E-8</v>
      </c>
      <c r="O132" s="5">
        <v>11.2746</v>
      </c>
      <c r="P132" s="5">
        <v>10.4613</v>
      </c>
      <c r="Q132" s="5">
        <v>10.2019</v>
      </c>
      <c r="R132" s="5">
        <v>10.264900000000001</v>
      </c>
      <c r="S132" s="5">
        <v>11.7788</v>
      </c>
      <c r="T132" s="5">
        <v>11.1571</v>
      </c>
      <c r="U132" s="5">
        <v>12.0771</v>
      </c>
      <c r="V132" s="5">
        <v>11.6457</v>
      </c>
      <c r="W132" s="5">
        <v>10.688800000000001</v>
      </c>
      <c r="X132" s="5">
        <v>12.212899999999999</v>
      </c>
      <c r="Y132" s="5">
        <v>11.1013</v>
      </c>
      <c r="Z132" s="5">
        <v>10.392300000000001</v>
      </c>
      <c r="AA132" s="10">
        <v>300.63799999999998</v>
      </c>
      <c r="AB132" s="10">
        <v>300.00299999999999</v>
      </c>
      <c r="AC132">
        <v>300</v>
      </c>
      <c r="AD132">
        <v>300</v>
      </c>
    </row>
    <row r="133" spans="1:30" x14ac:dyDescent="0.25">
      <c r="A133">
        <v>3</v>
      </c>
      <c r="B133" s="2">
        <v>0.72846</v>
      </c>
      <c r="C133" s="2">
        <v>1.3E-7</v>
      </c>
      <c r="D133" s="2">
        <v>2.28E-7</v>
      </c>
      <c r="E133" s="2">
        <v>9.2999999999999999E-8</v>
      </c>
      <c r="F133" s="2">
        <v>5.8000000000000003E-8</v>
      </c>
      <c r="G133" s="2">
        <v>5.4E-8</v>
      </c>
      <c r="H133" s="2">
        <v>5.2000000000000002E-8</v>
      </c>
      <c r="I133" s="2">
        <v>0.47642000000000001</v>
      </c>
      <c r="J133" s="2">
        <v>6.5999999999999995E-8</v>
      </c>
      <c r="K133" s="2">
        <v>6.1000000000000004E-8</v>
      </c>
      <c r="L133" s="2">
        <v>9.5000000000000004E-8</v>
      </c>
      <c r="M133" s="2">
        <v>9.2999999999999999E-8</v>
      </c>
      <c r="N133" s="2">
        <v>5.7000000000000001E-8</v>
      </c>
      <c r="O133" s="5">
        <v>10.9032</v>
      </c>
      <c r="P133" s="5">
        <v>10.820399999999999</v>
      </c>
      <c r="Q133" s="5">
        <v>10.3225</v>
      </c>
      <c r="R133" s="5">
        <v>10.242100000000001</v>
      </c>
      <c r="S133" s="5">
        <v>12.332000000000001</v>
      </c>
      <c r="T133" s="5">
        <v>11.3391</v>
      </c>
      <c r="U133" s="5">
        <v>10.2256</v>
      </c>
      <c r="V133" s="5">
        <v>11.7935</v>
      </c>
      <c r="W133" s="5">
        <v>11.345599999999999</v>
      </c>
      <c r="X133" s="5">
        <v>10.475899999999999</v>
      </c>
      <c r="Y133" s="5">
        <v>11.123200000000001</v>
      </c>
      <c r="Z133" s="5">
        <v>10.0374</v>
      </c>
      <c r="AA133" s="10">
        <v>299.72899999999998</v>
      </c>
      <c r="AB133" s="10">
        <v>300.59500000000003</v>
      </c>
      <c r="AC133">
        <v>300</v>
      </c>
      <c r="AD133">
        <v>300</v>
      </c>
    </row>
    <row r="134" spans="1:30" x14ac:dyDescent="0.25">
      <c r="A134">
        <v>4</v>
      </c>
      <c r="B134" s="2">
        <v>0.82857000000000003</v>
      </c>
      <c r="C134" s="2">
        <v>1.61E-7</v>
      </c>
      <c r="D134" s="2">
        <v>1.15E-7</v>
      </c>
      <c r="E134" s="2">
        <v>8.4999999999999994E-8</v>
      </c>
      <c r="F134" s="2">
        <v>1.17E-7</v>
      </c>
      <c r="G134" s="2">
        <v>1.1000000000000001E-7</v>
      </c>
      <c r="H134" s="2">
        <v>1.1300000000000001E-7</v>
      </c>
      <c r="I134" s="2">
        <v>1.06E-7</v>
      </c>
      <c r="J134" s="2">
        <v>1.17E-7</v>
      </c>
      <c r="K134" s="2">
        <v>2.4999999999999999E-7</v>
      </c>
      <c r="L134" s="2">
        <v>1.5599999999999999E-7</v>
      </c>
      <c r="M134" s="2">
        <v>1.2599999999999999E-7</v>
      </c>
      <c r="N134" s="2">
        <v>1.5300000000000001E-7</v>
      </c>
      <c r="O134" s="5">
        <v>12.3476</v>
      </c>
      <c r="P134" s="5">
        <v>11.767799999999999</v>
      </c>
      <c r="Q134" s="5">
        <v>10.853400000000001</v>
      </c>
      <c r="R134" s="5">
        <v>11.634600000000001</v>
      </c>
      <c r="S134" s="5">
        <v>11.6976</v>
      </c>
      <c r="T134" s="5">
        <v>11.5207</v>
      </c>
      <c r="U134" s="5">
        <v>11.019500000000001</v>
      </c>
      <c r="V134" s="5">
        <v>11.2437</v>
      </c>
      <c r="W134" s="5">
        <v>10.5623</v>
      </c>
      <c r="X134" s="5">
        <v>12.4864</v>
      </c>
      <c r="Y134" s="5">
        <v>12.278600000000001</v>
      </c>
      <c r="Z134" s="5">
        <v>11.3627</v>
      </c>
      <c r="AA134" s="10">
        <v>299.709</v>
      </c>
      <c r="AB134" s="10">
        <v>300.02300000000002</v>
      </c>
      <c r="AC134">
        <v>300</v>
      </c>
      <c r="AD134">
        <v>300</v>
      </c>
    </row>
    <row r="135" spans="1:30" x14ac:dyDescent="0.25">
      <c r="A135">
        <v>5</v>
      </c>
      <c r="B135">
        <v>1.03139E-4</v>
      </c>
      <c r="C135" s="2">
        <v>1.79E-7</v>
      </c>
      <c r="D135" s="2">
        <v>8.2000000000000006E-8</v>
      </c>
      <c r="E135" s="2">
        <v>1.1999999999999999E-7</v>
      </c>
      <c r="F135" s="2">
        <v>1.02E-7</v>
      </c>
      <c r="G135" s="2">
        <v>1.08E-7</v>
      </c>
      <c r="H135" s="2">
        <v>1.36E-7</v>
      </c>
      <c r="I135" s="2">
        <v>1.6199999999999999E-7</v>
      </c>
      <c r="J135" s="2">
        <v>1.1899999999999999E-7</v>
      </c>
      <c r="K135" s="2">
        <v>9.9999999999999995E-8</v>
      </c>
      <c r="L135" s="2">
        <v>9.6999999999999995E-8</v>
      </c>
      <c r="M135" s="2">
        <v>1.1999999999999999E-7</v>
      </c>
      <c r="N135" s="2">
        <v>8.2000000000000006E-8</v>
      </c>
      <c r="O135" s="5">
        <v>10.627599999999999</v>
      </c>
      <c r="P135" s="5">
        <v>12.0421</v>
      </c>
      <c r="Q135" s="5">
        <v>10.5542</v>
      </c>
      <c r="R135" s="5">
        <v>10.400700000000001</v>
      </c>
      <c r="S135" s="5">
        <v>10.2994</v>
      </c>
      <c r="T135" s="5">
        <v>11.239800000000001</v>
      </c>
      <c r="U135" s="5">
        <v>12.0022</v>
      </c>
      <c r="V135" s="5">
        <v>10.823700000000001</v>
      </c>
      <c r="W135" s="5">
        <v>11.7165</v>
      </c>
      <c r="X135" s="5">
        <v>10.4846</v>
      </c>
      <c r="Y135" s="5">
        <v>10.2094</v>
      </c>
      <c r="Z135" s="5">
        <v>10.364100000000001</v>
      </c>
      <c r="AA135" s="10">
        <v>299.86099999999999</v>
      </c>
      <c r="AB135" s="10">
        <v>300.637</v>
      </c>
      <c r="AC135">
        <v>300</v>
      </c>
      <c r="AD135">
        <v>300</v>
      </c>
    </row>
    <row r="136" spans="1:30" x14ac:dyDescent="0.25">
      <c r="A136">
        <v>6</v>
      </c>
      <c r="B136">
        <v>1.4736E-4</v>
      </c>
      <c r="C136" s="2">
        <v>1.4999999999999999E-7</v>
      </c>
      <c r="D136" s="2">
        <v>8.6600000000000005E-7</v>
      </c>
      <c r="E136" s="2">
        <v>1.61E-7</v>
      </c>
      <c r="F136" s="2">
        <v>1.86E-7</v>
      </c>
      <c r="G136" s="2">
        <v>2.0599999999999999E-7</v>
      </c>
      <c r="H136" s="2">
        <v>1.2700000000000001E-7</v>
      </c>
      <c r="I136" s="2">
        <v>1.4100000000000001E-7</v>
      </c>
      <c r="J136" s="2">
        <v>9.6999999999999995E-8</v>
      </c>
      <c r="K136" s="2">
        <v>1.18E-7</v>
      </c>
      <c r="L136" s="2">
        <v>6.8E-8</v>
      </c>
      <c r="M136" s="2">
        <v>8.3000000000000002E-8</v>
      </c>
      <c r="N136" s="2">
        <v>8.6999999999999998E-8</v>
      </c>
      <c r="O136" s="5">
        <v>10.1198</v>
      </c>
      <c r="P136" s="5">
        <v>11.036899999999999</v>
      </c>
      <c r="Q136" s="5">
        <v>12.156599999999999</v>
      </c>
      <c r="R136" s="5">
        <v>12.388299999999999</v>
      </c>
      <c r="S136" s="5">
        <v>11.0441</v>
      </c>
      <c r="T136" s="5">
        <v>11.6562</v>
      </c>
      <c r="U136" s="5">
        <v>10.547000000000001</v>
      </c>
      <c r="V136" s="5">
        <v>11.6313</v>
      </c>
      <c r="W136" s="5">
        <v>12.462400000000001</v>
      </c>
      <c r="X136" s="5">
        <v>11.7378</v>
      </c>
      <c r="Y136" s="5">
        <v>10.249599999999999</v>
      </c>
      <c r="Z136" s="5">
        <v>10.5914</v>
      </c>
      <c r="AA136" s="10">
        <v>300.13</v>
      </c>
      <c r="AB136" s="10">
        <v>300.73099999999999</v>
      </c>
      <c r="AC136">
        <v>300</v>
      </c>
      <c r="AD136">
        <v>300</v>
      </c>
    </row>
    <row r="137" spans="1:30" x14ac:dyDescent="0.25">
      <c r="A137">
        <v>7</v>
      </c>
      <c r="B137" s="2">
        <v>0.96453999999999995</v>
      </c>
      <c r="C137" s="2">
        <v>1.54E-7</v>
      </c>
      <c r="D137" s="2">
        <v>1.04E-7</v>
      </c>
      <c r="E137" s="2">
        <v>1.04E-7</v>
      </c>
      <c r="F137" s="2">
        <v>1.01E-7</v>
      </c>
      <c r="G137" s="2">
        <v>9.3999999999999995E-8</v>
      </c>
      <c r="H137" s="2">
        <v>9.8000000000000004E-8</v>
      </c>
      <c r="I137" s="2">
        <v>9.5000000000000004E-8</v>
      </c>
      <c r="J137" s="2">
        <v>9.9E-8</v>
      </c>
      <c r="K137" s="2">
        <v>8.3000000000000002E-8</v>
      </c>
      <c r="L137" s="2">
        <v>8.2000000000000006E-8</v>
      </c>
      <c r="M137" s="2">
        <v>7.4000000000000001E-8</v>
      </c>
      <c r="N137" s="2">
        <v>8.6999999999999998E-8</v>
      </c>
      <c r="O137" s="5">
        <v>12.1395</v>
      </c>
      <c r="P137" s="5">
        <v>12.2348</v>
      </c>
      <c r="Q137" s="5">
        <v>12.3607</v>
      </c>
      <c r="R137" s="5">
        <v>10.595000000000001</v>
      </c>
      <c r="S137" s="5">
        <v>10.618</v>
      </c>
      <c r="T137" s="5">
        <v>11.6074</v>
      </c>
      <c r="U137" s="5">
        <v>12.382</v>
      </c>
      <c r="V137" s="5">
        <v>10.7455</v>
      </c>
      <c r="W137" s="5">
        <v>11.0884</v>
      </c>
      <c r="X137" s="5">
        <v>12.110099999999999</v>
      </c>
      <c r="Y137" s="5">
        <v>12.4717</v>
      </c>
      <c r="Z137" s="5">
        <v>10.174099999999999</v>
      </c>
      <c r="AA137" s="10">
        <v>298.70800000000003</v>
      </c>
      <c r="AB137" s="10">
        <v>299.67500000000001</v>
      </c>
      <c r="AC137">
        <v>300</v>
      </c>
      <c r="AD137">
        <v>300</v>
      </c>
    </row>
    <row r="138" spans="1:30" x14ac:dyDescent="0.25">
      <c r="A138">
        <v>8</v>
      </c>
      <c r="B138" s="2">
        <v>0.73519000000000001</v>
      </c>
      <c r="C138" s="2">
        <v>1.35E-7</v>
      </c>
      <c r="D138" s="2">
        <v>1.1600000000000001E-7</v>
      </c>
      <c r="E138" s="2">
        <v>8.9000000000000003E-8</v>
      </c>
      <c r="F138" s="2">
        <v>1.06E-7</v>
      </c>
      <c r="G138" s="2">
        <v>9.9E-8</v>
      </c>
      <c r="H138" s="2">
        <v>7.7999999999999997E-8</v>
      </c>
      <c r="I138" s="2">
        <v>8.0000000000000002E-8</v>
      </c>
      <c r="J138" s="2">
        <v>1.05E-7</v>
      </c>
      <c r="K138" s="2">
        <v>1.08E-7</v>
      </c>
      <c r="L138" s="2">
        <v>8.9000000000000003E-8</v>
      </c>
      <c r="M138" s="2">
        <v>8.4999999999999994E-8</v>
      </c>
      <c r="N138" s="2">
        <v>9.5999999999999999E-8</v>
      </c>
      <c r="O138" s="5">
        <v>12.153</v>
      </c>
      <c r="P138" s="5">
        <v>12.37</v>
      </c>
      <c r="Q138" s="5">
        <v>12.215</v>
      </c>
      <c r="R138" s="5">
        <v>11.867900000000001</v>
      </c>
      <c r="S138" s="5">
        <v>11.4068</v>
      </c>
      <c r="T138" s="5">
        <v>10.5647</v>
      </c>
      <c r="U138" s="5">
        <v>12.3565</v>
      </c>
      <c r="V138" s="5">
        <v>10.6762</v>
      </c>
      <c r="W138" s="5">
        <v>11.8751</v>
      </c>
      <c r="X138" s="5">
        <v>10.842000000000001</v>
      </c>
      <c r="Y138" s="5">
        <v>12.323600000000001</v>
      </c>
      <c r="Z138" s="5">
        <v>10.2736</v>
      </c>
      <c r="AA138" s="10">
        <v>300.83</v>
      </c>
      <c r="AB138" s="10">
        <v>299.49200000000002</v>
      </c>
      <c r="AC138">
        <v>300</v>
      </c>
      <c r="AD138">
        <v>300</v>
      </c>
    </row>
    <row r="139" spans="1:30" x14ac:dyDescent="0.25">
      <c r="A139">
        <v>9</v>
      </c>
      <c r="B139">
        <v>1.2154699999999999E-4</v>
      </c>
      <c r="C139" s="2">
        <v>1.5699999999999999E-7</v>
      </c>
      <c r="D139" s="2">
        <v>1.04E-7</v>
      </c>
      <c r="E139" s="2">
        <v>5.7000000000000001E-8</v>
      </c>
      <c r="F139" s="2">
        <v>5.2000000000000002E-8</v>
      </c>
      <c r="G139" s="2">
        <v>6.2999999999999995E-8</v>
      </c>
      <c r="H139" s="2">
        <v>1.08E-7</v>
      </c>
      <c r="I139" s="2">
        <v>8.9999999999999999E-8</v>
      </c>
      <c r="J139" s="2">
        <v>7.7999999999999997E-8</v>
      </c>
      <c r="K139" s="2">
        <v>5.8000000000000003E-8</v>
      </c>
      <c r="L139" s="2">
        <v>1.5800000000000001E-7</v>
      </c>
      <c r="M139" s="2">
        <v>8.7999999999999994E-8</v>
      </c>
      <c r="N139" s="2">
        <v>1.5200000000000001E-7</v>
      </c>
      <c r="O139" s="5">
        <v>12.4459</v>
      </c>
      <c r="P139" s="5">
        <v>11.7516</v>
      </c>
      <c r="Q139" s="5">
        <v>11.333399999999999</v>
      </c>
      <c r="R139" s="5">
        <v>11.073399999999999</v>
      </c>
      <c r="S139" s="5">
        <v>11.1472</v>
      </c>
      <c r="T139" s="5">
        <v>11.5579</v>
      </c>
      <c r="U139" s="5">
        <v>11.5198</v>
      </c>
      <c r="V139" s="5">
        <v>10.1015</v>
      </c>
      <c r="W139" s="5">
        <v>10.547599999999999</v>
      </c>
      <c r="X139" s="5">
        <v>11.657400000000001</v>
      </c>
      <c r="Y139" s="5">
        <v>10.0976</v>
      </c>
      <c r="Z139" s="5">
        <v>11.8028</v>
      </c>
      <c r="AA139" s="10">
        <v>299.62799999999999</v>
      </c>
      <c r="AB139" s="10">
        <v>300.13900000000001</v>
      </c>
      <c r="AC139">
        <v>300</v>
      </c>
      <c r="AD139">
        <v>300</v>
      </c>
    </row>
    <row r="140" spans="1:30" x14ac:dyDescent="0.25">
      <c r="A140">
        <v>10</v>
      </c>
      <c r="B140" s="2">
        <v>0.96711000000000003</v>
      </c>
      <c r="C140" s="2">
        <v>1.61E-7</v>
      </c>
      <c r="D140" s="2">
        <v>1.3300000000000001E-7</v>
      </c>
      <c r="E140" s="2">
        <v>1.14E-7</v>
      </c>
      <c r="F140" s="2">
        <v>1.04E-7</v>
      </c>
      <c r="G140" s="2">
        <v>5.3099999999999998E-7</v>
      </c>
      <c r="H140" s="2">
        <v>1.9600000000000001E-7</v>
      </c>
      <c r="I140" s="2">
        <v>1.5300000000000001E-7</v>
      </c>
      <c r="J140" s="2">
        <v>1.1000000000000001E-7</v>
      </c>
      <c r="K140" s="2">
        <v>1.04E-7</v>
      </c>
      <c r="L140" s="2">
        <v>1.06E-7</v>
      </c>
      <c r="M140" s="2">
        <v>1.08E-7</v>
      </c>
      <c r="N140" s="2">
        <v>8.9000000000000003E-8</v>
      </c>
      <c r="O140" s="5">
        <v>10.1015</v>
      </c>
      <c r="P140" s="5">
        <v>10.258599999999999</v>
      </c>
      <c r="Q140" s="5">
        <v>11.489800000000001</v>
      </c>
      <c r="R140" s="5">
        <v>10.516999999999999</v>
      </c>
      <c r="S140" s="5">
        <v>11.792899999999999</v>
      </c>
      <c r="T140" s="5">
        <v>10.432499999999999</v>
      </c>
      <c r="U140" s="5">
        <v>11.3957</v>
      </c>
      <c r="V140" s="5">
        <v>11.4323</v>
      </c>
      <c r="W140" s="5">
        <v>10.771800000000001</v>
      </c>
      <c r="X140" s="5">
        <v>10.791600000000001</v>
      </c>
      <c r="Y140" s="5">
        <v>10.823399999999999</v>
      </c>
      <c r="Z140" s="5">
        <v>11.0162</v>
      </c>
      <c r="AA140" s="10">
        <v>300.10000000000002</v>
      </c>
      <c r="AB140" s="10">
        <v>299.89699999999999</v>
      </c>
      <c r="AC140">
        <v>300</v>
      </c>
      <c r="AD140">
        <v>300</v>
      </c>
    </row>
    <row r="141" spans="1:30" x14ac:dyDescent="0.25">
      <c r="A141" t="s">
        <v>12</v>
      </c>
      <c r="B141" s="6">
        <f>AVERAGE(B131:B140)</f>
        <v>0.57172820460000007</v>
      </c>
      <c r="C141" s="6">
        <f t="shared" ref="C141:AD141" si="30">AVERAGE(C131:C140)</f>
        <v>1.6439999999999999E-7</v>
      </c>
      <c r="D141" s="6">
        <f t="shared" si="30"/>
        <v>2.1360000000000001E-7</v>
      </c>
      <c r="E141" s="6">
        <f t="shared" si="30"/>
        <v>1.0500000000000001E-7</v>
      </c>
      <c r="F141" s="6">
        <f t="shared" si="30"/>
        <v>1.254E-7</v>
      </c>
      <c r="G141" s="6">
        <f t="shared" si="30"/>
        <v>1.6269999999999999E-7</v>
      </c>
      <c r="H141" s="6">
        <f t="shared" si="30"/>
        <v>1.5340000000000001E-7</v>
      </c>
      <c r="I141" s="6">
        <f t="shared" si="30"/>
        <v>4.7642106300000001E-2</v>
      </c>
      <c r="J141" s="6">
        <f t="shared" si="30"/>
        <v>9.8900000000000019E-8</v>
      </c>
      <c r="K141" s="6">
        <f t="shared" si="30"/>
        <v>1.0490000000000001E-7</v>
      </c>
      <c r="L141" s="6">
        <f t="shared" si="30"/>
        <v>1.0050000000000001E-7</v>
      </c>
      <c r="M141" s="6">
        <f t="shared" si="30"/>
        <v>9.350000000000001E-8</v>
      </c>
      <c r="N141" s="6">
        <f t="shared" si="30"/>
        <v>9.3600000000000004E-8</v>
      </c>
      <c r="O141" s="6">
        <f t="shared" si="30"/>
        <v>11.381780000000001</v>
      </c>
      <c r="P141" s="6">
        <f t="shared" si="30"/>
        <v>11.332710000000001</v>
      </c>
      <c r="Q141" s="6">
        <f t="shared" si="30"/>
        <v>11.286069999999999</v>
      </c>
      <c r="R141" s="6">
        <f t="shared" si="30"/>
        <v>11.134399999999999</v>
      </c>
      <c r="S141" s="6">
        <f t="shared" si="30"/>
        <v>11.246950000000002</v>
      </c>
      <c r="T141" s="6">
        <f t="shared" si="30"/>
        <v>11.130280000000001</v>
      </c>
      <c r="U141" s="6">
        <f t="shared" si="30"/>
        <v>11.528570000000002</v>
      </c>
      <c r="V141" s="6">
        <f t="shared" si="30"/>
        <v>11.187189999999999</v>
      </c>
      <c r="W141" s="6">
        <f t="shared" si="30"/>
        <v>11.213789999999999</v>
      </c>
      <c r="X141" s="6">
        <f t="shared" si="30"/>
        <v>11.428940000000001</v>
      </c>
      <c r="Y141" s="6">
        <f t="shared" si="30"/>
        <v>11.097300000000001</v>
      </c>
      <c r="Z141" s="6">
        <f t="shared" si="30"/>
        <v>10.644200000000001</v>
      </c>
      <c r="AA141" s="6">
        <f t="shared" si="30"/>
        <v>299.97660000000002</v>
      </c>
      <c r="AB141" s="6">
        <f t="shared" si="30"/>
        <v>300.10320000000002</v>
      </c>
      <c r="AC141" s="6">
        <f t="shared" si="30"/>
        <v>300</v>
      </c>
      <c r="AD141" s="6">
        <f t="shared" si="30"/>
        <v>300</v>
      </c>
    </row>
    <row r="142" spans="1:30" x14ac:dyDescent="0.25">
      <c r="A142" t="s">
        <v>13</v>
      </c>
      <c r="B142">
        <f>STDEVP(B131:B140)</f>
        <v>0.38336427377559606</v>
      </c>
      <c r="C142">
        <f t="shared" ref="C142:AD142" si="31">STDEVA(C131:C140)</f>
        <v>2.9717933231561639E-8</v>
      </c>
      <c r="D142">
        <f t="shared" si="31"/>
        <v>2.3429003867476362E-7</v>
      </c>
      <c r="E142">
        <f t="shared" si="31"/>
        <v>3.2754982657435328E-8</v>
      </c>
      <c r="F142">
        <f t="shared" si="31"/>
        <v>7.3241154187155374E-8</v>
      </c>
      <c r="G142">
        <f t="shared" si="31"/>
        <v>1.3924403039268863E-7</v>
      </c>
      <c r="H142">
        <f t="shared" si="31"/>
        <v>1.2755234219723292E-7</v>
      </c>
      <c r="I142">
        <f t="shared" si="31"/>
        <v>0.15065719493573354</v>
      </c>
      <c r="J142">
        <f t="shared" si="31"/>
        <v>2.3249611705240252E-8</v>
      </c>
      <c r="K142">
        <f t="shared" si="31"/>
        <v>5.5664570818829143E-8</v>
      </c>
      <c r="L142">
        <f t="shared" si="31"/>
        <v>3.3902638376517083E-8</v>
      </c>
      <c r="M142">
        <f t="shared" si="31"/>
        <v>1.9062761837910287E-8</v>
      </c>
      <c r="N142">
        <f t="shared" si="31"/>
        <v>3.3393944893581467E-8</v>
      </c>
      <c r="O142">
        <f t="shared" si="31"/>
        <v>0.90551640245282772</v>
      </c>
      <c r="P142">
        <f t="shared" si="31"/>
        <v>0.78753777962287819</v>
      </c>
      <c r="Q142">
        <f t="shared" si="31"/>
        <v>0.79257873783408195</v>
      </c>
      <c r="R142">
        <f t="shared" si="31"/>
        <v>0.85824299459871911</v>
      </c>
      <c r="S142">
        <f t="shared" si="31"/>
        <v>0.67750417177887379</v>
      </c>
      <c r="T142">
        <f t="shared" si="31"/>
        <v>0.52892045988871439</v>
      </c>
      <c r="U142">
        <f t="shared" si="31"/>
        <v>0.74018123013519077</v>
      </c>
      <c r="V142">
        <f t="shared" si="31"/>
        <v>0.57300817610998256</v>
      </c>
      <c r="W142">
        <f t="shared" si="31"/>
        <v>0.63591145339233801</v>
      </c>
      <c r="X142">
        <f t="shared" si="31"/>
        <v>0.73778653672846151</v>
      </c>
      <c r="Y142">
        <f t="shared" si="31"/>
        <v>0.94367213232845537</v>
      </c>
      <c r="Z142">
        <f t="shared" si="31"/>
        <v>0.56913428604816585</v>
      </c>
      <c r="AA142">
        <f t="shared" si="31"/>
        <v>0.60460716355515498</v>
      </c>
      <c r="AB142">
        <f t="shared" si="31"/>
        <v>0.42261219417648982</v>
      </c>
      <c r="AC142">
        <f t="shared" si="31"/>
        <v>0</v>
      </c>
      <c r="AD142">
        <f t="shared" si="31"/>
        <v>0</v>
      </c>
    </row>
    <row r="143" spans="1:30" x14ac:dyDescent="0.25">
      <c r="A143" t="s">
        <v>14</v>
      </c>
      <c r="B143" s="15">
        <f>_xlfn.CONFIDENCE.T(0.05,B142,COUNT(B131:B140))</f>
        <v>0.27424228074780127</v>
      </c>
      <c r="C143">
        <f t="shared" ref="C143:AD143" si="32">_xlfn.CONFIDENCE.T(0.05,C142,COUNT(C131:C140))</f>
        <v>2.1258928768372732E-8</v>
      </c>
      <c r="D143">
        <f t="shared" si="32"/>
        <v>1.676009971661263E-7</v>
      </c>
      <c r="E143">
        <f t="shared" si="32"/>
        <v>2.3431503048945721E-8</v>
      </c>
      <c r="F143">
        <f t="shared" si="32"/>
        <v>5.2393565449043872E-8</v>
      </c>
      <c r="G143">
        <f t="shared" si="32"/>
        <v>9.9609178756598958E-8</v>
      </c>
      <c r="H143">
        <f t="shared" si="32"/>
        <v>9.1245448863524008E-8</v>
      </c>
      <c r="I143">
        <f t="shared" si="32"/>
        <v>0.10777366483144565</v>
      </c>
      <c r="J143">
        <f t="shared" si="32"/>
        <v>1.6631770294480019E-8</v>
      </c>
      <c r="K143">
        <f t="shared" si="32"/>
        <v>3.9820035153142567E-8</v>
      </c>
      <c r="L143">
        <f t="shared" si="32"/>
        <v>2.4252486493267583E-8</v>
      </c>
      <c r="M143">
        <f t="shared" si="32"/>
        <v>1.3636678327623167E-8</v>
      </c>
      <c r="N143">
        <f t="shared" si="32"/>
        <v>2.388858909722732E-8</v>
      </c>
      <c r="O143">
        <f t="shared" si="32"/>
        <v>0.64776741196434218</v>
      </c>
      <c r="P143">
        <f t="shared" si="32"/>
        <v>0.56337058936602946</v>
      </c>
      <c r="Q143">
        <f t="shared" si="32"/>
        <v>0.56697667363512361</v>
      </c>
      <c r="R143">
        <f t="shared" si="32"/>
        <v>0.61395005318713769</v>
      </c>
      <c r="S143">
        <f t="shared" si="32"/>
        <v>0.48465728810595293</v>
      </c>
      <c r="T143">
        <f t="shared" si="32"/>
        <v>0.37836690369057185</v>
      </c>
      <c r="U143">
        <f t="shared" si="32"/>
        <v>0.5294937546470706</v>
      </c>
      <c r="V143">
        <f t="shared" si="32"/>
        <v>0.40990535595793093</v>
      </c>
      <c r="W143">
        <f t="shared" si="32"/>
        <v>0.45490364977005149</v>
      </c>
      <c r="X143">
        <f t="shared" si="32"/>
        <v>0.52778069418088447</v>
      </c>
      <c r="Y143">
        <f t="shared" si="32"/>
        <v>0.67506237683322368</v>
      </c>
      <c r="Z143">
        <f t="shared" si="32"/>
        <v>0.40713414194923925</v>
      </c>
      <c r="AA143">
        <f t="shared" si="32"/>
        <v>0.43250990984851539</v>
      </c>
      <c r="AB143">
        <f t="shared" si="32"/>
        <v>0.30231855165156757</v>
      </c>
      <c r="AC143" t="e">
        <f t="shared" si="32"/>
        <v>#NUM!</v>
      </c>
      <c r="AD143" t="e">
        <f t="shared" si="32"/>
        <v>#NUM!</v>
      </c>
    </row>
    <row r="145" spans="7:7" x14ac:dyDescent="0.25">
      <c r="G145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DFFE-8E4E-48EB-A014-455B76B10ACB}">
  <dimension ref="A1:D11"/>
  <sheetViews>
    <sheetView workbookViewId="0">
      <selection activeCell="D11" sqref="D11"/>
    </sheetView>
  </sheetViews>
  <sheetFormatPr defaultRowHeight="15" x14ac:dyDescent="0.25"/>
  <cols>
    <col min="1" max="1" width="14.42578125" customWidth="1"/>
    <col min="2" max="2" width="15.140625" customWidth="1"/>
    <col min="3" max="3" width="15" customWidth="1"/>
    <col min="4" max="4" width="14.42578125" customWidth="1"/>
  </cols>
  <sheetData>
    <row r="1" spans="1:4" x14ac:dyDescent="0.25">
      <c r="B1" s="20" t="s">
        <v>45</v>
      </c>
      <c r="C1" s="19"/>
      <c r="D1" s="19"/>
    </row>
    <row r="2" spans="1:4" x14ac:dyDescent="0.25">
      <c r="B2" t="s">
        <v>12</v>
      </c>
      <c r="C2" t="s">
        <v>13</v>
      </c>
      <c r="D2" t="s">
        <v>14</v>
      </c>
    </row>
    <row r="3" spans="1:4" x14ac:dyDescent="0.25">
      <c r="A3" t="s">
        <v>15</v>
      </c>
      <c r="B3" s="2">
        <f>Dados_total!B13</f>
        <v>0.30181599999999997</v>
      </c>
      <c r="C3" s="2">
        <f>Dados_total!B14</f>
        <v>9.3386106054380386E-2</v>
      </c>
      <c r="D3" s="2">
        <f>Dados_total!B15</f>
        <v>6.6804395887709922E-2</v>
      </c>
    </row>
    <row r="4" spans="1:4" x14ac:dyDescent="0.25">
      <c r="A4" t="s">
        <v>16</v>
      </c>
      <c r="B4" s="2">
        <f>Dados_total!B29</f>
        <v>0.36990309000000005</v>
      </c>
      <c r="C4" s="2">
        <f>Dados_total!B30</f>
        <v>0.19542919112541215</v>
      </c>
      <c r="D4" s="2">
        <f>Dados_total!B31</f>
        <v>0.13980162149982456</v>
      </c>
    </row>
    <row r="5" spans="1:4" x14ac:dyDescent="0.25">
      <c r="A5" t="s">
        <v>18</v>
      </c>
      <c r="B5" s="2">
        <f>Dados_total!B45</f>
        <v>0.419238</v>
      </c>
      <c r="C5" s="2">
        <f>Dados_total!B46</f>
        <v>0.17399963303409585</v>
      </c>
      <c r="D5" s="2">
        <f>Dados_total!B47</f>
        <v>0.12447183912730188</v>
      </c>
    </row>
    <row r="6" spans="1:4" x14ac:dyDescent="0.25">
      <c r="A6" t="s">
        <v>19</v>
      </c>
      <c r="B6" s="2">
        <f>Dados_total!B61</f>
        <v>0.47563067850000007</v>
      </c>
      <c r="C6" s="2">
        <f>Dados_total!B62</f>
        <v>0.33703120100135642</v>
      </c>
      <c r="D6" s="2">
        <f>Dados_total!B63</f>
        <v>0.24109759716390755</v>
      </c>
    </row>
    <row r="7" spans="1:4" x14ac:dyDescent="0.25">
      <c r="A7" t="s">
        <v>26</v>
      </c>
      <c r="B7" s="2">
        <f>Dados_total!B77</f>
        <v>0.53612319270000008</v>
      </c>
      <c r="C7" s="2">
        <f>Dados_total!B78</f>
        <v>0.21558486771949459</v>
      </c>
      <c r="D7" s="2">
        <f>Dados_total!B79</f>
        <v>0.1542201239459127</v>
      </c>
    </row>
    <row r="8" spans="1:4" x14ac:dyDescent="0.25">
      <c r="A8" t="s">
        <v>27</v>
      </c>
      <c r="B8" s="2">
        <f>Dados_total!B93</f>
        <v>0.5481988888888889</v>
      </c>
      <c r="C8" s="2">
        <f>Dados_total!B94</f>
        <v>0.28634000191863762</v>
      </c>
      <c r="D8" s="2">
        <f>Dados_total!B95</f>
        <v>0.22010040949958251</v>
      </c>
    </row>
    <row r="9" spans="1:4" x14ac:dyDescent="0.25">
      <c r="A9" t="s">
        <v>29</v>
      </c>
      <c r="B9" s="2">
        <f>Dados_total!B109</f>
        <v>0.48135530944444443</v>
      </c>
      <c r="C9" s="2">
        <f>Dados_total!B110</f>
        <v>0.43439131328231317</v>
      </c>
      <c r="D9" s="2">
        <f>Dados_total!B111</f>
        <v>0.33390272157526102</v>
      </c>
    </row>
    <row r="10" spans="1:4" x14ac:dyDescent="0.25">
      <c r="A10" t="s">
        <v>43</v>
      </c>
      <c r="B10" s="2">
        <f>Dados_total!B125</f>
        <v>0.45747840769999992</v>
      </c>
      <c r="C10" s="2">
        <f>Dados_total!B126</f>
        <v>0.45941084725474063</v>
      </c>
      <c r="D10" s="2">
        <f>Dados_total!B127</f>
        <v>0.32864272226151298</v>
      </c>
    </row>
    <row r="11" spans="1:4" x14ac:dyDescent="0.25">
      <c r="A11" t="s">
        <v>44</v>
      </c>
      <c r="B11" s="2">
        <f>Dados_total!B141</f>
        <v>0.57172820460000007</v>
      </c>
      <c r="C11" s="2">
        <f>Dados_total!B142</f>
        <v>0.38336427377559606</v>
      </c>
      <c r="D11" s="2">
        <f>Dados_total!B143</f>
        <v>0.27424228074780127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Dados_total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2020-07-10T00:11:48Z</dcterms:modified>
</cp:coreProperties>
</file>