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NDOS" sheetId="1" r:id="rId4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C3" authorId="0">
      <text>
        <r>
          <rPr>
            <rFont val="Tahoma"/>
            <b val="true"/>
            <i val="false"/>
            <strike val="false"/>
            <color rgb="FF000000"/>
            <sz val="10"/>
            <u val="none"/>
          </rPr>
          <t xml:space="preserve">INCLUYE COMISION DE ENTRADA Y DE SALIDA</t>
        </r>
        <r>
          <rPr>
            <rFont val="Tahoma"/>
            <b val="false"/>
            <i val="false"/>
            <strike val="false"/>
            <color rgb="FF000000"/>
            <sz val="10"/>
            <u val="none"/>
          </rPr>
          <t xml:space="preserve">
</t>
        </r>
      </text>
    </comment>
    <comment ref="H3" authorId="0">
      <text>
        <r>
          <rPr>
            <rFont val="Tahoma"/>
            <b val="true"/>
            <i val="false"/>
            <strike val="false"/>
            <color rgb="FF000000"/>
            <sz val="10"/>
            <u val="none"/>
          </rPr>
          <t xml:space="preserve">descontando comision de venta</t>
        </r>
        <r>
          <rPr>
            <rFont val="Tahoma"/>
            <b val="false"/>
            <i val="false"/>
            <strike val="false"/>
            <color rgb="FF000000"/>
            <sz val="10"/>
            <u val="none"/>
          </rPr>
          <t xml:space="preserve">
</t>
        </r>
      </text>
    </comment>
    <comment ref="I3" authorId="0">
      <text>
        <r>
          <rPr>
            <rFont val="Tahoma"/>
            <b val="true"/>
            <i val="false"/>
            <strike val="false"/>
            <color rgb="FF000000"/>
            <sz val="10"/>
            <u val="none"/>
          </rPr>
          <t xml:space="preserve">PESOS</t>
        </r>
        <r>
          <rPr>
            <rFont val="Tahoma"/>
            <b val="false"/>
            <i val="false"/>
            <strike val="false"/>
            <color rgb="FF000000"/>
            <sz val="10"/>
            <u val="none"/>
          </rPr>
          <t xml:space="preserve">
</t>
        </r>
      </text>
    </comment>
    <comment ref="C17" authorId="0">
      <text>
        <r>
          <rPr>
            <rFont val="Tahoma"/>
            <b val="true"/>
            <i val="false"/>
            <strike val="false"/>
            <color rgb="FF000000"/>
            <sz val="10"/>
            <u val="none"/>
          </rPr>
          <t xml:space="preserve">INCLUYE COMISION DE ENTRADA Y DE SALIDA</t>
        </r>
        <r>
          <rPr>
            <rFont val="Tahoma"/>
            <b val="false"/>
            <i val="false"/>
            <strike val="false"/>
            <color rgb="FF000000"/>
            <sz val="10"/>
            <u val="none"/>
          </rPr>
          <t xml:space="preserve">
</t>
        </r>
      </text>
    </comment>
    <comment ref="H17" authorId="0">
      <text>
        <r>
          <rPr>
            <rFont val="Tahoma"/>
            <b val="true"/>
            <i val="false"/>
            <strike val="false"/>
            <color rgb="FF000000"/>
            <sz val="10"/>
            <u val="none"/>
          </rPr>
          <t xml:space="preserve">descontando comision de venta</t>
        </r>
        <r>
          <rPr>
            <rFont val="Tahoma"/>
            <b val="false"/>
            <i val="false"/>
            <strike val="false"/>
            <color rgb="FF000000"/>
            <sz val="10"/>
            <u val="none"/>
          </rPr>
          <t xml:space="preserve">
</t>
        </r>
      </text>
    </comment>
    <comment ref="B18" authorId="0">
      <text>
        <r>
          <rPr>
            <rFont val="Tahoma"/>
            <b val="true"/>
            <i val="false"/>
            <strike val="false"/>
            <color rgb="FF000000"/>
            <sz val="10"/>
            <u val="none"/>
          </rPr>
          <t xml:space="preserve">APROX</t>
        </r>
        <r>
          <rPr>
            <rFont val="Tahoma"/>
            <b val="false"/>
            <i val="false"/>
            <strike val="false"/>
            <color rgb="FF000000"/>
            <sz val="10"/>
            <u val="none"/>
          </rPr>
          <t xml:space="preserve">
</t>
        </r>
      </text>
    </comment>
    <comment ref="D26" authorId="0">
      <text>
        <r>
          <rPr>
            <rFont val="Tahoma"/>
            <b val="true"/>
            <i val="false"/>
            <strike val="false"/>
            <color rgb="FF000000"/>
            <sz val="10"/>
            <u val="none"/>
          </rPr>
          <t xml:space="preserve">A 1 o 2  MESES</t>
        </r>
      </text>
    </comment>
    <comment ref="F26" authorId="0">
      <text>
        <r>
          <rPr>
            <rFont val="Tahoma"/>
            <b val="true"/>
            <i val="false"/>
            <strike val="false"/>
            <color rgb="FF000000"/>
            <sz val="10"/>
            <u val="none"/>
          </rPr>
          <t xml:space="preserve">ANTES DE LA CRISIS</t>
        </r>
        <r>
          <rPr>
            <rFont val="Tahoma"/>
            <b val="false"/>
            <i val="false"/>
            <strike val="false"/>
            <color rgb="FF000000"/>
            <sz val="10"/>
            <u val="none"/>
          </rPr>
          <t xml:space="preserve">
</t>
        </r>
      </text>
    </comment>
    <comment ref="S26" authorId="0">
      <text>
        <r>
          <rPr>
            <rFont val="Tahoma"/>
            <b val="true"/>
            <i val="false"/>
            <strike val="false"/>
            <color rgb="FF000000"/>
            <sz val="10"/>
            <u val="none"/>
          </rPr>
          <t xml:space="preserve">promedio yahoo finance y tip ranks</t>
        </r>
        <r>
          <rPr>
            <rFont val="Tahoma"/>
            <b val="false"/>
            <i val="false"/>
            <strike val="false"/>
            <color rgb="FF000000"/>
            <sz val="10"/>
            <u val="none"/>
          </rPr>
          <t xml:space="preserve">
</t>
        </r>
      </text>
    </comment>
    <comment ref="U26" authorId="0">
      <text>
        <r>
          <rPr>
            <rFont val="Tahoma"/>
            <b val="true"/>
            <i val="false"/>
            <strike val="false"/>
            <color rgb="FF000000"/>
            <sz val="10"/>
            <u val="none"/>
          </rPr>
          <t xml:space="preserve">promedio yahoo finance y tip ranks</t>
        </r>
        <r>
          <rPr>
            <rFont val="Tahoma"/>
            <b val="false"/>
            <i val="false"/>
            <strike val="false"/>
            <color rgb="FF000000"/>
            <sz val="10"/>
            <u val="none"/>
          </rPr>
          <t xml:space="preserve">
</t>
        </r>
      </text>
    </comment>
    <comment ref="W26" authorId="0">
      <text>
        <r>
          <rPr>
            <rFont val="Tahoma"/>
            <b val="true"/>
            <i val="false"/>
            <strike val="false"/>
            <color rgb="FF000000"/>
            <sz val="10"/>
            <u val="none"/>
          </rPr>
          <t xml:space="preserve">promedio yahoo finance y tip ranks</t>
        </r>
        <r>
          <rPr>
            <rFont val="Tahoma"/>
            <b val="false"/>
            <i val="false"/>
            <strike val="false"/>
            <color rgb="FF000000"/>
            <sz val="10"/>
            <u val="none"/>
          </rPr>
          <t xml:space="preserve">
</t>
        </r>
      </text>
    </comment>
    <comment ref="F29" authorId="0">
      <text>
        <r>
          <rPr>
            <rFont val="Tahoma"/>
            <b val="true"/>
            <i val="false"/>
            <strike val="false"/>
            <color rgb="FF000000"/>
            <sz val="10"/>
            <u val="none"/>
          </rPr>
          <t xml:space="preserve">comprar en $4,180</t>
        </r>
        <r>
          <rPr>
            <rFont val="Tahoma"/>
            <b val="false"/>
            <i val="false"/>
            <strike val="false"/>
            <color rgb="FF000000"/>
            <sz val="10"/>
            <u val="none"/>
          </rPr>
          <t xml:space="preserve">
</t>
        </r>
      </text>
    </comment>
    <comment ref="F30" authorId="0">
      <text>
        <r>
          <rPr>
            <rFont val="Tahoma"/>
            <b val="true"/>
            <i val="false"/>
            <strike val="false"/>
            <color rgb="FF000000"/>
            <sz val="10"/>
            <u val="none"/>
          </rPr>
          <t xml:space="preserve">comprar en $4,600</t>
        </r>
        <r>
          <rPr>
            <rFont val="Tahoma"/>
            <b val="false"/>
            <i val="false"/>
            <strike val="false"/>
            <color rgb="FF000000"/>
            <sz val="10"/>
            <u val="none"/>
          </rPr>
          <t xml:space="preserve">
</t>
        </r>
      </text>
    </comment>
    <comment ref="F31" authorId="0">
      <text>
        <r>
          <rPr>
            <rFont val="Tahoma"/>
            <b val="true"/>
            <i val="false"/>
            <strike val="false"/>
            <color rgb="FF000000"/>
            <sz val="10"/>
            <u val="none"/>
          </rPr>
          <t xml:space="preserve">comprar en $2,970</t>
        </r>
        <r>
          <rPr>
            <rFont val="Tahoma"/>
            <b val="false"/>
            <i val="false"/>
            <strike val="false"/>
            <color rgb="FF000000"/>
            <sz val="10"/>
            <u val="none"/>
          </rPr>
          <t xml:space="preserve">
</t>
        </r>
      </text>
    </comment>
    <comment ref="F34" authorId="0">
      <text>
        <r>
          <rPr>
            <rFont val="Tahoma"/>
            <b val="true"/>
            <i val="false"/>
            <strike val="false"/>
            <color rgb="FF000000"/>
            <sz val="10"/>
            <u val="none"/>
          </rPr>
          <t xml:space="preserve">comprar en $220</t>
        </r>
        <r>
          <rPr>
            <rFont val="Tahoma"/>
            <b val="false"/>
            <i val="false"/>
            <strike val="false"/>
            <color rgb="FF000000"/>
            <sz val="10"/>
            <u val="none"/>
          </rPr>
          <t xml:space="preserve">
</t>
        </r>
      </text>
    </comment>
    <comment ref="F37" authorId="0">
      <text>
        <r>
          <rPr>
            <rFont val="Tahoma"/>
            <b val="true"/>
            <i val="false"/>
            <strike val="false"/>
            <color rgb="FF000000"/>
            <sz val="10"/>
            <u val="none"/>
          </rPr>
          <t xml:space="preserve">comprar en $5,500</t>
        </r>
        <r>
          <rPr>
            <rFont val="Tahoma"/>
            <b val="false"/>
            <i val="false"/>
            <strike val="false"/>
            <color rgb="FF000000"/>
            <sz val="10"/>
            <u val="none"/>
          </rPr>
          <t xml:space="preserve">
</t>
        </r>
      </text>
    </comment>
    <comment ref="F38" authorId="0">
      <text>
        <r>
          <rPr>
            <rFont val="Tahoma"/>
            <b val="true"/>
            <i val="false"/>
            <strike val="false"/>
            <color rgb="FF000000"/>
            <sz val="10"/>
            <u val="none"/>
          </rPr>
          <t xml:space="preserve">comprar en $2,970</t>
        </r>
        <r>
          <rPr>
            <rFont val="Tahoma"/>
            <b val="false"/>
            <i val="false"/>
            <strike val="false"/>
            <color rgb="FF000000"/>
            <sz val="10"/>
            <u val="none"/>
          </rPr>
          <t xml:space="preserve">
</t>
        </r>
      </text>
    </comment>
    <comment ref="F49" authorId="0">
      <text>
        <r>
          <rPr>
            <rFont val="Tahoma"/>
            <b val="true"/>
            <i val="false"/>
            <strike val="false"/>
            <color rgb="FF000000"/>
            <sz val="10"/>
            <u val="none"/>
          </rPr>
          <t xml:space="preserve">COMPRAR EN 1,065</t>
        </r>
        <r>
          <rPr>
            <rFont val="Tahoma"/>
            <b val="false"/>
            <i val="false"/>
            <strike val="false"/>
            <color rgb="FF000000"/>
            <sz val="10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<sst xmlns="http://schemas.openxmlformats.org/spreadsheetml/2006/main" uniqueCount="77">
  <si>
    <t>TIPO DE CAMBIO</t>
  </si>
  <si>
    <t>ADCF VECTOR</t>
  </si>
  <si>
    <t>comision</t>
  </si>
  <si>
    <t>EMISORA</t>
  </si>
  <si>
    <t>TITULOS</t>
  </si>
  <si>
    <t>COSTO PROM</t>
  </si>
  <si>
    <t>PRECIO ACTUAL USD</t>
  </si>
  <si>
    <t>ULTIMO PRECIO PESOS</t>
  </si>
  <si>
    <t>UTILIDAD ACTUAL</t>
  </si>
  <si>
    <t>% MARG ACTUAL</t>
  </si>
  <si>
    <t>TOTAL ACTUAL</t>
  </si>
  <si>
    <r>
      <t xml:space="preserve">POSTURA </t>
    </r>
    <r>
      <rPr>
        <rFont val="Calibri"/>
        <b val="true"/>
        <i val="false"/>
        <strike val="false"/>
        <color rgb="FF00FFFF"/>
        <sz val="12"/>
        <u val="none"/>
      </rPr>
      <t xml:space="preserve">COMPRA</t>
    </r>
    <r>
      <rPr>
        <rFont val="Calibri"/>
        <b val="true"/>
        <i val="false"/>
        <strike val="false"/>
        <color rgb="FF000000"/>
        <sz val="12"/>
        <u val="none"/>
      </rPr>
      <t xml:space="preserve"> / </t>
    </r>
    <r>
      <rPr>
        <rFont val="Calibri"/>
        <b val="true"/>
        <i val="false"/>
        <strike val="false"/>
        <color rgb="FF008080"/>
        <sz val="12"/>
        <u val="none"/>
      </rPr>
      <t xml:space="preserve">VENTA</t>
    </r>
  </si>
  <si>
    <t>UTILIDAD CON POST. VENTA</t>
  </si>
  <si>
    <t>% MARGEN CON POSTURA VENTA</t>
  </si>
  <si>
    <t>MONTO TOTAL CON POSTURA VENTA</t>
  </si>
  <si>
    <t xml:space="preserve"> Credito disponible</t>
  </si>
  <si>
    <t>VECPRE</t>
  </si>
  <si>
    <t>AMZN</t>
  </si>
  <si>
    <t>BABA</t>
  </si>
  <si>
    <t>FB</t>
  </si>
  <si>
    <t>NFLX</t>
  </si>
  <si>
    <t>TSLA</t>
  </si>
  <si>
    <t>UA</t>
  </si>
  <si>
    <t xml:space="preserve"> </t>
  </si>
  <si>
    <t>JJFR VECTOR</t>
  </si>
  <si>
    <t>VECTOR GLOBAL</t>
  </si>
  <si>
    <t>ULTIMO PRECIO PESOS EN DLS</t>
  </si>
  <si>
    <t>EFECTIVO</t>
  </si>
  <si>
    <t>V</t>
  </si>
  <si>
    <t>WMT</t>
  </si>
  <si>
    <t>ANALISIS POR ACCION</t>
  </si>
  <si>
    <t>VALOR ACTUAL DLS</t>
  </si>
  <si>
    <t>VALOR ACTUAL EN PESOS</t>
  </si>
  <si>
    <t>P. O.  ADCF / NOTICIAS</t>
  </si>
  <si>
    <t>RENTABILIDAD CON MI P. O.</t>
  </si>
  <si>
    <t>SOPORTE BAJO ADCF / NIVEL DE ENTRADA</t>
  </si>
  <si>
    <t>MAXIMO HISTORICO</t>
  </si>
  <si>
    <t>FECHA EXCUPON</t>
  </si>
  <si>
    <t>FECHA PAGO DE DIVIDENDO</t>
  </si>
  <si>
    <t xml:space="preserve">TENDENCIA </t>
  </si>
  <si>
    <t>CAPITALIZACION BURSATIL (miles)</t>
  </si>
  <si>
    <t>PATRIMONIO CONTABLE (miles)</t>
  </si>
  <si>
    <t>UTILIDAD NETA 2020 (miles)</t>
  </si>
  <si>
    <t>UTILIDAD NETA 2019 (miles)</t>
  </si>
  <si>
    <t>UTILIDAD NETA 2018 (miles)</t>
  </si>
  <si>
    <t>UTILIDAD NETA 2017 (miles)</t>
  </si>
  <si>
    <t>UTILIDAD NETA 2016 (miles)</t>
  </si>
  <si>
    <t>PO BAJO</t>
  </si>
  <si>
    <t>P. ACTUAL VS PO BAJO</t>
  </si>
  <si>
    <t>PO PROMEDIO</t>
  </si>
  <si>
    <t>P. ACTUAL VS PO PROM</t>
  </si>
  <si>
    <t>PO ALTO</t>
  </si>
  <si>
    <t>P. ACTUAL VS PO ALTO</t>
  </si>
  <si>
    <t>N/A</t>
  </si>
  <si>
    <t>ALZA</t>
  </si>
  <si>
    <t>BRK B</t>
  </si>
  <si>
    <t>AMZ</t>
  </si>
  <si>
    <t>3,034.13</t>
  </si>
  <si>
    <t>AAPL</t>
  </si>
  <si>
    <t>UAA</t>
  </si>
  <si>
    <t>GOOGL</t>
  </si>
  <si>
    <t>2,534.60</t>
  </si>
  <si>
    <t>MSFT</t>
  </si>
  <si>
    <t>SBUX</t>
  </si>
  <si>
    <t>MELI</t>
  </si>
  <si>
    <t>1,060.34</t>
  </si>
  <si>
    <t>BKNG</t>
  </si>
  <si>
    <t>2,227.29</t>
  </si>
  <si>
    <t>EXPE</t>
  </si>
  <si>
    <t>TRIP</t>
  </si>
  <si>
    <t>TRVG</t>
  </si>
  <si>
    <t>FSLR</t>
  </si>
  <si>
    <t>SPWR</t>
  </si>
  <si>
    <t>RUN</t>
  </si>
  <si>
    <t>NVDA</t>
  </si>
  <si>
    <t>INTC</t>
  </si>
  <si>
    <t>AMD</t>
  </si>
</sst>
</file>

<file path=xl/styles.xml><?xml version="1.0" encoding="utf-8"?>
<styleSheet xmlns="http://schemas.openxmlformats.org/spreadsheetml/2006/main" xml:space="preserve">
  <numFmts count="11">
    <numFmt numFmtId="164" formatCode="&quot;$&quot;#,##0.00"/>
    <numFmt numFmtId="165" formatCode="#,##0.000000"/>
    <numFmt numFmtId="166" formatCode="&quot;$&quot;#,##0.0000;[Red]\-&quot;$&quot;#,##0.0000"/>
    <numFmt numFmtId="167" formatCode="&quot;$&quot;#,##0"/>
    <numFmt numFmtId="168" formatCode="0.0000000"/>
    <numFmt numFmtId="169" formatCode="&quot;$&quot;#,##0.0000000;[Red]\-&quot;$&quot;#,##0.0000000"/>
    <numFmt numFmtId="170" formatCode="&quot;$&quot;#,##0.000000;[Red]\-&quot;$&quot;#,##0.000000"/>
    <numFmt numFmtId="171" formatCode="[$USD]\ #,##0.00"/>
    <numFmt numFmtId="172" formatCode="_-[$$-409]* #,##0.00_ ;_-[$$-409]* \-#,##0.00\ ;_-[$$-409]* &quot;-&quot;??_ ;_-@_ "/>
    <numFmt numFmtId="173" formatCode="0.00000"/>
    <numFmt numFmtId="174" formatCode="dd/mm/yy;@"/>
  </numFmts>
  <fonts count="1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8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B050"/>
      <name val="Calibri"/>
    </font>
    <font>
      <b val="0"/>
      <i val="0"/>
      <strike val="0"/>
      <u val="none"/>
      <sz val="12"/>
      <color rgb="FFFF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2"/>
      <color rgb="FF92D050"/>
      <name val="Calibri"/>
    </font>
    <font>
      <b val="0"/>
      <i val="0"/>
      <strike val="0"/>
      <u val="none"/>
      <sz val="12"/>
      <color rgb="FF008000"/>
      <name val="Calibri"/>
    </font>
    <font>
      <b val="0"/>
      <i val="0"/>
      <strike val="0"/>
      <u val="none"/>
      <sz val="12"/>
      <color rgb="FF0070C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</fills>
  <borders count="3">
    <border/>
    <border>
      <bottom style="medium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22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165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3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left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3" numFmtId="166" fillId="2" borderId="0" applyFont="1" applyNumberFormat="1" applyFill="0" applyBorder="0" applyAlignment="1">
      <alignment horizontal="center" vertical="center" textRotation="0" wrapText="false" shrinkToFit="false"/>
    </xf>
    <xf xfId="0" fontId="3" numFmtId="10" fillId="2" borderId="0" applyFont="1" applyNumberFormat="1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7" fillId="2" borderId="0" applyFont="0" applyNumberFormat="1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3" fillId="2" borderId="0" applyFont="0" applyNumberFormat="1" applyFill="0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1">
      <alignment horizontal="center" vertical="center" textRotation="0" wrapText="false" shrinkToFit="false"/>
    </xf>
    <xf xfId="0" fontId="0" numFmtId="15" fillId="2" borderId="1" applyFont="0" applyNumberFormat="1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3" numFmtId="166" fillId="2" borderId="1" applyFont="1" applyNumberFormat="1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0" numFmtId="167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167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3" numFmtId="166" fillId="2" borderId="0" applyFont="1" applyNumberFormat="1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168" fillId="2" borderId="0" applyFont="1" applyNumberFormat="1" applyFill="0" applyBorder="0" applyAlignment="1">
      <alignment horizontal="center" vertical="center" textRotation="0" wrapText="false" shrinkToFit="false"/>
    </xf>
    <xf xfId="0" fontId="3" numFmtId="164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4" fillId="2" borderId="0" applyFont="0" applyNumberFormat="1" applyFill="0" applyBorder="0" applyAlignment="1">
      <alignment horizontal="center" vertical="center" textRotation="0" wrapText="false" shrinkToFit="false"/>
    </xf>
    <xf xfId="0" fontId="1" numFmtId="4" fillId="2" borderId="0" applyFont="1" applyNumberFormat="1" applyFill="0" applyBorder="0" applyAlignment="1">
      <alignment horizontal="center" vertical="center" textRotation="0" wrapText="true" shrinkToFit="false"/>
    </xf>
    <xf xfId="0" fontId="3" numFmtId="4" fillId="2" borderId="0" applyFont="1" applyNumberFormat="1" applyFill="0" applyBorder="0" applyAlignment="1">
      <alignment horizontal="center" vertical="center" textRotation="0" wrapText="false" shrinkToFit="false"/>
    </xf>
    <xf xfId="0" fontId="3" numFmtId="4" fillId="2" borderId="0" applyFont="1" applyNumberFormat="1" applyFill="0" applyBorder="0" applyAlignment="1">
      <alignment horizontal="center" vertical="center" textRotation="0" wrapText="false" shrinkToFit="false"/>
    </xf>
    <xf xfId="0" fontId="3" numFmtId="4" fillId="2" borderId="1" applyFont="1" applyNumberFormat="1" applyFill="0" applyBorder="1" applyAlignment="1">
      <alignment horizontal="center" vertical="center" textRotation="0" wrapText="false" shrinkToFit="false"/>
    </xf>
    <xf xfId="0" fontId="0" numFmtId="167" fillId="2" borderId="0" applyFont="0" applyNumberFormat="1" applyFill="0" applyBorder="0" applyAlignment="1">
      <alignment horizontal="center" vertical="center" textRotation="0" wrapText="false" shrinkToFit="false"/>
    </xf>
    <xf xfId="0" fontId="1" numFmtId="167" fillId="2" borderId="0" applyFont="1" applyNumberFormat="1" applyFill="0" applyBorder="0" applyAlignment="1">
      <alignment horizontal="center" vertical="center" textRotation="0" wrapText="true" shrinkToFit="false"/>
    </xf>
    <xf xfId="0" fontId="0" numFmtId="167" fillId="2" borderId="0" applyFont="0" applyNumberFormat="1" applyFill="0" applyBorder="0" applyAlignment="1">
      <alignment horizontal="center" vertical="center" textRotation="0" wrapText="false" shrinkToFit="false"/>
    </xf>
    <xf xfId="0" fontId="3" numFmtId="167" fillId="2" borderId="1" applyFont="1" applyNumberFormat="1" applyFill="0" applyBorder="1" applyAlignment="1">
      <alignment horizontal="center" vertical="center" textRotation="0" wrapText="false" shrinkToFit="false"/>
    </xf>
    <xf xfId="0" fontId="3" numFmtId="167" fillId="2" borderId="0" applyFont="1" applyNumberFormat="1" applyFill="0" applyBorder="0" applyAlignment="1">
      <alignment horizontal="center" vertical="center" textRotation="0" wrapText="false" shrinkToFit="false"/>
    </xf>
    <xf xfId="0" fontId="1" numFmtId="167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4" fillId="2" borderId="0" applyFont="0" applyNumberFormat="1" applyFill="0" applyBorder="0" applyAlignment="1">
      <alignment horizontal="center" vertical="center" textRotation="0" wrapText="true" shrinkToFit="false"/>
    </xf>
    <xf xfId="0" fontId="0" numFmtId="167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10" fillId="2" borderId="1" applyFont="0" applyNumberFormat="1" applyFill="0" applyBorder="1" applyAlignment="1">
      <alignment horizontal="center" vertical="center" textRotation="0" wrapText="false" shrinkToFit="false"/>
    </xf>
    <xf xfId="0" fontId="3" numFmtId="166" fillId="2" borderId="0" applyFont="1" applyNumberFormat="1" applyFill="0" applyBorder="0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10" fillId="2" borderId="0" applyFont="1" applyNumberFormat="1" applyFill="0" applyBorder="0" applyAlignment="1">
      <alignment horizontal="center" vertical="center" textRotation="0" wrapText="false" shrinkToFit="false"/>
    </xf>
    <xf xfId="0" fontId="6" numFmtId="167" fillId="2" borderId="0" applyFont="1" applyNumberFormat="1" applyFill="0" applyBorder="0" applyAlignment="1">
      <alignment horizontal="center" vertical="center" textRotation="0" wrapText="false" shrinkToFit="false"/>
    </xf>
    <xf xfId="0" fontId="6" numFmtId="164" fillId="2" borderId="0" applyFont="1" applyNumberFormat="1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10" fillId="2" borderId="0" applyFont="1" applyNumberFormat="1" applyFill="0" applyBorder="0" applyAlignment="1">
      <alignment horizontal="center" vertical="center" textRotation="0" wrapText="false" shrinkToFit="false"/>
    </xf>
    <xf xfId="0" fontId="6" numFmtId="2" fillId="2" borderId="0" applyFont="1" applyNumberFormat="1" applyFill="0" applyBorder="0" applyAlignment="1">
      <alignment horizontal="center" vertical="center" textRotation="0" wrapText="false" shrinkToFit="false"/>
    </xf>
    <xf xfId="0" fontId="6" numFmtId="14" fillId="2" borderId="0" applyFont="1" applyNumberFormat="1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2" fillId="2" borderId="0" applyFont="1" applyNumberFormat="1" applyFill="0" applyBorder="0" applyAlignment="1">
      <alignment horizontal="center" vertical="center" textRotation="0" wrapText="false" shrinkToFit="false"/>
    </xf>
    <xf xfId="0" fontId="6" numFmtId="167" fillId="2" borderId="0" applyFont="1" applyNumberFormat="1" applyFill="0" applyBorder="0" applyAlignment="1">
      <alignment horizontal="center" vertical="center" textRotation="0" wrapText="false" shrinkToFit="false"/>
    </xf>
    <xf xfId="0" fontId="4" numFmtId="4" fillId="2" borderId="0" applyFont="1" applyNumberFormat="1" applyFill="0" applyBorder="0" applyAlignment="1">
      <alignment horizontal="center" vertical="center" textRotation="0" wrapText="false" shrinkToFit="false"/>
    </xf>
    <xf xfId="0" fontId="6" numFmtId="1" fillId="2" borderId="0" applyFont="1" applyNumberFormat="1" applyFill="0" applyBorder="0" applyAlignment="1">
      <alignment horizontal="center" vertical="center" textRotation="0" wrapText="false" shrinkToFit="false"/>
    </xf>
    <xf xfId="0" fontId="4" numFmtId="2" fillId="2" borderId="0" applyFont="1" applyNumberFormat="1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4" numFmtId="10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0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3" fillId="2" borderId="0" applyFont="1" applyNumberFormat="1" applyFill="0" applyBorder="0" applyAlignment="1">
      <alignment horizontal="center" vertical="center" textRotation="0" wrapText="false" shrinkToFit="false"/>
    </xf>
    <xf xfId="0" fontId="6" numFmtId="169" fillId="2" borderId="0" applyFont="1" applyNumberFormat="1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10" fillId="2" borderId="0" applyFont="1" applyNumberFormat="1" applyFill="0" applyBorder="0" applyAlignment="1">
      <alignment horizontal="center" vertical="center" textRotation="0" wrapText="false" shrinkToFit="false"/>
    </xf>
    <xf xfId="0" fontId="6" numFmtId="170" fillId="2" borderId="0" applyFont="1" applyNumberFormat="1" applyFill="0" applyBorder="0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3" fillId="2" borderId="0" applyFont="1" applyNumberFormat="1" applyFill="0" applyBorder="0" applyAlignment="1">
      <alignment horizontal="center" vertical="center" textRotation="0" wrapText="false" shrinkToFit="false"/>
    </xf>
    <xf xfId="0" fontId="6" numFmtId="171" fillId="2" borderId="0" applyFont="1" applyNumberFormat="1" applyFill="0" applyBorder="0" applyAlignment="1">
      <alignment horizontal="center" vertical="center" textRotation="0" wrapText="false" shrinkToFit="false"/>
    </xf>
    <xf xfId="0" fontId="8" numFmtId="172" fillId="2" borderId="0" applyFont="1" applyNumberFormat="1" applyFill="0" applyBorder="0" applyAlignment="1">
      <alignment horizontal="left" vertical="center" textRotation="0" wrapText="false" shrinkToFit="false"/>
    </xf>
    <xf xfId="0" fontId="8" numFmtId="3" fillId="2" borderId="0" applyFont="1" applyNumberFormat="1" applyFill="0" applyBorder="0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0" fillId="2" borderId="0" applyFont="1" applyNumberFormat="1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165" fillId="2" borderId="0" applyFont="1" applyNumberFormat="1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170" fillId="2" borderId="0" applyFont="1" applyNumberFormat="1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  <xf xfId="0" fontId="6" numFmtId="10" fillId="4" borderId="0" applyFont="1" applyNumberFormat="1" applyFill="1" applyBorder="0" applyAlignment="1">
      <alignment horizontal="center" vertical="center" textRotation="0" wrapText="false" shrinkToFit="false"/>
    </xf>
    <xf xfId="0" fontId="6" numFmtId="0" fillId="4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false" shrinkToFit="false"/>
    </xf>
    <xf xfId="0" fontId="8" numFmtId="10" fillId="4" borderId="0" applyFont="1" applyNumberFormat="1" applyFill="1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4" fillId="2" borderId="0" applyFont="1" applyNumberFormat="1" applyFill="0" applyBorder="0" applyAlignment="1">
      <alignment horizontal="center" vertical="center" textRotation="0" wrapText="false" shrinkToFit="false"/>
    </xf>
    <xf xfId="0" fontId="6" numFmtId="173" fillId="2" borderId="0" applyFont="1" applyNumberFormat="1" applyFill="0" applyBorder="0" applyAlignment="1">
      <alignment horizontal="center" vertical="center" textRotation="0" wrapText="false" shrinkToFit="false"/>
    </xf>
    <xf xfId="0" fontId="4" numFmtId="171" fillId="2" borderId="0" applyFont="1" applyNumberFormat="1" applyFill="0" applyBorder="0" applyAlignment="1">
      <alignment horizontal="center" vertical="center" textRotation="0" wrapText="false" shrinkToFit="false"/>
    </xf>
    <xf xfId="0" fontId="6" numFmtId="4" fillId="2" borderId="0" applyFont="1" applyNumberFormat="1" applyFill="0" applyBorder="0" applyAlignment="1">
      <alignment horizontal="center" vertical="center" textRotation="0" wrapText="false" shrinkToFit="false"/>
    </xf>
    <xf xfId="0" fontId="6" numFmtId="166" fillId="2" borderId="0" applyFont="1" applyNumberFormat="1" applyFill="0" applyBorder="0" applyAlignment="1">
      <alignment horizontal="center" vertical="center" textRotation="0" wrapText="false" shrinkToFit="false"/>
    </xf>
    <xf xfId="0" fontId="6" numFmtId="4" fillId="2" borderId="0" applyFont="1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6" numFmtId="4" fillId="3" borderId="0" applyFont="1" applyNumberFormat="1" applyFill="1" applyBorder="0" applyAlignment="1">
      <alignment horizontal="center" vertical="center" textRotation="0" wrapText="false" shrinkToFit="false"/>
    </xf>
    <xf xfId="0" fontId="6" numFmtId="2" fillId="3" borderId="0" applyFont="1" applyNumberFormat="1" applyFill="1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167" fillId="2" borderId="0" applyFont="0" applyNumberFormat="1" applyFill="0" applyBorder="0" applyAlignment="1">
      <alignment horizontal="left" vertical="center" textRotation="0" wrapText="false" shrinkToFit="false"/>
    </xf>
    <xf xfId="0" fontId="0" numFmtId="164" fillId="2" borderId="0" applyFont="0" applyNumberFormat="1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0" numFmtId="167" fillId="2" borderId="0" applyFont="0" applyNumberFormat="1" applyFill="0" applyBorder="0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174" fillId="2" borderId="0" applyFont="0" applyNumberFormat="1" applyFill="0" applyBorder="0" applyAlignment="1">
      <alignment horizontal="center" vertical="center" textRotation="0" wrapText="false" shrinkToFit="false"/>
    </xf>
    <xf xfId="0" fontId="1" numFmtId="174" fillId="2" borderId="0" applyFont="1" applyNumberFormat="1" applyFill="0" applyBorder="0" applyAlignment="1">
      <alignment horizontal="center" vertical="center" textRotation="0" wrapText="true" shrinkToFit="false"/>
    </xf>
    <xf xfId="0" fontId="0" numFmtId="174" fillId="2" borderId="0" applyFont="0" applyNumberFormat="1" applyFill="0" applyBorder="0" applyAlignment="1">
      <alignment horizontal="center" vertical="center" textRotation="0" wrapText="true" shrinkToFit="false"/>
    </xf>
    <xf xfId="0" fontId="0" numFmtId="174" fillId="2" borderId="0" applyFont="0" applyNumberFormat="1" applyFill="0" applyBorder="0" applyAlignment="1">
      <alignment horizontal="center" vertical="center" textRotation="0" wrapText="false" shrinkToFit="false"/>
    </xf>
    <xf xfId="0" fontId="3" numFmtId="174" fillId="2" borderId="0" applyFont="1" applyNumberFormat="1" applyFill="0" applyBorder="0" applyAlignment="1">
      <alignment horizontal="center" vertical="center" textRotation="0" wrapText="false" shrinkToFit="false"/>
    </xf>
    <xf xfId="0" fontId="1" numFmtId="174" fillId="2" borderId="0" applyFont="1" applyNumberFormat="1" applyFill="0" applyBorder="0" applyAlignment="1">
      <alignment horizontal="center" vertical="center" textRotation="0" wrapText="true" shrinkToFit="false"/>
    </xf>
    <xf xfId="0" fontId="0" numFmtId="174" fillId="2" borderId="0" applyFont="0" applyNumberFormat="1" applyFill="0" applyBorder="0" applyAlignment="1">
      <alignment horizontal="center" vertical="center" textRotation="0" wrapText="true" shrinkToFit="false"/>
    </xf>
    <xf xfId="0" fontId="3" numFmtId="174" fillId="2" borderId="1" applyFont="1" applyNumberFormat="1" applyFill="0" applyBorder="1" applyAlignment="1">
      <alignment horizontal="center" vertical="center" textRotation="0" wrapText="false" shrinkToFit="false"/>
    </xf>
    <xf xfId="0" fontId="6" numFmtId="174" fillId="2" borderId="0" applyFont="1" applyNumberFormat="1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6" numFmtId="164" fillId="2" borderId="0" applyFont="1" applyNumberFormat="1" applyFill="0" applyBorder="0" applyAlignment="1">
      <alignment horizontal="center" vertical="center" textRotation="0" wrapText="false" shrinkToFit="false"/>
    </xf>
    <xf xfId="0" fontId="6" numFmtId="174" fillId="2" borderId="0" applyFont="1" applyNumberFormat="1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15" fillId="2" borderId="0" applyFont="0" applyNumberFormat="1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6" numFmtId="4" fillId="3" borderId="0" applyFont="1" applyNumberFormat="1" applyFill="1" applyBorder="0" applyAlignment="1">
      <alignment horizontal="center" vertical="center" textRotation="0" wrapText="false" shrinkToFit="false"/>
    </xf>
    <xf xfId="0" fontId="6" numFmtId="164" fillId="2" borderId="0" applyFont="1" applyNumberFormat="1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174" fillId="2" borderId="0" applyFont="1" applyNumberFormat="1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2" fillId="2" borderId="0" applyFont="1" applyNumberFormat="1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6" numFmtId="0" fillId="2" borderId="2" applyFont="1" applyNumberFormat="0" applyFill="0" applyBorder="1" applyAlignment="1">
      <alignment horizontal="center" vertical="center" textRotation="0" wrapText="false" shrinkToFit="false"/>
    </xf>
    <xf xfId="0" fontId="0" numFmtId="2" fillId="3" borderId="0" applyFont="0" applyNumberFormat="1" applyFill="1" applyBorder="0" applyAlignment="1">
      <alignment horizontal="center" vertical="center" textRotation="0" wrapText="false" shrinkToFit="false"/>
    </xf>
    <xf xfId="0" fontId="6" numFmtId="164" fillId="2" borderId="0" applyFont="1" applyNumberFormat="1" applyFill="0" applyBorder="0" applyAlignment="1">
      <alignment horizontal="left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6" numFmtId="9" fillId="2" borderId="0" applyFont="1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6" numFmtId="9" fillId="2" borderId="0" applyFont="1" applyNumberFormat="1" applyFill="0" applyBorder="0" applyAlignment="1">
      <alignment horizontal="center" vertical="center" textRotation="0" wrapText="false" shrinkToFit="false"/>
    </xf>
    <xf xfId="0" fontId="12" numFmtId="14" fillId="2" borderId="0" applyFont="1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2" fillId="2" borderId="0" applyFont="1" applyNumberFormat="1" applyFill="0" applyBorder="0" applyAlignment="1">
      <alignment horizontal="center" vertical="center" textRotation="0" wrapText="false" shrinkToFit="false"/>
    </xf>
    <xf xfId="0" fontId="6" numFmtId="167" fillId="2" borderId="0" applyFont="1" applyNumberFormat="1" applyFill="0" applyBorder="0" applyAlignment="1">
      <alignment horizontal="center" vertical="center" textRotation="0" wrapText="false" shrinkToFit="false"/>
    </xf>
    <xf xfId="0" fontId="9" numFmtId="2" fillId="3" borderId="0" applyFont="1" applyNumberFormat="1" applyFill="1" applyBorder="0" applyAlignment="1">
      <alignment horizontal="center" vertical="center" textRotation="0" wrapText="false" shrinkToFit="false"/>
    </xf>
    <xf xfId="0" fontId="0" numFmtId="15" fillId="2" borderId="0" applyFont="0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3" numFmtId="174" fillId="2" borderId="0" applyFont="1" applyNumberFormat="1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4" fillId="2" borderId="0" applyFont="1" applyNumberFormat="1" applyFill="0" applyBorder="0" applyAlignment="1">
      <alignment horizontal="center" vertical="center" textRotation="0" wrapText="false" shrinkToFit="false"/>
    </xf>
    <xf xfId="0" fontId="3" numFmtId="167" fillId="2" borderId="0" applyFont="1" applyNumberFormat="1" applyFill="0" applyBorder="0" applyAlignment="1">
      <alignment horizontal="center" vertical="center" textRotation="0" wrapText="false" shrinkToFit="false"/>
    </xf>
    <xf xfId="0" fontId="3" numFmtId="10" fillId="2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N52"/>
  <sheetViews>
    <sheetView tabSelected="1" workbookViewId="0" zoomScale="115" zoomScaleNormal="130" showGridLines="true" showRowColHeaders="1">
      <pane xSplit="2" topLeftCell="C1" activePane="topRight" state="frozen"/>
      <selection pane="topRight" activeCell="C1" sqref="C1"/>
    </sheetView>
  </sheetViews>
  <sheetFormatPr defaultRowHeight="14.4" defaultColWidth="11.42578125" outlineLevelRow="0" outlineLevelCol="0"/>
  <cols>
    <col min="1" max="1" width="16.140625" customWidth="true" style="12"/>
    <col min="2" max="2" width="9.140625" customWidth="true" style="3"/>
    <col min="3" max="3" width="14.85546875" customWidth="true" style="3"/>
    <col min="4" max="4" width="14.85546875" customWidth="true" style="23"/>
    <col min="5" max="5" width="14.85546875" customWidth="true" style="43"/>
    <col min="6" max="6" width="14.7109375" customWidth="true" style="1"/>
    <col min="7" max="7" width="13.42578125" customWidth="true" style="62"/>
    <col min="8" max="8" width="12.42578125" customWidth="true" style="23"/>
    <col min="9" max="9" width="17" customWidth="true" style="3"/>
    <col min="10" max="10" width="14.28515625" customWidth="true" style="18"/>
    <col min="11" max="11" width="15" customWidth="true" style="43"/>
    <col min="12" max="12" width="17.85546875" customWidth="true" style="23"/>
    <col min="13" max="13" width="18" customWidth="true" style="179"/>
    <col min="14" max="14" width="25.28515625" customWidth="true" style="12"/>
    <col min="15" max="15" width="13.140625" customWidth="true" style="63"/>
    <col min="16" max="16" width="13.28515625" customWidth="true" style="68"/>
    <col min="17" max="17" width="12.85546875" customWidth="true" style="68"/>
    <col min="18" max="18" width="13" customWidth="true" style="68"/>
    <col min="19" max="19" width="10.42578125" customWidth="true" style="3"/>
    <col min="20" max="20" width="10.42578125" customWidth="true" style="3"/>
    <col min="21" max="21" width="10.42578125" customWidth="true" style="3"/>
    <col min="22" max="22" width="12" customWidth="true" style="3"/>
    <col min="23" max="23" width="10.42578125" customWidth="true" style="3"/>
    <col min="24" max="24" width="11.42578125" style="25"/>
    <col min="25" max="25" width="8.42578125" customWidth="true" style="2"/>
    <col min="26" max="26" width="7.85546875" customWidth="true" style="2"/>
    <col min="27" max="27" width="11.42578125" style="2"/>
    <col min="28" max="28" width="11.7109375" customWidth="true" style="2"/>
    <col min="29" max="29" width="10.28515625" customWidth="true" style="2"/>
    <col min="30" max="30" width="11.7109375" customWidth="true" style="2"/>
    <col min="31" max="31" width="13" customWidth="true" style="5"/>
    <col min="32" max="32" width="11.42578125" style="2"/>
    <col min="33" max="33" width="9.7109375" customWidth="true" style="2"/>
    <col min="34" max="34" width="7.85546875" customWidth="true" style="3"/>
    <col min="35" max="35" width="12.28515625" customWidth="true" style="3"/>
    <col min="36" max="36" width="12.28515625" customWidth="true" style="3"/>
    <col min="37" max="37" width="8.140625" customWidth="true" style="2"/>
    <col min="38" max="38" width="11.42578125" style="2"/>
    <col min="39" max="39" width="12.42578125" customWidth="true" style="23"/>
    <col min="40" max="40" width="11.42578125" style="2"/>
  </cols>
  <sheetData>
    <row r="1" spans="1:40" customHeight="1" ht="18.95">
      <c r="F1" s="215">
        <v>20.16</v>
      </c>
      <c r="G1" s="138" t="s">
        <v>0</v>
      </c>
    </row>
    <row r="2" spans="1:40" customHeight="1" ht="18.95">
      <c r="A2" s="36" t="s">
        <v>1</v>
      </c>
      <c r="B2" s="96"/>
      <c r="C2" s="86"/>
      <c r="E2" s="82"/>
      <c r="F2" s="97"/>
      <c r="G2" s="92" t="s">
        <v>2</v>
      </c>
      <c r="H2" s="152">
        <v>1.00174</v>
      </c>
      <c r="I2" s="92"/>
      <c r="J2" s="120"/>
      <c r="K2" s="82"/>
      <c r="L2" s="86"/>
    </row>
    <row r="3" spans="1:40" customHeight="1" ht="32.1" s="6" customFormat="1">
      <c r="A3" s="98" t="s">
        <v>3</v>
      </c>
      <c r="B3" s="99" t="s">
        <v>4</v>
      </c>
      <c r="C3" s="100" t="s">
        <v>5</v>
      </c>
      <c r="D3" s="99" t="s">
        <v>6</v>
      </c>
      <c r="E3" s="101" t="s">
        <v>7</v>
      </c>
      <c r="F3" s="102" t="s">
        <v>8</v>
      </c>
      <c r="G3" s="103" t="s">
        <v>9</v>
      </c>
      <c r="H3" s="104" t="s">
        <v>10</v>
      </c>
      <c r="I3" s="102" t="s">
        <v>11</v>
      </c>
      <c r="J3" s="101" t="s">
        <v>12</v>
      </c>
      <c r="K3" s="101" t="s">
        <v>13</v>
      </c>
      <c r="L3" s="164" t="s">
        <v>14</v>
      </c>
      <c r="M3" s="180"/>
      <c r="N3" s="169"/>
      <c r="O3" s="64"/>
      <c r="P3" s="69"/>
      <c r="Q3" s="69"/>
      <c r="R3" s="69"/>
      <c r="S3" s="46"/>
      <c r="T3" s="46"/>
      <c r="U3" s="46"/>
      <c r="V3" s="46"/>
      <c r="W3" s="46"/>
    </row>
    <row r="4" spans="1:40" customHeight="1" ht="15.95" s="6" customFormat="1">
      <c r="A4" s="105" t="s">
        <v>15</v>
      </c>
      <c r="B4" s="106"/>
      <c r="C4" s="107"/>
      <c r="D4" s="106"/>
      <c r="E4" s="108"/>
      <c r="F4" s="102"/>
      <c r="G4" s="110"/>
      <c r="H4" s="111"/>
      <c r="I4" s="109"/>
      <c r="J4" s="108"/>
      <c r="K4" s="108"/>
      <c r="L4" s="74"/>
      <c r="M4" s="181"/>
      <c r="N4" s="41"/>
      <c r="O4" s="75"/>
      <c r="P4" s="76"/>
      <c r="Q4" s="76"/>
      <c r="R4" s="76"/>
      <c r="S4" s="46"/>
      <c r="T4" s="46"/>
      <c r="U4" s="46"/>
      <c r="V4" s="46"/>
      <c r="W4" s="46"/>
    </row>
    <row r="5" spans="1:40" customHeight="1" ht="15.95">
      <c r="A5" s="112" t="s">
        <v>16</v>
      </c>
      <c r="B5" s="113">
        <v>1</v>
      </c>
      <c r="C5" s="114">
        <v>1.765217</v>
      </c>
      <c r="D5" s="114">
        <v>1.765217</v>
      </c>
      <c r="E5" s="114">
        <v>1.765217</v>
      </c>
      <c r="F5" s="146"/>
      <c r="G5" s="116"/>
      <c r="H5" s="115" t="str">
        <f>(B5*E5)</f>
        <v>0</v>
      </c>
      <c r="I5" s="117"/>
      <c r="J5" s="118"/>
      <c r="K5" s="122"/>
      <c r="L5" s="86"/>
    </row>
    <row r="6" spans="1:40" customHeight="1" ht="15.95" s="30" customFormat="1">
      <c r="A6" s="123" t="s">
        <v>17</v>
      </c>
      <c r="B6" s="124">
        <v>1</v>
      </c>
      <c r="C6" s="154" t="str">
        <f>62802*1.0035</f>
        <v>0</v>
      </c>
      <c r="D6" s="125" t="str">
        <f>B32</f>
        <v>0</v>
      </c>
      <c r="E6" s="120" t="str">
        <f>D6*$F$1</f>
        <v>0</v>
      </c>
      <c r="F6" s="130" t="str">
        <f>H6-(B6*C6)</f>
        <v>0</v>
      </c>
      <c r="G6" s="88" t="str">
        <f>((B6*E6)/(B6*C6))-1</f>
        <v>0</v>
      </c>
      <c r="H6" s="87" t="str">
        <f>B6*E6</f>
        <v>0</v>
      </c>
      <c r="I6" s="120">
        <v>63700</v>
      </c>
      <c r="J6" s="120" t="str">
        <f>L6-(B6*C6)</f>
        <v>0</v>
      </c>
      <c r="K6" s="88" t="str">
        <f>1-(C6/I6)</f>
        <v>0</v>
      </c>
      <c r="L6" s="87" t="str">
        <f>(I6*B6)*0.99826</f>
        <v>0</v>
      </c>
      <c r="M6" s="182"/>
      <c r="N6" s="170"/>
      <c r="O6" s="40"/>
      <c r="P6" s="47"/>
      <c r="Q6" s="47"/>
      <c r="R6" s="47"/>
      <c r="S6" s="54"/>
      <c r="T6" s="54"/>
      <c r="U6" s="207"/>
      <c r="V6" s="207"/>
      <c r="W6" s="25"/>
      <c r="X6" s="44"/>
      <c r="Z6" s="31"/>
      <c r="AA6" s="32"/>
      <c r="AB6" s="48"/>
      <c r="AC6" s="48"/>
      <c r="AD6" s="25"/>
      <c r="AE6" s="42"/>
      <c r="AG6" s="52"/>
      <c r="AH6" s="37"/>
      <c r="AI6" s="37"/>
      <c r="AJ6" s="48"/>
      <c r="AL6" s="53"/>
      <c r="AM6" s="25"/>
    </row>
    <row r="7" spans="1:40" customHeight="1" ht="15.95" s="30" customFormat="1">
      <c r="A7" s="123" t="s">
        <v>18</v>
      </c>
      <c r="B7" s="124">
        <v>1</v>
      </c>
      <c r="C7" s="154" t="str">
        <f>2096*1.0035</f>
        <v>0</v>
      </c>
      <c r="D7" s="125" t="str">
        <f>B37</f>
        <v>0</v>
      </c>
      <c r="E7" s="120" t="str">
        <f>D7*$F$1</f>
        <v>0</v>
      </c>
      <c r="F7" s="130" t="str">
        <f>H7-(B7*C7)</f>
        <v>0</v>
      </c>
      <c r="G7" s="88" t="str">
        <f>((B7*E7)/(B7*C7))-1</f>
        <v>0</v>
      </c>
      <c r="H7" s="87" t="str">
        <f>B7*E7</f>
        <v>0</v>
      </c>
      <c r="I7" s="197">
        <v>2114</v>
      </c>
      <c r="J7" s="120" t="str">
        <f>L7-(B7*C7)</f>
        <v>0</v>
      </c>
      <c r="K7" s="88" t="str">
        <f>1-(C7/I7)</f>
        <v>0</v>
      </c>
      <c r="L7" s="87" t="str">
        <f>(I7*B7)*0.99826</f>
        <v>0</v>
      </c>
      <c r="M7" s="182"/>
      <c r="N7" s="170"/>
      <c r="O7" s="40"/>
      <c r="P7" s="47"/>
      <c r="Q7" s="47"/>
      <c r="R7" s="47"/>
      <c r="S7" s="54"/>
      <c r="T7" s="54"/>
      <c r="U7" s="207"/>
      <c r="V7" s="207"/>
      <c r="W7" s="25"/>
      <c r="X7" s="44"/>
      <c r="Z7" s="31"/>
      <c r="AA7" s="32"/>
      <c r="AB7" s="48"/>
      <c r="AC7" s="48"/>
      <c r="AD7" s="25"/>
      <c r="AE7" s="42"/>
      <c r="AG7" s="52"/>
      <c r="AH7" s="37"/>
      <c r="AI7" s="37"/>
      <c r="AJ7" s="48"/>
      <c r="AL7" s="53"/>
      <c r="AM7" s="25"/>
    </row>
    <row r="8" spans="1:40" customHeight="1" ht="15.95" s="30" customFormat="1">
      <c r="A8" s="123" t="s">
        <v>19</v>
      </c>
      <c r="B8" s="124">
        <v>1</v>
      </c>
      <c r="C8" s="154" t="str">
        <f>4455*1.0035</f>
        <v>0</v>
      </c>
      <c r="D8" s="125" t="str">
        <f>B28</f>
        <v>0</v>
      </c>
      <c r="E8" s="120" t="str">
        <f>D8*$F$1</f>
        <v>0</v>
      </c>
      <c r="F8" s="130" t="str">
        <f>H8-(B8*C8)</f>
        <v>0</v>
      </c>
      <c r="G8" s="88" t="str">
        <f>((B8*E8)/(B8*C8))-1</f>
        <v>0</v>
      </c>
      <c r="H8" s="87" t="str">
        <f>B8*E8</f>
        <v>0</v>
      </c>
      <c r="I8" s="197">
        <v>4511</v>
      </c>
      <c r="J8" s="120" t="str">
        <f>L8-(B8*C8)</f>
        <v>0</v>
      </c>
      <c r="K8" s="88" t="str">
        <f>1-(C8/I8)</f>
        <v>0</v>
      </c>
      <c r="L8" s="87" t="str">
        <f>(I8*B8)*0.99826</f>
        <v>0</v>
      </c>
      <c r="M8" s="182"/>
      <c r="N8" s="170"/>
      <c r="O8" s="40"/>
      <c r="P8" s="47"/>
      <c r="Q8" s="47"/>
      <c r="R8" s="47"/>
      <c r="S8" s="54"/>
      <c r="T8" s="54"/>
      <c r="U8" s="207"/>
      <c r="V8" s="207"/>
      <c r="W8" s="25"/>
      <c r="X8" s="44"/>
      <c r="Z8" s="31"/>
      <c r="AA8" s="32"/>
      <c r="AB8" s="48"/>
      <c r="AC8" s="48"/>
      <c r="AD8" s="25"/>
      <c r="AE8" s="42"/>
      <c r="AG8" s="52"/>
      <c r="AH8" s="37"/>
      <c r="AI8" s="37"/>
      <c r="AJ8" s="48"/>
      <c r="AL8" s="53"/>
      <c r="AM8" s="25"/>
    </row>
    <row r="9" spans="1:40" customHeight="1" ht="15.95" s="30" customFormat="1">
      <c r="A9" s="123" t="s">
        <v>20</v>
      </c>
      <c r="B9" s="124">
        <v>1</v>
      </c>
      <c r="C9" s="154" t="str">
        <f>7230*1.0035</f>
        <v>0</v>
      </c>
      <c r="D9" s="125" t="str">
        <f>B38</f>
        <v>0</v>
      </c>
      <c r="E9" s="120" t="str">
        <f>D9*$F$1</f>
        <v>0</v>
      </c>
      <c r="F9" s="130" t="str">
        <f>H9-(B9*C9)</f>
        <v>0</v>
      </c>
      <c r="G9" s="88" t="str">
        <f>((B9*E9)/(B9*C9))-1</f>
        <v>0</v>
      </c>
      <c r="H9" s="87" t="str">
        <f>B9*E9</f>
        <v>0</v>
      </c>
      <c r="I9" s="197">
        <v>7327</v>
      </c>
      <c r="J9" s="120" t="str">
        <f>L9-(B9*C9)</f>
        <v>0</v>
      </c>
      <c r="K9" s="88" t="str">
        <f>1-(C9/I9)</f>
        <v>0</v>
      </c>
      <c r="L9" s="87" t="str">
        <f>(I9*B9)*0.99826</f>
        <v>0</v>
      </c>
      <c r="M9" s="182"/>
      <c r="N9" s="170"/>
      <c r="O9" s="40"/>
      <c r="P9" s="47"/>
      <c r="Q9" s="47"/>
      <c r="R9" s="47"/>
      <c r="S9" s="54"/>
      <c r="T9" s="54"/>
      <c r="U9" s="207"/>
      <c r="V9" s="207"/>
      <c r="W9" s="25"/>
      <c r="X9" s="44"/>
      <c r="Z9" s="31"/>
      <c r="AA9" s="32"/>
      <c r="AB9" s="48"/>
      <c r="AC9" s="48"/>
      <c r="AD9" s="25"/>
      <c r="AE9" s="42"/>
      <c r="AG9" s="52"/>
      <c r="AH9" s="37"/>
      <c r="AI9" s="37"/>
      <c r="AJ9" s="48"/>
      <c r="AL9" s="53"/>
      <c r="AM9" s="25"/>
    </row>
    <row r="10" spans="1:40" customHeight="1" ht="15.95">
      <c r="A10" s="206" t="s">
        <v>21</v>
      </c>
      <c r="B10" s="92">
        <v>1</v>
      </c>
      <c r="C10" s="92" t="str">
        <f>20730.93*1.0035</f>
        <v>0</v>
      </c>
      <c r="D10" s="125" t="str">
        <f>B27</f>
        <v>0</v>
      </c>
      <c r="E10" s="120" t="str">
        <f>D10*$F$1</f>
        <v>0</v>
      </c>
      <c r="F10" s="130" t="str">
        <f>H10-(B10*C10)</f>
        <v>0</v>
      </c>
      <c r="G10" s="88" t="str">
        <f>((B10*E10)/(B10*C10))-1</f>
        <v>0</v>
      </c>
      <c r="H10" s="87" t="str">
        <f>B10*E10</f>
        <v>0</v>
      </c>
      <c r="I10" s="120">
        <v>21400</v>
      </c>
      <c r="J10" s="120" t="str">
        <f>L10-(B10*C10)</f>
        <v>0</v>
      </c>
      <c r="K10" s="88" t="str">
        <f>1-(C10/I10)</f>
        <v>0</v>
      </c>
      <c r="L10" s="87" t="str">
        <f>(I10*B10)*0.99826</f>
        <v>0</v>
      </c>
    </row>
    <row r="11" spans="1:40" customHeight="1" ht="15.95">
      <c r="A11" s="206" t="s">
        <v>22</v>
      </c>
      <c r="B11" s="92">
        <v>1</v>
      </c>
      <c r="C11" s="92" t="str">
        <f>319.33*1.0035</f>
        <v>0</v>
      </c>
      <c r="D11" s="82" t="str">
        <f>B34</f>
        <v>0</v>
      </c>
      <c r="E11" s="120" t="str">
        <f>D11*$F$1</f>
        <v>0</v>
      </c>
      <c r="F11" s="203" t="str">
        <f>H11-(B11*C11)</f>
        <v>0</v>
      </c>
      <c r="G11" s="88" t="str">
        <f>((B11*E11)/(B11*C11))-1</f>
        <v>0</v>
      </c>
      <c r="H11" s="204" t="str">
        <f>B11*E11</f>
        <v>0</v>
      </c>
      <c r="I11" s="120">
        <v>325.3</v>
      </c>
      <c r="J11" s="18" t="str">
        <f>L11-(B11*C11)</f>
        <v>0</v>
      </c>
      <c r="K11" s="209" t="str">
        <f>1-(C11/I11)</f>
        <v>0</v>
      </c>
      <c r="L11" s="23" t="str">
        <f>(I11*B11)*0.99826</f>
        <v>0</v>
      </c>
    </row>
    <row r="12" spans="1:40" customHeight="1" ht="15.95" s="30" customFormat="1">
      <c r="A12" s="126"/>
      <c r="B12" s="127"/>
      <c r="C12" s="128"/>
      <c r="D12" s="127"/>
      <c r="E12" s="129" t="s">
        <v>23</v>
      </c>
      <c r="F12" s="130" t="str">
        <f>SUM(F6:F11)</f>
        <v>0</v>
      </c>
      <c r="G12" s="131"/>
      <c r="H12" s="132" t="str">
        <f>SUM(H5:H11)</f>
        <v>0</v>
      </c>
      <c r="I12" s="129" t="s">
        <v>23</v>
      </c>
      <c r="J12" s="160" t="str">
        <f>SUM(J6:J11)</f>
        <v>0</v>
      </c>
      <c r="K12" s="129"/>
      <c r="L12" s="87"/>
      <c r="M12" s="182"/>
      <c r="N12" s="171"/>
      <c r="O12" s="40"/>
      <c r="P12" s="70"/>
      <c r="Q12" s="70"/>
      <c r="R12" s="70"/>
      <c r="S12" s="37"/>
      <c r="T12" s="37"/>
      <c r="U12" s="37"/>
      <c r="V12" s="37"/>
      <c r="W12" s="37"/>
      <c r="X12" s="25"/>
      <c r="AD12" s="53"/>
      <c r="AE12" s="55"/>
      <c r="AG12" s="56"/>
      <c r="AH12" s="57"/>
      <c r="AI12" s="58"/>
      <c r="AJ12" s="59"/>
      <c r="AK12" s="16"/>
      <c r="AL12" s="26"/>
      <c r="AM12" s="50"/>
    </row>
    <row r="13" spans="1:40" customHeight="1" ht="15.95" s="30" customFormat="1">
      <c r="A13" s="126"/>
      <c r="B13" s="127"/>
      <c r="C13" s="128"/>
      <c r="D13" s="151"/>
      <c r="E13" s="129"/>
      <c r="F13" s="130"/>
      <c r="G13" s="131"/>
      <c r="H13" s="132"/>
      <c r="I13" s="129"/>
      <c r="J13" s="129"/>
      <c r="K13" s="129"/>
      <c r="L13" s="87"/>
      <c r="M13" s="182"/>
      <c r="N13" s="171"/>
      <c r="O13" s="40"/>
      <c r="P13" s="70"/>
      <c r="Q13" s="70"/>
      <c r="R13" s="70"/>
      <c r="S13" s="37"/>
      <c r="T13" s="37"/>
      <c r="U13" s="37"/>
      <c r="V13" s="37"/>
      <c r="W13" s="37"/>
      <c r="X13" s="25"/>
      <c r="AD13" s="53"/>
      <c r="AE13" s="55"/>
      <c r="AG13" s="56"/>
      <c r="AH13" s="57"/>
      <c r="AI13" s="58"/>
      <c r="AJ13" s="59"/>
      <c r="AK13" s="16"/>
      <c r="AL13" s="26"/>
      <c r="AM13" s="50"/>
    </row>
    <row r="14" spans="1:40" customHeight="1" ht="18.95" s="30" customFormat="1">
      <c r="A14" s="60" t="s">
        <v>24</v>
      </c>
      <c r="B14" s="91"/>
      <c r="C14" s="133"/>
      <c r="D14" s="91"/>
      <c r="E14" s="120"/>
      <c r="F14" s="39"/>
      <c r="G14" s="91" t="s">
        <v>2</v>
      </c>
      <c r="H14" s="152">
        <v>1.00116</v>
      </c>
      <c r="I14" s="91"/>
      <c r="J14" s="120"/>
      <c r="K14" s="120"/>
      <c r="L14" s="165"/>
      <c r="M14" s="183"/>
      <c r="N14" s="172"/>
      <c r="O14" s="65"/>
      <c r="P14" s="72"/>
      <c r="Q14" s="72"/>
      <c r="R14" s="72"/>
      <c r="S14" s="49"/>
      <c r="T14" s="49"/>
      <c r="U14" s="16"/>
      <c r="V14" s="16"/>
      <c r="W14" s="26"/>
      <c r="X14" s="50"/>
      <c r="Y14" s="8"/>
      <c r="Z14" s="9"/>
      <c r="AA14" s="7"/>
      <c r="AB14" s="38"/>
      <c r="AC14" s="38"/>
      <c r="AD14" s="51"/>
      <c r="AE14" s="19"/>
      <c r="AG14" s="52"/>
      <c r="AH14" s="37"/>
      <c r="AI14" s="37"/>
      <c r="AJ14" s="48"/>
      <c r="AL14" s="53"/>
      <c r="AM14" s="25"/>
    </row>
    <row r="15" spans="1:40" customHeight="1" ht="18.95" s="30" customFormat="1">
      <c r="A15" s="60"/>
      <c r="B15" s="91"/>
      <c r="C15" s="133"/>
      <c r="D15" s="91"/>
      <c r="E15" s="120"/>
      <c r="F15" s="39"/>
      <c r="G15" s="91"/>
      <c r="H15" s="152"/>
      <c r="I15" s="91"/>
      <c r="J15" s="120"/>
      <c r="K15" s="120"/>
      <c r="L15" s="165"/>
      <c r="M15" s="183"/>
      <c r="N15" s="172"/>
      <c r="O15" s="65"/>
      <c r="P15" s="72"/>
      <c r="Q15" s="72"/>
      <c r="R15" s="72"/>
      <c r="S15" s="49"/>
      <c r="T15" s="49"/>
      <c r="U15" s="16"/>
      <c r="V15" s="16"/>
      <c r="W15" s="26"/>
      <c r="X15" s="50"/>
      <c r="Y15" s="8"/>
      <c r="Z15" s="9"/>
      <c r="AA15" s="7"/>
      <c r="AB15" s="38"/>
      <c r="AC15" s="38"/>
      <c r="AD15" s="51"/>
      <c r="AE15" s="19"/>
      <c r="AG15" s="52"/>
      <c r="AH15" s="37"/>
      <c r="AI15" s="37"/>
      <c r="AJ15" s="48"/>
      <c r="AL15" s="53"/>
      <c r="AM15" s="25"/>
    </row>
    <row r="16" spans="1:40" customHeight="1" ht="18.95" s="30" customFormat="1">
      <c r="A16" s="60" t="s">
        <v>25</v>
      </c>
      <c r="B16" s="91"/>
      <c r="C16" s="133"/>
      <c r="D16" s="91"/>
      <c r="E16" s="120"/>
      <c r="F16" s="39"/>
      <c r="G16" s="91"/>
      <c r="H16" s="152"/>
      <c r="I16" s="91"/>
      <c r="J16" s="120"/>
      <c r="K16" s="120"/>
      <c r="L16" s="165"/>
      <c r="M16" s="183"/>
      <c r="N16" s="172"/>
      <c r="O16" s="65"/>
      <c r="P16" s="72"/>
      <c r="Q16" s="72"/>
      <c r="R16" s="72"/>
      <c r="S16" s="49"/>
      <c r="T16" s="49"/>
      <c r="U16" s="16"/>
      <c r="V16" s="16"/>
      <c r="W16" s="26"/>
      <c r="X16" s="50"/>
      <c r="Y16" s="8"/>
      <c r="Z16" s="9"/>
      <c r="AA16" s="7"/>
      <c r="AB16" s="38"/>
      <c r="AC16" s="38"/>
      <c r="AD16" s="51"/>
      <c r="AE16" s="19"/>
      <c r="AG16" s="52"/>
      <c r="AH16" s="37"/>
      <c r="AI16" s="37"/>
      <c r="AJ16" s="48"/>
      <c r="AL16" s="53"/>
      <c r="AM16" s="25"/>
    </row>
    <row r="17" spans="1:40" customHeight="1" ht="33" s="30" customFormat="1">
      <c r="A17" s="134" t="s">
        <v>3</v>
      </c>
      <c r="B17" s="135" t="s">
        <v>4</v>
      </c>
      <c r="C17" s="100" t="s">
        <v>5</v>
      </c>
      <c r="D17" s="99" t="s">
        <v>6</v>
      </c>
      <c r="E17" s="101" t="s">
        <v>26</v>
      </c>
      <c r="F17" s="102" t="s">
        <v>8</v>
      </c>
      <c r="G17" s="103" t="s">
        <v>9</v>
      </c>
      <c r="H17" s="100" t="s">
        <v>10</v>
      </c>
      <c r="I17" s="102" t="s">
        <v>11</v>
      </c>
      <c r="J17" s="101" t="s">
        <v>12</v>
      </c>
      <c r="K17" s="101" t="s">
        <v>13</v>
      </c>
      <c r="L17" s="166" t="s">
        <v>14</v>
      </c>
      <c r="M17" s="184"/>
      <c r="N17" s="173"/>
      <c r="O17" s="65"/>
      <c r="P17" s="73"/>
      <c r="Q17" s="73"/>
      <c r="R17" s="73"/>
      <c r="S17" s="49"/>
      <c r="T17" s="49"/>
      <c r="U17" s="16"/>
      <c r="V17" s="16"/>
      <c r="W17" s="26"/>
      <c r="X17" s="50"/>
      <c r="Y17" s="8"/>
      <c r="Z17" s="9"/>
      <c r="AA17" s="7"/>
      <c r="AB17" s="38"/>
      <c r="AC17" s="38"/>
      <c r="AD17" s="51"/>
      <c r="AE17" s="19"/>
      <c r="AG17" s="52"/>
      <c r="AH17" s="37"/>
      <c r="AI17" s="37"/>
      <c r="AJ17" s="48"/>
      <c r="AL17" s="53"/>
      <c r="AM17" s="25"/>
    </row>
    <row r="18" spans="1:40" customHeight="1" ht="15.95" s="30" customFormat="1">
      <c r="A18" s="119" t="s">
        <v>27</v>
      </c>
      <c r="B18" s="124">
        <v>1</v>
      </c>
      <c r="C18" s="155" t="str">
        <f>F1</f>
        <v>0</v>
      </c>
      <c r="D18" s="114" t="str">
        <f>C18</f>
        <v>0</v>
      </c>
      <c r="E18" s="136" t="str">
        <f>C18</f>
        <v>0</v>
      </c>
      <c r="F18" s="137"/>
      <c r="G18" s="116"/>
      <c r="H18" s="87" t="str">
        <f>B18*E18</f>
        <v>0</v>
      </c>
      <c r="I18" s="117"/>
      <c r="J18" s="122"/>
      <c r="K18" s="122"/>
      <c r="L18" s="167"/>
      <c r="M18" s="185"/>
      <c r="N18" s="174"/>
      <c r="O18" s="65"/>
      <c r="P18" s="72"/>
      <c r="Q18" s="72"/>
      <c r="R18" s="72"/>
      <c r="S18" s="49"/>
      <c r="T18" s="49"/>
      <c r="U18" s="16"/>
      <c r="V18" s="16"/>
      <c r="W18" s="26"/>
      <c r="X18" s="50"/>
      <c r="Y18" s="8"/>
      <c r="Z18" s="9"/>
      <c r="AA18" s="7"/>
      <c r="AB18" s="38"/>
      <c r="AC18" s="38"/>
      <c r="AD18" s="51"/>
      <c r="AE18" s="19"/>
      <c r="AG18" s="52"/>
      <c r="AH18" s="37"/>
      <c r="AI18" s="37"/>
      <c r="AJ18" s="48"/>
      <c r="AL18" s="53"/>
      <c r="AM18" s="25"/>
    </row>
    <row r="19" spans="1:40" customHeight="1" ht="15.95" s="30" customFormat="1">
      <c r="A19" s="123" t="s">
        <v>19</v>
      </c>
      <c r="B19" s="124">
        <v>1</v>
      </c>
      <c r="C19" s="154" t="str">
        <f>4867.863003*1.00116</f>
        <v>0</v>
      </c>
      <c r="D19" s="125" t="str">
        <f>B28</f>
        <v>0</v>
      </c>
      <c r="E19" s="120" t="str">
        <f>D19*$F$1</f>
        <v>0</v>
      </c>
      <c r="F19" s="130" t="str">
        <f>H19-(B19*C19)</f>
        <v>0</v>
      </c>
      <c r="G19" s="88" t="str">
        <f>((B19*E19)/(B19*C19))-1</f>
        <v>0</v>
      </c>
      <c r="H19" s="87" t="str">
        <f>B19*E19</f>
        <v>0</v>
      </c>
      <c r="I19" s="150">
        <v>5000</v>
      </c>
      <c r="J19" s="122" t="str">
        <f>L19-(B19*C19)</f>
        <v>0</v>
      </c>
      <c r="K19" s="210" t="str">
        <f>1-(C19/I19)</f>
        <v>0</v>
      </c>
      <c r="L19" s="87" t="str">
        <f>(I19*B19)*0.99826</f>
        <v>0</v>
      </c>
      <c r="M19" s="182"/>
      <c r="N19" s="170"/>
      <c r="O19" s="65"/>
      <c r="P19" s="47"/>
      <c r="Q19" s="47"/>
      <c r="R19" s="47"/>
      <c r="S19" s="54"/>
      <c r="T19" s="54"/>
      <c r="U19" s="149"/>
      <c r="V19" s="149"/>
      <c r="W19" s="25"/>
      <c r="X19" s="44"/>
      <c r="Z19" s="31"/>
      <c r="AA19" s="32"/>
      <c r="AB19" s="48"/>
      <c r="AC19" s="48"/>
      <c r="AD19" s="25"/>
      <c r="AE19" s="42"/>
      <c r="AG19" s="52"/>
      <c r="AH19" s="37"/>
      <c r="AI19" s="37"/>
      <c r="AJ19" s="48"/>
      <c r="AL19" s="53"/>
      <c r="AM19" s="25"/>
    </row>
    <row r="20" spans="1:40" customHeight="1" ht="15.95" s="30" customFormat="1">
      <c r="A20" s="123" t="s">
        <v>28</v>
      </c>
      <c r="B20" s="124">
        <v>1</v>
      </c>
      <c r="C20" s="154" t="str">
        <f>4504.917073*1.00116</f>
        <v>0</v>
      </c>
      <c r="D20" s="125" t="str">
        <f>B29</f>
        <v>0</v>
      </c>
      <c r="E20" s="120" t="str">
        <f>D20*$F$1</f>
        <v>0</v>
      </c>
      <c r="F20" s="130" t="str">
        <f>H20-(B20*C20)</f>
        <v>0</v>
      </c>
      <c r="G20" s="88" t="str">
        <f>((B20*E20)/(B20*C20))-1</f>
        <v>0</v>
      </c>
      <c r="H20" s="87" t="str">
        <f>B20*E20</f>
        <v>0</v>
      </c>
      <c r="I20" s="150">
        <v>4600</v>
      </c>
      <c r="J20" s="120" t="str">
        <f>L20-(B20*C20)</f>
        <v>0</v>
      </c>
      <c r="K20" s="208" t="str">
        <f>1-(C20/I20)</f>
        <v>0</v>
      </c>
      <c r="L20" s="87" t="str">
        <f>(I20*B20)*0.99826</f>
        <v>0</v>
      </c>
      <c r="M20" s="182"/>
      <c r="N20" s="170"/>
      <c r="O20" s="40"/>
      <c r="P20" s="47"/>
      <c r="Q20" s="47"/>
      <c r="R20" s="47"/>
      <c r="S20" s="54"/>
      <c r="T20" s="54"/>
      <c r="U20" s="149"/>
      <c r="V20" s="149"/>
      <c r="W20" s="25"/>
      <c r="X20" s="44"/>
      <c r="Z20" s="31"/>
      <c r="AA20" s="32"/>
      <c r="AB20" s="48"/>
      <c r="AC20" s="48"/>
      <c r="AD20" s="25"/>
      <c r="AE20" s="42"/>
      <c r="AG20" s="52"/>
      <c r="AH20" s="37"/>
      <c r="AI20" s="37"/>
      <c r="AJ20" s="48"/>
      <c r="AL20" s="53"/>
      <c r="AM20" s="25"/>
    </row>
    <row r="21" spans="1:40" customHeight="1" ht="15.95" s="30" customFormat="1">
      <c r="A21" s="123" t="s">
        <v>29</v>
      </c>
      <c r="B21" s="124">
        <v>1</v>
      </c>
      <c r="C21" s="154" t="str">
        <f>2884.2338382*1.00116</f>
        <v>0</v>
      </c>
      <c r="D21" s="125" t="str">
        <f>B31</f>
        <v>0</v>
      </c>
      <c r="E21" s="120" t="str">
        <f>D21*$F$1</f>
        <v>0</v>
      </c>
      <c r="F21" s="203" t="str">
        <f>H21-(B21*C21)</f>
        <v>0</v>
      </c>
      <c r="G21" s="88" t="str">
        <f>((B21*E21)/(B21*C21))-1</f>
        <v>0</v>
      </c>
      <c r="H21" s="204" t="str">
        <f>B21*E21</f>
        <v>0</v>
      </c>
      <c r="I21" s="150">
        <v>3300</v>
      </c>
      <c r="J21" s="120" t="str">
        <f>L21-(B21*C21)</f>
        <v>0</v>
      </c>
      <c r="K21" s="208" t="str">
        <f>1-(C21/I21)</f>
        <v>0</v>
      </c>
      <c r="L21" s="87" t="str">
        <f>(I21*B21)*0.99826</f>
        <v>0</v>
      </c>
      <c r="M21" s="182"/>
      <c r="N21" s="170"/>
      <c r="O21" s="40"/>
      <c r="P21" s="47"/>
      <c r="Q21" s="47"/>
      <c r="R21" s="47"/>
      <c r="S21" s="54"/>
      <c r="T21" s="54"/>
      <c r="U21" s="149"/>
      <c r="V21" s="149"/>
      <c r="W21" s="25"/>
      <c r="X21" s="44"/>
      <c r="Z21" s="31"/>
      <c r="AA21" s="32"/>
      <c r="AB21" s="48"/>
      <c r="AC21" s="48"/>
      <c r="AD21" s="25"/>
      <c r="AE21" s="42"/>
      <c r="AG21" s="52"/>
      <c r="AH21" s="37"/>
      <c r="AI21" s="37"/>
      <c r="AJ21" s="48"/>
      <c r="AL21" s="53"/>
      <c r="AM21" s="25"/>
    </row>
    <row r="22" spans="1:40" customHeight="1" ht="15.95">
      <c r="A22" s="112"/>
      <c r="B22" s="113"/>
      <c r="C22" s="156"/>
      <c r="D22" s="113"/>
      <c r="E22" s="122"/>
      <c r="F22" s="137" t="str">
        <f>SUM(F19:F21)</f>
        <v>0</v>
      </c>
      <c r="G22" s="116"/>
      <c r="H22" s="137" t="str">
        <f>SUM(H18:H21)</f>
        <v>0</v>
      </c>
      <c r="I22" s="122"/>
      <c r="J22" s="161" t="str">
        <f>J21+J20+J19</f>
        <v>0</v>
      </c>
      <c r="K22" s="122"/>
      <c r="L22" s="86"/>
      <c r="N22" s="175"/>
      <c r="O22" s="66"/>
      <c r="P22" s="72"/>
      <c r="Q22" s="72"/>
      <c r="R22" s="72"/>
      <c r="S22" s="15"/>
      <c r="T22" s="15"/>
      <c r="U22" s="16"/>
      <c r="V22" s="16"/>
      <c r="W22" s="26"/>
      <c r="X22" s="22"/>
      <c r="Y22" s="8"/>
      <c r="Z22" s="9"/>
      <c r="AA22" s="7"/>
      <c r="AB22" s="11"/>
      <c r="AC22" s="11"/>
      <c r="AD22" s="27"/>
      <c r="AE22" s="19"/>
      <c r="AG22" s="10"/>
      <c r="AJ22" s="4"/>
      <c r="AL22" s="17"/>
    </row>
    <row r="23" spans="1:40">
      <c r="A23" s="216"/>
      <c r="B23" s="188"/>
      <c r="C23" s="188"/>
      <c r="D23" s="29" t="s">
        <v>23</v>
      </c>
      <c r="E23" s="195"/>
      <c r="F23" s="217"/>
      <c r="G23" s="218" t="s">
        <v>23</v>
      </c>
      <c r="H23" s="29"/>
      <c r="I23" s="195"/>
      <c r="J23" s="219"/>
      <c r="K23" s="195"/>
      <c r="L23" s="22"/>
      <c r="M23" s="220"/>
      <c r="N23" s="221"/>
      <c r="O23" s="222"/>
      <c r="P23" s="223"/>
      <c r="Q23" s="223"/>
      <c r="R23" s="223"/>
      <c r="S23" s="80"/>
      <c r="T23" s="80"/>
      <c r="U23" s="224"/>
      <c r="V23" s="224"/>
      <c r="W23" s="26"/>
      <c r="X23" s="22"/>
      <c r="Y23" s="8"/>
      <c r="Z23" s="9"/>
      <c r="AA23" s="7"/>
      <c r="AB23" s="11"/>
      <c r="AC23" s="11"/>
      <c r="AD23" s="27"/>
      <c r="AE23" s="19"/>
      <c r="AG23" s="10"/>
      <c r="AJ23" s="4"/>
      <c r="AL23" s="17"/>
    </row>
    <row r="24" spans="1:40" customHeight="1" ht="15.95">
      <c r="A24" s="33"/>
      <c r="B24" s="77"/>
      <c r="C24" s="77"/>
      <c r="D24" s="34"/>
      <c r="E24" s="78"/>
      <c r="F24" s="147"/>
      <c r="G24" s="79"/>
      <c r="H24" s="34"/>
      <c r="I24" s="78"/>
      <c r="J24" s="45"/>
      <c r="K24" s="78"/>
      <c r="L24" s="168"/>
      <c r="M24" s="186"/>
      <c r="N24" s="176"/>
      <c r="O24" s="67"/>
      <c r="P24" s="71"/>
      <c r="Q24" s="71"/>
      <c r="R24" s="71"/>
      <c r="S24" s="35"/>
      <c r="T24" s="80"/>
      <c r="U24" s="16"/>
      <c r="V24" s="16"/>
      <c r="W24" s="26"/>
      <c r="X24" s="22"/>
      <c r="Y24" s="8"/>
      <c r="Z24" s="9"/>
      <c r="AA24" s="7"/>
      <c r="AB24" s="11"/>
      <c r="AC24" s="11"/>
      <c r="AD24" s="27"/>
      <c r="AE24" s="19"/>
      <c r="AG24" s="10"/>
      <c r="AJ24" s="4"/>
      <c r="AL24" s="17"/>
    </row>
    <row r="25" spans="1:40" customHeight="1" ht="18.95">
      <c r="A25" s="139" t="s">
        <v>30</v>
      </c>
      <c r="B25" s="9"/>
      <c r="C25" s="9"/>
      <c r="D25" s="7"/>
      <c r="E25" s="14"/>
      <c r="F25" s="148"/>
      <c r="G25" s="13"/>
      <c r="H25" s="21"/>
      <c r="I25" s="14"/>
      <c r="J25" s="14"/>
      <c r="K25" s="14"/>
      <c r="W25" s="26"/>
      <c r="X25" s="22"/>
      <c r="Y25" s="8"/>
      <c r="Z25" s="9"/>
      <c r="AA25" s="7"/>
      <c r="AB25" s="11"/>
      <c r="AC25" s="11"/>
      <c r="AD25" s="27"/>
      <c r="AE25" s="19"/>
      <c r="AG25" s="10"/>
      <c r="AJ25" s="4"/>
      <c r="AL25" s="17"/>
    </row>
    <row r="26" spans="1:40" customHeight="1" ht="47.1">
      <c r="A26" s="39" t="s">
        <v>3</v>
      </c>
      <c r="B26" s="20" t="s">
        <v>31</v>
      </c>
      <c r="C26" s="61" t="s">
        <v>32</v>
      </c>
      <c r="D26" s="20" t="s">
        <v>33</v>
      </c>
      <c r="E26" s="61" t="s">
        <v>34</v>
      </c>
      <c r="F26" s="64" t="s">
        <v>35</v>
      </c>
      <c r="G26" s="69" t="s">
        <v>36</v>
      </c>
      <c r="H26" s="61" t="s">
        <v>37</v>
      </c>
      <c r="I26" s="61" t="s">
        <v>38</v>
      </c>
      <c r="J26" s="162" t="s">
        <v>39</v>
      </c>
      <c r="K26" s="162" t="s">
        <v>40</v>
      </c>
      <c r="L26" s="61" t="s">
        <v>41</v>
      </c>
      <c r="M26" s="180" t="s">
        <v>42</v>
      </c>
      <c r="N26" s="177"/>
      <c r="O26" s="61" t="s">
        <v>43</v>
      </c>
      <c r="P26" s="61" t="s">
        <v>44</v>
      </c>
      <c r="Q26" s="61" t="s">
        <v>45</v>
      </c>
      <c r="R26" s="61" t="s">
        <v>46</v>
      </c>
      <c r="S26" s="144" t="s">
        <v>47</v>
      </c>
      <c r="T26" s="141" t="s">
        <v>48</v>
      </c>
      <c r="U26" s="61" t="s">
        <v>49</v>
      </c>
      <c r="V26" s="61" t="s">
        <v>50</v>
      </c>
      <c r="W26" s="140" t="s">
        <v>51</v>
      </c>
      <c r="X26" s="141" t="s">
        <v>52</v>
      </c>
      <c r="Y26" s="8"/>
      <c r="Z26" s="9"/>
      <c r="AA26" s="7"/>
      <c r="AB26" s="11"/>
      <c r="AC26" s="11"/>
      <c r="AD26" s="27"/>
      <c r="AE26" s="19"/>
      <c r="AG26" s="10"/>
      <c r="AJ26" s="4"/>
      <c r="AL26" s="17"/>
    </row>
    <row r="27" spans="1:40" customHeight="1" ht="15.95" s="30" customFormat="1">
      <c r="A27" s="91" t="s">
        <v>21</v>
      </c>
      <c r="B27" s="158">
        <v>985</v>
      </c>
      <c r="C27" s="120" t="str">
        <f>$F$1*B27</f>
        <v>0</v>
      </c>
      <c r="D27" s="202">
        <v>1530</v>
      </c>
      <c r="E27" s="88" t="str">
        <f>1-(B27/D27)</f>
        <v>0</v>
      </c>
      <c r="F27" s="153">
        <v>1030</v>
      </c>
      <c r="G27" s="189">
        <v>1243</v>
      </c>
      <c r="H27" s="198" t="s">
        <v>53</v>
      </c>
      <c r="I27" s="198" t="s">
        <v>53</v>
      </c>
      <c r="J27" s="120" t="s">
        <v>54</v>
      </c>
      <c r="K27" s="122"/>
      <c r="L27" s="87"/>
      <c r="M27" s="190"/>
      <c r="N27" s="191"/>
      <c r="O27" s="87"/>
      <c r="P27" s="87"/>
      <c r="Q27" s="87"/>
      <c r="R27" s="87"/>
      <c r="S27" s="87">
        <v>141</v>
      </c>
      <c r="T27" s="88" t="str">
        <f>1-(B27/S27)</f>
        <v>0</v>
      </c>
      <c r="U27" s="87">
        <v>166</v>
      </c>
      <c r="V27" s="88" t="str">
        <f>1-(B27/U27)</f>
        <v>0</v>
      </c>
      <c r="W27" s="87">
        <v>185</v>
      </c>
      <c r="X27" s="88" t="str">
        <f>1-(B27/W27)</f>
        <v>0</v>
      </c>
      <c r="AE27" s="194"/>
      <c r="AH27" s="37"/>
      <c r="AI27" s="37"/>
      <c r="AJ27" s="37"/>
      <c r="AM27" s="25"/>
    </row>
    <row r="28" spans="1:40" customHeight="1" ht="15.95" s="30" customFormat="1">
      <c r="A28" s="91" t="s">
        <v>19</v>
      </c>
      <c r="B28" s="158">
        <v>210.18</v>
      </c>
      <c r="C28" s="120" t="str">
        <f>($F$1*B28)</f>
        <v>0</v>
      </c>
      <c r="D28" s="202">
        <v>300</v>
      </c>
      <c r="E28" s="88" t="str">
        <f>1-(B28/D28)</f>
        <v>0</v>
      </c>
      <c r="F28" s="153">
        <v>220</v>
      </c>
      <c r="G28" s="189">
        <v>384</v>
      </c>
      <c r="H28" s="211"/>
      <c r="I28" s="211"/>
      <c r="J28" s="120" t="s">
        <v>54</v>
      </c>
      <c r="K28" s="122"/>
      <c r="L28" s="87"/>
      <c r="M28" s="190"/>
      <c r="N28" s="191"/>
      <c r="O28" s="87"/>
      <c r="P28" s="87"/>
      <c r="Q28" s="87"/>
      <c r="R28" s="87"/>
      <c r="S28" s="87"/>
      <c r="T28" s="88"/>
      <c r="U28" s="87"/>
      <c r="V28" s="88"/>
      <c r="W28" s="87"/>
      <c r="X28" s="88"/>
      <c r="AE28" s="194"/>
      <c r="AH28" s="37"/>
      <c r="AI28" s="37"/>
      <c r="AJ28" s="37"/>
      <c r="AM28" s="25"/>
    </row>
    <row r="29" spans="1:40" customHeight="1" ht="15.95" s="30" customFormat="1">
      <c r="A29" s="91" t="s">
        <v>28</v>
      </c>
      <c r="B29" s="158">
        <v>212.79</v>
      </c>
      <c r="C29" s="120" t="str">
        <f>$F$1*B29</f>
        <v>0</v>
      </c>
      <c r="D29" s="202">
        <v>260</v>
      </c>
      <c r="E29" s="88" t="str">
        <f>1-(B29/D29)</f>
        <v>0</v>
      </c>
      <c r="F29" s="153">
        <v>204</v>
      </c>
      <c r="G29" s="189">
        <v>214.17</v>
      </c>
      <c r="H29" s="90">
        <v>44147</v>
      </c>
      <c r="I29" s="90">
        <v>44166</v>
      </c>
      <c r="J29" s="120" t="s">
        <v>54</v>
      </c>
      <c r="K29" s="122" t="str">
        <f>(2214000)*B29</f>
        <v>0</v>
      </c>
      <c r="L29" s="87">
        <v>35524000</v>
      </c>
      <c r="M29" s="190"/>
      <c r="N29" s="191"/>
      <c r="O29" s="87">
        <v>12080000</v>
      </c>
      <c r="P29" s="87">
        <v>10301000</v>
      </c>
      <c r="Q29" s="87">
        <v>6699000</v>
      </c>
      <c r="R29" s="87">
        <v>5991000</v>
      </c>
      <c r="S29" s="87">
        <v>245</v>
      </c>
      <c r="T29" s="88" t="str">
        <f>1-(B29/S29)</f>
        <v>0</v>
      </c>
      <c r="U29" s="120">
        <v>270</v>
      </c>
      <c r="V29" s="88" t="str">
        <f>1-(B29/U29)</f>
        <v>0</v>
      </c>
      <c r="W29" s="120">
        <v>297</v>
      </c>
      <c r="X29" s="88" t="str">
        <f>1-(B29/W29)</f>
        <v>0</v>
      </c>
      <c r="AE29" s="194"/>
      <c r="AH29" s="37"/>
      <c r="AI29" s="37"/>
      <c r="AJ29" s="37"/>
      <c r="AM29" s="25"/>
    </row>
    <row r="30" spans="1:40" customHeight="1" ht="15.95" s="30" customFormat="1">
      <c r="A30" s="91" t="s">
        <v>55</v>
      </c>
      <c r="B30" s="196">
        <v>344.33</v>
      </c>
      <c r="C30" s="120" t="str">
        <f>$F$1*B30</f>
        <v>0</v>
      </c>
      <c r="D30" s="156">
        <v>364</v>
      </c>
      <c r="E30" s="88" t="str">
        <f>1-(B30/D30)</f>
        <v>0</v>
      </c>
      <c r="F30" s="153">
        <v>210</v>
      </c>
      <c r="G30" s="197">
        <v>231.61</v>
      </c>
      <c r="H30" s="198" t="s">
        <v>53</v>
      </c>
      <c r="I30" s="198" t="s">
        <v>53</v>
      </c>
      <c r="J30" s="120" t="s">
        <v>54</v>
      </c>
      <c r="K30" s="122" t="str">
        <f>(2450918)*B30</f>
        <v>0</v>
      </c>
      <c r="L30" s="121">
        <v>393495000</v>
      </c>
      <c r="M30" s="199"/>
      <c r="N30" s="200"/>
      <c r="O30" s="87">
        <v>81417000</v>
      </c>
      <c r="P30" s="87">
        <v>4021000</v>
      </c>
      <c r="Q30" s="87">
        <v>44940000</v>
      </c>
      <c r="R30" s="87">
        <v>24074000</v>
      </c>
      <c r="S30" s="87">
        <v>220</v>
      </c>
      <c r="T30" s="88" t="str">
        <f>1-(B30/S30)</f>
        <v>0</v>
      </c>
      <c r="U30" s="120">
        <v>226.5</v>
      </c>
      <c r="V30" s="88" t="str">
        <f>1-(B30/U30)</f>
        <v>0</v>
      </c>
      <c r="W30" s="201">
        <v>233</v>
      </c>
      <c r="X30" s="88" t="str">
        <f>1-(B30/W30)</f>
        <v>0</v>
      </c>
      <c r="Y30" s="8"/>
      <c r="Z30" s="9"/>
      <c r="AA30" s="7"/>
      <c r="AB30" s="38"/>
      <c r="AC30" s="38"/>
      <c r="AD30" s="51"/>
      <c r="AE30" s="19"/>
      <c r="AG30" s="52"/>
      <c r="AH30" s="37"/>
      <c r="AI30" s="37"/>
      <c r="AJ30" s="48"/>
      <c r="AL30" s="53"/>
      <c r="AM30" s="25"/>
    </row>
    <row r="31" spans="1:40" customHeight="1" ht="15.95" s="30" customFormat="1">
      <c r="A31" s="91" t="s">
        <v>29</v>
      </c>
      <c r="B31" s="158">
        <v>157.08</v>
      </c>
      <c r="C31" s="120" t="str">
        <f>($F$1*B31)</f>
        <v>0</v>
      </c>
      <c r="D31" s="202">
        <v>160</v>
      </c>
      <c r="E31" s="88" t="str">
        <f>1-(B31/D31)</f>
        <v>0</v>
      </c>
      <c r="F31" s="153">
        <v>136</v>
      </c>
      <c r="G31" s="189">
        <v>141.07</v>
      </c>
      <c r="H31" s="211">
        <v>44152</v>
      </c>
      <c r="I31" s="211">
        <v>44152</v>
      </c>
      <c r="J31" s="120" t="s">
        <v>54</v>
      </c>
      <c r="K31" s="122"/>
      <c r="L31" s="87"/>
      <c r="M31" s="190"/>
      <c r="N31" s="191"/>
      <c r="O31" s="87"/>
      <c r="P31" s="87"/>
      <c r="Q31" s="87"/>
      <c r="R31" s="87"/>
      <c r="S31" s="87">
        <v>140</v>
      </c>
      <c r="T31" s="88" t="str">
        <f>1-(B31/S31)</f>
        <v>0</v>
      </c>
      <c r="U31" s="87">
        <v>165</v>
      </c>
      <c r="V31" s="88" t="str">
        <f>1-(B31/U31)</f>
        <v>0</v>
      </c>
      <c r="W31" s="87">
        <v>184</v>
      </c>
      <c r="X31" s="88" t="str">
        <f>1-(B31/W31)</f>
        <v>0</v>
      </c>
      <c r="AE31" s="194"/>
      <c r="AH31" s="37"/>
      <c r="AI31" s="37"/>
      <c r="AJ31" s="37"/>
      <c r="AM31" s="25"/>
    </row>
    <row r="32" spans="1:40" customHeight="1" ht="15.95" s="30" customFormat="1">
      <c r="A32" s="91" t="s">
        <v>56</v>
      </c>
      <c r="B32" s="196" t="s">
        <v>57</v>
      </c>
      <c r="C32" s="120" t="str">
        <f>($F$1*B32)</f>
        <v>0</v>
      </c>
      <c r="D32" s="156"/>
      <c r="E32" s="88"/>
      <c r="F32" s="153"/>
      <c r="G32" s="197"/>
      <c r="H32" s="198"/>
      <c r="I32" s="198"/>
      <c r="J32" s="120"/>
      <c r="K32" s="122"/>
      <c r="L32" s="121"/>
      <c r="M32" s="199"/>
      <c r="N32" s="200"/>
      <c r="O32" s="87"/>
      <c r="P32" s="87"/>
      <c r="Q32" s="87"/>
      <c r="R32" s="87"/>
      <c r="S32" s="87"/>
      <c r="T32" s="88"/>
      <c r="U32" s="120"/>
      <c r="V32" s="88"/>
      <c r="W32" s="201"/>
      <c r="X32" s="88"/>
      <c r="Y32" s="8"/>
      <c r="Z32" s="9"/>
      <c r="AA32" s="7"/>
      <c r="AB32" s="38"/>
      <c r="AC32" s="38"/>
      <c r="AD32" s="51"/>
      <c r="AE32" s="19"/>
      <c r="AG32" s="52"/>
      <c r="AH32" s="37"/>
      <c r="AI32" s="37"/>
      <c r="AJ32" s="48"/>
      <c r="AL32" s="53"/>
      <c r="AM32" s="25"/>
    </row>
    <row r="33" spans="1:40" customHeight="1" ht="15.95" s="30" customFormat="1">
      <c r="A33" s="91" t="s">
        <v>58</v>
      </c>
      <c r="B33" s="196">
        <v>165.29</v>
      </c>
      <c r="C33" s="120" t="str">
        <f>($F$1*B33)</f>
        <v>0</v>
      </c>
      <c r="D33" s="156"/>
      <c r="E33" s="88"/>
      <c r="F33" s="153"/>
      <c r="G33" s="197"/>
      <c r="H33" s="198"/>
      <c r="I33" s="198"/>
      <c r="J33" s="120"/>
      <c r="K33" s="122"/>
      <c r="L33" s="121"/>
      <c r="M33" s="199"/>
      <c r="N33" s="200"/>
      <c r="O33" s="87"/>
      <c r="P33" s="87"/>
      <c r="Q33" s="87"/>
      <c r="R33" s="87"/>
      <c r="S33" s="87"/>
      <c r="T33" s="88"/>
      <c r="U33" s="120"/>
      <c r="V33" s="88"/>
      <c r="W33" s="201"/>
      <c r="X33" s="88"/>
      <c r="Y33" s="8"/>
      <c r="Z33" s="9"/>
      <c r="AA33" s="7"/>
      <c r="AB33" s="38"/>
      <c r="AC33" s="38"/>
      <c r="AD33" s="51"/>
      <c r="AE33" s="19"/>
      <c r="AG33" s="52"/>
      <c r="AH33" s="37"/>
      <c r="AI33" s="37"/>
      <c r="AJ33" s="48"/>
      <c r="AL33" s="53"/>
      <c r="AM33" s="25"/>
    </row>
    <row r="34" spans="1:40" customHeight="1" ht="15.95" s="30" customFormat="1">
      <c r="A34" s="91" t="s">
        <v>59</v>
      </c>
      <c r="B34" s="158">
        <v>16.06</v>
      </c>
      <c r="C34" s="120" t="str">
        <f>($F$1*B34)</f>
        <v>0</v>
      </c>
      <c r="D34" s="202">
        <v>24</v>
      </c>
      <c r="E34" s="88" t="str">
        <f>1-(B34/D34)</f>
        <v>0</v>
      </c>
      <c r="F34" s="153">
        <v>10</v>
      </c>
      <c r="G34" s="189">
        <v>49</v>
      </c>
      <c r="H34" s="90">
        <v>44137</v>
      </c>
      <c r="I34" s="90">
        <v>44141</v>
      </c>
      <c r="J34" s="120" t="s">
        <v>54</v>
      </c>
      <c r="K34" s="122" t="str">
        <f>(450964)*B34</f>
        <v>0</v>
      </c>
      <c r="L34" s="87">
        <v>1423414</v>
      </c>
      <c r="M34" s="190"/>
      <c r="N34" s="191"/>
      <c r="O34" s="87">
        <v>92139</v>
      </c>
      <c r="P34" s="87">
        <v>-46302</v>
      </c>
      <c r="Q34" s="87">
        <v>-48260</v>
      </c>
      <c r="R34" s="87">
        <v>197979</v>
      </c>
      <c r="S34" s="120" t="str">
        <f>(5+6)/2</f>
        <v>0</v>
      </c>
      <c r="T34" s="131" t="str">
        <f>1-(B34/S34)</f>
        <v>0</v>
      </c>
      <c r="U34" s="120" t="str">
        <f>(10.39+10.63)/2</f>
        <v>0</v>
      </c>
      <c r="V34" s="88" t="str">
        <f>1-(B34/U34)</f>
        <v>0</v>
      </c>
      <c r="W34" s="120" t="str">
        <f>(16+14)/2</f>
        <v>0</v>
      </c>
      <c r="X34" s="88" t="str">
        <f>1-(B34/W34)</f>
        <v>0</v>
      </c>
      <c r="AE34" s="194"/>
      <c r="AH34" s="37"/>
      <c r="AI34" s="37"/>
      <c r="AJ34" s="37"/>
      <c r="AM34" s="25"/>
    </row>
    <row r="35" spans="1:40" customHeight="1" ht="15.95" s="30" customFormat="1">
      <c r="A35" s="91" t="s">
        <v>60</v>
      </c>
      <c r="B35" s="158" t="s">
        <v>61</v>
      </c>
      <c r="C35" s="120" t="str">
        <f>($F$1*B35)</f>
        <v>0</v>
      </c>
      <c r="D35" s="202">
        <v>3400</v>
      </c>
      <c r="E35" s="88" t="str">
        <f>1-(B35/D35)</f>
        <v>0</v>
      </c>
      <c r="F35" s="153"/>
      <c r="G35" s="189"/>
      <c r="H35" s="90"/>
      <c r="I35" s="90"/>
      <c r="J35" s="120"/>
      <c r="K35" s="122"/>
      <c r="L35" s="87"/>
      <c r="M35" s="190"/>
      <c r="N35" s="191"/>
      <c r="O35" s="87"/>
      <c r="P35" s="87"/>
      <c r="Q35" s="87"/>
      <c r="R35" s="87"/>
      <c r="S35" s="120"/>
      <c r="T35" s="131"/>
      <c r="U35" s="120"/>
      <c r="V35" s="88"/>
      <c r="W35" s="120"/>
      <c r="X35" s="88"/>
      <c r="AE35" s="194"/>
      <c r="AH35" s="37"/>
      <c r="AI35" s="37"/>
      <c r="AJ35" s="37"/>
      <c r="AM35" s="25"/>
    </row>
    <row r="36" spans="1:40" customHeight="1" ht="15.95" s="30" customFormat="1">
      <c r="A36" s="197" t="s">
        <v>62</v>
      </c>
      <c r="B36" s="159">
        <v>279.83</v>
      </c>
      <c r="C36" s="120" t="str">
        <f>($F$1*B36)</f>
        <v>0</v>
      </c>
      <c r="D36" s="25"/>
      <c r="E36" s="18"/>
      <c r="F36" s="212"/>
      <c r="G36" s="149"/>
      <c r="H36" s="25"/>
      <c r="I36" s="37"/>
      <c r="J36" s="18"/>
      <c r="K36" s="18"/>
      <c r="L36" s="25"/>
      <c r="M36" s="182"/>
      <c r="N36" s="171"/>
      <c r="O36" s="40"/>
      <c r="P36" s="70"/>
      <c r="Q36" s="70"/>
      <c r="R36" s="70"/>
      <c r="S36" s="37"/>
      <c r="T36" s="37"/>
      <c r="U36" s="37"/>
      <c r="V36" s="37"/>
      <c r="W36" s="37"/>
      <c r="X36" s="25"/>
      <c r="AE36" s="194"/>
      <c r="AH36" s="37"/>
      <c r="AI36" s="37"/>
      <c r="AJ36" s="37"/>
      <c r="AM36" s="25"/>
    </row>
    <row r="37" spans="1:40" customHeight="1" ht="15.95" s="30" customFormat="1">
      <c r="A37" s="91" t="s">
        <v>18</v>
      </c>
      <c r="B37" s="158">
        <v>95.49</v>
      </c>
      <c r="C37" s="120" t="str">
        <f>($F$1*B37)</f>
        <v>0</v>
      </c>
      <c r="D37" s="213">
        <v>295</v>
      </c>
      <c r="E37" s="88" t="str">
        <f>1-(B37/D37)</f>
        <v>0</v>
      </c>
      <c r="F37" s="153">
        <v>275</v>
      </c>
      <c r="G37" s="214">
        <v>268</v>
      </c>
      <c r="H37" s="90">
        <v>44134</v>
      </c>
      <c r="I37" s="90">
        <v>44138</v>
      </c>
      <c r="J37" s="120" t="s">
        <v>54</v>
      </c>
      <c r="K37" s="122" t="str">
        <f>(2668250)*B37</f>
        <v>0</v>
      </c>
      <c r="L37" s="87">
        <v>116894342</v>
      </c>
      <c r="M37" s="190"/>
      <c r="N37" s="191"/>
      <c r="O37" s="87" t="str">
        <f>149263000*3.18/#REF!</f>
        <v>0</v>
      </c>
      <c r="P37" s="87" t="str">
        <f>87600000*3.18/#REF!</f>
        <v>0</v>
      </c>
      <c r="Q37" s="87" t="str">
        <f>63985000*3.18/#REF!</f>
        <v>0</v>
      </c>
      <c r="R37" s="87" t="str">
        <f>43675000*3.18/#REF!</f>
        <v>0</v>
      </c>
      <c r="S37" s="120" t="str">
        <f>(220.63+216)/2</f>
        <v>0</v>
      </c>
      <c r="T37" s="131" t="str">
        <f>1-(B37/S37)</f>
        <v>0</v>
      </c>
      <c r="U37" s="120" t="str">
        <f>(293.29+288.6)/2</f>
        <v>0</v>
      </c>
      <c r="V37" s="88" t="str">
        <f>1-(B37/U37)</f>
        <v>0</v>
      </c>
      <c r="W37" s="120" t="str">
        <f>(329.32+325)/2</f>
        <v>0</v>
      </c>
      <c r="X37" s="88" t="str">
        <f>1-(B37/W37)</f>
        <v>0</v>
      </c>
      <c r="AE37" s="194"/>
      <c r="AH37" s="37"/>
      <c r="AI37" s="37"/>
      <c r="AJ37" s="37"/>
      <c r="AM37" s="25"/>
    </row>
    <row r="38" spans="1:40" customHeight="1" ht="15.95" s="30" customFormat="1">
      <c r="A38" s="197" t="s">
        <v>20</v>
      </c>
      <c r="B38" s="159">
        <v>341.13</v>
      </c>
      <c r="C38" s="120" t="str">
        <f>($F$1*B38)</f>
        <v>0</v>
      </c>
      <c r="D38" s="202">
        <v>500</v>
      </c>
      <c r="E38" s="88" t="str">
        <f>1-(B38/D38)</f>
        <v>0</v>
      </c>
      <c r="F38" s="153">
        <v>136</v>
      </c>
      <c r="G38" s="189">
        <v>141.07</v>
      </c>
      <c r="H38" s="25"/>
      <c r="I38" s="37"/>
      <c r="J38" s="18"/>
      <c r="K38" s="18"/>
      <c r="L38" s="25"/>
      <c r="M38" s="182"/>
      <c r="N38" s="171"/>
      <c r="O38" s="40"/>
      <c r="P38" s="70"/>
      <c r="Q38" s="70"/>
      <c r="R38" s="70"/>
      <c r="S38" s="37"/>
      <c r="T38" s="37"/>
      <c r="U38" s="37"/>
      <c r="V38" s="37"/>
      <c r="W38" s="37"/>
      <c r="X38" s="25"/>
      <c r="AE38" s="194"/>
      <c r="AH38" s="37"/>
      <c r="AI38" s="37"/>
      <c r="AJ38" s="37"/>
      <c r="AM38" s="25"/>
    </row>
    <row r="39" spans="1:40" customHeight="1" ht="15.95" s="30" customFormat="1">
      <c r="A39" s="197" t="s">
        <v>63</v>
      </c>
      <c r="B39" s="205">
        <v>79.5</v>
      </c>
      <c r="C39" s="120" t="str">
        <f>($F$1*B39)</f>
        <v>0</v>
      </c>
      <c r="D39" s="25"/>
      <c r="E39" s="18"/>
      <c r="F39" s="212"/>
      <c r="G39" s="149"/>
      <c r="H39" s="25"/>
      <c r="I39" s="37"/>
      <c r="J39" s="18"/>
      <c r="K39" s="18"/>
      <c r="L39" s="25"/>
      <c r="M39" s="182"/>
      <c r="N39" s="171"/>
      <c r="O39" s="40"/>
      <c r="P39" s="70"/>
      <c r="Q39" s="70"/>
      <c r="R39" s="70"/>
      <c r="S39" s="37"/>
      <c r="T39" s="37"/>
      <c r="U39" s="37"/>
      <c r="V39" s="37"/>
      <c r="W39" s="37"/>
      <c r="X39" s="25"/>
      <c r="AE39" s="194"/>
      <c r="AH39" s="37"/>
      <c r="AI39" s="37"/>
      <c r="AJ39" s="37"/>
      <c r="AM39" s="25"/>
    </row>
    <row r="40" spans="1:40" customHeight="1" ht="15.95">
      <c r="A40" s="85" t="s">
        <v>64</v>
      </c>
      <c r="B40" s="157" t="s">
        <v>65</v>
      </c>
      <c r="C40" s="120" t="str">
        <f>($F$1*B40)</f>
        <v>0</v>
      </c>
    </row>
    <row r="41" spans="1:40" customHeight="1" ht="15.95">
      <c r="A41" s="91" t="s">
        <v>66</v>
      </c>
      <c r="B41" s="158" t="s">
        <v>67</v>
      </c>
      <c r="C41" s="120" t="str">
        <f>($F$1*B41)</f>
        <v>0</v>
      </c>
      <c r="D41" s="93"/>
      <c r="E41" s="83"/>
      <c r="F41" s="153"/>
      <c r="G41" s="84"/>
      <c r="H41" s="90"/>
      <c r="I41" s="90"/>
      <c r="J41" s="82"/>
      <c r="K41" s="163"/>
      <c r="L41" s="86"/>
      <c r="M41" s="187"/>
      <c r="N41" s="178"/>
      <c r="O41" s="86"/>
      <c r="P41" s="87"/>
      <c r="Q41" s="87"/>
      <c r="R41" s="87"/>
      <c r="S41" s="143"/>
      <c r="T41" s="145"/>
      <c r="U41" s="82"/>
      <c r="V41" s="88"/>
      <c r="W41" s="143"/>
      <c r="X41" s="142"/>
    </row>
    <row r="42" spans="1:40" customHeight="1" ht="15.95">
      <c r="A42" s="82" t="s">
        <v>68</v>
      </c>
      <c r="B42" s="81">
        <v>191.55</v>
      </c>
      <c r="C42" s="120" t="str">
        <f>($F$1*B42)</f>
        <v>0</v>
      </c>
      <c r="D42" s="86"/>
      <c r="E42" s="89" t="str">
        <f>1-(B42/D42)</f>
        <v>0</v>
      </c>
      <c r="F42" s="153"/>
      <c r="G42" s="95"/>
      <c r="H42" s="85"/>
      <c r="I42" s="94"/>
      <c r="J42" s="163"/>
      <c r="K42" s="163"/>
      <c r="L42" s="86"/>
      <c r="M42" s="187"/>
      <c r="N42" s="178"/>
      <c r="O42" s="86"/>
      <c r="P42" s="87"/>
      <c r="Q42" s="87"/>
      <c r="R42" s="87"/>
      <c r="S42" s="86"/>
      <c r="T42" s="86"/>
      <c r="U42" s="86"/>
      <c r="V42" s="86"/>
      <c r="W42" s="86"/>
      <c r="X42" s="87"/>
    </row>
    <row r="43" spans="1:40" customHeight="1" ht="15.95">
      <c r="A43" s="4" t="s">
        <v>69</v>
      </c>
      <c r="B43" s="157">
        <v>26.83</v>
      </c>
      <c r="C43" s="120" t="str">
        <f>($F$1*B43)</f>
        <v>0</v>
      </c>
    </row>
    <row r="44" spans="1:40" customHeight="1" ht="15.95">
      <c r="A44" s="82" t="s">
        <v>70</v>
      </c>
      <c r="B44" s="81">
        <v>2.22</v>
      </c>
      <c r="C44" s="120" t="str">
        <f>($F$1*B44)</f>
        <v>0</v>
      </c>
      <c r="D44" s="86"/>
      <c r="E44" s="89"/>
      <c r="F44" s="153"/>
      <c r="G44" s="95"/>
      <c r="H44" s="85"/>
      <c r="I44" s="94"/>
      <c r="J44" s="163"/>
      <c r="K44" s="163"/>
      <c r="L44" s="86"/>
      <c r="M44" s="187"/>
      <c r="N44" s="178"/>
      <c r="O44" s="86"/>
      <c r="P44" s="87"/>
      <c r="Q44" s="87"/>
      <c r="R44" s="87"/>
      <c r="S44" s="86"/>
      <c r="T44" s="86"/>
      <c r="U44" s="86"/>
      <c r="V44" s="86"/>
      <c r="W44" s="86"/>
      <c r="X44" s="87"/>
    </row>
    <row r="45" spans="1:40" customHeight="1" ht="15.95">
      <c r="A45" s="82" t="s">
        <v>71</v>
      </c>
      <c r="B45" s="81">
        <v>78.12</v>
      </c>
      <c r="C45" s="120" t="str">
        <f>($F$1*B45)</f>
        <v>0</v>
      </c>
      <c r="D45" s="86"/>
      <c r="E45" s="89"/>
      <c r="F45" s="153"/>
      <c r="G45" s="95"/>
      <c r="H45" s="85"/>
      <c r="I45" s="94"/>
      <c r="J45" s="163"/>
      <c r="K45" s="163"/>
      <c r="L45" s="86"/>
      <c r="M45" s="187"/>
      <c r="N45" s="178"/>
      <c r="O45" s="86"/>
      <c r="P45" s="87"/>
      <c r="Q45" s="87"/>
      <c r="R45" s="87"/>
      <c r="S45" s="86"/>
      <c r="T45" s="86"/>
      <c r="U45" s="86"/>
      <c r="V45" s="86"/>
      <c r="W45" s="86"/>
      <c r="X45" s="87"/>
    </row>
    <row r="46" spans="1:40" customHeight="1" ht="15.95">
      <c r="A46" s="82" t="s">
        <v>72</v>
      </c>
      <c r="B46" s="81">
        <v>20.4</v>
      </c>
      <c r="C46" s="120" t="str">
        <f>($F$1*B46)</f>
        <v>0</v>
      </c>
      <c r="D46" s="86"/>
      <c r="E46" s="89"/>
      <c r="F46" s="153"/>
      <c r="G46" s="95"/>
      <c r="H46" s="85"/>
      <c r="I46" s="94"/>
      <c r="J46" s="163"/>
      <c r="K46" s="163"/>
      <c r="L46" s="86"/>
      <c r="M46" s="187"/>
      <c r="N46" s="178"/>
      <c r="O46" s="86"/>
      <c r="P46" s="87"/>
      <c r="Q46" s="87"/>
      <c r="R46" s="87"/>
      <c r="S46" s="86"/>
      <c r="T46" s="86"/>
      <c r="U46" s="86"/>
      <c r="V46" s="86"/>
      <c r="W46" s="86"/>
      <c r="X46" s="87"/>
    </row>
    <row r="47" spans="1:40" customHeight="1" ht="15.95">
      <c r="A47" s="82" t="s">
        <v>73</v>
      </c>
      <c r="B47" s="81">
        <v>24.86</v>
      </c>
      <c r="C47" s="120" t="str">
        <f>($F$1*B47)</f>
        <v>0</v>
      </c>
      <c r="D47" s="86"/>
      <c r="E47" s="89"/>
      <c r="F47" s="153"/>
      <c r="G47" s="95"/>
      <c r="H47" s="85"/>
      <c r="I47" s="94"/>
      <c r="J47" s="163"/>
      <c r="K47" s="163"/>
      <c r="L47" s="86"/>
      <c r="M47" s="187"/>
      <c r="N47" s="178"/>
      <c r="O47" s="86"/>
      <c r="P47" s="87"/>
      <c r="Q47" s="87"/>
      <c r="R47" s="87"/>
      <c r="S47" s="86"/>
      <c r="T47" s="86"/>
      <c r="U47" s="86"/>
      <c r="V47" s="86"/>
      <c r="W47" s="86"/>
      <c r="X47" s="87"/>
    </row>
    <row r="48" spans="1:40" customHeight="1" ht="15.95">
      <c r="A48" s="91" t="s">
        <v>74</v>
      </c>
      <c r="B48" s="158">
        <v>212.58</v>
      </c>
      <c r="C48" s="120" t="str">
        <f>($F$1*B48)</f>
        <v>0</v>
      </c>
      <c r="D48" s="93"/>
      <c r="E48" s="83"/>
      <c r="F48" s="153"/>
      <c r="G48" s="84"/>
      <c r="H48" s="90"/>
      <c r="I48" s="90"/>
      <c r="J48" s="82"/>
      <c r="K48" s="163"/>
      <c r="L48" s="86"/>
      <c r="M48" s="187"/>
      <c r="N48" s="178"/>
      <c r="O48" s="86"/>
      <c r="P48" s="87"/>
      <c r="Q48" s="87"/>
      <c r="R48" s="87"/>
      <c r="S48" s="143"/>
      <c r="T48" s="145"/>
      <c r="U48" s="82"/>
      <c r="V48" s="88"/>
      <c r="W48" s="143"/>
      <c r="X48" s="142"/>
    </row>
    <row r="49" spans="1:40" customHeight="1" ht="15.95" s="30" customFormat="1">
      <c r="A49" s="91" t="s">
        <v>75</v>
      </c>
      <c r="B49" s="196">
        <v>45.67</v>
      </c>
      <c r="C49" s="120" t="str">
        <f>($F$1*B49)</f>
        <v>0</v>
      </c>
      <c r="D49" s="156">
        <v>66</v>
      </c>
      <c r="E49" s="88" t="str">
        <f>1-(B49/D49)</f>
        <v>0</v>
      </c>
      <c r="F49" s="153">
        <v>55</v>
      </c>
      <c r="G49" s="189">
        <v>75</v>
      </c>
      <c r="H49" s="90"/>
      <c r="I49" s="90"/>
      <c r="J49" s="120" t="s">
        <v>54</v>
      </c>
      <c r="K49" s="122" t="str">
        <f>(4246000)*B49</f>
        <v>0</v>
      </c>
      <c r="L49" s="87">
        <v>82010000</v>
      </c>
      <c r="M49" s="190"/>
      <c r="N49" s="191"/>
      <c r="O49" s="87">
        <v>21048000</v>
      </c>
      <c r="P49" s="87">
        <v>21053000</v>
      </c>
      <c r="Q49" s="87">
        <v>9601000</v>
      </c>
      <c r="R49" s="87">
        <v>10316000</v>
      </c>
      <c r="S49" s="87">
        <v>40</v>
      </c>
      <c r="T49" s="131" t="str">
        <f>1-(B49/S49)</f>
        <v>0</v>
      </c>
      <c r="U49" s="120">
        <v>63</v>
      </c>
      <c r="V49" s="88" t="str">
        <f>1-(B49/U49)</f>
        <v>0</v>
      </c>
      <c r="W49" s="120">
        <v>85</v>
      </c>
      <c r="X49" s="88" t="str">
        <f>1-(B49/W49)</f>
        <v>0</v>
      </c>
      <c r="Y49" s="192">
        <v>44247</v>
      </c>
      <c r="Z49" s="192"/>
      <c r="AA49" s="192"/>
      <c r="AB49" s="193"/>
      <c r="AC49" s="193"/>
      <c r="AD49" s="193"/>
      <c r="AE49" s="194"/>
      <c r="AH49" s="37"/>
      <c r="AI49" s="37"/>
      <c r="AJ49" s="37"/>
      <c r="AM49" s="25"/>
    </row>
    <row r="50" spans="1:40" customHeight="1" ht="15.95">
      <c r="A50" s="4" t="s">
        <v>76</v>
      </c>
      <c r="B50" s="159">
        <v>93.06</v>
      </c>
      <c r="C50" s="120" t="str">
        <f>($F$1*B50)</f>
        <v>0</v>
      </c>
    </row>
    <row r="51" spans="1:40" customHeight="1" ht="15.95">
      <c r="A51" s="82"/>
      <c r="B51" s="91"/>
      <c r="C51" s="82"/>
      <c r="D51" s="86"/>
      <c r="E51" s="89"/>
      <c r="F51" s="153"/>
      <c r="G51" s="95"/>
      <c r="H51" s="85"/>
      <c r="I51" s="94"/>
      <c r="J51" s="163"/>
      <c r="K51" s="163"/>
      <c r="L51" s="86"/>
      <c r="M51" s="187"/>
      <c r="N51" s="178"/>
      <c r="O51" s="86"/>
      <c r="P51" s="87"/>
      <c r="Q51" s="87"/>
      <c r="R51" s="87"/>
      <c r="S51" s="86"/>
      <c r="T51" s="86"/>
      <c r="U51" s="86"/>
      <c r="V51" s="86"/>
      <c r="W51" s="86"/>
      <c r="X51" s="87"/>
    </row>
    <row r="52" spans="1:40">
      <c r="C52" s="23"/>
      <c r="J52" s="43"/>
      <c r="L52" s="28"/>
      <c r="Q52" s="24"/>
      <c r="R52" s="3"/>
      <c r="S52" s="48"/>
      <c r="T52" s="4"/>
      <c r="U52" s="4"/>
      <c r="V52" s="4"/>
      <c r="W52" s="2"/>
      <c r="X52" s="2"/>
      <c r="AA52" s="5"/>
      <c r="AD52" s="3"/>
      <c r="AE52" s="3"/>
      <c r="AF52" s="3"/>
      <c r="AH52" s="2"/>
      <c r="AI52" s="23"/>
      <c r="AJ52" s="2"/>
      <c r="AM52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FONDOS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Otra</cp:lastModifiedBy>
  <dcterms:created xsi:type="dcterms:W3CDTF">2009-02-15T20:56:39+01:00</dcterms:created>
  <dcterms:modified xsi:type="dcterms:W3CDTF">2022-04-18T05:35:47+02:00</dcterms:modified>
  <dc:title/>
  <dc:description/>
  <dc:subject/>
  <cp:keywords/>
  <cp:category/>
</cp:coreProperties>
</file>